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HÁNG 122023" sheetId="1" r:id="rId4"/>
    <sheet state="visible" name="THÁNG 112023" sheetId="2" r:id="rId5"/>
    <sheet state="visible" name="THÁNG 102023" sheetId="3" r:id="rId6"/>
    <sheet state="visible" name="THÁNG 092023" sheetId="4" r:id="rId7"/>
    <sheet state="visible" name="THÁNG 082023" sheetId="5" r:id="rId8"/>
    <sheet state="visible" name="THÁNG 72023" sheetId="6" r:id="rId9"/>
    <sheet state="visible" name="THÁNG 062023" sheetId="7" r:id="rId10"/>
    <sheet state="visible" name="THÁNG 042023" sheetId="8" r:id="rId11"/>
    <sheet state="visible" name="THÁNG 52023" sheetId="9" r:id="rId12"/>
    <sheet state="visible" name="THÁNG 32023" sheetId="10" r:id="rId13"/>
    <sheet state="visible" name="THÁNG 22023" sheetId="11" r:id="rId14"/>
    <sheet state="visible" name="BẢN SAO BẢNG MẪU HC" sheetId="12" r:id="rId15"/>
    <sheet state="visible" name="THÁNG 012023" sheetId="13" r:id="rId16"/>
  </sheets>
  <definedNames/>
  <calcPr/>
  <extLst>
    <ext uri="GoogleSheetsCustomDataVersion2">
      <go:sheetsCustomData xmlns:go="http://customooxmlschemas.google.com/" r:id="rId17" roundtripDataChecksum="i6xcu1kJ3Gp/fjSfQsSlOvWHLsgy0MT9yJYFMOkoMPs="/>
    </ext>
  </extLst>
</workbook>
</file>

<file path=xl/sharedStrings.xml><?xml version="1.0" encoding="utf-8"?>
<sst xmlns="http://schemas.openxmlformats.org/spreadsheetml/2006/main" count="12182" uniqueCount="2467">
  <si>
    <t xml:space="preserve">DANH SÁCH BÁN HÀNG THÁNG 12/2023 - OMI (Từ ngày 26/11/2023 đến 25/12/2023) </t>
  </si>
  <si>
    <t>STT</t>
  </si>
  <si>
    <t>Ngày gửi</t>
  </si>
  <si>
    <t>Mã vận đơn</t>
  </si>
  <si>
    <t>Tên KH</t>
  </si>
  <si>
    <t>SĐT</t>
  </si>
  <si>
    <t>Địa chỉ</t>
  </si>
  <si>
    <t>HÀNG HÓA</t>
  </si>
  <si>
    <t>TIỀN HÀNG</t>
  </si>
  <si>
    <t>PHÍ SHIP</t>
  </si>
  <si>
    <t>QUÀ TẶNG</t>
  </si>
  <si>
    <t>GHI CHÚ
ĐƠN HÀNG</t>
  </si>
  <si>
    <t>TÊN SP</t>
  </si>
  <si>
    <t>Số lượng</t>
  </si>
  <si>
    <t>Đơn giá</t>
  </si>
  <si>
    <t>Thành Tiền</t>
  </si>
  <si>
    <t>TỔNG CỘNG ĐH</t>
  </si>
  <si>
    <t>TIỀN SHIP
KHÁCH TRẢ</t>
  </si>
  <si>
    <t>PHÍ SHIP TIKTOK SHOP/SHOPEE</t>
  </si>
  <si>
    <t>TIỀN GIẢM</t>
  </si>
  <si>
    <t>TIỀN PHẢI THU</t>
  </si>
  <si>
    <t>TRẠNG THÁI</t>
  </si>
  <si>
    <t>TIỀN SHIP
CTY TRẢ</t>
  </si>
  <si>
    <t>CTY TRẢ SHIP</t>
  </si>
  <si>
    <r>
      <rPr>
        <rFont val="Times New Roman"/>
        <b/>
        <color theme="1"/>
        <sz val="13.0"/>
      </rPr>
      <t xml:space="preserve">TRẠNG THÁI
</t>
    </r>
    <r>
      <rPr>
        <rFont val="Times New Roman"/>
        <b/>
        <i/>
        <color theme="1"/>
        <sz val="13.0"/>
      </rPr>
      <t>Đã trừ: x</t>
    </r>
  </si>
  <si>
    <t>SẢN PHẨM</t>
  </si>
  <si>
    <t>SỐ LƯỢNG</t>
  </si>
  <si>
    <t>Anh Tình</t>
  </si>
  <si>
    <t>0857339447</t>
  </si>
  <si>
    <t>Thôn 7, xã Ea h'leo, huyện Ea h'leo, tỉnh Đak Lăk</t>
  </si>
  <si>
    <t>OMI NITRO</t>
  </si>
  <si>
    <t>Đã thu</t>
  </si>
  <si>
    <t>Cty trả ship</t>
  </si>
  <si>
    <t>x</t>
  </si>
  <si>
    <t>Akami</t>
  </si>
  <si>
    <t>OMI DETOX</t>
  </si>
  <si>
    <t>Lamda Gold</t>
  </si>
  <si>
    <t>OMI OXY</t>
  </si>
  <si>
    <t>Ema Max</t>
  </si>
  <si>
    <t>Chị Linh</t>
  </si>
  <si>
    <t>0906737979</t>
  </si>
  <si>
    <t>145-147 Nguyễn Bỉnh Khiêm, P.Xương Huân, TP.Nha Trang, T.Khánh Hòa</t>
  </si>
  <si>
    <t>Pyme Max</t>
  </si>
  <si>
    <t>Imi Max</t>
  </si>
  <si>
    <t>Chị Ngọc Hiền CTV</t>
  </si>
  <si>
    <t>0332716104</t>
  </si>
  <si>
    <t>Thôn Quảng An, xã Đạo Nghĩa, huyện Đăk R lắp, tỉnh Đăk Nông</t>
  </si>
  <si>
    <t>OMI BIO</t>
  </si>
  <si>
    <t>Thia Max</t>
  </si>
  <si>
    <t>578156209235724752</t>
  </si>
  <si>
    <t>Khách tiktok</t>
  </si>
  <si>
    <t>0977342479</t>
  </si>
  <si>
    <t>Quãng Ngãi</t>
  </si>
  <si>
    <t>J&amp;T</t>
  </si>
  <si>
    <t>Sodimi</t>
  </si>
  <si>
    <t>Anh Nhàn (bạn anh Nam)
Anh Ngô Nguyễn Kiếm Thiên</t>
  </si>
  <si>
    <t>0829926123</t>
  </si>
  <si>
    <t>ấp Thạnh Lợi ẤP Thạnh Lợi, X.Tân Phú Thạnh, H.Châu Thành A, T.Hậu Giang</t>
  </si>
  <si>
    <t>OMI ABA</t>
  </si>
  <si>
    <t>8/12/2023 gửi cho khách, khách CK 6/12</t>
  </si>
  <si>
    <t>Arido</t>
  </si>
  <si>
    <t>HUMAX</t>
  </si>
  <si>
    <t>Bám dính</t>
  </si>
  <si>
    <t>578162732715707097</t>
  </si>
  <si>
    <t>0847046536</t>
  </si>
  <si>
    <t>Đồng Tháp</t>
  </si>
  <si>
    <t>Max phos 570</t>
  </si>
  <si>
    <t>Ali Max</t>
  </si>
  <si>
    <t>578165946598918189</t>
  </si>
  <si>
    <t>0385257114</t>
  </si>
  <si>
    <t>Tiền Giang</t>
  </si>
  <si>
    <t>15-5-30</t>
  </si>
  <si>
    <t>578167103166974658</t>
  </si>
  <si>
    <t>0388802667</t>
  </si>
  <si>
    <t>Đak Lăk</t>
  </si>
  <si>
    <t>OMI Nitro-100ml</t>
  </si>
  <si>
    <t>15-30-15</t>
  </si>
  <si>
    <t>Anh Phan Văn Hải</t>
  </si>
  <si>
    <t>0978405181</t>
  </si>
  <si>
    <t>ấp Phú Tài, xã Hòa Hiệp, huyện Xuyên Mộc, tỉnh BRVT</t>
  </si>
  <si>
    <t>20-20-20</t>
  </si>
  <si>
    <t>Amino plus</t>
  </si>
  <si>
    <t>578170152052427547</t>
  </si>
  <si>
    <t>0376404431</t>
  </si>
  <si>
    <t>Lâm Đồng</t>
  </si>
  <si>
    <t>Canxi bo</t>
  </si>
  <si>
    <t>Anh Hướng</t>
  </si>
  <si>
    <t>0979301468</t>
  </si>
  <si>
    <t>xã Cư Drăm, huyện Krông Bông, tỉnh Đắk Lắk</t>
  </si>
  <si>
    <t>Combi plus</t>
  </si>
  <si>
    <t>Anh Phạm Thành Nguyên</t>
  </si>
  <si>
    <t>0868479647</t>
  </si>
  <si>
    <t>Thôn 3, xã Ea Kly, huyện Krông Pắk, tỉnh Đắk Lắk</t>
  </si>
  <si>
    <t>Humax</t>
  </si>
  <si>
    <t>Mon Bo</t>
  </si>
  <si>
    <t>578173594875890172</t>
  </si>
  <si>
    <t>0905936290</t>
  </si>
  <si>
    <t xml:space="preserve">MKP </t>
  </si>
  <si>
    <t>578173680036514300</t>
  </si>
  <si>
    <t>Siêu Lân 86</t>
  </si>
  <si>
    <t>578173695495604732</t>
  </si>
  <si>
    <t>Super Organic</t>
  </si>
  <si>
    <t>578175204522559580</t>
  </si>
  <si>
    <t>0977211494</t>
  </si>
  <si>
    <t>Hậu Giang</t>
  </si>
  <si>
    <t>Cibi Max</t>
  </si>
  <si>
    <t>Anh Tuấn (Tuan Pham)</t>
  </si>
  <si>
    <t>0933667057</t>
  </si>
  <si>
    <t>số nhà 26, thôn 4, xã Hoà Trung , huyện Di Linh, tỉnh Lâm Đồng</t>
  </si>
  <si>
    <t>Tama Max</t>
  </si>
  <si>
    <t>Anh Linh</t>
  </si>
  <si>
    <t>0976636377</t>
  </si>
  <si>
    <t>OMI Lado</t>
  </si>
  <si>
    <t>Trichoderma super</t>
  </si>
  <si>
    <t>Anh Tuấn</t>
  </si>
  <si>
    <t>0346708819</t>
  </si>
  <si>
    <t>Utra Keo</t>
  </si>
  <si>
    <t>23120134E26446</t>
  </si>
  <si>
    <t>Khách shopee</t>
  </si>
  <si>
    <t>Bình Phước</t>
  </si>
  <si>
    <t>SPX</t>
  </si>
  <si>
    <t>Omi Bacter</t>
  </si>
  <si>
    <t>OMI CABO</t>
  </si>
  <si>
    <t>Omi Baso</t>
  </si>
  <si>
    <t>Omi Bio</t>
  </si>
  <si>
    <t>Omi Bo</t>
  </si>
  <si>
    <t>Anh Minh</t>
  </si>
  <si>
    <t>0943026025</t>
  </si>
  <si>
    <t>515/20/11 Hà Huy Tập, phường Tân Lợi, tp Buôn Mê Thuộc, tỉnh Đăk Lăk</t>
  </si>
  <si>
    <t>Omi Cabo</t>
  </si>
  <si>
    <t>578176217369971614</t>
  </si>
  <si>
    <t>0389967052</t>
  </si>
  <si>
    <t>An Giang</t>
  </si>
  <si>
    <t>Omi Detox</t>
  </si>
  <si>
    <t>Số nhà 26, thôn 4, xã Hòa Trung, huyện Di Linh, tỉnh Lâm Đồng</t>
  </si>
  <si>
    <t>Omi Fungi</t>
  </si>
  <si>
    <t>Anh Nguyễn Thành An</t>
  </si>
  <si>
    <t>0962699589</t>
  </si>
  <si>
    <t>ấp Vàm An, xã Quới An, huyện Vũng Liêm, tỉnh Vĩnh Long</t>
  </si>
  <si>
    <t>Omi Haka</t>
  </si>
  <si>
    <t>2312037TCM4KX5</t>
  </si>
  <si>
    <t>BRVT</t>
  </si>
  <si>
    <t>Omi Mega</t>
  </si>
  <si>
    <t>2312037SXNTRM4</t>
  </si>
  <si>
    <t>OMI BASO</t>
  </si>
  <si>
    <t>Omi Nitro</t>
  </si>
  <si>
    <t>2312037Q1AX870</t>
  </si>
  <si>
    <t>OMI Haka</t>
  </si>
  <si>
    <t>Omi Pika</t>
  </si>
  <si>
    <t>578181525881785023</t>
  </si>
  <si>
    <t>0988510614</t>
  </si>
  <si>
    <t>Omi Oxy</t>
  </si>
  <si>
    <t>578181529738447551</t>
  </si>
  <si>
    <t>Omi Nitro-100ml</t>
  </si>
  <si>
    <t>578182698540173667</t>
  </si>
  <si>
    <t xml:space="preserve"> 0984912340</t>
  </si>
  <si>
    <t>Bình Dương</t>
  </si>
  <si>
    <t>Omi Detox 100ml</t>
  </si>
  <si>
    <t>Anh Hưng</t>
  </si>
  <si>
    <t>0354783782</t>
  </si>
  <si>
    <t>Ấp Mỹ tường B, xã Hậu Mỹ Trinh, huyện Cái Bè, tỉnh Tiền Giang</t>
  </si>
  <si>
    <t>Omi Aba</t>
  </si>
  <si>
    <t>Anh Y Kiên Niê</t>
  </si>
  <si>
    <t>0867004753</t>
  </si>
  <si>
    <t xml:space="preserve">buôn xóm A, xã Cư Pơng, huyện Krông Búk, tỉnh Đắk Lắk </t>
  </si>
  <si>
    <t>OMI PIKA</t>
  </si>
  <si>
    <t>Omi Lado</t>
  </si>
  <si>
    <t>Anh Mai Xuân Tính</t>
  </si>
  <si>
    <t>0345948178</t>
  </si>
  <si>
    <t>Thôn Tân Đức, xã EaKênh, huyện Krông Păk, tỉnh Đăk Lăk</t>
  </si>
  <si>
    <t>Omi Gama</t>
  </si>
  <si>
    <t>Anh Nguyễn Trọng Vũ</t>
  </si>
  <si>
    <t>0943899123</t>
  </si>
  <si>
    <t>149, thôn Hiệp Hưng, xã Quảng Hiệp, huyện Cư M'gar, tỉnh Đak Lăk</t>
  </si>
  <si>
    <t>OMI Humic</t>
  </si>
  <si>
    <t>Anh Phạm Tấn Đạt</t>
  </si>
  <si>
    <t>0388876884</t>
  </si>
  <si>
    <t>Ấp 3 xã Mỹ hiệp huyện Cao lãnh tỉnh Đồng Tháp</t>
  </si>
  <si>
    <t>LMP0231022282VNA</t>
  </si>
  <si>
    <t>Khách lazada</t>
  </si>
  <si>
    <t>Cần Thơ</t>
  </si>
  <si>
    <t>578185773796526641</t>
  </si>
  <si>
    <t>0343636046</t>
  </si>
  <si>
    <t>578186333137963998</t>
  </si>
  <si>
    <t>0913699033</t>
  </si>
  <si>
    <t>Cà Mau</t>
  </si>
  <si>
    <t>Anh Hồ Quốc An</t>
  </si>
  <si>
    <t>0988405980</t>
  </si>
  <si>
    <t>Khóm Hoà Long 4, TT.An Châu, H.Châu Thành, T.An Giang</t>
  </si>
  <si>
    <t>Anh Tam Tan (fb)</t>
  </si>
  <si>
    <t>xóm 4, thôn 13, xã EaKhal, huyện EaHleo, tỉnh Đak Lăk</t>
  </si>
  <si>
    <t>578189777557555294</t>
  </si>
  <si>
    <t>0968756828</t>
  </si>
  <si>
    <t>Đồng Nai</t>
  </si>
  <si>
    <t>Anh Triệu Hoàng</t>
  </si>
  <si>
    <t>0343000825</t>
  </si>
  <si>
    <t>tổ 6, ấp Cam Tiên, xã Nhân Nghĩa, huyện Cẩm Mỹ, tỉnh Đồng Nai</t>
  </si>
  <si>
    <t>578191980525357255</t>
  </si>
  <si>
    <t>0345887856</t>
  </si>
  <si>
    <t>578192647409535854</t>
  </si>
  <si>
    <t>0983521284</t>
  </si>
  <si>
    <t>hoàn đơn</t>
  </si>
  <si>
    <t>578194229787986136</t>
  </si>
  <si>
    <t xml:space="preserve"> 0708765567</t>
  </si>
  <si>
    <t>578194364398472046</t>
  </si>
  <si>
    <t>0938204265</t>
  </si>
  <si>
    <t>Anh Vũ Đình Tính</t>
  </si>
  <si>
    <t>0969473799</t>
  </si>
  <si>
    <t>Thôn 3, xã La Dạ, huyện Hàm Thuận Bắc, tỉnh Bình Thuận</t>
  </si>
  <si>
    <t>Anh Lê Đức Thắng</t>
  </si>
  <si>
    <t>0912111012</t>
  </si>
  <si>
    <t>Trà Sữa Hiện Đại Thảo Kute, ấp 1, xã Bàu Cạn, huyện Long Thành, tỉnh Đồng Nai</t>
  </si>
  <si>
    <t>578196953741560126</t>
  </si>
  <si>
    <t>Khách tiktok (Lâm Thành Long)</t>
  </si>
  <si>
    <t>0348320343</t>
  </si>
  <si>
    <t>J&amp;T, khách CK 150.000</t>
  </si>
  <si>
    <t>Chị Mỹ Thuận</t>
  </si>
  <si>
    <t>0981938592</t>
  </si>
  <si>
    <t>Số nhà 24 hẻm 46 đường Đồng Mĩ Ấp 7, X.Bàu Đồn, H.Gò Dầu, T.Tây Ninh</t>
  </si>
  <si>
    <t>Anh Miyô</t>
  </si>
  <si>
    <t>0342491759</t>
  </si>
  <si>
    <t>Buôn sah A , xã Ea tul, huyện Cư M'gar, tỉnh Đak Lăk</t>
  </si>
  <si>
    <t>578200014174260077</t>
  </si>
  <si>
    <t>0973763403</t>
  </si>
  <si>
    <t>0889213928</t>
  </si>
  <si>
    <t>Buôn Kiều, xã Yang Mao, huyện Krông Bông, tỉnh Đak Lăk</t>
  </si>
  <si>
    <t>Anh Lê Khắc Nam</t>
  </si>
  <si>
    <t>0975197011</t>
  </si>
  <si>
    <t>Thôn Bình Thọ, xã Nghĩa Bình, huyện Bù Đăng, tỉnh Bình Phước</t>
  </si>
  <si>
    <t>Gửi bù đơn 30/11 do chai bị lỗi nước bị cô đặc</t>
  </si>
  <si>
    <t>578206198581332957</t>
  </si>
  <si>
    <t>0912202196</t>
  </si>
  <si>
    <t>Hà Nam</t>
  </si>
  <si>
    <t>578205363710167835</t>
  </si>
  <si>
    <t>0375779941</t>
  </si>
  <si>
    <t>578204967941999004</t>
  </si>
  <si>
    <t>0386394459</t>
  </si>
  <si>
    <t>578204791392209541</t>
  </si>
  <si>
    <t>0359351020</t>
  </si>
  <si>
    <t>578204791122725509</t>
  </si>
  <si>
    <t>231210SKKYNF1B</t>
  </si>
  <si>
    <t>VN Post</t>
  </si>
  <si>
    <t>Anh Trường Chinh CTV</t>
  </si>
  <si>
    <t>0967686596</t>
  </si>
  <si>
    <t>xóm chùa A, Văn Quán Văn Khê, Mê Linh, Hà Nội</t>
  </si>
  <si>
    <t>Chị Đinh Thị Nhung (Khách chị Hiền CTV)</t>
  </si>
  <si>
    <t>thôn Quảng Lộc, xã Đạo Nghĩa, Huyện Đakr'lấp, tỉnh Đăk Nông</t>
  </si>
  <si>
    <t>Anh Nguyễn An</t>
  </si>
  <si>
    <t>0977747099</t>
  </si>
  <si>
    <t>Quán cơm chị gấu ,Thôn Đồng Tháp, xã Phước Tân, huyện Phú Riềng, tỉnh Bình Phước</t>
  </si>
  <si>
    <t>OMI Bo</t>
  </si>
  <si>
    <t>Anh Duy (Khách chị Hiền CTV)</t>
  </si>
  <si>
    <t>0868022088</t>
  </si>
  <si>
    <t>UBND xã Đạo Nghĩa, huyện Dak Rlap, tỉnh Đak Nông</t>
  </si>
  <si>
    <t>Chị Dung (Khách chị Hiền CTV)</t>
  </si>
  <si>
    <t>0385011289</t>
  </si>
  <si>
    <t>ngân hàng Agribank, xã Nghĩa Thắng, huyện Dak Rlap, tỉnh Đak Nông</t>
  </si>
  <si>
    <t>578211753091631117</t>
  </si>
  <si>
    <t>0339991416</t>
  </si>
  <si>
    <t>578211383049685619</t>
  </si>
  <si>
    <t>0385407364</t>
  </si>
  <si>
    <t>Cô Huệ</t>
  </si>
  <si>
    <t>0332895387</t>
  </si>
  <si>
    <t>thôn Quảng An, xã Đạo Nghĩa, Huyện Đakr'lấp, tỉnh Đăk Nông</t>
  </si>
  <si>
    <t>BESTMP0034923022VNA</t>
  </si>
  <si>
    <t>0363185288</t>
  </si>
  <si>
    <t>LEX</t>
  </si>
  <si>
    <t>Anh Đoàn Lộc</t>
  </si>
  <si>
    <t>0917628098</t>
  </si>
  <si>
    <t>thôn Lộc Tân, xã Phú Lộc, huyện Krông Năng, tỉnh Đak Lăk</t>
  </si>
  <si>
    <t>2312137411YSQ</t>
  </si>
  <si>
    <t>Bình Thuận</t>
  </si>
  <si>
    <t>578226747758774640</t>
  </si>
  <si>
    <t>Khách titkok</t>
  </si>
  <si>
    <t>0365118548</t>
  </si>
  <si>
    <t>Anh Mạnh Tiến</t>
  </si>
  <si>
    <t>0987746410</t>
  </si>
  <si>
    <t>thôn 6, xã Minh Hưng, huyện Bù Đăng, tỉnh Bình Phước</t>
  </si>
  <si>
    <t>578228087502309552</t>
  </si>
  <si>
    <t>0979423639</t>
  </si>
  <si>
    <t>231214771P8C99</t>
  </si>
  <si>
    <t>Gia Lai</t>
  </si>
  <si>
    <t>LPM0233439707VNA</t>
  </si>
  <si>
    <t>0888411884</t>
  </si>
  <si>
    <t>Anh Trường Đinh Huyen</t>
  </si>
  <si>
    <t>0373320920</t>
  </si>
  <si>
    <t>xã Bình Thuận, TX Buôn Hồ, tỉnh Đak Lak</t>
  </si>
  <si>
    <t>Anh Mr Vương Tèo</t>
  </si>
  <si>
    <t>0814326898</t>
  </si>
  <si>
    <t>thôn Bãi Giếng 2, xã Cam Hải Tây, huyện Cam Lâm, tỉnh Khánh Hoà</t>
  </si>
  <si>
    <t>OMI BACTER</t>
  </si>
  <si>
    <t>Thôn 7, xã Earal, huyện Eahleo, tỉnh Đak Lăk</t>
  </si>
  <si>
    <t>số nhà 26, thôn 4, xã Hoà Trung, huyện Di Linh, tỉnh Lâm Đồng</t>
  </si>
  <si>
    <t>2312159SYRPBD8</t>
  </si>
  <si>
    <t>Anh Phan Hoài Thương</t>
  </si>
  <si>
    <t>0973027647</t>
  </si>
  <si>
    <t>Buôn Pan, xã Ea Yông, huyện Krông Pắk, tỉnh Đăk Lăk</t>
  </si>
  <si>
    <t>Anh Key Jun</t>
  </si>
  <si>
    <t>0384382199</t>
  </si>
  <si>
    <t>Buôn Tah, xã Ea Drơng, huyện Cư M’gar, tỉnh Đăk Lăk</t>
  </si>
  <si>
    <t>Anh Lợi</t>
  </si>
  <si>
    <t>0939816627</t>
  </si>
  <si>
    <t>ấp Hòa Lộc 2, xã Xuân Hòa, huyện Kế Sách, tỉnh Sóc Trăng</t>
  </si>
  <si>
    <t>Anh Trần Hưng</t>
  </si>
  <si>
    <t>0978578730</t>
  </si>
  <si>
    <t>xã Trường Xuân, huyện Đăk Song, tỉnh Đăk Nông</t>
  </si>
  <si>
    <t>Anh Nguyễn Văn Trân</t>
  </si>
  <si>
    <t>0982625757</t>
  </si>
  <si>
    <t>số 25 tổ 8, ấp Ninh Hưng 1, xã Chà Là, huyện Dương Minh Châu, tỉnh Tây Ninh</t>
  </si>
  <si>
    <t>Anh Thanh Bình</t>
  </si>
  <si>
    <t>0917993339</t>
  </si>
  <si>
    <t>Vựa trái cây Thanh Bình, ấp 1, xã Mỹ Hiệp, huyện Cao Lãnh, tỉnh Đồng Tháp</t>
  </si>
  <si>
    <t>Anh Nguyễn Hữu Hùng</t>
  </si>
  <si>
    <t>0963143882</t>
  </si>
  <si>
    <t>thôn 17, xã EaNing, huyện Cư kuin, tỉnh Đắk Lăk</t>
  </si>
  <si>
    <t>Anh Khánh An</t>
  </si>
  <si>
    <t>0335483951</t>
  </si>
  <si>
    <t>số nhà 39, tổ 2, ấp Tân Xuân Bảo Bình, huyện Cẩm Mỹ, tỉnh Đồng Nai</t>
  </si>
  <si>
    <t>578243777434912769</t>
  </si>
  <si>
    <t>0987432732</t>
  </si>
  <si>
    <t>578240699377224086</t>
  </si>
  <si>
    <t>0917400410</t>
  </si>
  <si>
    <t>578237904256928575</t>
  </si>
  <si>
    <t>0376273826</t>
  </si>
  <si>
    <t>Thôn Quảng An, X.Đạo Nghĩa, H.Đắk Rlấp, T.Đăk Nông</t>
  </si>
  <si>
    <t>OMI LADO</t>
  </si>
  <si>
    <t>Anh Phạm Minh Nam</t>
  </si>
  <si>
    <t>0392044455</t>
  </si>
  <si>
    <t>Nhà số 9, thôn Bình Đức 2, xã Đức Hạnh, huyện Bù Gia Mập, tỉnh Bình Phước</t>
  </si>
  <si>
    <t>578248983650273295</t>
  </si>
  <si>
    <t>0943763544</t>
  </si>
  <si>
    <t>578248247488514690</t>
  </si>
  <si>
    <t>0912802769</t>
  </si>
  <si>
    <t>578250359785228642</t>
  </si>
  <si>
    <t>0848181898</t>
  </si>
  <si>
    <t>578251812519708852</t>
  </si>
  <si>
    <t>0796950707</t>
  </si>
  <si>
    <t>Anh Nguyễn Chí Công</t>
  </si>
  <si>
    <t>0702572828</t>
  </si>
  <si>
    <t>Hẻm 359, P.An Hoà, Q.Ninh Kiều, TP.Cần Thơ</t>
  </si>
  <si>
    <t>578258365899180980</t>
  </si>
  <si>
    <t>0375072992</t>
  </si>
  <si>
    <t>Thôn 6, X.Minh Hưng, H.Bù Đăng, T.Bình Phước</t>
  </si>
  <si>
    <t>578263573800258162</t>
  </si>
  <si>
    <t>0987305530</t>
  </si>
  <si>
    <t>Anh Hoàn Văn Nông</t>
  </si>
  <si>
    <t>0397156603</t>
  </si>
  <si>
    <t xml:space="preserve"> </t>
  </si>
  <si>
    <t>Anh Nguyễn Tri Phương</t>
  </si>
  <si>
    <t>0919066499</t>
  </si>
  <si>
    <t>Tổ 3, khu phố 2, TT Madagui, huyện Dạ Huoai, tỉnh Lâm Đồng</t>
  </si>
  <si>
    <t>Anh Quang</t>
  </si>
  <si>
    <t>0961074403</t>
  </si>
  <si>
    <t>thôn Eale, xã Dli Êya, huyện Krông Năng, tỉnh Đăk Lăk</t>
  </si>
  <si>
    <t>231221S18KKWM3</t>
  </si>
  <si>
    <t>Khách shoppe</t>
  </si>
  <si>
    <t/>
  </si>
  <si>
    <t>Chị Hằng</t>
  </si>
  <si>
    <t>0375795147</t>
  </si>
  <si>
    <t>Trại cây giống Tám Tiễn, đường Bà Xá, thôn 2, X.Nghĩa Trung, H.Bù Đăng, T.Bình Phước</t>
  </si>
  <si>
    <t>Gửi hàng mẫu</t>
  </si>
  <si>
    <t>1737641577519</t>
  </si>
  <si>
    <t>Xóm chùa A, Văn Quán Văn Khê, Mê Linh, Hà Nội</t>
  </si>
  <si>
    <t>Anh Minh CTV</t>
  </si>
  <si>
    <t>0356495949</t>
  </si>
  <si>
    <t>Ấp Nhơn Hoà, X.Nhơn Nghĩa A, H.Châu Thành A, T.Hậu Giang</t>
  </si>
  <si>
    <t>Chị Hạnh</t>
  </si>
  <si>
    <t>0393609747</t>
  </si>
  <si>
    <t>Cửa hàng xa máy Nam Anh 6, Quốc lộ 1, khu phố 1, phường 4, thị xã Cai Lậy, Tiền Giang</t>
  </si>
  <si>
    <t>Anh Lê Ngọc Giàu</t>
  </si>
  <si>
    <t>0387518569</t>
  </si>
  <si>
    <t>Số nhà 43 đường 42 thôn 8, X.Đa Kai, H.Đức Linh, T.Bình Thuận</t>
  </si>
  <si>
    <t>578271401085340194</t>
  </si>
  <si>
    <t>0364677163</t>
  </si>
  <si>
    <t>Anh Lâm</t>
  </si>
  <si>
    <t>0944994045</t>
  </si>
  <si>
    <t>48/14 Đ.Lê Duẩn, P.An Lạc, TX.Buôn Hồ, T.Đăk Lăk</t>
  </si>
  <si>
    <t>578278097068853348</t>
  </si>
  <si>
    <t>0963743382</t>
  </si>
  <si>
    <t>Anh Bình (khách chị Hiền CTV)</t>
  </si>
  <si>
    <t>0986781104</t>
  </si>
  <si>
    <t>Ngã 3 Hố Chúi, xã Nghĩa Thắng, huyện Dak Rlap, tỉnh Dak Nông</t>
  </si>
  <si>
    <t>OMI BO</t>
  </si>
  <si>
    <t>OMI HAKA</t>
  </si>
  <si>
    <t xml:space="preserve">TỔNG CỘNG </t>
  </si>
  <si>
    <t>TIỀN HÀNG KARIMON</t>
  </si>
  <si>
    <t>DOANH SỐ THÁNG OMI</t>
  </si>
  <si>
    <t>PHÍ VẬN CHUYỂN - CTY TRẢ</t>
  </si>
  <si>
    <t>TỔNG TIỀN GIẢM</t>
  </si>
  <si>
    <t>TỔNG HỢP DOANH SỐ THÁNG</t>
  </si>
  <si>
    <t>*TÌNH HÌNH THANH TOÁN</t>
  </si>
  <si>
    <t>Nhóm</t>
  </si>
  <si>
    <t>Tên sản phẩm</t>
  </si>
  <si>
    <t>Số lượng bán</t>
  </si>
  <si>
    <t>Hàng hư bù khách</t>
  </si>
  <si>
    <t>Hàng hóa hoàn</t>
  </si>
  <si>
    <t>TỔNG SL</t>
  </si>
  <si>
    <t xml:space="preserve">Đơn Giá </t>
  </si>
  <si>
    <t>Thành tiền</t>
  </si>
  <si>
    <t>SL TẶNG</t>
  </si>
  <si>
    <t>Ngày chuyển</t>
  </si>
  <si>
    <t>Tiền hàng Tháng 11</t>
  </si>
  <si>
    <t>Tiền hàng Tháng 12</t>
  </si>
  <si>
    <t>Phí ship 
Tháng 11</t>
  </si>
  <si>
    <t>Phí ship 
Tháng 12</t>
  </si>
  <si>
    <t>Thực chuyển</t>
  </si>
  <si>
    <t>Ghi chú</t>
  </si>
  <si>
    <t>OMI</t>
  </si>
  <si>
    <t>Chị Linh CK</t>
  </si>
  <si>
    <t>CK Lazada</t>
  </si>
  <si>
    <t>CK Tiktok</t>
  </si>
  <si>
    <t>Anh Nhàn CK</t>
  </si>
  <si>
    <t>Omi Detox-100ml</t>
  </si>
  <si>
    <t>khách tiktok CK</t>
  </si>
  <si>
    <t>Omi Humic</t>
  </si>
  <si>
    <t>Karimon</t>
  </si>
  <si>
    <t>CK Shopee</t>
  </si>
  <si>
    <t>Hằng CK</t>
  </si>
  <si>
    <t>Tổng cộng</t>
  </si>
  <si>
    <t>TIỀN HÀNG OMI</t>
  </si>
  <si>
    <t>DOANH SỐ THÁNG</t>
  </si>
  <si>
    <t>TỔNG CỘNG</t>
  </si>
  <si>
    <t>DS tháng trước</t>
  </si>
  <si>
    <t xml:space="preserve">             TIỀN PHẢI THU SAU GIẢM GIÁ</t>
  </si>
  <si>
    <t>DS tháng này</t>
  </si>
  <si>
    <t xml:space="preserve">ĐÃ THANH TOÁN </t>
  </si>
  <si>
    <t>TIỀN HÀNG CÒN NỢ</t>
  </si>
  <si>
    <t>TỔNG TIỀN SHIP</t>
  </si>
  <si>
    <t>Tiền ship đã trừ</t>
  </si>
  <si>
    <t>TIỀN SHIP CÒN NỢ</t>
  </si>
  <si>
    <t>* GHI CHÚ: HOÀN ĐƠN &amp; PHÍ NHÂN VIÊN CHỊU</t>
  </si>
  <si>
    <t>THÁNG</t>
  </si>
  <si>
    <t>NGÀY GỬI</t>
  </si>
  <si>
    <t>MVĐ</t>
  </si>
  <si>
    <t>TÊN KH</t>
  </si>
  <si>
    <t>ĐỊA CHỈ</t>
  </si>
  <si>
    <t>ĐƠN GIÁ</t>
  </si>
  <si>
    <t>THÀNH TIỀN</t>
  </si>
  <si>
    <t>ĐÃ TRẢ HÀNG</t>
  </si>
  <si>
    <t>GHI CHÚ</t>
  </si>
  <si>
    <t>Anh Nguyên CTV</t>
  </si>
  <si>
    <t>0978666558</t>
  </si>
  <si>
    <t>xã Ia Blang, huyện Chư Sê, tỉnh Gia Lai</t>
  </si>
  <si>
    <t>X</t>
  </si>
  <si>
    <t>Khách từ chối nhận</t>
  </si>
  <si>
    <r>
      <rPr>
        <rFont val="Times New Roman"/>
        <b/>
        <color theme="1"/>
        <sz val="13.0"/>
      </rPr>
      <t xml:space="preserve">TRẠNG THÁI
</t>
    </r>
    <r>
      <rPr>
        <rFont val="Times New Roman"/>
        <b/>
        <i/>
        <color theme="1"/>
        <sz val="13.0"/>
      </rPr>
      <t>Đã trừ: x</t>
    </r>
  </si>
  <si>
    <t>Anh Lưu Văn Nghĩa</t>
  </si>
  <si>
    <t>0976516106</t>
  </si>
  <si>
    <t>115 Thôn 9, X.Đinh Trang Hoà, H.Di Linh, T.Lâm Ðồng</t>
  </si>
  <si>
    <t>Đã giao</t>
  </si>
  <si>
    <t>578056533679639472</t>
  </si>
  <si>
    <t>0908792673</t>
  </si>
  <si>
    <t>578059375757330746</t>
  </si>
  <si>
    <t>Anh Thá Buồn</t>
  </si>
  <si>
    <t>0987168148</t>
  </si>
  <si>
    <t>Thôn Bình Trung, X.Phước Tân, H.Phú Riềng, T.Bình Phước</t>
  </si>
  <si>
    <t>OMI Detox-100ml</t>
  </si>
  <si>
    <t>OMI Bio-100ml</t>
  </si>
  <si>
    <t>578060559929018410</t>
  </si>
  <si>
    <t>Khách tiktotk</t>
  </si>
  <si>
    <t>0338787343</t>
  </si>
  <si>
    <t>Long An</t>
  </si>
  <si>
    <t>578061682087660468</t>
  </si>
  <si>
    <t>0961777449</t>
  </si>
  <si>
    <t>Tây Ninh</t>
  </si>
  <si>
    <t>578061887484562343</t>
  </si>
  <si>
    <t>0397494727</t>
  </si>
  <si>
    <t>Khánh Hòa</t>
  </si>
  <si>
    <t>578065005533759824</t>
  </si>
  <si>
    <t>0979947650</t>
  </si>
  <si>
    <t>578062948165716070</t>
  </si>
  <si>
    <t>0965716565</t>
  </si>
  <si>
    <t>BR-VT</t>
  </si>
  <si>
    <t>Anh Lê Quốc Tuấn</t>
  </si>
  <si>
    <t>0825303035</t>
  </si>
  <si>
    <t>ngã 3, X.Cuor Đăng, H.Cư M'gak, T.Đăk Lăk</t>
  </si>
  <si>
    <t>THIA MAX</t>
  </si>
  <si>
    <t>AKAMI</t>
  </si>
  <si>
    <t>IMI MAX</t>
  </si>
  <si>
    <t>SODIMI</t>
  </si>
  <si>
    <t>Anh Trần Thanh Hòa</t>
  </si>
  <si>
    <t>0838479636</t>
  </si>
  <si>
    <t>ấp Hòa Điền, xã Hòa Khánh, huyện Cái Bè, tỉnh Tiền Giang</t>
  </si>
  <si>
    <t>LMP0224085427VNA</t>
  </si>
  <si>
    <t>0979734956</t>
  </si>
  <si>
    <t>HCM</t>
  </si>
  <si>
    <t>khách CK</t>
  </si>
  <si>
    <t>Feno Max</t>
  </si>
  <si>
    <t>Omi Bio-100ml</t>
  </si>
  <si>
    <t>ARIDO</t>
  </si>
  <si>
    <t>578066862763706383</t>
  </si>
  <si>
    <t xml:space="preserve"> 0385881655</t>
  </si>
  <si>
    <t>578068287252498774</t>
  </si>
  <si>
    <t>098252606</t>
  </si>
  <si>
    <t>578069636022044673</t>
  </si>
  <si>
    <t>0387738530</t>
  </si>
  <si>
    <t>Tổ 3 khu phố 2, TT.Ma Đa Guôi, H.Đạ Huoai, T.Lâm Ðồng</t>
  </si>
  <si>
    <t>578076251244628154</t>
  </si>
  <si>
    <t>0899220395</t>
  </si>
  <si>
    <t>578077880286218437</t>
  </si>
  <si>
    <t>0972774174</t>
  </si>
  <si>
    <t>578077966917077447</t>
  </si>
  <si>
    <t>0979723556</t>
  </si>
  <si>
    <t>AnhTrần Thanh Hòa</t>
  </si>
  <si>
    <t>578081775478081800</t>
  </si>
  <si>
    <t xml:space="preserve"> 0989107462</t>
  </si>
  <si>
    <t>578082894069467709</t>
  </si>
  <si>
    <t>0379813910</t>
  </si>
  <si>
    <t>578082959101626683</t>
  </si>
  <si>
    <t>0901852924</t>
  </si>
  <si>
    <t>Anh Hải</t>
  </si>
  <si>
    <t>0949999792     0978653560</t>
  </si>
  <si>
    <t>ẤP Hòa B, X.Hoà Lợi, H.Giồng Riềng, T.Kiên Giang</t>
  </si>
  <si>
    <t>Anh Phan Thanh Hoàng</t>
  </si>
  <si>
    <t>0393514324</t>
  </si>
  <si>
    <t>số nhà 117 KDC khu 3 khu phố Hiệp Lợi, TT.Định Quán, H.Định Quán, T.Đồng Nai</t>
  </si>
  <si>
    <t>OMI MEGA</t>
  </si>
  <si>
    <t>Anh Bùi Ngọc Chương</t>
  </si>
  <si>
    <t>0977007447</t>
  </si>
  <si>
    <t>40 Lê Duẩn TDP 8, P.An Lạc, TX.Buôn Hồ, T.Đăk Lăk</t>
  </si>
  <si>
    <t>578086216154778565</t>
  </si>
  <si>
    <t>0896722081</t>
  </si>
  <si>
    <t>Hà Nội</t>
  </si>
  <si>
    <t xml:space="preserve"> 0838479636</t>
  </si>
  <si>
    <t>231104QAMWB0EU</t>
  </si>
  <si>
    <t>EPX</t>
  </si>
  <si>
    <t>578092149051132674</t>
  </si>
  <si>
    <t>0911277995</t>
  </si>
  <si>
    <t>Sóc Trăng</t>
  </si>
  <si>
    <t>578093463533816125</t>
  </si>
  <si>
    <t>0812950458</t>
  </si>
  <si>
    <t xml:space="preserve">0978666558 </t>
  </si>
  <si>
    <t>Gửi bù 5 chai Nitro lấy lại 5 chai Bacter</t>
  </si>
  <si>
    <t>Anh Nguyễn Văn Mạnh</t>
  </si>
  <si>
    <t xml:space="preserve">0356384198 </t>
  </si>
  <si>
    <t>thôn Tân Tiến, xã Đạ Rsal, huyện Đam Rông, tỉnh Lâm Đồng</t>
  </si>
  <si>
    <t>Anh Trọng</t>
  </si>
  <si>
    <t>0919978669</t>
  </si>
  <si>
    <t>tổ 10, ấp Hoà Thành, Ngọc Định, Định Quán, Đồng Nai</t>
  </si>
  <si>
    <t>578093895438731987</t>
  </si>
  <si>
    <t>0879705877</t>
  </si>
  <si>
    <t>578094030467205553</t>
  </si>
  <si>
    <t>0335966574</t>
  </si>
  <si>
    <t>578094559690656144</t>
  </si>
  <si>
    <t>0989079032</t>
  </si>
  <si>
    <t>Kiên Giang</t>
  </si>
  <si>
    <t>578096125252307612</t>
  </si>
  <si>
    <t>0332363605</t>
  </si>
  <si>
    <t>Đak Nông</t>
  </si>
  <si>
    <t>Quán cơm chị gấu Thôn Đồng Tháp, X.Phước Tân, H.Phú Riềng, T.Bình Phước</t>
  </si>
  <si>
    <t>Anh Lê Bảo Tiến</t>
  </si>
  <si>
    <t>0974852011</t>
  </si>
  <si>
    <t>09 Kim Đồng, TT Tô Hạp, huyện Khánh Sơn, tỉnh Khánh Hòa</t>
  </si>
  <si>
    <t>Võ Thị Thu Hiếu</t>
  </si>
  <si>
    <t>0979016383</t>
  </si>
  <si>
    <t>Thôn Toàn Thắng, xã Hòa Đông, huyện KrôngPak, tỉnh Đắk Lắk</t>
  </si>
  <si>
    <t>578103407613545045</t>
  </si>
  <si>
    <t>0363236549</t>
  </si>
  <si>
    <t>Tiển Giang</t>
  </si>
  <si>
    <t>578103639082174615</t>
  </si>
  <si>
    <t>0336142097</t>
  </si>
  <si>
    <t>578106447794440394</t>
  </si>
  <si>
    <t>0377360143</t>
  </si>
  <si>
    <t>Anh Trần Văn Ký</t>
  </si>
  <si>
    <t>0972713791</t>
  </si>
  <si>
    <t>thôn 8 (thôn 13 cũ), xã Hòa Nam, huyện Di Linh, tỉnh Lâm Đồng</t>
  </si>
  <si>
    <t>578107859048040564</t>
  </si>
  <si>
    <t>0384533112</t>
  </si>
  <si>
    <t>578107563194616588</t>
  </si>
  <si>
    <t>0329154393</t>
  </si>
  <si>
    <t>578114785205914306</t>
  </si>
  <si>
    <t>0888778000</t>
  </si>
  <si>
    <t>Anh Duy Hùng</t>
  </si>
  <si>
    <t>0986699595</t>
  </si>
  <si>
    <t>Xã Dliê Ya , huyện Krông Năng, tỉnh Đắk Lắk</t>
  </si>
  <si>
    <t>578119758171965830</t>
  </si>
  <si>
    <t>0969281186</t>
  </si>
  <si>
    <t>Tuyên Quang</t>
  </si>
  <si>
    <t>Anh Tâm</t>
  </si>
  <si>
    <t>0342789970</t>
  </si>
  <si>
    <t>Kho J&amp;T trường tiểu học Nguyễn Thái Bình, Đường Hùng Vương, P.3, TX.Kiến Tường, T.Long An</t>
  </si>
  <si>
    <t>LMP0227254400VNA</t>
  </si>
  <si>
    <t>0931168178</t>
  </si>
  <si>
    <t>buôn xóm A, X.Cư Pơng, H.Krông Búk, T.Đăk Lăk</t>
  </si>
  <si>
    <t>578121936385116742</t>
  </si>
  <si>
    <t>0967953708</t>
  </si>
  <si>
    <t>Chú Chí</t>
  </si>
  <si>
    <t>0374099722</t>
  </si>
  <si>
    <t>Ấp 4, xã Mỹ Phú, huyện Thủ Thừa, tỉnh Long An</t>
  </si>
  <si>
    <t>578122648838834604</t>
  </si>
  <si>
    <t>0384977303</t>
  </si>
  <si>
    <t>Thôn 8 (thôn 13 cũ), xã Hoà Nam, huyện Di Linh, tỉnh Lâm Đồng</t>
  </si>
  <si>
    <t>578126609464462024</t>
  </si>
  <si>
    <t>0337033739</t>
  </si>
  <si>
    <t>578126741386595246</t>
  </si>
  <si>
    <t>0906025097</t>
  </si>
  <si>
    <t>Anh Dũng</t>
  </si>
  <si>
    <t>0976539795</t>
  </si>
  <si>
    <t>Thôn 1, X.Hưng Bình, H.Đắk Rlấp, T.Đăk Nông</t>
  </si>
  <si>
    <t>578128264342505885</t>
  </si>
  <si>
    <t>0764373452</t>
  </si>
  <si>
    <t>578130320315484884</t>
  </si>
  <si>
    <t>0335732590</t>
  </si>
  <si>
    <t>Anh Nam</t>
  </si>
  <si>
    <t>0941424288</t>
  </si>
  <si>
    <t>97, ấp Bình Hòa B, X.Tam Bình, H.Cai Lậy, T.Tiền Giang</t>
  </si>
  <si>
    <t>Anh Khoa</t>
  </si>
  <si>
    <t>0366354243</t>
  </si>
  <si>
    <t>Khu phố 2, X.Suối Đá, H.Dương Minh Châu, T.Tây Ninh</t>
  </si>
  <si>
    <t>578132625926491097</t>
  </si>
  <si>
    <t>0396789266</t>
  </si>
  <si>
    <t>LMP0228184955VNA</t>
  </si>
  <si>
    <t>0395454840</t>
  </si>
  <si>
    <t>Vĩnh Long</t>
  </si>
  <si>
    <t>LEX VN</t>
  </si>
  <si>
    <t>LMP0228185414VNA</t>
  </si>
  <si>
    <t>0585695644</t>
  </si>
  <si>
    <t>Anh Quốc Hương</t>
  </si>
  <si>
    <t>0868413623</t>
  </si>
  <si>
    <t>thôn 3, xã Nhân Cơ, huyện Đắk R'Lấp, tỉnh Đắk Nông</t>
  </si>
  <si>
    <t>Anh Minh Sang</t>
  </si>
  <si>
    <t>0398152113</t>
  </si>
  <si>
    <t>thôn Tân Giao, xã Láng Lớn, huyện Châu Đức, tỉnh BRVT</t>
  </si>
  <si>
    <t>578134507255401091</t>
  </si>
  <si>
    <t>0982775795</t>
  </si>
  <si>
    <t>578134711269624430</t>
  </si>
  <si>
    <t>0334306350</t>
  </si>
  <si>
    <t>578138239661869921</t>
  </si>
  <si>
    <t>0357786259</t>
  </si>
  <si>
    <t>578139543260924861</t>
  </si>
  <si>
    <t>0907959503</t>
  </si>
  <si>
    <t>23111934UP17PY</t>
  </si>
  <si>
    <t>578140864272435562</t>
  </si>
  <si>
    <t>0948657949</t>
  </si>
  <si>
    <t>578142909606299898</t>
  </si>
  <si>
    <t>0986488812</t>
  </si>
  <si>
    <t>Thực tế thu thêm 440.000đ do khách bán được 2 chai OMI Bacter (nhờ khách gửi lại 3 chai)</t>
  </si>
  <si>
    <t>Ấp Nhơn Hòa, xã Nhơn Nghĩa, huyện Châu Thành A, tỉnh Hậu Giang</t>
  </si>
  <si>
    <t>578143446730967487</t>
  </si>
  <si>
    <t>0903611790</t>
  </si>
  <si>
    <t>578144938005662069</t>
  </si>
  <si>
    <t>0967618874</t>
  </si>
  <si>
    <t>LMP0228768750VNA</t>
  </si>
  <si>
    <t>0977014479</t>
  </si>
  <si>
    <t>Chị Ngọc Hiền</t>
  </si>
  <si>
    <t>Hỗ trợ sản phẩm làm Maketing phun dưỡng 1 cơi đọt (không thu phí)</t>
  </si>
  <si>
    <t>Anh Võ Văn Hoàng</t>
  </si>
  <si>
    <t>0792620370</t>
  </si>
  <si>
    <t>số nhà 112 ấp 57, X.Xuân Quế, H.Cẩm Mỹ, T.Đồng Nai</t>
  </si>
  <si>
    <t>231123D1MD66C4</t>
  </si>
  <si>
    <t>231124DASVWTJY</t>
  </si>
  <si>
    <t>Gửi cho khách phun giải độc cây do bị quéo lá - không thu phí</t>
  </si>
  <si>
    <t>0334031518</t>
  </si>
  <si>
    <t>Ông Hưng, Cái Bè, Tiền Giang</t>
  </si>
  <si>
    <t>khách ghé văn phòng mua</t>
  </si>
  <si>
    <t>578155245869500598</t>
  </si>
  <si>
    <t>0988737682</t>
  </si>
  <si>
    <t>Tiền hàng Tháng 10</t>
  </si>
  <si>
    <t>Phí ship 
Tháng 10</t>
  </si>
  <si>
    <t>CK tiktok</t>
  </si>
  <si>
    <t>CK shopee</t>
  </si>
  <si>
    <t>Anh Tuấn CK</t>
  </si>
  <si>
    <t>578042157054724568</t>
  </si>
  <si>
    <t>0982228917</t>
  </si>
  <si>
    <t>hoàn đơn, khách từ chối nhận</t>
  </si>
  <si>
    <t xml:space="preserve">Địa chỉ </t>
  </si>
  <si>
    <r>
      <rPr>
        <rFont val="Times New Roman"/>
        <b/>
        <color theme="1"/>
        <sz val="13.0"/>
      </rPr>
      <t xml:space="preserve">TRẠNG THÁI
</t>
    </r>
    <r>
      <rPr>
        <rFont val="Times New Roman"/>
        <b/>
        <i/>
        <color theme="1"/>
        <sz val="13.0"/>
      </rPr>
      <t>Đã trừ: x</t>
    </r>
  </si>
  <si>
    <t>Anh Kim</t>
  </si>
  <si>
    <t>0384918218</t>
  </si>
  <si>
    <t>Làng Rkhương-tleo, Xã K-Dang, Huyện Đak Đoa, Tỉnh Gia Lai</t>
  </si>
  <si>
    <t>577944441186061179</t>
  </si>
  <si>
    <t>0704542449</t>
  </si>
  <si>
    <t>577945127940164273</t>
  </si>
  <si>
    <t>0334622942</t>
  </si>
  <si>
    <t>577945447708788860</t>
  </si>
  <si>
    <t>0939508278</t>
  </si>
  <si>
    <t>577945492736936475</t>
  </si>
  <si>
    <t xml:space="preserve"> 0901676794</t>
  </si>
  <si>
    <t>577948742328223846</t>
  </si>
  <si>
    <t>Meta plus</t>
  </si>
  <si>
    <t>577948819608275494</t>
  </si>
  <si>
    <t>0345554705</t>
  </si>
  <si>
    <t>577951422843620131</t>
  </si>
  <si>
    <t>0828107710</t>
  </si>
  <si>
    <t>Taro plus</t>
  </si>
  <si>
    <t>577953625261378385</t>
  </si>
  <si>
    <t>0898821690</t>
  </si>
  <si>
    <t>577954498597259695</t>
  </si>
  <si>
    <t>0393660839</t>
  </si>
  <si>
    <t>577955140393667404</t>
  </si>
  <si>
    <t>0901248682</t>
  </si>
  <si>
    <t>577955169397476009</t>
  </si>
  <si>
    <t>0794342262</t>
  </si>
  <si>
    <t>577956264005372641</t>
  </si>
  <si>
    <t>0392501629</t>
  </si>
  <si>
    <t>577956843938875557</t>
  </si>
  <si>
    <t>0362229952</t>
  </si>
  <si>
    <t>577957730372717388</t>
  </si>
  <si>
    <t>577961260946262929</t>
  </si>
  <si>
    <t>0987735747</t>
  </si>
  <si>
    <t>577962255803059108</t>
  </si>
  <si>
    <t>0937500887</t>
  </si>
  <si>
    <t>#230929KSBEVTGE</t>
  </si>
  <si>
    <t>SPX Express</t>
  </si>
  <si>
    <t>3230930NT35H3UF</t>
  </si>
  <si>
    <t>577966179450325655</t>
  </si>
  <si>
    <t>0374463497</t>
  </si>
  <si>
    <t>Ninh Thuận</t>
  </si>
  <si>
    <t>577966665848621417</t>
  </si>
  <si>
    <t>0362288777</t>
  </si>
  <si>
    <t>577969029103979497</t>
  </si>
  <si>
    <t>0889309148</t>
  </si>
  <si>
    <t>0706736217</t>
  </si>
  <si>
    <t>Ấp Nhơn Bình, xã Nhơn Ái, huyện Phong Điền, tỉnh Cần Thơ</t>
  </si>
  <si>
    <t>Anh Nguyễn Trường Hải</t>
  </si>
  <si>
    <t>0938935544</t>
  </si>
  <si>
    <t>Công ty Cổ phần Bia Sài Gòn Vĩnh Long, Khóm Tân Vĩnh Thuận, Phường Tân Ngãi, Thành phố Vĩnh Long, tỉnh Vĩnh Long</t>
  </si>
  <si>
    <t>577971490625784359</t>
  </si>
  <si>
    <t>091585266</t>
  </si>
  <si>
    <t>577972970913893365</t>
  </si>
  <si>
    <t>Khách titktok</t>
  </si>
  <si>
    <t>0913472739</t>
  </si>
  <si>
    <t>577973074899864222</t>
  </si>
  <si>
    <t>0906340819</t>
  </si>
  <si>
    <t>577973799255051182</t>
  </si>
  <si>
    <t>577975541919156644</t>
  </si>
  <si>
    <t>0376713882</t>
  </si>
  <si>
    <t>577976543677614266</t>
  </si>
  <si>
    <t>0395357774</t>
  </si>
  <si>
    <t>Sơn La</t>
  </si>
  <si>
    <t>577978723123562526</t>
  </si>
  <si>
    <t>Anh Nguyễn Văn Xâm</t>
  </si>
  <si>
    <t>0774905230</t>
  </si>
  <si>
    <t>Ấp Thuận An, Xã Truông Mít, Huyện Dương Minh Châu, Tỉnh Tây Ninh</t>
  </si>
  <si>
    <t>Anh Út Cua</t>
  </si>
  <si>
    <t>0352257471</t>
  </si>
  <si>
    <t>Thôn Du Oai, X.Sơn Lâm, H.Khánh Sơn, T.Khánh Hòa</t>
  </si>
  <si>
    <t>ngã 3, X.Cuor Đăng, H.Cư M'gar, T.Đăk Lăk</t>
  </si>
  <si>
    <t>Anh Thiện</t>
  </si>
  <si>
    <t>0974417298</t>
  </si>
  <si>
    <t>ấp Tân Mỹ, xã Tân Bình Thạnh, H.Chợ Gạo, T.Tiền Giang</t>
  </si>
  <si>
    <t>khách làm tiếp thị liên kết trên tik tok (gửi mẫu khách Live giới thiệu hàng)</t>
  </si>
  <si>
    <t>577985055045356444</t>
  </si>
  <si>
    <t>0388045777</t>
  </si>
  <si>
    <t>OMI Gama</t>
  </si>
  <si>
    <t>577985953331906580</t>
  </si>
  <si>
    <t>0335112421</t>
  </si>
  <si>
    <t>577987442226464997</t>
  </si>
  <si>
    <t>0902151118</t>
  </si>
  <si>
    <t>Anh Đạo</t>
  </si>
  <si>
    <t>0913367979</t>
  </si>
  <si>
    <t>Agribank Đồng Xoài, số 1037 Đường Phú Riềng Đỏ, phường Tân Bình, TP Đồng Xoài, tỉnh Bình Phước</t>
  </si>
  <si>
    <t>Anh Giang (văn phòng)</t>
  </si>
  <si>
    <t>0972737883</t>
  </si>
  <si>
    <t>Công ty gỗ Quảng Hưng hẻm 38 khu phố 3, P.Minh Long, TX.Chơn Thành, T.Bình Phước</t>
  </si>
  <si>
    <t>577993656745757362</t>
  </si>
  <si>
    <t>0939312781</t>
  </si>
  <si>
    <t>577994618037373110</t>
  </si>
  <si>
    <t>0945606605</t>
  </si>
  <si>
    <t>577996788733872957</t>
  </si>
  <si>
    <t>0363175851</t>
  </si>
  <si>
    <t>577997395654117388</t>
  </si>
  <si>
    <t>0347177562</t>
  </si>
  <si>
    <t>577998601676426040</t>
  </si>
  <si>
    <t>0969963411</t>
  </si>
  <si>
    <t>Trần Văn Ký</t>
  </si>
  <si>
    <t>Anh Sinh</t>
  </si>
  <si>
    <t>0912216054</t>
  </si>
  <si>
    <t>Ấp Nhơn Bình, X.Nhơn Ái, H.Phong Điền, TP.Cần Thơ</t>
  </si>
  <si>
    <t>578005094590876517</t>
  </si>
  <si>
    <t>0366525070</t>
  </si>
  <si>
    <t>Anh Mạnh Dũng</t>
  </si>
  <si>
    <t>0984868779</t>
  </si>
  <si>
    <t>Thôn 5, xã Phú Xuân, huyện Krông Năng, tỉnh Đắk Lắk</t>
  </si>
  <si>
    <t>578007044694248275</t>
  </si>
  <si>
    <t>0328378464</t>
  </si>
  <si>
    <t>578009052298906396</t>
  </si>
  <si>
    <t>0977386744</t>
  </si>
  <si>
    <t>231009G80DTBFF</t>
  </si>
  <si>
    <t>Anh Chương (nhà máy nước núi long)</t>
  </si>
  <si>
    <t>0976551097</t>
  </si>
  <si>
    <t>Thôn 5, X.Đồng Kho, H.Tánh Linh, T.Bình Thuận</t>
  </si>
  <si>
    <t>578010184073840679</t>
  </si>
  <si>
    <t>0967961878</t>
  </si>
  <si>
    <t>578010960659777563</t>
  </si>
  <si>
    <t>0865958281</t>
  </si>
  <si>
    <t>578011690399533704</t>
  </si>
  <si>
    <t>0907246218</t>
  </si>
  <si>
    <t>578012111226440692</t>
  </si>
  <si>
    <t>0965051730</t>
  </si>
  <si>
    <t>Bắc Giang</t>
  </si>
  <si>
    <t>578012823873882537</t>
  </si>
  <si>
    <t>0909272885</t>
  </si>
  <si>
    <t>Anh Dương Việt Châu</t>
  </si>
  <si>
    <t>0982245184</t>
  </si>
  <si>
    <t>THÔN Vài, X.Hợp Thanh, H.Mỹ Đức, TP.Hà Nội</t>
  </si>
  <si>
    <t xml:space="preserve"> Thôn Tân Đức, xã EaKênh, huyệh Krông Păk, tỉnh Đăk Lăk</t>
  </si>
  <si>
    <t>Anh Y Duinh</t>
  </si>
  <si>
    <t>0355063606</t>
  </si>
  <si>
    <t>Xã Dliê Yang, đường 15, huyện Ea H’Leo, Đắk Lắk</t>
  </si>
  <si>
    <t>578017259830151500</t>
  </si>
  <si>
    <t>0946588867</t>
  </si>
  <si>
    <t>Đăk Lăk</t>
  </si>
  <si>
    <t>578017494180071690</t>
  </si>
  <si>
    <t>0936851481</t>
  </si>
  <si>
    <t>578019769927764322</t>
  </si>
  <si>
    <t>Chị Thùy Linh</t>
  </si>
  <si>
    <t>Mua 30 chai tặng 2 chai</t>
  </si>
  <si>
    <t>Anh Thanh Tuấn</t>
  </si>
  <si>
    <t>0378352651</t>
  </si>
  <si>
    <t>tổ 8, ấp Bà Nhã, xã Đôn Thuận, huyên Trảng Bàng, tinh Tây Ninh</t>
  </si>
  <si>
    <t>578020349841804143</t>
  </si>
  <si>
    <t>0919307499</t>
  </si>
  <si>
    <t>578020875802085851</t>
  </si>
  <si>
    <t>578022358451194553</t>
  </si>
  <si>
    <t>0988944614</t>
  </si>
  <si>
    <t>Anh Buôn Giá</t>
  </si>
  <si>
    <t>0384338871</t>
  </si>
  <si>
    <t>xã Trường Đằng, thôn Trường Đằng B, huyện Cư M’gar, tỉnh Đắk Lắk</t>
  </si>
  <si>
    <t>thôn 8, xã Hòa Nam, huyện Di Linh, tỉnh Lâm Đồng</t>
  </si>
  <si>
    <t>578024612143991325</t>
  </si>
  <si>
    <t>0901128147</t>
  </si>
  <si>
    <t>578025474855897298</t>
  </si>
  <si>
    <t>0866866712</t>
  </si>
  <si>
    <t>578026206209018818</t>
  </si>
  <si>
    <t>0935333013</t>
  </si>
  <si>
    <t>578027563242195059</t>
  </si>
  <si>
    <t>0705884572</t>
  </si>
  <si>
    <t>578027587362655221</t>
  </si>
  <si>
    <t>578028909047286758</t>
  </si>
  <si>
    <t>0862598647</t>
  </si>
  <si>
    <t>X.Ia Blang, H.Chư Sê, T.Gia Lai</t>
  </si>
  <si>
    <t>578035740642609286</t>
  </si>
  <si>
    <t xml:space="preserve">0362227494 </t>
  </si>
  <si>
    <t>578037247603149082</t>
  </si>
  <si>
    <t xml:space="preserve"> 0971345337 </t>
  </si>
  <si>
    <t>Anh Dương Trần</t>
  </si>
  <si>
    <t>0378083688</t>
  </si>
  <si>
    <t>thôn 2, X.Lộc Thành, H.Bảo Lâm, T.Lâm Ðồng</t>
  </si>
  <si>
    <t>578038879697865726</t>
  </si>
  <si>
    <t>0908955604</t>
  </si>
  <si>
    <t>Bến Tre</t>
  </si>
  <si>
    <t>578041626369559179</t>
  </si>
  <si>
    <t>0937393090</t>
  </si>
  <si>
    <t>578047279103969750</t>
  </si>
  <si>
    <t>0387071034</t>
  </si>
  <si>
    <t>578048500469959017</t>
  </si>
  <si>
    <t>578048825613519772</t>
  </si>
  <si>
    <t>578049010101291812</t>
  </si>
  <si>
    <t>0903025517</t>
  </si>
  <si>
    <t>578049092536339133</t>
  </si>
  <si>
    <t>0335749995</t>
  </si>
  <si>
    <t>231023MY6GC6GJ</t>
  </si>
  <si>
    <t>Trại cây giống Tám Tiễn đường Bà Xá thôn 2, X.Nghĩa Trung, H.Bù Đăng, T.Bình Phước</t>
  </si>
  <si>
    <t>Hàng mẫu</t>
  </si>
  <si>
    <t>578054010372458552</t>
  </si>
  <si>
    <t>0907890128</t>
  </si>
  <si>
    <t>578055574681914213</t>
  </si>
  <si>
    <t>0964505560</t>
  </si>
  <si>
    <t>Anh Vương Văn Dũng (khách C.Hiền CTV)</t>
  </si>
  <si>
    <t>0774597755</t>
  </si>
  <si>
    <t>Anh Pháp Nguyễn</t>
  </si>
  <si>
    <t>0944353968</t>
  </si>
  <si>
    <t>305 Chung cư An Hào 7 KDC Nam Long, P.Tân Thuận Đông, Q.7, TP.Hồ Chí Minh</t>
  </si>
  <si>
    <t>* TÌNH HÌNH THANH TOÁN</t>
  </si>
  <si>
    <t>Tiền hàng Tháng 9</t>
  </si>
  <si>
    <t>Phí ship 
Tháng 9</t>
  </si>
  <si>
    <t>27/9/0202</t>
  </si>
  <si>
    <t>6500 phí CH đơn t9</t>
  </si>
  <si>
    <t>Anh Hải CK</t>
  </si>
  <si>
    <t>Anh Đạo CK</t>
  </si>
  <si>
    <t>CK shopee (11.000 phí rút tiền)</t>
  </si>
  <si>
    <t xml:space="preserve">  </t>
  </si>
  <si>
    <t xml:space="preserve">0949999792 </t>
  </si>
  <si>
    <t>6.500 phí Hoàn đơn, 1 hộp bánh TT 4c</t>
  </si>
  <si>
    <t>Hoàn đơn</t>
  </si>
  <si>
    <t xml:space="preserve"> DANH SÁCH BÁN HÀNG THÁNG 10/2023 - OMI (Từ ngày 26/08/2023 đến 25/09/2023) </t>
  </si>
  <si>
    <t>PHÍ SHIP TIKTOK SHOP/SHOPPE</t>
  </si>
  <si>
    <r>
      <rPr>
        <rFont val="Times New Roman"/>
        <b/>
        <color theme="1"/>
        <sz val="13.0"/>
      </rPr>
      <t xml:space="preserve">TRẠNG THÁI
</t>
    </r>
    <r>
      <rPr>
        <rFont val="Times New Roman"/>
        <b/>
        <i/>
        <color theme="1"/>
        <sz val="13.0"/>
      </rPr>
      <t>Đã trừ: x</t>
    </r>
  </si>
  <si>
    <t>577797724164164038</t>
  </si>
  <si>
    <t>0945556925</t>
  </si>
  <si>
    <t>577795279008467471</t>
  </si>
  <si>
    <t>0385385543</t>
  </si>
  <si>
    <t>Anh Võ Hiếu</t>
  </si>
  <si>
    <t>0971797881</t>
  </si>
  <si>
    <t>Ấp 3, xã Phú Thịnh, huyện Tân Phú, tỉnh Đồng Nai</t>
  </si>
  <si>
    <t>Anh Thành Danh</t>
  </si>
  <si>
    <t>0962525494</t>
  </si>
  <si>
    <t>Số 11, ấp Cả Bản, Xã Tuyên Bình, huyện Vĩnh Hưng, tỉnh Long An</t>
  </si>
  <si>
    <t>09 Kim Đồng, TT.Tô Hạp, H.Khánh Sơn, T.Khánh Hòa</t>
  </si>
  <si>
    <t>577802327545448887</t>
  </si>
  <si>
    <t>0343827300</t>
  </si>
  <si>
    <t>ĐồngTháp</t>
  </si>
  <si>
    <t>577803677212773235</t>
  </si>
  <si>
    <t>0368212486</t>
  </si>
  <si>
    <t>577806478318340761</t>
  </si>
  <si>
    <t>0376911273</t>
  </si>
  <si>
    <t>Kon Tum</t>
  </si>
  <si>
    <t>577806666624699229</t>
  </si>
  <si>
    <t>0979875929</t>
  </si>
  <si>
    <t>577807750803196458</t>
  </si>
  <si>
    <t>0939034146</t>
  </si>
  <si>
    <t>Anh Nguyễn Văn Nguyên</t>
  </si>
  <si>
    <t>0975737772</t>
  </si>
  <si>
    <t>Khu phố 3 Đường Lê Duẩn, TT.Thạnh Hoá, H.Thạnh Hóa, T.Long An</t>
  </si>
  <si>
    <t>577809773484607901</t>
  </si>
  <si>
    <t>0964522271</t>
  </si>
  <si>
    <t>577810026272033566</t>
  </si>
  <si>
    <t>0392923703</t>
  </si>
  <si>
    <t>577811334904252448</t>
  </si>
  <si>
    <t>0901050707</t>
  </si>
  <si>
    <t>OMI FUNGI</t>
  </si>
  <si>
    <t>577813004419369922</t>
  </si>
  <si>
    <t>577813011626625329</t>
  </si>
  <si>
    <t>577813250749729570</t>
  </si>
  <si>
    <t>0348564830</t>
  </si>
  <si>
    <t>577813862848760079</t>
  </si>
  <si>
    <t>0838544879</t>
  </si>
  <si>
    <t>577814190654851311</t>
  </si>
  <si>
    <t>0933619399</t>
  </si>
  <si>
    <t>OMI Nitro - 100ml</t>
  </si>
  <si>
    <t>tặng bù khách hội thảo</t>
  </si>
  <si>
    <t>cột điện số 66, thôn Bình Tiến, xã Nghĩa Bình, huyện Bù Đăng, tỉnh Bình Phước</t>
  </si>
  <si>
    <t xml:space="preserve">Anh Ama MiLan </t>
  </si>
  <si>
    <t>0967340716</t>
  </si>
  <si>
    <t>xã Ea Hồ, TX Buôn Hồ, huyện Krông Năng, tỉnh Đăk Lăk</t>
  </si>
  <si>
    <t>577815472819898952</t>
  </si>
  <si>
    <t>0986484567</t>
  </si>
  <si>
    <t>577816107847354837</t>
  </si>
  <si>
    <t>0939779918</t>
  </si>
  <si>
    <t>Trà Vinh</t>
  </si>
  <si>
    <t>577816348822833179</t>
  </si>
  <si>
    <t>0964017271</t>
  </si>
  <si>
    <t>577816639006149190</t>
  </si>
  <si>
    <t>577817210880822183</t>
  </si>
  <si>
    <t>0939769825</t>
  </si>
  <si>
    <t>577818890894936858</t>
  </si>
  <si>
    <t>0339301710</t>
  </si>
  <si>
    <t>vựa trái cây Thanh Bình ấp 1, X.Mỹ Hiệp, H.Cao Lãnh, T.Đồng Tháp</t>
  </si>
  <si>
    <t>Chú Điện</t>
  </si>
  <si>
    <t>0983703375</t>
  </si>
  <si>
    <t>Ấp 4, xã Bình Lộc, TP Long Khánh, tỉnh Đồng Nai</t>
  </si>
  <si>
    <t>Chị Ngọc Ánh</t>
  </si>
  <si>
    <t>0377759068</t>
  </si>
  <si>
    <t>thôn 6a, xã Cư Prông, huyện Eakar, tỉnh Đăk Lắk</t>
  </si>
  <si>
    <t>Anh Trần Đức Thịnh</t>
  </si>
  <si>
    <t>0984636767</t>
  </si>
  <si>
    <t>khu phố 1, P.Thành Tâm, TX.Chơn Thành, T.Bình Phước</t>
  </si>
  <si>
    <t>577820173048121357</t>
  </si>
  <si>
    <t>0522393754</t>
  </si>
  <si>
    <t>577821006241171790</t>
  </si>
  <si>
    <t>0978427979</t>
  </si>
  <si>
    <t>577822642863442942</t>
  </si>
  <si>
    <t>Anh Trần Thanh Huy</t>
  </si>
  <si>
    <t>0367291341</t>
  </si>
  <si>
    <t>ấp 1, xã Cẩm Sơn, huyện Cai Lậy, tỉnh Tiền Giang</t>
  </si>
  <si>
    <t>Bùi Hải Hường</t>
  </si>
  <si>
    <t>0789062222</t>
  </si>
  <si>
    <t>thôn 3, xã Phi Tô, huyện Lâm Hà, tỉnh Lâm Đồng</t>
  </si>
  <si>
    <t>Cao Minh Được</t>
  </si>
  <si>
    <t>0933543265</t>
  </si>
  <si>
    <t>Ấp Hoà Trung, Xã Hòa Tân, Huyện Châu Thành, Tỉnh Đồng Tháp</t>
  </si>
  <si>
    <t>577824492437605192</t>
  </si>
  <si>
    <t>0972315301</t>
  </si>
  <si>
    <t>577825000557218814</t>
  </si>
  <si>
    <t>577825503149066242</t>
  </si>
  <si>
    <t>0375447906</t>
  </si>
  <si>
    <t>577826094829308406</t>
  </si>
  <si>
    <t>0949754919</t>
  </si>
  <si>
    <t>577828523346790910</t>
  </si>
  <si>
    <t>0345396828</t>
  </si>
  <si>
    <t>577828855122528605</t>
  </si>
  <si>
    <t>0975749636</t>
  </si>
  <si>
    <t>577831049651390832</t>
  </si>
  <si>
    <t>0969276191</t>
  </si>
  <si>
    <t>Đã CK 90.000đ (15-30-15)</t>
  </si>
  <si>
    <t>577837416331184363</t>
  </si>
  <si>
    <t>0786601528</t>
  </si>
  <si>
    <t>577838452523370736</t>
  </si>
  <si>
    <t>0388072355</t>
  </si>
  <si>
    <t>577839077975493109</t>
  </si>
  <si>
    <t>0973647113</t>
  </si>
  <si>
    <t>Đak Lak</t>
  </si>
  <si>
    <t>577839344074066787</t>
  </si>
  <si>
    <t>0358970362</t>
  </si>
  <si>
    <t>577840603146914523</t>
  </si>
  <si>
    <t>0964292676</t>
  </si>
  <si>
    <t>577841347211201253</t>
  </si>
  <si>
    <t>0982835847</t>
  </si>
  <si>
    <t>577842442414951293</t>
  </si>
  <si>
    <t>092875567</t>
  </si>
  <si>
    <t>BR VT</t>
  </si>
  <si>
    <t>577842574118127825</t>
  </si>
  <si>
    <t>0939850801</t>
  </si>
  <si>
    <t>577843335311690152</t>
  </si>
  <si>
    <t>0906424468</t>
  </si>
  <si>
    <t>Anh Chánh Khiêm Trúc Nguyễn</t>
  </si>
  <si>
    <t>0919543474</t>
  </si>
  <si>
    <t>hẻm 141 đường Lê Quý Đôn, TX Buôn Hồ, Tỉnh Đăk Lăk</t>
  </si>
  <si>
    <t>577844131965995218</t>
  </si>
  <si>
    <t>577844281427331409</t>
  </si>
  <si>
    <t>0344455546</t>
  </si>
  <si>
    <t>577844454943525704</t>
  </si>
  <si>
    <t>0352299361</t>
  </si>
  <si>
    <t>577844613895129283</t>
  </si>
  <si>
    <t>0377877980</t>
  </si>
  <si>
    <t>577845058069826359</t>
  </si>
  <si>
    <t>577846827010329480</t>
  </si>
  <si>
    <t>0925867677</t>
  </si>
  <si>
    <t>577847533587565258</t>
  </si>
  <si>
    <t>0326111089</t>
  </si>
  <si>
    <t>577849452252531560</t>
  </si>
  <si>
    <t>0939467058</t>
  </si>
  <si>
    <t>577849603895232526</t>
  </si>
  <si>
    <t>0869205844</t>
  </si>
  <si>
    <t>577852196983572703</t>
  </si>
  <si>
    <t>0787849797</t>
  </si>
  <si>
    <t>Chú Nguyễn Công Xuân</t>
  </si>
  <si>
    <t>0945838197</t>
  </si>
  <si>
    <t>79, thôn Phan Lập 1, xã Ea Kuăng, huyện Krong Pak, Đắk Lắk</t>
  </si>
  <si>
    <t>Bánh trung thu (2c)</t>
  </si>
  <si>
    <t>Mua 3 chai tặng hộp 2c</t>
  </si>
  <si>
    <t>Bánh trung thu 4c</t>
  </si>
  <si>
    <t>Mua 5 chai tặng hộp 4c</t>
  </si>
  <si>
    <t>1 hộp khách VIP</t>
  </si>
  <si>
    <t>577859550695033481</t>
  </si>
  <si>
    <t>0932966522</t>
  </si>
  <si>
    <t>577861900672011144</t>
  </si>
  <si>
    <t>577862223787166319</t>
  </si>
  <si>
    <t>0907945840</t>
  </si>
  <si>
    <t>577863910636620673</t>
  </si>
  <si>
    <t>0933074797</t>
  </si>
  <si>
    <t>577864101521033320</t>
  </si>
  <si>
    <t>0918429079</t>
  </si>
  <si>
    <t>577864768701631237</t>
  </si>
  <si>
    <t>0938181834</t>
  </si>
  <si>
    <t>577865611957340370</t>
  </si>
  <si>
    <t>577865851788036972</t>
  </si>
  <si>
    <t>0949169979</t>
  </si>
  <si>
    <t>577866964975650902</t>
  </si>
  <si>
    <t>0865664752</t>
  </si>
  <si>
    <t>577866965598439855</t>
  </si>
  <si>
    <t>577867085050382997</t>
  </si>
  <si>
    <t>0939767765</t>
  </si>
  <si>
    <t>577867554135575401</t>
  </si>
  <si>
    <t>0852222139</t>
  </si>
  <si>
    <t>577867794929584841</t>
  </si>
  <si>
    <t>0918835436</t>
  </si>
  <si>
    <t>577867868978973085</t>
  </si>
  <si>
    <t>577867892566886516</t>
  </si>
  <si>
    <t>577868209196533919</t>
  </si>
  <si>
    <t>0989337717</t>
  </si>
  <si>
    <t>Anh Huỳnh Cương</t>
  </si>
  <si>
    <t>0946162286</t>
  </si>
  <si>
    <t>xã Ea Kênh, huyện Krông PăK, tỉnh Đăk Lăk</t>
  </si>
  <si>
    <t>Bánh trung thu (4c)</t>
  </si>
  <si>
    <t>Anh Long</t>
  </si>
  <si>
    <t>23/21 Nơ Trang Long, Phường 7, Quận Bình Thạnh, TP.HCM</t>
  </si>
  <si>
    <t xml:space="preserve"> Mua 3 chai tặng hộp 2c
Gửi bù do bị nhăn nhãn, lấy lại 3c Bacter cũ</t>
  </si>
  <si>
    <t>Gửi bù do bị xì</t>
  </si>
  <si>
    <t>577870143522769708</t>
  </si>
  <si>
    <t>0902439287</t>
  </si>
  <si>
    <t>577870311104809964</t>
  </si>
  <si>
    <t>0879549512</t>
  </si>
  <si>
    <t>577870726498519720</t>
  </si>
  <si>
    <t>0982394644</t>
  </si>
  <si>
    <t>577872661209254788</t>
  </si>
  <si>
    <t xml:space="preserve"> 0961985452</t>
  </si>
  <si>
    <t>577873598621977068</t>
  </si>
  <si>
    <t>0961709184</t>
  </si>
  <si>
    <t>577877149607627544</t>
  </si>
  <si>
    <t>0372711884</t>
  </si>
  <si>
    <t>577877211281786898</t>
  </si>
  <si>
    <t>0367578155</t>
  </si>
  <si>
    <t>VN post tiết kiệm</t>
  </si>
  <si>
    <t>Chị Ánh</t>
  </si>
  <si>
    <t>0987828874</t>
  </si>
  <si>
    <t>Nhữ Văn Sự số nhà 88 thôn Quyết Tiến 2, X.Ea Tih, H.Ea Kar, T.Đăk Lăk</t>
  </si>
  <si>
    <t>Khách mua nhiều</t>
  </si>
  <si>
    <t>0961999345</t>
  </si>
  <si>
    <t>xóm 1 thôn 4, X.La Dạ, H.Hàm Thuận Bắc, T.Bình Thuận</t>
  </si>
  <si>
    <t>khách VIP</t>
  </si>
  <si>
    <t>Anh Quách Văn Khương</t>
  </si>
  <si>
    <t>0961190379</t>
  </si>
  <si>
    <t>Thôn ĐắK Măng, X.Đạ Rsal, H.Đam Rông, T.Lâm Ðồng</t>
  </si>
  <si>
    <t>Nhà nghỉ Thuỳ Linh Tổ 10 Thôn Võ Cạnh, X.Vĩnh Trung, TP.Nha Trang, T.Khánh Hòa</t>
  </si>
  <si>
    <t>Anh Phương</t>
  </si>
  <si>
    <t>0383577559</t>
  </si>
  <si>
    <t>Yến sào Thái Phương thôn 7, X.Đoàn Kết, H.Bù Đăng, T.Bình Phước</t>
  </si>
  <si>
    <t>Anh Liên Tam</t>
  </si>
  <si>
    <t>0985254939</t>
  </si>
  <si>
    <t>ẤP 4, X.An Thái Trung, H.Cái Bè, T.Tiền Giang</t>
  </si>
  <si>
    <t>577880392121289026</t>
  </si>
  <si>
    <t>0977426573</t>
  </si>
  <si>
    <t>577881794333411335</t>
  </si>
  <si>
    <t xml:space="preserve"> 0969252539</t>
  </si>
  <si>
    <t>577882566965234536</t>
  </si>
  <si>
    <t>0961517342</t>
  </si>
  <si>
    <t>Anh Ty</t>
  </si>
  <si>
    <t>0979804102</t>
  </si>
  <si>
    <t>ấp Hưng Thạnh, xã Hưng Lộc, huyện Thống Nhất, tỉnh Đồng Nai</t>
  </si>
  <si>
    <t>Anh Huy Hoàng</t>
  </si>
  <si>
    <t>0379672191</t>
  </si>
  <si>
    <t>tổ 6 ấp Cam Tiên, xã Nhân Nghĩa, huyện Cẩm Mỹ, tỉnh Đồng Nai</t>
  </si>
  <si>
    <t>0829219375</t>
  </si>
  <si>
    <t>quốc lộ 14 xã Tân Phú, P.Tân Phú, TP.Đồng Xoài, T.Bình Phước</t>
  </si>
  <si>
    <t>Anh Phố Đêm</t>
  </si>
  <si>
    <t>0908061841</t>
  </si>
  <si>
    <t>54, thôn 4, xã Hòa Xuân, tp Buôn Ma Thuột, tỉnh Đăk Lăk</t>
  </si>
  <si>
    <t>577883884513037004</t>
  </si>
  <si>
    <t>0783790106</t>
  </si>
  <si>
    <t>Bạc Liêu</t>
  </si>
  <si>
    <t>577884524246239429</t>
  </si>
  <si>
    <t>577885081569691719</t>
  </si>
  <si>
    <t>0865044275</t>
  </si>
  <si>
    <t>577885285991222158</t>
  </si>
  <si>
    <t>0376102390</t>
  </si>
  <si>
    <t>Thôn ĐắK Măng, Xã Đạ Rsal, Huyện Đam Rông, Lâm Đồng</t>
  </si>
  <si>
    <t>Anh Trần Chí Thiện</t>
  </si>
  <si>
    <t>0328331146</t>
  </si>
  <si>
    <t>Số nhà 428 tổ 11 ấp An Thạnh, X.Đông Hoà Hiệp, H.Cái Bè, T.Tiền Giang</t>
  </si>
  <si>
    <t>Anh Duy Phạm</t>
  </si>
  <si>
    <t>0934164596</t>
  </si>
  <si>
    <t>Nhà thờ giáo họ Thọ Sơn Thôn Sơn Lập, X.Thọ Sơn, H.Bù Đăng, T.Bình Phước</t>
  </si>
  <si>
    <t>Khách VIP</t>
  </si>
  <si>
    <t>54 thôn 4 X Hoà Xuân, X.Hoà Xuân, TP.Buôn Ma Thuột, T.Đăk Lăk</t>
  </si>
  <si>
    <t>Khách quen</t>
  </si>
  <si>
    <t>577889942580660364</t>
  </si>
  <si>
    <t>0373414234</t>
  </si>
  <si>
    <t>577890867559303650</t>
  </si>
  <si>
    <t>0329972361</t>
  </si>
  <si>
    <t>130 Hùng Vương, nhà thuốc Quỳnh Như, phường Đạt Hiếu, TX Buôn Hồ, tỉnh Đak Lăk</t>
  </si>
  <si>
    <t>Mua 5 chai tặng hộp 4c, khách VIP, mua nhiều</t>
  </si>
  <si>
    <t>Anh Nguyễn Văn Linh</t>
  </si>
  <si>
    <t>0924965412</t>
  </si>
  <si>
    <t>Đội 3 ấp Hậu Vinh, X.Hậu Thành, H.Cái Bè, T.Tiền Giang</t>
  </si>
  <si>
    <t>khách quen</t>
  </si>
  <si>
    <t>Anh Huỳnh Tấn Tài</t>
  </si>
  <si>
    <t>khách ghé lấy</t>
  </si>
  <si>
    <t>Chú Huỳnh Văn Sớt</t>
  </si>
  <si>
    <t>0988252353</t>
  </si>
  <si>
    <t>Ấp Phước Hiệp, X.Phước Ninh, H.Dương Minh Châu, T.Tây Ninh</t>
  </si>
  <si>
    <t>Anh Thanh Tâm</t>
  </si>
  <si>
    <t>0918536712</t>
  </si>
  <si>
    <t>Số 17 Trần Phú, TT Ngãi Giao, huyện Châu Đức, tỉnh BRVT</t>
  </si>
  <si>
    <t xml:space="preserve"> 0988405980</t>
  </si>
  <si>
    <t>Khóm Hoà Long 4, TT An Châu, huyện Châu Thành, tỉnh An Giang</t>
  </si>
  <si>
    <t>577893917843687458</t>
  </si>
  <si>
    <t>0774934887</t>
  </si>
  <si>
    <t>577894141600303462</t>
  </si>
  <si>
    <t>0986803179</t>
  </si>
  <si>
    <t>577895137141033409</t>
  </si>
  <si>
    <t>0854462462</t>
  </si>
  <si>
    <t>577895233774127844</t>
  </si>
  <si>
    <t xml:space="preserve"> 0909826353</t>
  </si>
  <si>
    <t>09 Kim Đồng TT Tô Hạp, TT.Tô Hạp, H.Khánh Sơn, T.Khánh Hòa</t>
  </si>
  <si>
    <t>Anh Chia</t>
  </si>
  <si>
    <t>Thôn 12, X.Thống Nhất, H.Bù Đăng, T.Bình Phước</t>
  </si>
  <si>
    <t>Anh Vương Văn Dũng</t>
  </si>
  <si>
    <t>thôn Quảng An, X.Đạo Nghĩa, H.Đắk Rlấp, T.Đăk Nông</t>
  </si>
  <si>
    <t>Khu phố 3 Đường Lê Duẩn TT Thạnh Hoá, TT.Thạnh Hoá, H.Thạnh Hóa, T.Long An</t>
  </si>
  <si>
    <t>Buôn Pan, X.Ea Yông, H.Krông Pắk, T.Đăk Lăk</t>
  </si>
  <si>
    <t>Anh Lê Văn Tôn</t>
  </si>
  <si>
    <t>0918491743</t>
  </si>
  <si>
    <t>37 Nguyễn Trung Ngạn, P.Bến Nghé, Q.1, TP.Hồ Chí Minh</t>
  </si>
  <si>
    <t>577897609670854685</t>
  </si>
  <si>
    <t>0377440434</t>
  </si>
  <si>
    <t>577898114548140994</t>
  </si>
  <si>
    <t>577899407769897459</t>
  </si>
  <si>
    <t>0358327982</t>
  </si>
  <si>
    <t>577901426614176322</t>
  </si>
  <si>
    <t>0366017418</t>
  </si>
  <si>
    <t>quán cơm chị gấu, thôn Đồng Tháp, xã Phước Tân, huyện Phú Riềng, tỉnh Bình Phước</t>
  </si>
  <si>
    <t>Chị Lý Ngọc Yến</t>
  </si>
  <si>
    <t>0384102452</t>
  </si>
  <si>
    <t>KP 4B, thị trấn Dầu Tiếng, huyện Dầu Tiếng, tỉnh Bình Dương (công ty ngọc Toàn Thành)</t>
  </si>
  <si>
    <t>Anh Nguyễn Thanh Tú</t>
  </si>
  <si>
    <t>0979709235</t>
  </si>
  <si>
    <t>thôn 4, xã Trường Xuân, huyện Đak Song, tỉnh Đỉnh Nông</t>
  </si>
  <si>
    <t>577905487988165314</t>
  </si>
  <si>
    <t>577905597271411258</t>
  </si>
  <si>
    <t>0945410037</t>
  </si>
  <si>
    <t>577906415909374230</t>
  </si>
  <si>
    <t xml:space="preserve"> 0388279339</t>
  </si>
  <si>
    <t>577906770282056008</t>
  </si>
  <si>
    <t>0944183886</t>
  </si>
  <si>
    <t>Phú Thọ</t>
  </si>
  <si>
    <t>577906941198240031</t>
  </si>
  <si>
    <t>0372455197</t>
  </si>
  <si>
    <t>577908634570885413</t>
  </si>
  <si>
    <t xml:space="preserve"> 0336362529</t>
  </si>
  <si>
    <t>577910937004116647</t>
  </si>
  <si>
    <t>0973515727</t>
  </si>
  <si>
    <t>0909643545</t>
  </si>
  <si>
    <t>563 ẤP Nam Hà, X.Xuân Bảo, H.Cẩm Mỹ, T.Đồng Nai</t>
  </si>
  <si>
    <t>577912903249201637</t>
  </si>
  <si>
    <t>0965936033</t>
  </si>
  <si>
    <t>577912942425639631</t>
  </si>
  <si>
    <t>0965960597</t>
  </si>
  <si>
    <t>577913014884469307</t>
  </si>
  <si>
    <t>0866848251</t>
  </si>
  <si>
    <t>577913847012363182</t>
  </si>
  <si>
    <t>577914356261816770</t>
  </si>
  <si>
    <t>0931933663</t>
  </si>
  <si>
    <t>577915288965646948</t>
  </si>
  <si>
    <t>0392305495</t>
  </si>
  <si>
    <t xml:space="preserve">115, thôn 9 xã Đinh Trang Hòa,huyện Di Linh, tỉnh Lâm Đồng </t>
  </si>
  <si>
    <t>Sầu riêng Long Khánh</t>
  </si>
  <si>
    <t>0327696848</t>
  </si>
  <si>
    <t>Ấp 1, xã Xuân quế, huyện Cẩm Mỹ, tỉnh Đồng Nai</t>
  </si>
  <si>
    <t>Dang Dien</t>
  </si>
  <si>
    <t>0937372226</t>
  </si>
  <si>
    <t>ấp Phú Thuận, xã Long Khánh, huyện Cai Lậy, tỉnh Tiền Giang</t>
  </si>
  <si>
    <t>0369354488</t>
  </si>
  <si>
    <t>Thôn 3, xã Quảng Tín, huyện Đắk Rlấp, tỉnh Đắk Nông</t>
  </si>
  <si>
    <t>Anh Thành Nguyễn</t>
  </si>
  <si>
    <t>0988502628</t>
  </si>
  <si>
    <t>Thôn 1, xã Cuôr Knia, huyện Buôn Đôn, tỉnh Đắk Lắk</t>
  </si>
  <si>
    <t>Anh Quân</t>
  </si>
  <si>
    <t xml:space="preserve"> 0983951676</t>
  </si>
  <si>
    <t>ấp 19/5, xã Kế An, huyện Kế Sách, tỉnh Sóc Trăng</t>
  </si>
  <si>
    <t>577917367494543420</t>
  </si>
  <si>
    <t>0966834468</t>
  </si>
  <si>
    <t>577917642349054365</t>
  </si>
  <si>
    <t>Anh Trần Đức Hồng</t>
  </si>
  <si>
    <t>0976339303</t>
  </si>
  <si>
    <t>thôn Xuân Thành, xã Phú Sơn, huyện Bù Đăng, tỉnh Bình Phước</t>
  </si>
  <si>
    <t>Mua 5 tặng 4 bánh không lấy bánh đổi thành 2 chai OMI Nitro</t>
  </si>
  <si>
    <t>áo thun tay dài</t>
  </si>
  <si>
    <t>Tặng 1 áo thun (khách VIP tặng free 4 cái nhưng khách k chịu lấy bánh - xin áo thun)</t>
  </si>
  <si>
    <t>Anh San</t>
  </si>
  <si>
    <t>0934450499</t>
  </si>
  <si>
    <t>45 Trần Nhật Duật Buôn Ako Dhông, P.Tân Lợi, TP.Buôn Ma Thuột, T.Đăk Lăk</t>
  </si>
  <si>
    <t>577922356373719290</t>
  </si>
  <si>
    <t>577921560957323825</t>
  </si>
  <si>
    <t xml:space="preserve"> 0343636046</t>
  </si>
  <si>
    <t>577922611013388333</t>
  </si>
  <si>
    <t>0972396704</t>
  </si>
  <si>
    <t>577923980400035870</t>
  </si>
  <si>
    <t>577924243390695952</t>
  </si>
  <si>
    <t>0338380907</t>
  </si>
  <si>
    <t>577924427012869116</t>
  </si>
  <si>
    <t>0815086392</t>
  </si>
  <si>
    <t>577924702170024582</t>
  </si>
  <si>
    <t>0938797030</t>
  </si>
  <si>
    <t>577925936927181244</t>
  </si>
  <si>
    <t>0389184281</t>
  </si>
  <si>
    <t>577926409213413480</t>
  </si>
  <si>
    <t>0969334820</t>
  </si>
  <si>
    <t>577926643876072083</t>
  </si>
  <si>
    <t>0968176761</t>
  </si>
  <si>
    <t>0343114752</t>
  </si>
  <si>
    <t>Số nhà 20 ấp Tân Hạnh, X.Xuân Bảo, H.Cẩm Mỹ, T.Đồng Nai</t>
  </si>
  <si>
    <t>577929520708815775</t>
  </si>
  <si>
    <t>0764447393</t>
  </si>
  <si>
    <t>577930932293831104</t>
  </si>
  <si>
    <t>0704749443</t>
  </si>
  <si>
    <t>577931202766932680</t>
  </si>
  <si>
    <t>0342186412</t>
  </si>
  <si>
    <t>577933196972886894</t>
  </si>
  <si>
    <t>0362379373</t>
  </si>
  <si>
    <t>Chị Phạm Thị Hoài Thanh</t>
  </si>
  <si>
    <t>0969407017</t>
  </si>
  <si>
    <t>Thôn Lộc Ninh, xã Phú Lộc, huyện Krong Năng, tỉnh Đak Lăk</t>
  </si>
  <si>
    <t>Anh Y Sơn Brông</t>
  </si>
  <si>
    <t>0377525392</t>
  </si>
  <si>
    <t>149 Buôn Drai Hling, X.Hoà Xuân, TP.Buôn Ma Thuột, T.Đăk Lăk</t>
  </si>
  <si>
    <t>Anh Y Khoan Eban</t>
  </si>
  <si>
    <t>0347361638</t>
  </si>
  <si>
    <t>127 Buôn Sah A, X.Ea Tul, H.Cư M'gar, T.Đăk Lăk</t>
  </si>
  <si>
    <t>577934621998877392</t>
  </si>
  <si>
    <t>0931899601</t>
  </si>
  <si>
    <t>577935827294391283</t>
  </si>
  <si>
    <t>0961290024</t>
  </si>
  <si>
    <t>577936698261080816</t>
  </si>
  <si>
    <t>0967019763</t>
  </si>
  <si>
    <t>577938521532894132</t>
  </si>
  <si>
    <t>0961777443</t>
  </si>
  <si>
    <t>577938958691240721</t>
  </si>
  <si>
    <t xml:space="preserve"> 0934059293</t>
  </si>
  <si>
    <t>577939086945782068</t>
  </si>
  <si>
    <t>0972479148</t>
  </si>
  <si>
    <t>577939156712393004</t>
  </si>
  <si>
    <t>0388296010</t>
  </si>
  <si>
    <t>577940523091069620</t>
  </si>
  <si>
    <t>0917962377</t>
  </si>
  <si>
    <t>Anh Hiền Lương</t>
  </si>
  <si>
    <t>0986435786</t>
  </si>
  <si>
    <t>Thôn 13 xã Ea Tiêu, Huyện Cư Kuin, Đắk Lắk</t>
  </si>
  <si>
    <t>Anh Trần Thanh Hoà</t>
  </si>
  <si>
    <t>Ấp Hoà Điền, X.Hoà Khánh, H.Cái Bè, T.Tiền Giang</t>
  </si>
  <si>
    <t>Tiền hàng Tháng 8</t>
  </si>
  <si>
    <t>Phí ship 
Tháng 8</t>
  </si>
  <si>
    <t>Chú Điện CK</t>
  </si>
  <si>
    <t>Anh Thiện CK</t>
  </si>
  <si>
    <t>Anh Tài ghé mua</t>
  </si>
  <si>
    <t>Rút tiền Shoppe</t>
  </si>
  <si>
    <t>Anh San CK</t>
  </si>
  <si>
    <t>56.000 phí hoàn đơn</t>
  </si>
  <si>
    <t>855 671 313 244</t>
  </si>
  <si>
    <t>0979732787</t>
  </si>
  <si>
    <t>Hoàn đơn T7 (sót đơn)</t>
  </si>
  <si>
    <t xml:space="preserve">*GHI CHÚ: TẶNG ÁO THUN </t>
  </si>
  <si>
    <t>TIỀN TIKTOK SHOP</t>
  </si>
  <si>
    <t>NGÀY</t>
  </si>
  <si>
    <t>TIỀN THU</t>
  </si>
  <si>
    <t>TIỀN RÚT VỀ</t>
  </si>
  <si>
    <t>PHÍ TIKTOK</t>
  </si>
  <si>
    <t>CHÊNH LỆCH</t>
  </si>
  <si>
    <t xml:space="preserve">DANH SÁCH BÁN HÀNG THÁNG 08/2023 - OMI (Từ ngày 26/07/2023 đến 25/08/2023) </t>
  </si>
  <si>
    <t>PHÍ SHIP TIKTOK SHOP</t>
  </si>
  <si>
    <r>
      <rPr>
        <rFont val="Times New Roman"/>
        <b/>
        <color theme="1"/>
        <sz val="13.0"/>
      </rPr>
      <t xml:space="preserve">TRẠNG THÁI
</t>
    </r>
    <r>
      <rPr>
        <rFont val="Times New Roman"/>
        <b/>
        <i/>
        <color theme="1"/>
        <sz val="13.0"/>
      </rPr>
      <t>Đã trừ: x</t>
    </r>
  </si>
  <si>
    <t>Anh Phong</t>
  </si>
  <si>
    <t xml:space="preserve"> 0705314537</t>
  </si>
  <si>
    <t>P3, Vĩnh Long</t>
  </si>
  <si>
    <t>Khách ghé lấy</t>
  </si>
  <si>
    <t>Anh Minh Tân</t>
  </si>
  <si>
    <t xml:space="preserve"> 0829004479</t>
  </si>
  <si>
    <t>Tổ 8, ấp 1, xã Trà Cổ, huyện Tân Phú, tỉnh Đồng Nai</t>
  </si>
  <si>
    <t>tặng khách mới</t>
  </si>
  <si>
    <t>Dũng Nguyễn</t>
  </si>
  <si>
    <t>0834342814</t>
  </si>
  <si>
    <t>Thôn Thuận Tân, Xã Thuận Hạnh, Huyện Đắk Song, tỉnh Đắk Nông</t>
  </si>
  <si>
    <t>Anh Đạt</t>
  </si>
  <si>
    <t>0902202826</t>
  </si>
  <si>
    <t>ấp Hòa Hảo, Xã Hòa Khánh, Huyện Cái Bè, Tiền Giang</t>
  </si>
  <si>
    <t>Hà Trí</t>
  </si>
  <si>
    <t>0908842099</t>
  </si>
  <si>
    <t>ấp Hòa Qúy, Xã Hòa Khánh, Huyện Cái Bè, Tiền Giang</t>
  </si>
  <si>
    <t>Nguyễn Minh Phương</t>
  </si>
  <si>
    <t>0946235258</t>
  </si>
  <si>
    <t>số 683 đường Hùng Vương, P.An Lạc, TX.Buôn Hồ, T.Đăk Lăk</t>
  </si>
  <si>
    <t>Anh Nghĩa</t>
  </si>
  <si>
    <t>0362297057</t>
  </si>
  <si>
    <t>X.Phú Lý, H.Vĩnh Cửu, T.Đồng Nai</t>
  </si>
  <si>
    <t>Gửi cho khách đã mua Nitro tiktok</t>
  </si>
  <si>
    <t>Anh Nguyên</t>
  </si>
  <si>
    <t>0935818118- 0914484797</t>
  </si>
  <si>
    <t>Bánh mì Dr Anh số nhà 341 Hùng Vương, TT.Chư Sê, H.Chư Sê, T.Gia Lai</t>
  </si>
  <si>
    <t>MUA 3 TẶNG 1, TẶNG ĐƠN 9</t>
  </si>
  <si>
    <t>Chị Như</t>
  </si>
  <si>
    <t>0945895088</t>
  </si>
  <si>
    <t>đường liên xã trục 13, thôn Nam Xuân, xã Nam Đà, huyện Krong Nô, tỉnh Đak Nông</t>
  </si>
  <si>
    <t>tặng bù do soát đơn</t>
  </si>
  <si>
    <t>0978653506</t>
  </si>
  <si>
    <t>Ấp Hoà B, X.Hoà Lợi, H.Giồng Riềng, T.Kiên Giang</t>
  </si>
  <si>
    <t>0972019479</t>
  </si>
  <si>
    <t>Tuấn Huyển</t>
  </si>
  <si>
    <t>0896128504</t>
  </si>
  <si>
    <t>thôn Liên Hà 1, xã Liên Hà, huyện Lâm Hà, tỉnh Lâm Đồng</t>
  </si>
  <si>
    <t xml:space="preserve"> tặng bù do soát đơn 
</t>
  </si>
  <si>
    <t>Anh Hiệp</t>
  </si>
  <si>
    <t>0947973797</t>
  </si>
  <si>
    <t>185 thôn Tiến Cường, xã Quảng Tiến, huyện Cư Mgar, tỉnh Đak Lăk</t>
  </si>
  <si>
    <t>Gửi bù cho khách do gửi nhầm chai Oxy ngày 25/7</t>
  </si>
  <si>
    <t>Anh Trưởng</t>
  </si>
  <si>
    <t>0356044174</t>
  </si>
  <si>
    <t>Ấp 4, X.Ba Sao, H.Cao Lãnh, T.Đồng Tháp</t>
  </si>
  <si>
    <t>Gửi bù đơn do sai thông tin đơn Lê Thanh Tùng</t>
  </si>
  <si>
    <t>Gửi bù do sót đơn khuyến mãi</t>
  </si>
  <si>
    <t>Mega Magie</t>
  </si>
  <si>
    <t>0907116801</t>
  </si>
  <si>
    <t xml:space="preserve"> 0969276191</t>
  </si>
  <si>
    <t>OMI CABO khách đã CK</t>
  </si>
  <si>
    <t xml:space="preserve"> 0376976404</t>
  </si>
  <si>
    <t>Anh Tùng</t>
  </si>
  <si>
    <t>0796728215</t>
  </si>
  <si>
    <t>Ấp Năm Trại, X.Trường Đông, TX.Hòa Thành, T.Tây Ninh</t>
  </si>
  <si>
    <t>GỬI BÙ DO BỊ XÌ, TẶNG 1 ÁO THUN + 1 BÌNH GIỮ NHIỆT</t>
  </si>
  <si>
    <t>Khách tikotk</t>
  </si>
  <si>
    <t>Gửi bù do sót đơn</t>
  </si>
  <si>
    <t>Anh Nhữ Đình Nhật</t>
  </si>
  <si>
    <t>0978770417</t>
  </si>
  <si>
    <t>số nhà 84, thôn Tiến Đông, xã Eathy, huyện Eakar, tỉnh Đăk Lăk</t>
  </si>
  <si>
    <t>Anh Vũ Văn Duy</t>
  </si>
  <si>
    <t>0328822779</t>
  </si>
  <si>
    <t>tổ 3, thị trấn Chư Ty, huyện Đức Cơ, tỉnh Gia Lai</t>
  </si>
  <si>
    <t>0939534718</t>
  </si>
  <si>
    <t>0782710991</t>
  </si>
  <si>
    <t>Tặng nắp đông</t>
  </si>
  <si>
    <t>0914527233</t>
  </si>
  <si>
    <t>Nguyễn Đình Thuật</t>
  </si>
  <si>
    <t>0918642513</t>
  </si>
  <si>
    <t>139 Nguyễn Văn Cừ, Phường Xuân An, huyện Long Khánh, tỉnh Đồng Nai</t>
  </si>
  <si>
    <t>Nguyễn Minh Thanh</t>
  </si>
  <si>
    <t>0974282820</t>
  </si>
  <si>
    <t>Ấp chợ, xã Thanh Tuyền, huyện Dầu Tiếng, tỉnh Bình Dương</t>
  </si>
  <si>
    <t>0386943419</t>
  </si>
  <si>
    <t>0356554007</t>
  </si>
  <si>
    <t>0943045159</t>
  </si>
  <si>
    <t>Anh Vinh</t>
  </si>
  <si>
    <t>0868003436</t>
  </si>
  <si>
    <t>29 Tàn Đà, TT.Cam Đức, H.Cam Lâm, T.Khánh Hòa</t>
  </si>
  <si>
    <t>Tặng bù do sót đơn</t>
  </si>
  <si>
    <t>Anh Sinh Nie</t>
  </si>
  <si>
    <t>0393515160</t>
  </si>
  <si>
    <t>xã Cư Bao, TX.Buôn Hồ, T.Đăk Lăk</t>
  </si>
  <si>
    <t>Anh Kiệm</t>
  </si>
  <si>
    <t>0977971962</t>
  </si>
  <si>
    <t>khu phố 1, P.Minh Thành, TX.Chơn Thành, T.Bình Phước</t>
  </si>
  <si>
    <t>Anh Hiểu</t>
  </si>
  <si>
    <t>0937574317</t>
  </si>
  <si>
    <t>Khách ghé vp mua</t>
  </si>
  <si>
    <t>Anh Châu</t>
  </si>
  <si>
    <t>0395246430</t>
  </si>
  <si>
    <t>thôn Quảng An, xã Đạo Nghĩa, huyện Đăk Rlấp, tỉnh Đăk Nông</t>
  </si>
  <si>
    <t>Lê Hữu Cao Châu</t>
  </si>
  <si>
    <t>0976887178</t>
  </si>
  <si>
    <t>317 Nguyễn Viết Xuân , Phường Hội Phú , Thành Phố Pleiku , Tỉnh Gia Lai</t>
  </si>
  <si>
    <t>Chị Hồ Thị Kim Huệ</t>
  </si>
  <si>
    <t>0983322104</t>
  </si>
  <si>
    <t>Thôn Hòa Thọ , Xã Hành Phước, Huyện Nghĩa Hành, Tỉnh Quảng Ngãi</t>
  </si>
  <si>
    <t>0933988946</t>
  </si>
  <si>
    <t>Anh Huỳnh Cao Trường An</t>
  </si>
  <si>
    <t>0901045655</t>
  </si>
  <si>
    <t>685/5 Ấp Tân Quới, Xã Phong Hòa, Huyện Lai Vung,Tỉnh Đồng Tháp</t>
  </si>
  <si>
    <t>0988929551</t>
  </si>
  <si>
    <t>Anh Đức</t>
  </si>
  <si>
    <t>0933115594</t>
  </si>
  <si>
    <t>Cổng chào khu cầu Be, khu đô thị Phú Mỹ, P.Xuân Lập, TP.Long Khánh, T.Đồng Nai</t>
  </si>
  <si>
    <t>Nguyễn Trọng Vũ</t>
  </si>
  <si>
    <t>149 Hiệp Hưng, X.Quảng Hiệp, H.Cư M'gar, T.Đăk Lăk</t>
  </si>
  <si>
    <t>Anh Mai Thành</t>
  </si>
  <si>
    <t>0838138938</t>
  </si>
  <si>
    <t>169 Nguyễn Trãi, kp6,p4,Tp.Tây Ninh Đ.Nguyễn Trãi, P.4, TP.Tây Ninh, T.Tây Ninh</t>
  </si>
  <si>
    <t>Gửi bù cho khách lấy lại 7 chai OMI Mega</t>
  </si>
  <si>
    <t>Anh Huy Mai</t>
  </si>
  <si>
    <t>0983011516</t>
  </si>
  <si>
    <t xml:space="preserve"> ấp Chàng Hai, xã Lộc Quang, huyện Lộc Ninh, tỉnh Bình Phước</t>
  </si>
  <si>
    <t>Khách ghé mua vp</t>
  </si>
  <si>
    <t>0369965024</t>
  </si>
  <si>
    <t>0384870100</t>
  </si>
  <si>
    <t>0975590508</t>
  </si>
  <si>
    <t>0977423055</t>
  </si>
  <si>
    <t>0937930101</t>
  </si>
  <si>
    <t>Anh Trần Đức Thi</t>
  </si>
  <si>
    <t>0866039225</t>
  </si>
  <si>
    <t>tổ 2 ấp 2, xã Minh Tâm, huyện Hớn Quản, tỉnh Bình Phước</t>
  </si>
  <si>
    <t>X.Ea Kênh, H.Krông Pắk, T.Đăk Lăk</t>
  </si>
  <si>
    <t>0961318455</t>
  </si>
  <si>
    <t>0973738859</t>
  </si>
  <si>
    <t>0939938575</t>
  </si>
  <si>
    <t>0939210119</t>
  </si>
  <si>
    <t>0774423576</t>
  </si>
  <si>
    <t>0935853625</t>
  </si>
  <si>
    <t>Quảng Nam</t>
  </si>
  <si>
    <t>0342226540</t>
  </si>
  <si>
    <t>0033</t>
  </si>
  <si>
    <t>Thôn 3, X.Quảng Tín, H.Đắk Rlấp, T.Đăk Nông</t>
  </si>
  <si>
    <t>Anh Giàu</t>
  </si>
  <si>
    <t>Ấp Rạch Kiến, X.Thanh Tuyền, H.Dầu Tiếng, T.Bình Dương</t>
  </si>
  <si>
    <t>Anh Nguyễn Đức Thi</t>
  </si>
  <si>
    <t>0973137335</t>
  </si>
  <si>
    <t>Thôn Nghĩa Dũng, X.Sa Nghĩa, H.Sa Thầy, T.Kon Tum</t>
  </si>
  <si>
    <t>0944422492</t>
  </si>
  <si>
    <t>0985628868</t>
  </si>
  <si>
    <t>0233</t>
  </si>
  <si>
    <t>Đăk Lắk</t>
  </si>
  <si>
    <t>0935555974</t>
  </si>
  <si>
    <t>0244</t>
  </si>
  <si>
    <t>0914484950</t>
  </si>
  <si>
    <t>0249</t>
  </si>
  <si>
    <t>0342083042</t>
  </si>
  <si>
    <t>0369173949</t>
  </si>
  <si>
    <t>0942849466</t>
  </si>
  <si>
    <t>0984074119</t>
  </si>
  <si>
    <t>0347185963</t>
  </si>
  <si>
    <t>0939838358</t>
  </si>
  <si>
    <t>0862592779</t>
  </si>
  <si>
    <t>0939319811</t>
  </si>
  <si>
    <t>0943399943</t>
  </si>
  <si>
    <t>0963677717</t>
  </si>
  <si>
    <t>Anh Phạm Văn Điền</t>
  </si>
  <si>
    <t>0987455842</t>
  </si>
  <si>
    <t>thôn 8, xã Quảng Khê, huyện Đăk Glong, tỉnh Đak Nông</t>
  </si>
  <si>
    <t>Anh Miền</t>
  </si>
  <si>
    <t>0776548807</t>
  </si>
  <si>
    <t>khu vực Thới Ngươn A, phường Phước Thới, Quận Ô Môn ,TP Cần Thơ</t>
  </si>
  <si>
    <t>45 Trần Nhật Duật, buôn Ako Dhông, phường Tân Lợi, Tp.Buôn Ma Thuột</t>
  </si>
  <si>
    <t>Anh Nguyễn Hải Châu</t>
  </si>
  <si>
    <t>0916793535/0336497777</t>
  </si>
  <si>
    <t>Thôn Pang Pế Nâm, Xã Đạ Rsal, Huyện Đam Rông, Tỉnh Lâm Đồng</t>
  </si>
  <si>
    <t>0358</t>
  </si>
  <si>
    <t>0974189948</t>
  </si>
  <si>
    <t xml:space="preserve"> 0948852324</t>
  </si>
  <si>
    <t>0369891083</t>
  </si>
  <si>
    <t>0399707449</t>
  </si>
  <si>
    <t>0985645235</t>
  </si>
  <si>
    <t>0169</t>
  </si>
  <si>
    <t xml:space="preserve"> 0961096517</t>
  </si>
  <si>
    <t>0908719202</t>
  </si>
  <si>
    <t>0966125345</t>
  </si>
  <si>
    <t>0965432344</t>
  </si>
  <si>
    <t>Chị Hằng CK</t>
  </si>
  <si>
    <t>0965566616</t>
  </si>
  <si>
    <t>0977212442</t>
  </si>
  <si>
    <t>Anh Tiếp Đỗ</t>
  </si>
  <si>
    <t>0798524579</t>
  </si>
  <si>
    <t>Thôn 2, X.La Dạ, H.Hàm Thuận Bắc, T.Bình Thuận</t>
  </si>
  <si>
    <t>Số 25 tổ 8 ấp Ninh Hưng 1, X.Chà Là, H.Dương Minh Châu, T.Tây Ninh</t>
  </si>
  <si>
    <t>0338435275</t>
  </si>
  <si>
    <t>0975685656</t>
  </si>
  <si>
    <t>0394724784</t>
  </si>
  <si>
    <t>0971738688</t>
  </si>
  <si>
    <t>0348739120</t>
  </si>
  <si>
    <t>0339469835</t>
  </si>
  <si>
    <t>Thôn 8 (Thôn 13 cũ), X.Hoà Nam, H.Di Linh, T.Lâm Ðồng</t>
  </si>
  <si>
    <t>0359090692</t>
  </si>
  <si>
    <t>Tố Quyên</t>
  </si>
  <si>
    <t>0907894151</t>
  </si>
  <si>
    <t>ấp 2b, X.Hưng Thạnh, H.Tháp Mười, T.Đồng Tháp</t>
  </si>
  <si>
    <t>0947332588</t>
  </si>
  <si>
    <t>Chị Hiền CK</t>
  </si>
  <si>
    <t>Chị Hằng (gửi chị Hiền)</t>
  </si>
  <si>
    <t>Anh Lê Văn Đông</t>
  </si>
  <si>
    <t>0976718454</t>
  </si>
  <si>
    <t>Thôn 18, X.Ea Riêng, H.M'đrắk, T.Đăk Lăk</t>
  </si>
  <si>
    <t>Thôn Tân Giao, xã Láng Lớn, huyện Châu Đức, tỉnh BRVT</t>
  </si>
  <si>
    <t>đường Tô Hiến Thành, tổ 3 phường Nghĩa Tân, thành phố Gia Nghĩa, Đăk Nông</t>
  </si>
  <si>
    <t>0389998615</t>
  </si>
  <si>
    <t>0829</t>
  </si>
  <si>
    <t>0346996849</t>
  </si>
  <si>
    <t>0337346284</t>
  </si>
  <si>
    <t>0877919392</t>
  </si>
  <si>
    <t>0941489520</t>
  </si>
  <si>
    <t>0377147236</t>
  </si>
  <si>
    <t>0984912340</t>
  </si>
  <si>
    <t>0389035970</t>
  </si>
  <si>
    <t>TIỀN HÀNG KARIMON VÀ KỸ THUẬT</t>
  </si>
  <si>
    <t>Tiền hàng Tháng 7</t>
  </si>
  <si>
    <t>Phí ship 
Tháng 7</t>
  </si>
  <si>
    <t>Đơn khách tiktok (22) CK OMI Cabo</t>
  </si>
  <si>
    <t>5093 phí CH đơn anh Hiệp</t>
  </si>
  <si>
    <t>khách ghé vp mua</t>
  </si>
  <si>
    <t>CK TIKTOK</t>
  </si>
  <si>
    <t>Kỹ thuật</t>
  </si>
  <si>
    <t xml:space="preserve">                     TIỀN HÀNG KỸ THUẬT</t>
  </si>
  <si>
    <t>Gửi cho khách đã mua Nitro tikotk</t>
  </si>
  <si>
    <t>Lê Thanh Tùng</t>
  </si>
  <si>
    <t>0906684366</t>
  </si>
  <si>
    <t>ấp Mỹ Tây 2, xã Mỹ Qúy, huyện Tháp Mười, tỉnh Đồng Tháp</t>
  </si>
  <si>
    <t>Sai thông tin + 5000 tiền hoàn đơn</t>
  </si>
  <si>
    <t>MUA 3 TẶNG 1</t>
  </si>
  <si>
    <t>Hoàn đơn do gửi thiếu +5093 phí hoàn đơn</t>
  </si>
  <si>
    <t>Hoàn đơn, khách cố tình đặt rồi hủy</t>
  </si>
  <si>
    <t>Hoàn đơn, khách không nghe máy</t>
  </si>
  <si>
    <t>*GHI CHÚ: TẶNG BÌNH GIỮ NHIỆT</t>
  </si>
  <si>
    <t xml:space="preserve">DANH SÁCH BÁN HÀNG THÁNG 07/2023 - OMI (Từ ngày 26/06/2023 đến 25/07/2023) </t>
  </si>
  <si>
    <t>HỘP ĐÃ DÙNG</t>
  </si>
  <si>
    <r>
      <rPr>
        <rFont val="Times New Roman"/>
        <b/>
        <color theme="1"/>
        <sz val="13.0"/>
      </rPr>
      <t xml:space="preserve">TRẠNG THÁI
</t>
    </r>
    <r>
      <rPr>
        <rFont val="Times New Roman"/>
        <b/>
        <i/>
        <color theme="1"/>
        <sz val="13.0"/>
      </rPr>
      <t>Đã trừ: x</t>
    </r>
  </si>
  <si>
    <t>Anh Lê Quốc Bảo</t>
  </si>
  <si>
    <t>0968020489</t>
  </si>
  <si>
    <t>Số 133, thôn Đà Thọ, xã Đà Loan, huyện Đức Trọng, tỉnh Lâm Đồng</t>
  </si>
  <si>
    <t>Anh La Vinh Hướng</t>
  </si>
  <si>
    <t>X.Cư Drăm, H.Krông Bông, T.Đăk Lăk</t>
  </si>
  <si>
    <t>Gửi bù do bị bể đơn 20/6/2023</t>
  </si>
  <si>
    <t>Anh Nguyễn Văn Cường</t>
  </si>
  <si>
    <t>0383093193</t>
  </si>
  <si>
    <t>số nhà 68 xóm 1 thôn 15, X.Hoà Đông, H.Krông Pắk, T.Đăk Lăk</t>
  </si>
  <si>
    <t>OMI Aba</t>
  </si>
  <si>
    <t>Anh Pi</t>
  </si>
  <si>
    <t>79/1 THÔN 1, X.Nghĩa Trung, H.Bù Đăng, T.Bình Phước</t>
  </si>
  <si>
    <t>OMI Cabo</t>
  </si>
  <si>
    <t>0855559699</t>
  </si>
  <si>
    <t xml:space="preserve">J&amp;T </t>
  </si>
  <si>
    <t>0363693276</t>
  </si>
  <si>
    <t>0906025079</t>
  </si>
  <si>
    <t>0983549904</t>
  </si>
  <si>
    <t>0949712721</t>
  </si>
  <si>
    <t>Anh Thừa ( Lê Văn Thừa)</t>
  </si>
  <si>
    <t>0904474794</t>
  </si>
  <si>
    <t>tổ 31 ấp Lộc Hoà null, X.Tây Hoà, H.Trảng Bom, T.Đồng Nai</t>
  </si>
  <si>
    <t>Lý Ngọc Yến</t>
  </si>
  <si>
    <t>Khu Phố 4B Công ty Ngọc Toàn Thành, TT.Dầu Tiếng, H.Dầu Tiếng, T.Bình Dương</t>
  </si>
  <si>
    <t>0947691133</t>
  </si>
  <si>
    <t>0398454789</t>
  </si>
  <si>
    <t>0985505200</t>
  </si>
  <si>
    <t>0515</t>
  </si>
  <si>
    <t>0976975978</t>
  </si>
  <si>
    <t>0936333000</t>
  </si>
  <si>
    <t>Vũng Tàu</t>
  </si>
  <si>
    <t>0911799375</t>
  </si>
  <si>
    <t>0909326552</t>
  </si>
  <si>
    <t>0984562450</t>
  </si>
  <si>
    <t>Anh Nguyễn Hoàng Huy</t>
  </si>
  <si>
    <t>0354251114</t>
  </si>
  <si>
    <t>Ấp 3, xã Cẩm Sơn, huyện Cai Lậy, tỉnh Tiền Giang</t>
  </si>
  <si>
    <t>Anh Tuấn Em</t>
  </si>
  <si>
    <t>0358168141</t>
  </si>
  <si>
    <t>số nhà 787, ấp Hiệp Lợi, xã Định Quán, huyện Định Quán, tỉnh Đồng Nai</t>
  </si>
  <si>
    <t>số nhà 112, ấp 57, xã Xuân Quế, huyện Cẩm Mỹ, tỉnh Đồng Nai</t>
  </si>
  <si>
    <t>thôn Tân Giao, xã Láng Lớn, huyện Châu Đức, tỉnh BR-Vũng Tàu</t>
  </si>
  <si>
    <t xml:space="preserve">Anh Lê Văn Đông </t>
  </si>
  <si>
    <t>Thôn 18, xã Earieng, huyện Madrak, tỉnh Đắk Lắk</t>
  </si>
  <si>
    <t>0922</t>
  </si>
  <si>
    <t>0399360727</t>
  </si>
  <si>
    <t>0228</t>
  </si>
  <si>
    <t>0364640946</t>
  </si>
  <si>
    <t>0933191959</t>
  </si>
  <si>
    <t>0933591455</t>
  </si>
  <si>
    <t>Thôn 2, xã La Dạ, huyện Hàm Thuận Bắc, tỉnh Bình Thuậ</t>
  </si>
  <si>
    <t>Đào Thị Thu</t>
  </si>
  <si>
    <t>0984629341 0368151741</t>
  </si>
  <si>
    <t>ấp Tầm Phô, X.Tân Đông, H.Tân Châu, T.Tây Ninh</t>
  </si>
  <si>
    <t>0705314537</t>
  </si>
  <si>
    <t>p3, Vĩnh Long</t>
  </si>
  <si>
    <t>Đã thu tiền</t>
  </si>
  <si>
    <t>Đỗ Văn Lương</t>
  </si>
  <si>
    <t>0969152092</t>
  </si>
  <si>
    <t>thôn 7, xã Long Hà, huyện Phú Riềng, tỉnh Bình Phước</t>
  </si>
  <si>
    <t>0352583987</t>
  </si>
  <si>
    <t>Anh Nguyễn Duy Nam</t>
  </si>
  <si>
    <t>0976971198</t>
  </si>
  <si>
    <t>Ấp Voi, xã An Thạnh, huyện Bến Cầu, tỉnh Tây Ninh</t>
  </si>
  <si>
    <t>Trà Sữa Hiện Đại Thảo Kute ấp 1, X.Bàu Cạn, H.Long Thành, T.Đồng Nai</t>
  </si>
  <si>
    <t>Anh Trung</t>
  </si>
  <si>
    <t>0376825359</t>
  </si>
  <si>
    <t>thôn 5, X.Hoà Bình, TP.Kon Tum, T.Kon Tum</t>
  </si>
  <si>
    <t>Ấp 5 Trại, xã Trường Đông, huyện Hoà Thành, tỉnh Tây Ninh</t>
  </si>
  <si>
    <t>Trần Thanh Huy</t>
  </si>
  <si>
    <t>0939123339</t>
  </si>
  <si>
    <t>0918479754</t>
  </si>
  <si>
    <t>0988509797</t>
  </si>
  <si>
    <t>0789619183</t>
  </si>
  <si>
    <t>0394474687</t>
  </si>
  <si>
    <t>Anh Điền</t>
  </si>
  <si>
    <t>0972716729</t>
  </si>
  <si>
    <t>ấp Hòa Điền, X.Hội Xuân, H.Cai Lậy, T.Tiền Giang</t>
  </si>
  <si>
    <t>Anh Nguyễn Ngọc Long</t>
  </si>
  <si>
    <t>0985561044</t>
  </si>
  <si>
    <t>ấp Ngọc Lâm Một, X.Phú Xuân, H.Tân Phú, T.Đồng Nai</t>
  </si>
  <si>
    <t>0326156557</t>
  </si>
  <si>
    <t>thôn 17, xã Nhân Cơ, huyện Đăk Rlấp, tinh Đăk Nông</t>
  </si>
  <si>
    <t>khách trả ship</t>
  </si>
  <si>
    <t>Chị Duyên</t>
  </si>
  <si>
    <t>0355017120</t>
  </si>
  <si>
    <t>tổ 10, ấp an Bình Đông, xã Đông Hòa Hiệp, huyện Cái Bè, tỉnh Tiền Giang</t>
  </si>
  <si>
    <t>tặng nắp đông</t>
  </si>
  <si>
    <t>0933649199</t>
  </si>
  <si>
    <t>ấp Hòa Lộc 2, xã Xuân Hòa, huyện Kế Sách, tỉnh Sóc Trăng</t>
  </si>
  <si>
    <t>0394044243</t>
  </si>
  <si>
    <t>0907071726</t>
  </si>
  <si>
    <t>Anh Tấn</t>
  </si>
  <si>
    <t>0362919355</t>
  </si>
  <si>
    <t>thôn 1, X.Hà Lâm, H.Đạ Huoai, T.Lâm Ðồng</t>
  </si>
  <si>
    <t>0346079049</t>
  </si>
  <si>
    <t>0971253363</t>
  </si>
  <si>
    <t>0342920733</t>
  </si>
  <si>
    <t>0393043442</t>
  </si>
  <si>
    <t>0346946018</t>
  </si>
  <si>
    <t>0382003863</t>
  </si>
  <si>
    <t>0943838685</t>
  </si>
  <si>
    <t>0913863728</t>
  </si>
  <si>
    <t>0961446411</t>
  </si>
  <si>
    <t>0572</t>
  </si>
  <si>
    <t>Chú Hoa</t>
  </si>
  <si>
    <t>0335275077</t>
  </si>
  <si>
    <t>Thôn Quảng Bình, X.Nghĩa Thắng, H.Đắk Rlấp, T.Đăk Nông</t>
  </si>
  <si>
    <t>khách đã CK</t>
  </si>
  <si>
    <t>Ấp Hoà Trung, X.Hoà Tân, H.Châu Thành, T.Đồng Tháp</t>
  </si>
  <si>
    <t>0377055328</t>
  </si>
  <si>
    <t>0888022263</t>
  </si>
  <si>
    <t>0372664307</t>
  </si>
  <si>
    <t>HOÀN ĐƠN</t>
  </si>
  <si>
    <t>0363451129</t>
  </si>
  <si>
    <t>0174</t>
  </si>
  <si>
    <t>0976991050</t>
  </si>
  <si>
    <t>09398166227</t>
  </si>
  <si>
    <t>0327079263</t>
  </si>
  <si>
    <t>Bình phước</t>
  </si>
  <si>
    <t>0918263645</t>
  </si>
  <si>
    <t>Anh Vũ Đình Hoan</t>
  </si>
  <si>
    <t>0385117517</t>
  </si>
  <si>
    <t>thôn 5, X.Đường 10, H.Bù Đăng, T.Bình Phước</t>
  </si>
  <si>
    <t>0349692885</t>
  </si>
  <si>
    <t>0333141644</t>
  </si>
  <si>
    <t>0996</t>
  </si>
  <si>
    <t>0399956394</t>
  </si>
  <si>
    <t xml:space="preserve">0975737772 </t>
  </si>
  <si>
    <t>Khách CK</t>
  </si>
  <si>
    <t>0382979177</t>
  </si>
  <si>
    <t>0976175959</t>
  </si>
  <si>
    <t>0385008731</t>
  </si>
  <si>
    <t>0868778987</t>
  </si>
  <si>
    <t>Anh Quechi Very</t>
  </si>
  <si>
    <t>0989700105 0326859619</t>
  </si>
  <si>
    <t xml:space="preserve">thôn Ea Chăm, xã Ea Tân, huyện Krông Năng, Tỉnh Đăk Lăk </t>
  </si>
  <si>
    <t>0364308652</t>
  </si>
  <si>
    <t>0774941444</t>
  </si>
  <si>
    <t>0388015683</t>
  </si>
  <si>
    <t>0357628894</t>
  </si>
  <si>
    <t>số nhà 84 thôn Tiến Đông, X.Ea Tih, H.Ea Kar, T.Đăk Lăk</t>
  </si>
  <si>
    <t>0795808559</t>
  </si>
  <si>
    <t>CK 3% + HH 2%</t>
  </si>
  <si>
    <t>Anh Luân</t>
  </si>
  <si>
    <t>0784250038</t>
  </si>
  <si>
    <t>Ấp 1, X.Phú Ninh, H.Tam Nông, T.Đồng Tháp</t>
  </si>
  <si>
    <t>0379279779</t>
  </si>
  <si>
    <t>0369361480</t>
  </si>
  <si>
    <t>0362770041</t>
  </si>
  <si>
    <t>0386314691</t>
  </si>
  <si>
    <t>Nhà số 9 thôn Bình Đức 2, X.Đức Hạnh, H.Bù Gia Mập, T.Bình Phước</t>
  </si>
  <si>
    <t>Ấp 1, X.Cẩm Sơn, H.Cai Lậy, T.Tiền Giang</t>
  </si>
  <si>
    <t xml:space="preserve"> MUA 3 TẶNG 1 </t>
  </si>
  <si>
    <t>0969979567</t>
  </si>
  <si>
    <t>Thôn 3, X.La Dạ, H.Hàm Thuận Bắc, T.Bình Thuận</t>
  </si>
  <si>
    <t>Khách mới</t>
  </si>
  <si>
    <t>0909918523</t>
  </si>
  <si>
    <t>0333033323</t>
  </si>
  <si>
    <t>Anh Vương Văn Dũng (khách chị Hiền)</t>
  </si>
  <si>
    <t>0774597755 0378527838</t>
  </si>
  <si>
    <t>Anh Đoàn Thế Anh</t>
  </si>
  <si>
    <t>0937838343</t>
  </si>
  <si>
    <t>thôn Quảng Đạt, X.Đạo Nghĩa, H.Đắk Rlấp, T.Đăk Nông</t>
  </si>
  <si>
    <t>MUA 3 TẶNG 1, Đã CK</t>
  </si>
  <si>
    <t>MUA 3 TẶNG 1, tặng 2 áo thun</t>
  </si>
  <si>
    <t>Chị Mãi (khách chị Hiền)</t>
  </si>
  <si>
    <t>0363237250</t>
  </si>
  <si>
    <t>Anh Nguyễn Văn Úc</t>
  </si>
  <si>
    <t>0917001079</t>
  </si>
  <si>
    <t>Xóm 4 Thôn 2, X.Bắc Ruộng, H.Tánh Linh, T.Bình Thuận</t>
  </si>
  <si>
    <t>0975183519</t>
  </si>
  <si>
    <t>Số nhà 142 đường N2 buôn Jù, X.Ea Tu, TP.Buôn Ma Thuột, T.Đăk Lăk</t>
  </si>
  <si>
    <t>Anh Trung Anh Le</t>
  </si>
  <si>
    <t>0388643685</t>
  </si>
  <si>
    <t>260 Phan Chu Trinh, P.An Mỹ, TP.Tam Kỳ, T.Quảng Nam</t>
  </si>
  <si>
    <t>Anh Đình Quyết Trần</t>
  </si>
  <si>
    <t>0947942347</t>
  </si>
  <si>
    <t>Ngân Hàng HDBank Krong Buk, X.Pơng Drang, H.Krông Búk, T.Đăk Lăk</t>
  </si>
  <si>
    <t>Anh Sáng</t>
  </si>
  <si>
    <t>0967998122</t>
  </si>
  <si>
    <t>319 Giải Phóng, TT.Phước An, H.Krông Pắk, T.Đăk Lăk</t>
  </si>
  <si>
    <t>Anh Hải (khách chị Hiền)</t>
  </si>
  <si>
    <t>0971794979</t>
  </si>
  <si>
    <t>Thôn Quảng An, xã Đạo Nghĩa, huyện Đăk Rlấp, tỉnh Đắk Nông</t>
  </si>
  <si>
    <t>Anh Quyên</t>
  </si>
  <si>
    <t>0347311774</t>
  </si>
  <si>
    <t>Thôn 1 X An Nhơn, X.An Nhơn, H.Đạ Tẻh, T.Lâm Ðồng</t>
  </si>
  <si>
    <t>Nguyễn Sáu</t>
  </si>
  <si>
    <t>0335353398</t>
  </si>
  <si>
    <t>làng Kloong, xã Lào, huyện Iagrai, tỉnh Gia Lai</t>
  </si>
  <si>
    <t>Nhân Trà</t>
  </si>
  <si>
    <t>0764302019</t>
  </si>
  <si>
    <t>1007/77/8 Lạc Long Quân, P11, quận Tân Bình, tp HCM</t>
  </si>
  <si>
    <t>Chị Ngân (khách chị Hiền)</t>
  </si>
  <si>
    <t>0332639080</t>
  </si>
  <si>
    <t>Anh Dương</t>
  </si>
  <si>
    <t>0383790735</t>
  </si>
  <si>
    <t>chợ Sáng Nam Đà, X.Nam Đà, H.Krông Nô, T.Đăk Nông</t>
  </si>
  <si>
    <t>khách mới</t>
  </si>
  <si>
    <t>0908233507</t>
  </si>
  <si>
    <t>thôn Tân Hòa 1, X.Ea Knuec, H.Krông Pắk, T.Đăk Lăk</t>
  </si>
  <si>
    <t xml:space="preserve">OMI NITRO </t>
  </si>
  <si>
    <t xml:space="preserve">Nguyễn Văn Linh </t>
  </si>
  <si>
    <t xml:space="preserve"> 0924965412</t>
  </si>
  <si>
    <t>cửa hàng xe máy Nam Anh 6, khu phố 1, phường 4, TX.Cai Lậy, Tỉnh Tiền Giang</t>
  </si>
  <si>
    <t>Đoàn Thế Anh</t>
  </si>
  <si>
    <t>Thôn Quảng Đạt, Xã Đạo Nghĩa, H. Đăk R’lấp, Tỉnh Đăk Nông</t>
  </si>
  <si>
    <t>Chị Ngoc Ánh</t>
  </si>
  <si>
    <t>0973244979</t>
  </si>
  <si>
    <t>số 43, ấp Nam Hà, xã Xuân Bảo, huyện Cẩm Mỹ, tỉnh Đồng Nai</t>
  </si>
  <si>
    <t>Anh Huynh</t>
  </si>
  <si>
    <t>0985992477</t>
  </si>
  <si>
    <t>thôn 4, xã Thống Nhất, huyện Bù Đăng, tỉnh Bình Phước</t>
  </si>
  <si>
    <t>Anh Trường</t>
  </si>
  <si>
    <t>0982160222</t>
  </si>
  <si>
    <t>thôn 2, xã Đức Liễu, huyện Bù Đăng, tỉnh Bình Phước</t>
  </si>
  <si>
    <t>Chú Sớt</t>
  </si>
  <si>
    <t>0347749733</t>
  </si>
  <si>
    <t>buôn xóm A, xã Cư Pơng, huyện Krông Búk, tỉnh Đắk Lắk</t>
  </si>
  <si>
    <t>0396405515</t>
  </si>
  <si>
    <t>Tuyết Hồng</t>
  </si>
  <si>
    <t>0767289899</t>
  </si>
  <si>
    <t>tổ 5, thôn 4, xã Bình Minh, huyện Bù Đăng, tỉnh Bình Phước</t>
  </si>
  <si>
    <t>Trần Văn Sỹ</t>
  </si>
  <si>
    <t>0967995858</t>
  </si>
  <si>
    <t>thôn 4, xã Long Phú, huyện Phú Riềng, tỉnh Bình Phước</t>
  </si>
  <si>
    <t>Hoàng Thông</t>
  </si>
  <si>
    <t>0849558168</t>
  </si>
  <si>
    <t>44, thôn Nam Hà, xã Xuân Bảo, huyện Cẩm Mỹ, tỉnh Đồng Nai</t>
  </si>
  <si>
    <t>Chị Lan</t>
  </si>
  <si>
    <t>0372966270</t>
  </si>
  <si>
    <t>ấp Tân Nhơn, xã Tân Hạnh, huyện Long Hồ, tỉnh Vĩnh Long</t>
  </si>
  <si>
    <t>Anh Thái Bình</t>
  </si>
  <si>
    <t>0939366992</t>
  </si>
  <si>
    <t>420 Nguyễn Đình Chiểu (đối diện Karaoke Sen Hồng), TT Bình Đại, huyện Bình Đại, tỉnh Bến Tre</t>
  </si>
  <si>
    <t>Trịnh Quang Đạo</t>
  </si>
  <si>
    <t>0385979586</t>
  </si>
  <si>
    <t>thôn Thuận Tân, Xã Thuận Hạnh, huyện Đak Song, tỉnh Đak Nông</t>
  </si>
  <si>
    <t>Trịnh Quang Trung</t>
  </si>
  <si>
    <t>0337089512</t>
  </si>
  <si>
    <t>Chị Vân</t>
  </si>
  <si>
    <t>0969015250</t>
  </si>
  <si>
    <t xml:space="preserve">đối diện 77 Nguyễn Văn Cừ, khối 11, TT.Eadrăng, Huyện Eahleo, Tỉnh Đắk Lắk
</t>
  </si>
  <si>
    <t>Cô Lan</t>
  </si>
  <si>
    <t>0355253801</t>
  </si>
  <si>
    <t>410 Giải Phóng, TT.Eadrăng, Huyện Eahleo, Tỉnh Đắk Lắk</t>
  </si>
  <si>
    <t>Nguyễn Dũng</t>
  </si>
  <si>
    <t>0987625011</t>
  </si>
  <si>
    <t>số nhà 72, xóm 1, thôn 15, huyệ Krông Pak, tỉnh Đắk Lắk</t>
  </si>
  <si>
    <t>Trịnh Văn Thành</t>
  </si>
  <si>
    <t>0395649190</t>
  </si>
  <si>
    <t>thôn Thuận Tiến, xã Thuận Hạnh, huyện Đak Song, tỉnh Đak Nông</t>
  </si>
  <si>
    <t>Trang Trần</t>
  </si>
  <si>
    <t xml:space="preserve"> 0356351178</t>
  </si>
  <si>
    <t>thôn Thuận Tân, xã Thuận Hạnh, huyện Đak Song, tỉnh Đak Nông</t>
  </si>
  <si>
    <t>Hoàng Thu</t>
  </si>
  <si>
    <t>0911375350</t>
  </si>
  <si>
    <t>Trường Mầm non Tư Thục Hoa Pơ Lang, Xã Cuor Đăng, huyện Cư M'gar, tỉnh Đắk Lắk</t>
  </si>
  <si>
    <t>Chánh Khiêm Trúc Nguyễn</t>
  </si>
  <si>
    <t>hẻm 141, đường Lê Quý Đôn, TX Buôn Hồ, tỉnh Đak Lăk</t>
  </si>
  <si>
    <t>Duyên Trịnh</t>
  </si>
  <si>
    <t>0353917867</t>
  </si>
  <si>
    <t>thôn Thuận Tân, xã Thuận Hạnh, huyện Đăk Song, tỉnh Đak Nông</t>
  </si>
  <si>
    <t>Nguyễn Ngọc Chính</t>
  </si>
  <si>
    <t>0935597566</t>
  </si>
  <si>
    <t>03 Yết Kiêu, TT Chư Sê, tỉnh Gia Lai</t>
  </si>
  <si>
    <t>Trí Trần</t>
  </si>
  <si>
    <t>0972533615</t>
  </si>
  <si>
    <t>ấp 6, xã Lộc Điền, huyện Lộc Ninh, tỉnh Bình Phước</t>
  </si>
  <si>
    <t>Anh Hiếu</t>
  </si>
  <si>
    <t xml:space="preserve"> 0382760799</t>
  </si>
  <si>
    <t>Xóm Đồng Thanh Phước, huyện Gò Dầu, tỉnh Tây Ninh</t>
  </si>
  <si>
    <t>Anh Nguyễn Tuấn</t>
  </si>
  <si>
    <t>0989487667</t>
  </si>
  <si>
    <t>Thôn Tân Lợi, Xã Đăk R Moan, Thị xã Gia Nghĩa, tỉnh Đắk Nông</t>
  </si>
  <si>
    <t>Trần Thị Thảo</t>
  </si>
  <si>
    <t>0339088278</t>
  </si>
  <si>
    <t>Thôn Thuận Tân, xã Thuận Hạnh, huyện Đak Song, tỉnh Đak Nông</t>
  </si>
  <si>
    <t>Nhi</t>
  </si>
  <si>
    <t>0335259148</t>
  </si>
  <si>
    <t>Đăk Nông</t>
  </si>
  <si>
    <t>0972674479</t>
  </si>
  <si>
    <t>0868463823</t>
  </si>
  <si>
    <t>0392</t>
  </si>
  <si>
    <t>0889932499</t>
  </si>
  <si>
    <t xml:space="preserve">0981938592 </t>
  </si>
  <si>
    <t>Số nhà 24, hẻm 46, đường Đồng Mĩ, Ấp 7, X.Bàu Đồn, H.Gò Dầu, T.Tây Ninh</t>
  </si>
  <si>
    <t>MUA 3 TẶNG 1, khách đã CK</t>
  </si>
  <si>
    <t>Ấp 1, xã Cẩm Sơn, huyện Cai Lậy, tỉnh Tiền Giang</t>
  </si>
  <si>
    <t>Anh Lê Thanh Tùng</t>
  </si>
  <si>
    <t>145, 147 Nguyễn Bỉnh Khiêm, Phường Xương Huân, Thành phố Nha Trang, tỉnh Khánh Hòa</t>
  </si>
  <si>
    <t>Vườn kế Chị Linh</t>
  </si>
  <si>
    <t>Tiền hàng Tháng 6</t>
  </si>
  <si>
    <t>Phí ship 
Tháng 6</t>
  </si>
  <si>
    <t xml:space="preserve">                                                                                                                                                                                                                                                                                                                                                                                                                                                                                                                                                                                                                                                                           </t>
  </si>
  <si>
    <t>CK Tiền tiktok shop</t>
  </si>
  <si>
    <t xml:space="preserve">khách ghé mua </t>
  </si>
  <si>
    <t>Chú Hoa CK</t>
  </si>
  <si>
    <t>Imi Max - Cũ</t>
  </si>
  <si>
    <t>Chị Mỹ Thuận CK</t>
  </si>
  <si>
    <t>thu tiền đơn hàng vườn kế c Linh</t>
  </si>
  <si>
    <t xml:space="preserve">                                                                                                                                                        </t>
  </si>
  <si>
    <t>PHÍ TIKTOK
 SHOP / PHÍ CK</t>
  </si>
  <si>
    <r>
      <rPr>
        <rFont val="Times New Roman"/>
        <b/>
        <color theme="1"/>
        <sz val="13.0"/>
      </rPr>
      <t xml:space="preserve">TRẠNG THÁI
</t>
    </r>
    <r>
      <rPr>
        <rFont val="Times New Roman"/>
        <b/>
        <i/>
        <color theme="1"/>
        <sz val="13.0"/>
      </rPr>
      <t>Đã trừ: x</t>
    </r>
  </si>
  <si>
    <t>Anh Minh Hiếu</t>
  </si>
  <si>
    <t>0396151195</t>
  </si>
  <si>
    <t>km 82, X.Ea Ral, H.Ea H'leo, T.Đăk Lăk</t>
  </si>
  <si>
    <t>Anh Kim Soo Hee</t>
  </si>
  <si>
    <t>0929011001</t>
  </si>
  <si>
    <t>Ấp Trường Phước, X.Trường Long Tây, H.Châu Thành A, T.Hậu Giang</t>
  </si>
  <si>
    <t>0385964688</t>
  </si>
  <si>
    <t>Số nhà 23 thôn Tam Đồng, X.Ea Tam, H.Krông Năng, T.Đăk Lăk</t>
  </si>
  <si>
    <t>Anh Toàn</t>
  </si>
  <si>
    <t>0327576227</t>
  </si>
  <si>
    <t>vườn rau kế công ty</t>
  </si>
  <si>
    <t>đã giao và thu tiền</t>
  </si>
  <si>
    <t>Anh K Thiên</t>
  </si>
  <si>
    <t>0343182967</t>
  </si>
  <si>
    <t>Thôn 2, X.Đạ Oai, H.Đạ Huoai, T.Lâm Ðồng</t>
  </si>
  <si>
    <t>79 thôn Phan Lập, X.Ea Kuăng, H.Krông Pắk, T.Đăk Lăk</t>
  </si>
  <si>
    <t>Anh Nguyễn Nhật</t>
  </si>
  <si>
    <t>0378918949 0384782243</t>
  </si>
  <si>
    <t>Thôn 3, X.Đinh Trang Thượng, H.Di Linh, T.Lâm Ðồng</t>
  </si>
  <si>
    <t>Cô Đặng Thị Thao</t>
  </si>
  <si>
    <t>0353099478</t>
  </si>
  <si>
    <t>số 83 đường 48 ấp Chài Dúng, X.Bình Mỹ, H.Bắc Tân Uyên, T.Bình Dương</t>
  </si>
  <si>
    <t>Anh Bảo</t>
  </si>
  <si>
    <t>0907182456</t>
  </si>
  <si>
    <t>khu Sân Bay thôn 2, X.Nghĩa Trung, H.Bù Đăng, T.Bình Phước</t>
  </si>
  <si>
    <t>Thôn 2 X La Dạ, X.La Dạ, H.Hàm Thuận Bắc, T.Bình Thuận</t>
  </si>
  <si>
    <t>Xã Ia Mơ Nông thị trấn Ia li, X.Ia Mơ Nông, H.Chư Păh, T.Gia Lai</t>
  </si>
  <si>
    <t>Anh Nguyễn Đình Chánh</t>
  </si>
  <si>
    <t>0378784235</t>
  </si>
  <si>
    <t>Thôn Dak K’Rung, X.Quảng Tân, H.Tuy Đức, T.Đăk Nông</t>
  </si>
  <si>
    <t>Trại Trại cây giống Tám Tiễn đường Bà Xá thôn 2, X.Nghĩa Trung, H.Bù Đăng, T.Bình Phước</t>
  </si>
  <si>
    <t>ĐH 1996306652</t>
  </si>
  <si>
    <t>gừi giao hàng tiết kiệm, phí BH 9900</t>
  </si>
  <si>
    <t>0916041840</t>
  </si>
  <si>
    <t>Thốt Nốt, Cần Thơ</t>
  </si>
  <si>
    <t>J&amp;T Express</t>
  </si>
  <si>
    <t>0728</t>
  </si>
  <si>
    <t>Long Hồ, Vĩnh Long</t>
  </si>
  <si>
    <t>0934885940</t>
  </si>
  <si>
    <t>Buôn Hồ, Đak Lăk</t>
  </si>
  <si>
    <t>Cai Lậy, Tiền Giang</t>
  </si>
  <si>
    <t>Anh Tài</t>
  </si>
  <si>
    <t>0964028380</t>
  </si>
  <si>
    <t>thôn 5, X.Liêng Srônh, H.Đam Rông, T.Lâm Ðồng</t>
  </si>
  <si>
    <t>0349806029</t>
  </si>
  <si>
    <t>Đức Huệ, Long An</t>
  </si>
  <si>
    <t>Anh Trần Võ Hải Dương</t>
  </si>
  <si>
    <t>0971727484</t>
  </si>
  <si>
    <t xml:space="preserve">sửa xe Anh Ba, thôn 7, xã  Đoàn Kết, huyện Bù Đăng, tỉnh Bình Phước </t>
  </si>
  <si>
    <t>xã Cư Drăm, huyện Krông Bông, tỉnh Đăk Lăk</t>
  </si>
  <si>
    <t>0352767225</t>
  </si>
  <si>
    <t>Bù Đăng, Bình Phước</t>
  </si>
  <si>
    <t>0979783187</t>
  </si>
  <si>
    <t>Củ Chi, HCM</t>
  </si>
  <si>
    <t>0354251825</t>
  </si>
  <si>
    <t>Châu Thành, Tiền Giang</t>
  </si>
  <si>
    <t>Anh Ân</t>
  </si>
  <si>
    <t>0986670917</t>
  </si>
  <si>
    <t>khu phố Bình Trị, thị trấn Bình Phú, huyện Cai Lậy, tỉnh Tiền Giang</t>
  </si>
  <si>
    <t>Anh  Nguyễn An</t>
  </si>
  <si>
    <t>Khách CK, Tặng 1 áo thun tay dài</t>
  </si>
  <si>
    <t>Anh Hồng</t>
  </si>
  <si>
    <t>0946303099</t>
  </si>
  <si>
    <t>khu 1, X.Phú Tân, H.Định Quán, T.Đồng Nai</t>
  </si>
  <si>
    <t>0932896938</t>
  </si>
  <si>
    <t>Khu phố 3, Đường Lê Duẩn,  Huyện Thạnh Hoá, Tỉnh Long An</t>
  </si>
  <si>
    <t>Thùng 30 chai tặng 2 chai, Khách đã CK</t>
  </si>
  <si>
    <t>Cu hữu cơ</t>
  </si>
  <si>
    <t>Anh Nam gửi hàng mẫu</t>
  </si>
  <si>
    <t>Anh Đào Huế</t>
  </si>
  <si>
    <t>0829665699</t>
  </si>
  <si>
    <t>90 Thôn Bắc Trung, X.Ea Tân, H.Krông Năng, T.Đăk Lăk</t>
  </si>
  <si>
    <t>Tặng 1 BGN, Khách đã CK</t>
  </si>
  <si>
    <t>Tiền hàng
 Tháng 5</t>
  </si>
  <si>
    <t>Phí ship 
Tháng 5</t>
  </si>
  <si>
    <t>Nguyễn An CK</t>
  </si>
  <si>
    <t xml:space="preserve"> 
 Chị Ngọc Hiền CTV
</t>
  </si>
  <si>
    <t xml:space="preserve">DANH SÁCH BÁN HÀNG THÁNG 04/2023 - OMI (Từ ngày 26/03/2023 đến 25/04/2023) </t>
  </si>
  <si>
    <r>
      <rPr>
        <rFont val="Times New Roman"/>
        <b/>
        <color theme="1"/>
        <sz val="13.0"/>
      </rPr>
      <t xml:space="preserve">TRẠNG THÁI
</t>
    </r>
    <r>
      <rPr>
        <rFont val="Times New Roman"/>
        <b/>
        <i/>
        <color theme="1"/>
        <sz val="13.0"/>
      </rPr>
      <t>Đã trừ: x</t>
    </r>
  </si>
  <si>
    <t>Anh Nguyễn Chí Linh</t>
  </si>
  <si>
    <t>0939980302</t>
  </si>
  <si>
    <t xml:space="preserve"> Ấp Phú An, Xã An Phú Thuận, Huyện Châu Thành, Tỉnh Đồng Tháp</t>
  </si>
  <si>
    <t>An giao cho khách</t>
  </si>
  <si>
    <t>Anh Lê Văn Moi</t>
  </si>
  <si>
    <t>0764411868</t>
  </si>
  <si>
    <t>335, tổ 10, ấp An Lạc, xã An Thái Đông huyện Cái Bè tỉnh Tiền Giang</t>
  </si>
  <si>
    <t>Tổ 6, ấp Cam Tiên, xã Nhân Nghĩa, huyện Cẩm Mỹ, tỉnh Đồng Nai</t>
  </si>
  <si>
    <t>Thôn Du Oai X Sơn Lâm, X.Sơn Lâm, H.Khánh Sơn, T.Khánh Hòa</t>
  </si>
  <si>
    <t>Anh Đồng Phan</t>
  </si>
  <si>
    <t xml:space="preserve"> 0989025360</t>
  </si>
  <si>
    <t>Thôn 11 , Quảng Khê - Đăk glong- Đăk Nông</t>
  </si>
  <si>
    <t>MKP</t>
  </si>
  <si>
    <t>Anh Bruy</t>
  </si>
  <si>
    <t>0372403505</t>
  </si>
  <si>
    <t>số nhà 153, Thôn 3 Xã Đinh Trang Hòa Di Linh Tỉnh Lâm Đồng</t>
  </si>
  <si>
    <t>Số nhà 428, tổ 11, ấp An Thạnh, xã Đông Hoà Hiệp, huyện Cái Bè, tỉnh Tiền Giang</t>
  </si>
  <si>
    <t>KP 4B, thị trấn Dầu Tiếng, huyện Dầu Tiếng, tỉnh Bình Dương (công ty Ngọc Toàn Thành)</t>
  </si>
  <si>
    <t xml:space="preserve">Chú Nguyễn Công Xuân </t>
  </si>
  <si>
    <t>Tổ 3, khu phố 2, TT.Ma Đa Guôi, H.Đạ Huoai, T.Lâm Ðồng</t>
  </si>
  <si>
    <t>130 Hùng Vương nhà thuốc Quỳnh Như, P.Đạt Hiếu, TX.Buôn Hồ, T.Đăk Lăk</t>
  </si>
  <si>
    <t>Anh Nghị</t>
  </si>
  <si>
    <t>0916688023</t>
  </si>
  <si>
    <t>Ấp 3, X.Mỹ Hoà, H.Tháp Mười, T.Đồng Tháp</t>
  </si>
  <si>
    <t>Chị Hoàng Thị Thúy</t>
  </si>
  <si>
    <t>0971206610</t>
  </si>
  <si>
    <t>thôn Lộc Xuân, xã Phú Lộc, huyện Krông Năng, tỉnh Đăk Lăk</t>
  </si>
  <si>
    <t>0989025360</t>
  </si>
  <si>
    <t>Thôn 11, X.Quảng Khê, H.Đắk Glong, T.Đăk Nông</t>
  </si>
  <si>
    <t>Thúy An CTV</t>
  </si>
  <si>
    <t>0338696976</t>
  </si>
  <si>
    <t xml:space="preserve">Ấp Phú An, Xã An Phú Thuận, huyện Châu Thành, tỉnh Đồng Tháp </t>
  </si>
  <si>
    <t>ghé lấy</t>
  </si>
  <si>
    <t>Anh Đặng Quang Huy</t>
  </si>
  <si>
    <t>0829329129</t>
  </si>
  <si>
    <t>thôn Hiệp Hưng, X.Quảng Hiệp, H.Cư M'gar, T.Đăk Lăk</t>
  </si>
  <si>
    <t>Anh Trần Ngọc Khương</t>
  </si>
  <si>
    <t>0964940157</t>
  </si>
  <si>
    <t>577 Buôn Rung, TT.Buôn Trấp, H.Krông A Na, T.Đăk Lăk</t>
  </si>
  <si>
    <t>Quán cơm chị gấu, Thôn Đồng Tháp, xã Phước Tân,huyện Phú Riềng, tỉnh Bình Phước</t>
  </si>
  <si>
    <t>Khu phố 2, xã Suối Đá, huyện Dương Minh Châu, tỉnh Tây Ninh</t>
  </si>
  <si>
    <t>Anh Nguyễn Trường Sơn</t>
  </si>
  <si>
    <t>0988117379</t>
  </si>
  <si>
    <t>thôn Dốc Gạo, thị trấnTô Hạp, huyện Khánh Sơn, tỉnh Khánh Hoà</t>
  </si>
  <si>
    <t>Anh Thanh Hào</t>
  </si>
  <si>
    <t xml:space="preserve"> 0392400939</t>
  </si>
  <si>
    <t>thôn Hưng Lập, xã Phước Tín, TX.Phước Long, T.Bình Phước</t>
  </si>
  <si>
    <t xml:space="preserve">Anh Phan Như Cường </t>
  </si>
  <si>
    <t>0933871870</t>
  </si>
  <si>
    <t>189a Lam Sơn, P.Lộc Sơn, TP.Bảo Lộc, T.Lâm Ðồng</t>
  </si>
  <si>
    <t>Anh Đoàn Song Hào</t>
  </si>
  <si>
    <t>0355768984</t>
  </si>
  <si>
    <t>thôn Quế Dương, xã Hoài Đức, huyện Lâm Hà, tỉnh Lâm Đồng</t>
  </si>
  <si>
    <t>Anh Đinh Sỹ Việt</t>
  </si>
  <si>
    <t>0969295695</t>
  </si>
  <si>
    <t>Ấp 17, xã Thanh Phú, TX Bình Long, tỉnh Bình Phước</t>
  </si>
  <si>
    <t>Thôn Quảng An, xã Đạo Nghĩa, huyện Đăk R Lắp, tỉnh Đăk Nông</t>
  </si>
  <si>
    <t>Anh Phúc</t>
  </si>
  <si>
    <t>0369994370</t>
  </si>
  <si>
    <t>Phú Long, X.Phú Hựu, H.Châu Thành, T.Đồng Tháp</t>
  </si>
  <si>
    <t>0378918949</t>
  </si>
  <si>
    <t>Thôn 3, xã Đinh Trang Thượng, huyện  Di Linh, tỉnh Lâm Đồng</t>
  </si>
  <si>
    <t>Anh Nguyễn Duy Dân</t>
  </si>
  <si>
    <t>0906150365</t>
  </si>
  <si>
    <t>A5-04 An Phú, 961 Hậu Giang, P11, Q6, TP Hồ Chí Minh</t>
  </si>
  <si>
    <t>Anh Đoàn Cường</t>
  </si>
  <si>
    <t>0913747174</t>
  </si>
  <si>
    <t>Số nhà 01 Thôn Giang Trung, X.Tam Giang, H.Krông Năng, T.Đăk Lăk</t>
  </si>
  <si>
    <t>thôn 3, xã Nhân Cơ, huyện Đắk R'lấp, tỉnh Đắk Nông</t>
  </si>
  <si>
    <t>Thôn 2, đường Bà Xá, xã Nghĩa Trung, huyện Bù Đăng, tỉnh Bình Phước</t>
  </si>
  <si>
    <t>Đã CK</t>
  </si>
  <si>
    <t>Anh Vương Văn Dũng (khách Chị Hiền CTV)</t>
  </si>
  <si>
    <t>Tiền hàng
 Tháng 3</t>
  </si>
  <si>
    <t>Tiền hàng Tháng 4</t>
  </si>
  <si>
    <t>Phí ship 
Tháng 3</t>
  </si>
  <si>
    <t>Phí ship 
Tháng 4</t>
  </si>
  <si>
    <t>5000 phí hoàn đơn</t>
  </si>
  <si>
    <t xml:space="preserve">0372403505
</t>
  </si>
  <si>
    <t>số nhà 153, Thôn 3 Xã Đinh Trang Hòa, Di Linh, Tỉnh Lâm Đồng</t>
  </si>
  <si>
    <t>Hoàn đơn, +5000 phí hoàn về</t>
  </si>
  <si>
    <t xml:space="preserve"> DANH SÁCH BÁN HÀNG THÁNG 05/2023 - OMI (Từ ngày 26/04/2023 đến 25/05/2023) </t>
  </si>
  <si>
    <t xml:space="preserve">Ngày gửi </t>
  </si>
  <si>
    <r>
      <rPr>
        <rFont val="Times New Roman"/>
        <b/>
        <color theme="1"/>
        <sz val="13.0"/>
      </rPr>
      <t xml:space="preserve">TRẠNG THÁI
</t>
    </r>
    <r>
      <rPr>
        <rFont val="Times New Roman"/>
        <b/>
        <i/>
        <color theme="1"/>
        <sz val="13.0"/>
      </rPr>
      <t>Đã trừ: x</t>
    </r>
  </si>
  <si>
    <t>Anh Dương Văn Tâm</t>
  </si>
  <si>
    <t>0941094637</t>
  </si>
  <si>
    <t>số nhà 10 Thôn 2b, X.Ea M'nang, H.Cư M'gar, T.Đăk Lăk</t>
  </si>
  <si>
    <t>Anh Hùng Nguyễn</t>
  </si>
  <si>
    <t>0335354788</t>
  </si>
  <si>
    <t>54 Hiệp Thành 1,  Tam Bố, Di Linh, Lâm Đồng</t>
  </si>
  <si>
    <t>0377786215</t>
  </si>
  <si>
    <t>Thôn Tân Mỹ, X.Ea Kênh, H.Krông Pắk, T.Đăk Lăk</t>
  </si>
  <si>
    <t>Anh Hoàng Huy</t>
  </si>
  <si>
    <t>0379 329155</t>
  </si>
  <si>
    <t>ấp Mỹ Chánh, xã Mỹ Long, huyện Cai Lậy, tỉnh Tiền Giang</t>
  </si>
  <si>
    <t>thôn 17, Xã EaNing,  Huyện Cư kuin,Tỉnh Đắk Lăk</t>
  </si>
  <si>
    <t xml:space="preserve"> 0792620370</t>
  </si>
  <si>
    <t xml:space="preserve"> số nhà 112, ấp 57, xã Xuân Quế, huyện Cẩm Mỹ, tỉnh Đồng Nai</t>
  </si>
  <si>
    <t>Anh Quang Vinh</t>
  </si>
  <si>
    <t>0352243524</t>
  </si>
  <si>
    <t>Anh Điệp Đại Phong</t>
  </si>
  <si>
    <t>0975799660</t>
  </si>
  <si>
    <t>Khu 4, ấp Xuân Thiện, xã Xuân Thiện, huyện Thống Nhất, tỉnh Đồng Nai</t>
  </si>
  <si>
    <t>0928621226</t>
  </si>
  <si>
    <t>Ấp Long Hòa, TT.Chợ Mới, H.Chợ Mới, T.An Giang</t>
  </si>
  <si>
    <t>Anh Giang</t>
  </si>
  <si>
    <t>0907907379</t>
  </si>
  <si>
    <t>Ấp 4 (sau nha khoa Phúc Sanh), X.Bàu Đồn, H.Gò Dầu, T.Tây Ninh</t>
  </si>
  <si>
    <t>Phú Long, Phú Hựu, Châu Thành, Đồng Tháp</t>
  </si>
  <si>
    <t>0964763192</t>
  </si>
  <si>
    <t>thôn 7, xã Đăk Sin, huyện Đăk Rlấp, tỉnh Đăk Nông</t>
  </si>
  <si>
    <t xml:space="preserve"> Trà Sữa Hiện Đại Thảo Kute,ấp 1 xã Bàu Cạn huyện Long Thành,Đồng Nai</t>
  </si>
  <si>
    <t>Anh Nguyễn Đức Minh</t>
  </si>
  <si>
    <t>0782655126</t>
  </si>
  <si>
    <t>thôn Quảng Thình, X.Đạo Nghĩa, H.Đắk Rlấp, T.Đăk Nông</t>
  </si>
  <si>
    <t>Gửi bù 1 chai Cabo do bị bể đơn 5/5/2023</t>
  </si>
  <si>
    <t>Thôn 8 (Thôn 13 cũ), X.Hòa Nam, H.Di Linh, T.Lâm Ðồng</t>
  </si>
  <si>
    <t>0961902740</t>
  </si>
  <si>
    <t>ấp Hiệp Thạnh, xã Hiệp Xương, huyện Phú Tân, tỉnh An Giang</t>
  </si>
  <si>
    <t>Anh Trần Minh Tấn</t>
  </si>
  <si>
    <t>0332932855</t>
  </si>
  <si>
    <t>ấp Tân An, X.Tân Phong, H.Cai Lậy, T.Tiền Giang</t>
  </si>
  <si>
    <t>Ghé lấy</t>
  </si>
  <si>
    <t>Anh Ngọc Vương</t>
  </si>
  <si>
    <t>0965570580</t>
  </si>
  <si>
    <t>54 Trần Hưng Đạo, TX Buôn Hồ, Tỉnh Đắk Lắk</t>
  </si>
  <si>
    <t>Anh Trịnh Thế Mạnh</t>
  </si>
  <si>
    <t>0985468459</t>
  </si>
  <si>
    <t>Xóm 5, thôn 11, xã Lộc An, huyện Bảo Lâm, tỉnh Lâm Đồng</t>
  </si>
  <si>
    <t>OMI Oxy</t>
  </si>
  <si>
    <t>Anh Huỳnh Trung</t>
  </si>
  <si>
    <t>0394365779</t>
  </si>
  <si>
    <t>Thôn 2, X.Ea Ral, H.Ea H'leo, T.Đăk Lăk</t>
  </si>
  <si>
    <t>TẶNG 2 ÁO TAY DÀI</t>
  </si>
  <si>
    <t xml:space="preserve">1 thùng 30 chai tặng 2 chai, trừ tiền 440.000 </t>
  </si>
  <si>
    <t xml:space="preserve">
'0384096911</t>
  </si>
  <si>
    <t>thị trấn Thạnh Mỹ, TT.Thạnh Mỹ, H.Nam Giang, T.Quảng Nam</t>
  </si>
  <si>
    <t>0384096911</t>
  </si>
  <si>
    <t>Gửi bù 1 chai OMI Aba do gửi thiếu đơn 18/5/2023</t>
  </si>
  <si>
    <t>Anh Hoàng Anh Khải</t>
  </si>
  <si>
    <t>0354841900</t>
  </si>
  <si>
    <t>ấp Thạnh Lợi A, X.Tân Phú Thạnh, H.Châu Thành A, T.Hậu Giang</t>
  </si>
  <si>
    <t>Anh Bùi Văn Huy</t>
  </si>
  <si>
    <t>0356760210</t>
  </si>
  <si>
    <t>Thôn 8 (thôn 13 cũ), X.Hoà Nam, H.Di Linh, T.Lâm Ðồng</t>
  </si>
  <si>
    <t>Tiền hàng
 Tháng 4</t>
  </si>
  <si>
    <t>Tiền hàng Tháng 5</t>
  </si>
  <si>
    <t>5.000 phí hoàn đơn anh Nhật (24/4/2023)</t>
  </si>
  <si>
    <t>Hoàn đơn ( + phí 5000), liên lạc khách nhiều lần không được</t>
  </si>
  <si>
    <t xml:space="preserve"> DANH SÁCH BÁN HÀNG THÁNG 3/2023-OMI (Từ ngày 26/2/2023 đến 25/3/2023)</t>
  </si>
  <si>
    <r>
      <rPr>
        <rFont val="Times New Roman"/>
        <b/>
        <color theme="1"/>
        <sz val="13.0"/>
      </rPr>
      <t xml:space="preserve">TRẠNG THÁI
</t>
    </r>
    <r>
      <rPr>
        <rFont val="Times New Roman"/>
        <b/>
        <i/>
        <color theme="1"/>
        <sz val="13.0"/>
      </rPr>
      <t>Đã trừ: x</t>
    </r>
  </si>
  <si>
    <t>Anh Trần Trọng Minh</t>
  </si>
  <si>
    <t>0865009918</t>
  </si>
  <si>
    <t>Ấp Tây Lộc, xã Vĩnh Thành, huyện Chợ Lách, tỉnh Bến Tre</t>
  </si>
  <si>
    <t>Chị Ngọc Hiền (CTV)</t>
  </si>
  <si>
    <t>GIẢM CK THÁNG 2</t>
  </si>
  <si>
    <t>Chị Uyên Nhật</t>
  </si>
  <si>
    <t>0961286861</t>
  </si>
  <si>
    <t>ấp Đồng Bé, xã Minh Thạnh, huyện Dầu Tiếng, tỉnh Bình Dương</t>
  </si>
  <si>
    <t>Thôn 2, xã La Dạ, huyện Hàm Thuận Bắc, tỉnh Bình Thuận</t>
  </si>
  <si>
    <t>KHÁCH ĐÃ CK, 30 CHAI TẶNG 2 CHAI</t>
  </si>
  <si>
    <t>Anh Nguyễn Tấn Hải</t>
  </si>
  <si>
    <t>0338400693</t>
  </si>
  <si>
    <t>Ấp Trung Trị, Xã Trung Hiệp, Huyện Vũng Liêm, tỉnh Vĩnh Long</t>
  </si>
  <si>
    <t>THÙNG 30 CHAI TẶNG 2 CHAI</t>
  </si>
  <si>
    <t>Anh Dương Văn Thao</t>
  </si>
  <si>
    <t>0397552690</t>
  </si>
  <si>
    <t>tổ 6, buôn Ê Căm, thị trấn Buôn Trấp, huyện Krông Ana, tỉnh Đăk Lăk</t>
  </si>
  <si>
    <t>Anh Xuân Thượng</t>
  </si>
  <si>
    <t>0967679209</t>
  </si>
  <si>
    <t>Ấp 7, X.Bàu Cạn, H.Long Thành, T.Đồng Nai</t>
  </si>
  <si>
    <t>37, Nguyễn Trung Ngạn, F Bến Nghé, Q1. HCM</t>
  </si>
  <si>
    <t>Tặng 2 chai OMI Bacter</t>
  </si>
  <si>
    <t>Tặng 1 áo tay dài</t>
  </si>
  <si>
    <t>Chú Nguyễn Huy Dinh</t>
  </si>
  <si>
    <t>0977098279</t>
  </si>
  <si>
    <t>12 Hoàng Quốc Việt Thị trấn Khánh Vĩnh tỉnh Khánh Hòa</t>
  </si>
  <si>
    <t>Anh Lương Văn Quyết</t>
  </si>
  <si>
    <t>0935065118</t>
  </si>
  <si>
    <t>số 18 đường Lê Duẩn thị trấn Tô Hạp huyện Khánh Sơn tỉnh Khánh Hòa</t>
  </si>
  <si>
    <t xml:space="preserve">Anh Xuân Thượng </t>
  </si>
  <si>
    <t>Ấp 7, xã Bàu Cạn, huyện Long Thành, tỉnh Đồng Nai</t>
  </si>
  <si>
    <t>Thôn 5, xã Phú Xuân, huyện Krông Năng, tỉnh Đăk Lăk</t>
  </si>
  <si>
    <t>Anh Phúc Lê</t>
  </si>
  <si>
    <t>0908711031</t>
  </si>
  <si>
    <t xml:space="preserve"> 194 Lê Danh Cát-Thanh Tuyền-Dầu Tiếng -Bình Dương</t>
  </si>
  <si>
    <t>12 Hoàng Quốc Việt,Thị trấn Khánh Vĩnh, tỉnh Khánh Hòa</t>
  </si>
  <si>
    <t>Gửi bù chai OMI DETOX do giao nhầm cho khách ngày 8/3</t>
  </si>
  <si>
    <t>Anh Trịnh Viết Cường</t>
  </si>
  <si>
    <t>0971201168</t>
  </si>
  <si>
    <t>T7, X.Đắk N'dung, H.Đắk Song, T.Đăk Nông</t>
  </si>
  <si>
    <t>Anh Nguyễn Hữu Nhiều</t>
  </si>
  <si>
    <t>0703186164</t>
  </si>
  <si>
    <t xml:space="preserve">Ấp Tân Vĩnh, xã Tân Lược, huyện Bình Tân, tỉnh Vĩnh Long </t>
  </si>
  <si>
    <t>Chú Đỗ Văn Hoa</t>
  </si>
  <si>
    <t>thôn Quảng Bình, xã Nghĩa Thắng, huyện Đăk R Lấp, tỉnh Đăk Nông</t>
  </si>
  <si>
    <t>Anh Hậu</t>
  </si>
  <si>
    <t>0383028992</t>
  </si>
  <si>
    <t>thôn Quảng Lộc, xã Đạo Nghĩa, huyện Dak R Lấp, tỉnh Đăk Nông</t>
  </si>
  <si>
    <t>Ngân hàng HDbank Krong Buk, xã Pơng Drang, huyện Krong Buk, tỉnh Đăk Lăk</t>
  </si>
  <si>
    <t>Chú Bùi Tuấn Hùng</t>
  </si>
  <si>
    <t>0986797616</t>
  </si>
  <si>
    <t>làng Khớp, xã Ia Grăng, huyện Ia Grai, tỉnh Gia Lai</t>
  </si>
  <si>
    <t>Anh Khoa (Gas Khoa)</t>
  </si>
  <si>
    <t>0347729550</t>
  </si>
  <si>
    <t>Ngọc Lâm 1,  Phú Thanh, Tân Phú, Đồng Nai</t>
  </si>
  <si>
    <t>Anh Sơn</t>
  </si>
  <si>
    <t>0979144841</t>
  </si>
  <si>
    <t>thôn 7, xã Ea Ning, huyện Cư Kuin, tỉnh Đăk Lăk</t>
  </si>
  <si>
    <t>Anh Hưng Hà</t>
  </si>
  <si>
    <t>0988250159</t>
  </si>
  <si>
    <t>153 thôn EaKai, X.Đliê Ya, H.Krông Năng, T.Đăk Lăk</t>
  </si>
  <si>
    <t>Sửa đơn do nhầm khách, bù phí 66.001</t>
  </si>
  <si>
    <t>Bác Việt</t>
  </si>
  <si>
    <t>0388156609</t>
  </si>
  <si>
    <t>Số nhà 233, đường số 4, thôn Tân Đông, xã EaKenh, huyện Krong Pack, tỉnh Đak Lăk</t>
  </si>
  <si>
    <t>153 Thôn Eakrai, xã Đliê Ya, huyện Krông Năng, tỉnh Đăk Lăk</t>
  </si>
  <si>
    <t>Anh Đỗ Văn Thịnh</t>
  </si>
  <si>
    <t>0978345838</t>
  </si>
  <si>
    <t>tổ 5, thị trấn Kon Dỡng, huyện Mang Yang, tỉnh Gia Lai</t>
  </si>
  <si>
    <t>79 thôn Phan Lập 1, X.Ea Kuăng, H.Krông Pắk, T.Đăk Lăk</t>
  </si>
  <si>
    <t>Anh Thành Đạt</t>
  </si>
  <si>
    <t>0846468078</t>
  </si>
  <si>
    <t>1044 Hùng Vương, TT.Di Linh, H.Di Linh, T.Lâm Ðồng</t>
  </si>
  <si>
    <t>Anh Đỗ Ngọc Thế</t>
  </si>
  <si>
    <t>0971651410</t>
  </si>
  <si>
    <t>thôn 1, xã Ea Hu, huyện Cư Kuin, tỉnh Đak Lăk</t>
  </si>
  <si>
    <t>0336006264</t>
  </si>
  <si>
    <t>Thôn 6, X.Quảng Tân, H.Tuy Đức, T.Đăk Nông</t>
  </si>
  <si>
    <t>Chị Hiền CTV</t>
  </si>
  <si>
    <t>Anh Tý</t>
  </si>
  <si>
    <t>0358122117</t>
  </si>
  <si>
    <t>Ấp Tân Trung B, X.Tân Hưng, H.Tân Châu, T.Tây Ninh</t>
  </si>
  <si>
    <t>Tiền hàng
 Tháng 2</t>
  </si>
  <si>
    <t>Tiền hàng Tháng 3</t>
  </si>
  <si>
    <t>Phí ship 
Tháng 2</t>
  </si>
  <si>
    <t>66.001 phí sửa đơn anh Hưng Hà 16/3</t>
  </si>
  <si>
    <t>12 Hoàng Quốc Việt, TT.Khánh Vĩnh, H.Khánh Vĩnh, T.Khánh Hòa</t>
  </si>
  <si>
    <t>Gửi bù do giao nhầm đơn ngày 8/3/2023</t>
  </si>
  <si>
    <t xml:space="preserve">Phí sửa thông tin đơn </t>
  </si>
  <si>
    <t xml:space="preserve">DANH SÁCH BÁN HÀNG THÁNG 02/2023 - OMI (Từ ngày 16/1/2022đến 25/02/2023) </t>
  </si>
  <si>
    <r>
      <rPr>
        <rFont val="Times New Roman"/>
        <b/>
        <color theme="1"/>
        <sz val="13.0"/>
      </rPr>
      <t xml:space="preserve">TRẠNG THÁI
</t>
    </r>
    <r>
      <rPr>
        <rFont val="Times New Roman"/>
        <b/>
        <i/>
        <color theme="1"/>
        <sz val="13.0"/>
      </rPr>
      <t>Đã trừ: x</t>
    </r>
  </si>
  <si>
    <t>17/2 Lợi Hiệp, P.Cam Lợi, TP.Cam Ranh, T.Khánh Hòa</t>
  </si>
  <si>
    <t>Thôn Du Oai Thôn Du Oai, X.Sơn Lâm, H.Khánh Sơn, T.Khánh Hòa</t>
  </si>
  <si>
    <t>Anh Trịnh Xuân Sang</t>
  </si>
  <si>
    <t>0353769594</t>
  </si>
  <si>
    <t>Thôn 3 Thôn 3, X.Đức Phổ, H.Cát Tiên, T.Lâm Ðồng</t>
  </si>
  <si>
    <t>OMI Haka-100ml</t>
  </si>
  <si>
    <t>Lê Văn Mà (zalo: cây cảnh)</t>
  </si>
  <si>
    <t>0905098112</t>
  </si>
  <si>
    <t>Số 472 đường thanh liêm. Thôn Thanh liêm xã nhơn an. TX an nhơn. Tỉnh Bình Định</t>
  </si>
  <si>
    <t>Anh Nhựt Ninh</t>
  </si>
  <si>
    <t>0961671287</t>
  </si>
  <si>
    <t>Ấp Phước Đức, X.Phước Đông, H.Gò Dầu, T.Tây Ninh</t>
  </si>
  <si>
    <t xml:space="preserve"> 0919978669</t>
  </si>
  <si>
    <t>Tổ 10 Ấp Hoà Thành, X.Ngọc Định, H.Định Quán, T.Đồng Nai</t>
  </si>
  <si>
    <t>Cây giống Cường Thịnh xóm 1 thôn 4, X.La Dạ, H.Hàm Thuận Bắc, T.Bình Thuận</t>
  </si>
  <si>
    <t>Chị Nguyễn Vũ Yến Linh</t>
  </si>
  <si>
    <t>Nhà nghỉ Thuỳ Linh, Tổ 10, Thôn Võ Cạnh, Xã Vĩnh Trung, Nha Trang, Tỉnh Khánh Hoà</t>
  </si>
  <si>
    <t>1/2/1023</t>
  </si>
  <si>
    <t>Vườn kế chị Linh</t>
  </si>
  <si>
    <t>Omi Haka-100ml</t>
  </si>
  <si>
    <t>thôn Nghĩa Dũng, xã Sa Nghĩa, huyện Sa Thầy, tỉnh Kon Tum</t>
  </si>
  <si>
    <t>Thôn Quảng An xã đạo nghĩa huyện Đăk R lắp Đăk nông</t>
  </si>
  <si>
    <t>Công ty Cổ phần Bia Sài Gòn Vĩnh Long, Khóm Tân Vĩnh Thuận, Phường Tân Ngãi, Thành phố Vĩnh Long, tỉnh Vĩnh Long (Xưởng động lực bảo trì)</t>
  </si>
  <si>
    <t>Anh Phan Thanh Tuyền</t>
  </si>
  <si>
    <t>0383551879</t>
  </si>
  <si>
    <t>Ấp Tân Hòa, X.Tân Long, H.Mang Thít, T.Vĩnh Long</t>
  </si>
  <si>
    <t>Anh Kalo</t>
  </si>
  <si>
    <t>0382776710</t>
  </si>
  <si>
    <t>thôn Bù Sa, X.Đồng Nai Thượng, H.Cát Tiên, T.Lâm Ðồng</t>
  </si>
  <si>
    <t>Thạnh Lợi A, Tân Phú Thạnh, Châu Thành A,Hậu Giang.</t>
  </si>
  <si>
    <t>Anh Tiến</t>
  </si>
  <si>
    <t>0337075073</t>
  </si>
  <si>
    <t xml:space="preserve">Tân Bình 2, Xã Lang Minh, Huyện Xuân Lộc, Tỉnh Đồng Nai </t>
  </si>
  <si>
    <t>Anh Hoàng Anh</t>
  </si>
  <si>
    <t>0336429280</t>
  </si>
  <si>
    <t>Thôn Sơn Lập, xã Thọ Sơn, huyện Bù Đăng, tỉnh Bình Phước</t>
  </si>
  <si>
    <t>0938457369</t>
  </si>
  <si>
    <t>456 Phan Xích Long, F2, Phú Nhuận, TPHCM</t>
  </si>
  <si>
    <t>Anh Phạm Trọng Cầu</t>
  </si>
  <si>
    <t>0366724009</t>
  </si>
  <si>
    <t>39 thôn 4, X.Hoà Bắc, H.Di Linh, T.Lâm Ðồng</t>
  </si>
  <si>
    <t>0967381235</t>
  </si>
  <si>
    <t xml:space="preserve">Ấp Phú Yên 1, xã Phú Trung, huyện Tân Phú, tỉnh Đồng Nai </t>
  </si>
  <si>
    <t>Nguyễn Văn Thành</t>
  </si>
  <si>
    <t>0964408507</t>
  </si>
  <si>
    <t>Nam Hải, Ninh Loan, Đức Trọng, Lâm Đồng</t>
  </si>
  <si>
    <t>Chị Lam</t>
  </si>
  <si>
    <t>0343647910</t>
  </si>
  <si>
    <t>304d/22/14 Thôn 10, Xã Đại Lào, Tp Bảo Lộc, Tỉnh Lâm Đồng</t>
  </si>
  <si>
    <t xml:space="preserve"> Thôn 4, Thống Nhất, Bù Đăng, Bình Phước</t>
  </si>
  <si>
    <t>Lê Đức Thắng</t>
  </si>
  <si>
    <t>Trà Sữa Hiện Đại Thảo Kute, ấp 1 xã Bàu Cạn, huyện Long Thành, Đồng Nai</t>
  </si>
  <si>
    <t xml:space="preserve"> Thôn Quảng An, xã Đạo Nghĩa, huyện Đăk R lắp, tỉnh Đăk Nông</t>
  </si>
  <si>
    <t>Tặng 1 áo nông dân tay dài</t>
  </si>
  <si>
    <t>Anh Hồ Văn Anh</t>
  </si>
  <si>
    <t>0374738009</t>
  </si>
  <si>
    <t>Thôn Phước Thịnh - Xã Eayong - KrongPac - Daklak</t>
  </si>
  <si>
    <t xml:space="preserve"> T7 đắk ndrung Đăk song Đăk nông</t>
  </si>
  <si>
    <t>Anh Y Sơn Brong</t>
  </si>
  <si>
    <t>149 buôn drai hling xã hòa xuân tp buôn ma thuột</t>
  </si>
  <si>
    <t>Anh Lê Công Hưng</t>
  </si>
  <si>
    <t>0982776993</t>
  </si>
  <si>
    <t>Trung tâm hành chính huyện Bù Gia Mập, xã Phú Nghĩa, huyện Bù Gia Mập, tỉnh Bình Phước</t>
  </si>
  <si>
    <t xml:space="preserve">Ấp 4 xã Ba Sao, Huyện Cao Lãnh, tỉnh Đồng Tháp </t>
  </si>
  <si>
    <t>Quán cơm chị gấu, Thôn Đồng Tháp, xã Phước Tân, huyện Phú Riềng, tỉnh Bình Phước</t>
  </si>
  <si>
    <t>Nhà nghỉ Thuỳ Linh Tổ 10 Thôn Võ Cạn Tổ 10 Thôn Võ Cạnh, X.Vĩnh Trung, TP.Nha Trang, T.Khánh Hòa</t>
  </si>
  <si>
    <t>Gửi bù 4 chai OMI Haka bị thiếu ngày 1/2</t>
  </si>
  <si>
    <t xml:space="preserve">Anh Toàn </t>
  </si>
  <si>
    <t xml:space="preserve">Vườn rau nhà hàng </t>
  </si>
  <si>
    <t>Giao cho khách rồi, đã thu tiền mặt</t>
  </si>
  <si>
    <t>Tặng 1 áo thun tay dài</t>
  </si>
  <si>
    <t>Anh Nguyễn Tấn Đạt</t>
  </si>
  <si>
    <t>0365528459</t>
  </si>
  <si>
    <t>Gần bến phà Tân Phong qua Hiệp Đức, X.Tân Phong, H.Cai Lậy, T.Tiền Giang</t>
  </si>
  <si>
    <t>Anh Trịnh Phạm Hảo</t>
  </si>
  <si>
    <t xml:space="preserve">0932932868
</t>
  </si>
  <si>
    <t>Ấp Thạnh Hựu, xã Tam Phước, huyện Châu Thành, tỉnh Bến Tre</t>
  </si>
  <si>
    <t>Anh Nguyễn Tuấn Kiệt</t>
  </si>
  <si>
    <t>0972977776</t>
  </si>
  <si>
    <t>X.Đa Mi, H.Hàm Thuận Bắc, T.Bình Thuận</t>
  </si>
  <si>
    <t>Anh Hồng Nhơn</t>
  </si>
  <si>
    <t>0397030535</t>
  </si>
  <si>
    <t>Xã Thành Sơn, Huyện Khánh Sơn, Tỉnh Khánh Hòa</t>
  </si>
  <si>
    <t>130 Hùng Vương, nhà thuốc quỳnh như, phường đạt hiếu, thị xã buôn hồ, đaklak</t>
  </si>
  <si>
    <t xml:space="preserve">Anh Quechi Very </t>
  </si>
  <si>
    <t>0989700105 (0326859619)</t>
  </si>
  <si>
    <t>ea chăm,ea tân, Krông năng, Đăk Lăk</t>
  </si>
  <si>
    <t>0774597755 (0378527838)</t>
  </si>
  <si>
    <t>thôn  Quảng An xã Đạo Nghĩa, huyện Đăk Rlấp, tỉnh Đăk Nông</t>
  </si>
  <si>
    <t>Gửi cho chị Hằng chụp hình sp</t>
  </si>
  <si>
    <t xml:space="preserve">Đỗ Thị Hằng (Vườn Anh Vũ Đình Tính ) </t>
  </si>
  <si>
    <t>Anh Đặng Hữu Phước</t>
  </si>
  <si>
    <t>0946331465</t>
  </si>
  <si>
    <t>khu 134, thôn 2 căn, phú nghĩa, bù gia mập, bình phước</t>
  </si>
  <si>
    <t>0932932868</t>
  </si>
  <si>
    <t>Gửi bù 1 chai OMI DETOX thiếu đơn 18/2</t>
  </si>
  <si>
    <t>Anh K Wuy</t>
  </si>
  <si>
    <t>0867116463</t>
  </si>
  <si>
    <t>Số nhà 36, Tổ Dân Phố 1c, TT.Đạ Tẻh, H.Đạ Tẻh, T.Lâm Ðồng</t>
  </si>
  <si>
    <t>Anh Quang Lê</t>
  </si>
  <si>
    <t>0375357118</t>
  </si>
  <si>
    <t>Thôn 8b, xã Lộc Thành, huyện Bảo Lâm, tỉnh Lâm Đồng</t>
  </si>
  <si>
    <t>Trà Sữa Hiện Đại Thảo Kute, ấp 1, xã Bàu Cạn, huyện Long Thành, Đồng Nai</t>
  </si>
  <si>
    <t xml:space="preserve">Anh Ngọc Dũng </t>
  </si>
  <si>
    <t>0396771297  0983250233</t>
  </si>
  <si>
    <t>Số 19 Quốc lộ 14, Xã Trường Xuân, Huyện Đăk Song, Tỉnh Đăk Nông</t>
  </si>
  <si>
    <t>Anh Nguyễn Trọng Quốc Tuấn</t>
  </si>
  <si>
    <t>0815223347</t>
  </si>
  <si>
    <t>1789 Hùng Vương, phường Bình Tân, thị xã Buôn Hồ, tỉnh Đắk Lắk</t>
  </si>
  <si>
    <t>Tiền hàng
 Tháng 1</t>
  </si>
  <si>
    <t>Tiền hàng Tháng 2</t>
  </si>
  <si>
    <t>Phí ship 
Tháng 1</t>
  </si>
  <si>
    <t>5001 Phí hoàn đơn Quang Thắng 4/1</t>
  </si>
  <si>
    <t>Karimon 
và Kỹ thuật</t>
  </si>
  <si>
    <t>Mega Kato</t>
  </si>
  <si>
    <t>Doanh số tổng</t>
  </si>
  <si>
    <t>TIÊN PHẢI THU ( SAU GIẢM GIÁ)</t>
  </si>
  <si>
    <t>DS T2</t>
  </si>
  <si>
    <t>Anh Quang Thắng</t>
  </si>
  <si>
    <t>0358658467</t>
  </si>
  <si>
    <t>thôn Đak Tin, xã Đak Ngọk, huyện Đak Hà, tỉnh Kon Tum</t>
  </si>
  <si>
    <t>Gửi bù 4 chai bị thiếu ngày 1/2</t>
  </si>
  <si>
    <t>ấp Thạnh Hựu, X.Tam Phước, H.Châu Thành, T.Bến Tre</t>
  </si>
  <si>
    <t>Gửi bù 1 chai bị thiếu ngày 18/2</t>
  </si>
  <si>
    <t xml:space="preserve"> * GHI CHÚ: QUÀ TẶNG ÁO THUN TAY DÀI</t>
  </si>
  <si>
    <t xml:space="preserve">DANH SÁCH BÁN HÀNG THÁNG 03/2023 - OMI (Từ ngày 26/03/2023 đến 25/04/2023) </t>
  </si>
  <si>
    <r>
      <rPr>
        <rFont val="Times New Roman"/>
        <b/>
        <color theme="1"/>
        <sz val="13.0"/>
      </rPr>
      <t xml:space="preserve">TRẠNG THÁI
</t>
    </r>
    <r>
      <rPr>
        <rFont val="Times New Roman"/>
        <b/>
        <i/>
        <color theme="1"/>
        <sz val="13.0"/>
      </rPr>
      <t>Đã trừ: x</t>
    </r>
  </si>
  <si>
    <r>
      <rPr>
        <rFont val="Times New Roman"/>
        <b/>
        <color theme="1"/>
        <sz val="13.0"/>
      </rPr>
      <t xml:space="preserve">TRẠNG THÁI
</t>
    </r>
    <r>
      <rPr>
        <rFont val="Times New Roman"/>
        <b/>
        <i/>
        <color theme="1"/>
        <sz val="13.0"/>
      </rPr>
      <t>Đã trừ: x</t>
    </r>
  </si>
  <si>
    <t>Anh Mạnh</t>
  </si>
  <si>
    <t>0905290546</t>
  </si>
  <si>
    <t>thôn Xóm Cỏ, xã Sơn Bình, huyện Khánh Sơn, tỉnh Khánh Hòa</t>
  </si>
  <si>
    <t>Tặng 1 chai OMI Nitro-100ml +free ship</t>
  </si>
  <si>
    <t>thôn 4, X.Thống Nhất, H.Bù Đăng, T.Bình Phước</t>
  </si>
  <si>
    <t>Tặng 1 chai OMI Nitro-100ml+free ship</t>
  </si>
  <si>
    <t>Anh  Huy</t>
  </si>
  <si>
    <t>0865974677</t>
  </si>
  <si>
    <t>04/52 Tuệ Tĩnh Tổ 6, P.Ia Kring, TP.Pleiku, T.Gia Lai</t>
  </si>
  <si>
    <t>Lộ 8 Nhàn đi vô cầu gắn kết Ước Mơ (nhà bác 2 Khởi), TT.Chợ Lách, H.Chợ Lách, T.Bến Tre</t>
  </si>
  <si>
    <t>0399566009</t>
  </si>
  <si>
    <t>Tiệm thuốc tây Phương Liễu 21 Tuệ Tĩnh, TT.Kon Dơng, H.Mang Yang, T.Gia Lai</t>
  </si>
  <si>
    <t>Anh Nguyễn Trung Kiên</t>
  </si>
  <si>
    <t>0932986008</t>
  </si>
  <si>
    <t>391 ấp Long Khánh, X.Long Hậu, H.Lai Vung, T.Đồng Tháp</t>
  </si>
  <si>
    <t>Anh Phan Quốc Đạt</t>
  </si>
  <si>
    <t>0976333744</t>
  </si>
  <si>
    <t>thác 34 thôn 1, X.Đức Liễu, H.Bù Đăng, T.Bình Phước</t>
  </si>
  <si>
    <t>Anh Nguyễn Minh Hạnh</t>
  </si>
  <si>
    <t>0378815759</t>
  </si>
  <si>
    <t>thôn Tân Tiến, X.Cư Huê, H.Ea Kar, T.Đăk Lăk</t>
  </si>
  <si>
    <t>Chị Lê Thanh Lịch</t>
  </si>
  <si>
    <t>0948483656</t>
  </si>
  <si>
    <t>thôn Mỹ Thượng, X.Hưng Mỹ, H.Hưng Nguyên, T.Nghệ An</t>
  </si>
  <si>
    <t>Anh Bùi Văn Nhựt</t>
  </si>
  <si>
    <t>0388101747</t>
  </si>
  <si>
    <t>Ấp 2, X.Long Thuận, H.Thủ Thừa, T.Long An</t>
  </si>
  <si>
    <t>Tặng 1 chai OMI Nitro-100ml</t>
  </si>
  <si>
    <t>LAMDA GOLD</t>
  </si>
  <si>
    <t>0987472957</t>
  </si>
  <si>
    <t xml:space="preserve"> TT.Buôn Trấp, H.Krông A Na, T.Đăk Lăk</t>
  </si>
  <si>
    <t>0852377800</t>
  </si>
  <si>
    <t>Ấp Phước Yên A, X.Phú Quới, H.Long Hồ, T.Vĩnh Long</t>
  </si>
  <si>
    <t>Anh Kiệt</t>
  </si>
  <si>
    <t>0782882833</t>
  </si>
  <si>
    <t>số nhà 143 ấp Phú An, X.An Phú Thuận, H.Châu Thành, T.Đồng Tháp</t>
  </si>
  <si>
    <t>Chị Yến Nhi</t>
  </si>
  <si>
    <t>0386057028</t>
  </si>
  <si>
    <t>số 17, đường C5, KDC Minh Châu, P.7, TP.Sóc Trăng, T.Sóc Trăng</t>
  </si>
  <si>
    <t>Chị Thủy</t>
  </si>
  <si>
    <t>0973758407</t>
  </si>
  <si>
    <t>Ấp Trường Khương, X.Trường Long, H.Phong Điền, TP.Cần Thơ</t>
  </si>
  <si>
    <t>Anh Hùng</t>
  </si>
  <si>
    <t>0967177168</t>
  </si>
  <si>
    <t>ấp Bàu Chim, X.Phú Xuân, H.Tân Phú, T.Đồng Nai</t>
  </si>
  <si>
    <t>Anh Nguyễn Hoàng Tân</t>
  </si>
  <si>
    <t>0984171714</t>
  </si>
  <si>
    <t>31 Nguyễn Tất Thành, TT.Krông Năng, H.Krông Năng, T.Đăk Lăk</t>
  </si>
  <si>
    <t>Chị Hương</t>
  </si>
  <si>
    <t>0898801606</t>
  </si>
  <si>
    <t>số nhà 72 ấp Tân Nhơn, P.Tân Hoà, TP.Vĩnh Long, T.Vĩnh Long</t>
  </si>
  <si>
    <t>Bình Giữ Nhiệt</t>
  </si>
  <si>
    <t>Tặng 1 chai OMI Haka-100ml+ 1 bình giữ nhiệt + bao lì xì (5 cái)+free ship</t>
  </si>
  <si>
    <t>115 Thôn 9 X Đinh Trang Hòa H Di Linh T Lâm Ðồng</t>
  </si>
  <si>
    <t>Tặng 2 chai OMI Haka-100ml+ 1 bình giữ nhiệt + bao lì xì (5 cái)</t>
  </si>
  <si>
    <t>Anh Luân Khúc</t>
  </si>
  <si>
    <t>0967016017</t>
  </si>
  <si>
    <t>68a THÔN Đoàn Kết 1, X.Ea Tih, H.Ea Kar, T.Đăk Lăk</t>
  </si>
  <si>
    <t>Anh Minh Tấn</t>
  </si>
  <si>
    <t>Anh Lưu Xuân Tuân</t>
  </si>
  <si>
    <t>0933655487</t>
  </si>
  <si>
    <t>TT.Tô Hạp, H.Khánh Sơn, T.Khánh Hòa</t>
  </si>
  <si>
    <t>0354148314</t>
  </si>
  <si>
    <t>28 Thổ Hoàng 1, X.Đắk Sắk, H.Đắk Mil, T.Đăk Nông</t>
  </si>
  <si>
    <t>Anh Bùi Sáu</t>
  </si>
  <si>
    <t>0988455667</t>
  </si>
  <si>
    <t>thôn Thống Nhất, X.Ia Tiêm, H.Chư Sê, T.Gia Lai</t>
  </si>
  <si>
    <t>Tặng 1 chai OMI Haka-100ml+free ship</t>
  </si>
  <si>
    <t>Khu 4 ấp Xuân Thiện, X.Xuân Thiện, H.Thống Nhất, T.Đồng Nai</t>
  </si>
  <si>
    <t>Anh Đặng Quang Anh</t>
  </si>
  <si>
    <t>0972799948</t>
  </si>
  <si>
    <t>thôn 1, X.Đắk Mar, H.Đắk Hà, T.Kon Tum</t>
  </si>
  <si>
    <t>thôn 1 thôn 1, X.Ea Hu, H.Cư Kuin, T.Đăk Lăk</t>
  </si>
  <si>
    <t>Anh Phạm Việt</t>
  </si>
  <si>
    <t>0399048905</t>
  </si>
  <si>
    <t>Bon Mê Ra Bon Mê Ra, X.Quảng Tân, H.Tuy Đức, T.Đăk Nông</t>
  </si>
  <si>
    <t>, THÔN 5, X.Phú Xuân, H.Krông Năng, T.Đăk Lă</t>
  </si>
  <si>
    <t>Anh Võ Tá Hưởng</t>
  </si>
  <si>
    <t>0364752715</t>
  </si>
  <si>
    <t>Thôn 11, X.Nâm N'jang, H.Đắk Song, T.Đăk Nông</t>
  </si>
  <si>
    <t>Anh Nguyễn Lưu Tú</t>
  </si>
  <si>
    <t>0935931413</t>
  </si>
  <si>
    <t>thôn 2, X.Krông Á, H.M'đrắk, T.Đăk Lăk</t>
  </si>
  <si>
    <t>Tặng 1 chai OMI Haka-100ml</t>
  </si>
  <si>
    <t>Anh Đỗ Thanh Chương</t>
  </si>
  <si>
    <t>0968095979</t>
  </si>
  <si>
    <t>thôn Trung An, X.Ea Tih, H.Ea Kar, T.Đăk Lăk</t>
  </si>
  <si>
    <t>Khách CK, Tặng 1 chai OMI Nitro-100ml</t>
  </si>
  <si>
    <t xml:space="preserve">1 thùng 30 chai tặng 2 chai </t>
  </si>
  <si>
    <t>2 thùng 30 chai tặng 2 chai</t>
  </si>
  <si>
    <t>Mua 3 chai tặng 1 chai</t>
  </si>
  <si>
    <t>Tặng 1 bình giữ nhiệt + 10 bao lì xì</t>
  </si>
  <si>
    <t>Siêu lân 86</t>
  </si>
  <si>
    <t>Anh Phan Hoàng Long</t>
  </si>
  <si>
    <t>0702917797</t>
  </si>
  <si>
    <t>số nhà 43, tổ NNTQ 3, ấp Mỹ Phú, xã Mỹ Lộc, huyện Tam Bình, tỉnh Vĩnh Long</t>
  </si>
  <si>
    <t>Tặng 1 chai OMI Nitro-100ml, tiền ship cty hỗ trợ</t>
  </si>
  <si>
    <t>Anh Nguyễn Văn Hòa</t>
  </si>
  <si>
    <t>0395679606</t>
  </si>
  <si>
    <t>thôn 6, X.Nghĩa Trung, H.Bù Đăng, T.Bình Phước</t>
  </si>
  <si>
    <t>Chị Hảo</t>
  </si>
  <si>
    <t>0932944267</t>
  </si>
  <si>
    <t>Ấp Nhơn Thọ 2a, X.Nhơn Ái, H.Phong Điền, TP.Cần Thơ</t>
  </si>
  <si>
    <t>Anh Nguyễn Văn Nam</t>
  </si>
  <si>
    <t>0943321339</t>
  </si>
  <si>
    <t>thôn Tân Lập 6, X.Pơng Drang, H.Krông Búk, T.Đăk Lăk</t>
  </si>
  <si>
    <t>Chị Nguyễn Yến Vi</t>
  </si>
  <si>
    <t>0357929858</t>
  </si>
  <si>
    <t>298 Đường Quang Trung Tổ 10A, P.Bắc Sơn, TP.Tam Điệp, T.Ninh Bình</t>
  </si>
  <si>
    <t>Chú Chiến</t>
  </si>
  <si>
    <t>0944922579</t>
  </si>
  <si>
    <t>Số nhà 615 Tổ 1 Thôn 8, X.Đa Kai, H.Đức Linh, T.Bình Thuận</t>
  </si>
  <si>
    <t>thôn Xóm Cỏ, X.Sơn Bình, H.Khánh Sơn, T.Khánh Hòa</t>
  </si>
  <si>
    <t>Gửi 1 chai OMI Oxy phun giải độc, khách phun đúng liều nhưng cây bị héo</t>
  </si>
  <si>
    <t>Anh Trần Ngọc Phú</t>
  </si>
  <si>
    <t>0987601257</t>
  </si>
  <si>
    <t>Thôn Eamkeng, X.Eabar, H.Sông Hinh, T.Phú Yên</t>
  </si>
  <si>
    <t>Bình giữ nhiệt</t>
  </si>
  <si>
    <t>Tặng 1 bình giữ nhiệt+free ship</t>
  </si>
  <si>
    <t>Tặng 1 bình giữ nhiệt + 5 bao lì xì</t>
  </si>
  <si>
    <t>40 Lê Duẩn, TDP 8, P.An Lạc, TX.Buôn Hồ, T.Đăk Lăk</t>
  </si>
  <si>
    <t>TARO Plus</t>
  </si>
  <si>
    <t>CANXI BO</t>
  </si>
  <si>
    <t>Anh Bùi Gia Phúc</t>
  </si>
  <si>
    <t>0839439479</t>
  </si>
  <si>
    <t>Thông Quỳnh Tân 3, TT.Buôn Trấp, H.Krông A Na, T.Đăk Lăk</t>
  </si>
  <si>
    <t>ẤP Phước Hiệp, X.Phước Ninh, H.Dương Minh Châu, T.Tây Ninh</t>
  </si>
  <si>
    <t>Anh K Môn</t>
  </si>
  <si>
    <t>0325294055</t>
  </si>
  <si>
    <t>X.Phước Lộc, H.Đạ Huoai, T.Lâm Ðồng</t>
  </si>
  <si>
    <t>Anh Huân</t>
  </si>
  <si>
    <t>0383182219</t>
  </si>
  <si>
    <t>Tổ 4 Thôn Đa Kim, X.Đa Mi, H.Hàm Thuận Bắc, T.Bình Thuận</t>
  </si>
  <si>
    <t>Số nhà 01, thôn Giang Trung, X.Tam Giang, H.Krông Năng, T.Đăk Lăk</t>
  </si>
  <si>
    <t>153 thôn Eakrai, X.Đliê Ya, H.Krông Năng, T.Đăk Lăk</t>
  </si>
  <si>
    <t>Anh Lưu Quang Vinh</t>
  </si>
  <si>
    <t>0395261890</t>
  </si>
  <si>
    <t>Ấp 6, X.Minh Hưng, H.Bù Đăng, T.Bình Phước</t>
  </si>
  <si>
    <t>X.Thành Sơn, H.Khánh Sơn, T.Khánh Hòa</t>
  </si>
  <si>
    <t>Nhà nghỉ Thuỳ Linh, Tổ 10 THÔN Võ Cạnh, X.Vĩnh Trung, TP.Nha Trang, T.Khánh Hòa</t>
  </si>
  <si>
    <t>Anh Nguyễn Sáu Bonsai</t>
  </si>
  <si>
    <t>0977808766</t>
  </si>
  <si>
    <t>21/3z ẤP Chánh 2, X.Tân Xuân, H.Hóc Môn, TP.Hồ Chí Minh</t>
  </si>
  <si>
    <t>Chị Lê Thị Kim Hòa</t>
  </si>
  <si>
    <t>0919954804</t>
  </si>
  <si>
    <t>X.Ea Blang, TX.Buôn Hồ, T.Đăk Lăk</t>
  </si>
  <si>
    <t>Anh Phạm Tiến Thành</t>
  </si>
  <si>
    <t>0866872507</t>
  </si>
  <si>
    <t>Thôn Hoàng Tiên, X.Ia Phìn, H.Chư Prông, T.Gia Lai</t>
  </si>
  <si>
    <t xml:space="preserve"> Nguyễn Thị Kim Oanh</t>
  </si>
  <si>
    <t>0914041177</t>
  </si>
  <si>
    <t>325/9 Hùng Vương, P.Tân Lập, TP.Buôn Ma Thuột, T.Đăk Lăk</t>
  </si>
  <si>
    <t>149, Buôn Drai Hling,, X.Hoà Xuân, TP.Buôn Ma Thuột, T.Đăk Lăk</t>
  </si>
  <si>
    <t>Tặng 5 bao lì xì</t>
  </si>
  <si>
    <t>Nhữ Văn Sự, số nhà 88 thôn Quyết Tiến 2, X.Ea Tih, H.Ea Kar, T.Đăk Lăk</t>
  </si>
  <si>
    <t>Tổ Dân Phố 1c, TT.Đạ Tẻh, H.Đạ Tẻh, T.Lâm Ðồng</t>
  </si>
  <si>
    <t>Tặng 1 bình giữ nhiệt + free ship</t>
  </si>
  <si>
    <t>Áo tay dài</t>
  </si>
  <si>
    <t>Tiền hàng
 Tháng 12</t>
  </si>
  <si>
    <t>Tiền hàng Tháng 01</t>
  </si>
  <si>
    <t>Phí ship 
Tháng 01</t>
  </si>
  <si>
    <t>28/12/0202</t>
  </si>
  <si>
    <t>Đỗ Thanh Chương CK</t>
  </si>
  <si>
    <t>TỔNG TIỀN HÀNG PHẢI THU</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</si>
</sst>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_(* #,##0_);_(* \(#,##0\);_(* &quot;-&quot;??_);_(@_)"/>
    <numFmt numFmtId="165" formatCode="_-* #,##0\ _₫_-;\-* #,##0\ _₫_-;_-* &quot;-&quot;??\ _₫_-;_-@"/>
    <numFmt numFmtId="166" formatCode="dd/MM/yyyy"/>
    <numFmt numFmtId="167" formatCode="#,##0;[Red]#,##0"/>
    <numFmt numFmtId="168" formatCode="d/m/yyyy"/>
    <numFmt numFmtId="169" formatCode="dd/mm/yyyy"/>
    <numFmt numFmtId="170" formatCode="#,##0.00\ [$đ-42A]"/>
  </numFmts>
  <fonts count="56">
    <font>
      <sz val="10.0"/>
      <color rgb="FF000000"/>
      <name val="Arial"/>
      <scheme val="minor"/>
    </font>
    <font>
      <b/>
      <sz val="16.0"/>
      <color rgb="FFFF0000"/>
      <name val="Times New Roman"/>
    </font>
    <font/>
    <font>
      <b/>
      <sz val="20.0"/>
      <color rgb="FFFF0000"/>
      <name val="Times New Roman"/>
    </font>
    <font>
      <sz val="18.0"/>
      <color theme="1"/>
      <name val="Times New Roman"/>
    </font>
    <font>
      <sz val="18.0"/>
      <color theme="1"/>
      <name val="Arial"/>
    </font>
    <font>
      <sz val="10.0"/>
      <color rgb="FF000000"/>
      <name val="Arial"/>
    </font>
    <font>
      <b/>
      <sz val="13.0"/>
      <color theme="1"/>
      <name val="Times New Roman"/>
    </font>
    <font>
      <sz val="13.0"/>
      <color rgb="FF000000"/>
      <name val="Arial"/>
    </font>
    <font>
      <sz val="13.0"/>
      <color theme="1"/>
      <name val="Times New Roman"/>
    </font>
    <font>
      <sz val="13.0"/>
      <color theme="1"/>
      <name val="Arial"/>
    </font>
    <font>
      <b/>
      <sz val="13.0"/>
      <color rgb="FFFF0000"/>
      <name val="Times New Roman"/>
    </font>
    <font>
      <b/>
      <sz val="14.0"/>
      <color theme="1"/>
      <name val="Times New Roman"/>
    </font>
    <font>
      <sz val="13.0"/>
      <color rgb="FF000000"/>
      <name val="Times New Roman"/>
    </font>
    <font>
      <sz val="12.0"/>
      <color rgb="FF000000"/>
      <name val="Times New Roman"/>
    </font>
    <font>
      <sz val="13.0"/>
      <color theme="1"/>
      <name val="&quot;Times New Roman&quot;"/>
    </font>
    <font>
      <i/>
      <sz val="13.0"/>
      <color theme="1"/>
      <name val="Times New Roman"/>
    </font>
    <font>
      <b/>
      <sz val="13.0"/>
      <color rgb="FFCC0000"/>
      <name val="Times New Roman"/>
    </font>
    <font>
      <b/>
      <sz val="13.0"/>
      <color rgb="FF000000"/>
      <name val="Times New Roman"/>
    </font>
    <font>
      <sz val="14.0"/>
      <color theme="1"/>
      <name val="Arial"/>
    </font>
    <font>
      <b/>
      <sz val="13.0"/>
      <color rgb="FFE36C09"/>
      <name val="Times New Roman"/>
    </font>
    <font>
      <sz val="12.0"/>
      <color theme="1"/>
      <name val="Times New Roman"/>
    </font>
    <font>
      <b/>
      <sz val="13.0"/>
      <color rgb="FF990000"/>
      <name val="Times New Roman"/>
    </font>
    <font>
      <sz val="10.0"/>
      <color theme="1"/>
      <name val="Arial"/>
    </font>
    <font>
      <b/>
      <sz val="12.0"/>
      <color rgb="FFFF0000"/>
      <name val="Times New Roman"/>
    </font>
    <font>
      <sz val="12.0"/>
      <color rgb="FFFF0000"/>
      <name val="Times New Roman"/>
    </font>
    <font>
      <sz val="13.0"/>
      <color rgb="FFFF0000"/>
      <name val="Times New Roman"/>
    </font>
    <font>
      <b/>
      <sz val="15.0"/>
      <color rgb="FFFF0000"/>
      <name val="Times New Roman"/>
    </font>
    <font>
      <b/>
      <sz val="12.0"/>
      <color theme="1"/>
      <name val="Times New Roman"/>
    </font>
    <font>
      <sz val="13.0"/>
      <color rgb="FFCC0000"/>
      <name val="Times New Roman"/>
    </font>
    <font>
      <sz val="14.0"/>
      <color theme="1"/>
      <name val="Times New Roman"/>
    </font>
    <font>
      <sz val="12.0"/>
      <color rgb="FFCC0000"/>
      <name val="Times New Roman"/>
    </font>
    <font>
      <b/>
      <u/>
      <sz val="13.0"/>
      <color rgb="FF990000"/>
      <name val="Times New Roman"/>
    </font>
    <font>
      <b/>
      <sz val="12.0"/>
      <color rgb="FF000000"/>
      <name val="Times New Roman"/>
    </font>
    <font>
      <sz val="12.0"/>
      <color rgb="FF434343"/>
      <name val="Times New Roman"/>
    </font>
    <font>
      <sz val="14.0"/>
      <color rgb="FF000000"/>
      <name val="Arial"/>
    </font>
    <font>
      <b/>
      <sz val="13.0"/>
      <color rgb="FF980000"/>
      <name val="Times New Roman"/>
    </font>
    <font>
      <sz val="10.0"/>
      <color rgb="FF000000"/>
      <name val="Times New Roman"/>
    </font>
    <font>
      <sz val="13.0"/>
      <color rgb="FF000000"/>
      <name val="&quot;Times New Roman&quot;"/>
    </font>
    <font>
      <b/>
      <sz val="14.0"/>
      <color rgb="FFFF0000"/>
      <name val="Times New Roman"/>
    </font>
    <font>
      <sz val="16.0"/>
      <color rgb="FF000000"/>
      <name val="Times New Roman"/>
    </font>
    <font>
      <sz val="10.0"/>
      <color theme="1"/>
      <name val="Times New Roman"/>
    </font>
    <font>
      <sz val="16.0"/>
      <color theme="1"/>
      <name val="Times New Roman"/>
    </font>
    <font>
      <sz val="16.0"/>
      <color rgb="FFCC0000"/>
      <name val="Times New Roman"/>
    </font>
    <font>
      <b/>
      <u/>
      <sz val="16.0"/>
      <color rgb="FF990000"/>
      <name val="Times New Roman"/>
    </font>
    <font>
      <b/>
      <sz val="16.0"/>
      <color rgb="FF000000"/>
      <name val="Times New Roman"/>
    </font>
    <font>
      <b/>
      <sz val="16.0"/>
      <color theme="1"/>
      <name val="Times New Roman"/>
    </font>
    <font>
      <color theme="1"/>
      <name val="Times New Roman"/>
    </font>
    <font>
      <sz val="14.0"/>
      <color rgb="FF000000"/>
      <name val="Times New Roman"/>
    </font>
    <font>
      <b/>
      <sz val="14.0"/>
      <color rgb="FF000000"/>
      <name val="Times New Roman"/>
    </font>
    <font>
      <b/>
      <sz val="14.0"/>
      <color rgb="FFE36C09"/>
      <name val="Times New Roman"/>
    </font>
    <font>
      <sz val="12.0"/>
      <color theme="1"/>
      <name val="&quot;Times New Roman&quot;"/>
    </font>
    <font>
      <color theme="1"/>
      <name val="Arial"/>
      <scheme val="minor"/>
    </font>
    <font>
      <sz val="14.0"/>
      <color theme="1"/>
      <name val="&quot;Times New Roman&quot;"/>
    </font>
    <font>
      <sz val="13.0"/>
      <color rgb="FF434343"/>
      <name val="Times New Roman"/>
    </font>
    <font>
      <sz val="11.0"/>
      <color theme="1"/>
      <name val="Arial"/>
    </font>
  </fonts>
  <fills count="34">
    <fill>
      <patternFill patternType="none"/>
    </fill>
    <fill>
      <patternFill patternType="lightGray"/>
    </fill>
    <fill>
      <patternFill patternType="solid">
        <fgColor rgb="FFFFFF00"/>
        <bgColor rgb="FFFFFF00"/>
      </patternFill>
    </fill>
    <fill>
      <patternFill patternType="solid">
        <fgColor rgb="FFC2D69B"/>
        <bgColor rgb="FFC2D69B"/>
      </patternFill>
    </fill>
    <fill>
      <patternFill patternType="solid">
        <fgColor rgb="FFFBD4B4"/>
        <bgColor rgb="FFFBD4B4"/>
      </patternFill>
    </fill>
    <fill>
      <patternFill patternType="solid">
        <fgColor rgb="FFE5B8B7"/>
        <bgColor rgb="FFE5B8B7"/>
      </patternFill>
    </fill>
    <fill>
      <patternFill patternType="solid">
        <fgColor rgb="FF95B3D7"/>
        <bgColor rgb="FF95B3D7"/>
      </patternFill>
    </fill>
    <fill>
      <patternFill patternType="solid">
        <fgColor rgb="FFCCECFF"/>
        <bgColor rgb="FFCCECFF"/>
      </patternFill>
    </fill>
    <fill>
      <patternFill patternType="solid">
        <fgColor theme="0"/>
        <bgColor theme="0"/>
      </patternFill>
    </fill>
    <fill>
      <patternFill patternType="solid">
        <fgColor rgb="FFD9EAD3"/>
        <bgColor rgb="FFD9EAD3"/>
      </patternFill>
    </fill>
    <fill>
      <patternFill patternType="solid">
        <fgColor rgb="FFD9F1F3"/>
        <bgColor rgb="FFD9F1F3"/>
      </patternFill>
    </fill>
    <fill>
      <patternFill patternType="solid">
        <fgColor rgb="FFFEE1CC"/>
        <bgColor rgb="FFFEE1CC"/>
      </patternFill>
    </fill>
    <fill>
      <patternFill patternType="solid">
        <fgColor rgb="FFD2F1DA"/>
        <bgColor rgb="FFD2F1DA"/>
      </patternFill>
    </fill>
    <fill>
      <patternFill patternType="solid">
        <fgColor rgb="FFFFFFFF"/>
        <bgColor rgb="FFFFFFFF"/>
      </patternFill>
    </fill>
    <fill>
      <patternFill patternType="solid">
        <fgColor theme="9"/>
        <bgColor theme="9"/>
      </patternFill>
    </fill>
    <fill>
      <patternFill patternType="solid">
        <fgColor rgb="FFFF9900"/>
        <bgColor rgb="FFFF9900"/>
      </patternFill>
    </fill>
    <fill>
      <patternFill patternType="solid">
        <fgColor rgb="FFB6DDE8"/>
        <bgColor rgb="FFB6DDE8"/>
      </patternFill>
    </fill>
    <fill>
      <patternFill patternType="solid">
        <fgColor rgb="FFE36C09"/>
        <bgColor rgb="FFE36C09"/>
      </patternFill>
    </fill>
    <fill>
      <patternFill patternType="solid">
        <fgColor rgb="FFFEF1CC"/>
        <bgColor rgb="FFFEF1CC"/>
      </patternFill>
    </fill>
    <fill>
      <patternFill patternType="solid">
        <fgColor rgb="FFF6B3AE"/>
        <bgColor rgb="FFF6B3AE"/>
      </patternFill>
    </fill>
    <fill>
      <patternFill patternType="solid">
        <fgColor rgb="FFA6E3B6"/>
        <bgColor rgb="FFA6E3B6"/>
      </patternFill>
    </fill>
    <fill>
      <patternFill patternType="solid">
        <fgColor rgb="FFDDD9C3"/>
        <bgColor rgb="FFDDD9C3"/>
      </patternFill>
    </fill>
    <fill>
      <patternFill patternType="solid">
        <fgColor rgb="FFD99594"/>
        <bgColor rgb="FFD99594"/>
      </patternFill>
    </fill>
    <fill>
      <patternFill patternType="solid">
        <fgColor rgb="FFFF0000"/>
        <bgColor rgb="FFFF0000"/>
      </patternFill>
    </fill>
    <fill>
      <patternFill patternType="solid">
        <fgColor rgb="FFF9CB9C"/>
        <bgColor rgb="FFF9CB9C"/>
      </patternFill>
    </fill>
    <fill>
      <patternFill patternType="solid">
        <fgColor theme="7"/>
        <bgColor theme="7"/>
      </patternFill>
    </fill>
    <fill>
      <patternFill patternType="solid">
        <fgColor theme="6"/>
        <bgColor theme="6"/>
      </patternFill>
    </fill>
    <fill>
      <patternFill patternType="solid">
        <fgColor rgb="FFC9DAF8"/>
        <bgColor rgb="FFC9DAF8"/>
      </patternFill>
    </fill>
    <fill>
      <patternFill patternType="solid">
        <fgColor rgb="FFF1C232"/>
        <bgColor rgb="FFF1C232"/>
      </patternFill>
    </fill>
    <fill>
      <patternFill patternType="solid">
        <fgColor rgb="FF6AA84F"/>
        <bgColor rgb="FF6AA84F"/>
      </patternFill>
    </fill>
    <fill>
      <patternFill patternType="solid">
        <fgColor rgb="FFB6D7A8"/>
        <bgColor rgb="FFB6D7A8"/>
      </patternFill>
    </fill>
    <fill>
      <patternFill patternType="solid">
        <fgColor theme="5"/>
        <bgColor theme="5"/>
      </patternFill>
    </fill>
    <fill>
      <patternFill patternType="solid">
        <fgColor rgb="FFE06666"/>
        <bgColor rgb="FFE06666"/>
      </patternFill>
    </fill>
    <fill>
      <patternFill patternType="solid">
        <fgColor rgb="FFF4CCCC"/>
        <bgColor rgb="FFF4CCCC"/>
      </patternFill>
    </fill>
  </fills>
  <borders count="51">
    <border/>
    <border>
      <left/>
      <top/>
      <bottom style="thin">
        <color rgb="FF000000"/>
      </bottom>
    </border>
    <border>
      <top/>
      <bottom style="thin">
        <color rgb="FF000000"/>
      </bottom>
    </border>
    <border>
      <right/>
      <top/>
      <bottom style="thin">
        <color rgb="FF000000"/>
      </bottom>
    </border>
    <border>
      <left/>
      <right/>
      <top/>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top style="thin">
        <color rgb="FF000000"/>
      </top>
      <bottom style="thin">
        <color rgb="FF000000"/>
      </bottom>
    </border>
    <border>
      <left style="thin">
        <color rgb="FF000000"/>
      </left>
      <right style="thin">
        <color rgb="FF000000"/>
      </right>
      <bottom/>
    </border>
    <border>
      <left style="thin">
        <color rgb="FF000000"/>
      </left>
      <right style="thin">
        <color rgb="FF000000"/>
      </right>
      <top style="thin">
        <color rgb="FF000000"/>
      </top>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border>
    <border>
      <right style="thin">
        <color rgb="FF000000"/>
      </right>
      <bottom style="thin">
        <color rgb="FF000000"/>
      </bottom>
    </border>
    <border>
      <left style="thin">
        <color rgb="FF000000"/>
      </left>
      <top style="thin">
        <color rgb="FF000000"/>
      </top>
    </border>
    <border>
      <left style="thin">
        <color rgb="FF000000"/>
      </left>
      <bottom style="thin">
        <color rgb="FF000000"/>
      </bottom>
    </border>
    <border>
      <left/>
    </border>
    <border>
      <right/>
    </border>
    <border>
      <left/>
      <right style="thin">
        <color rgb="FF000000"/>
      </right>
      <top style="thin">
        <color rgb="FF000000"/>
      </top>
      <bottom style="thin">
        <color rgb="FF000000"/>
      </bottom>
    </border>
    <border>
      <right style="thin">
        <color rgb="FF000000"/>
      </right>
      <top style="thin">
        <color rgb="FF000000"/>
      </top>
    </border>
    <border>
      <right/>
      <top/>
      <bottom/>
    </border>
    <border>
      <left style="thin">
        <color rgb="FF000000"/>
      </left>
      <right style="thin">
        <color rgb="FF000000"/>
      </right>
      <top/>
    </border>
    <border>
      <left/>
      <top/>
      <bottom/>
    </border>
    <border>
      <left/>
      <bottom/>
    </border>
    <border>
      <right/>
      <bottom/>
    </border>
    <border>
      <left/>
      <right/>
      <top/>
    </border>
    <border>
      <left style="thin">
        <color rgb="FF000000"/>
      </left>
      <top style="thin">
        <color rgb="FF000000"/>
      </top>
      <bottom/>
    </border>
    <border>
      <right style="thin">
        <color rgb="FF000000"/>
      </right>
      <top style="thin">
        <color rgb="FF000000"/>
      </top>
      <bottom/>
    </border>
    <border>
      <left style="thin">
        <color rgb="FF000000"/>
      </left>
      <right/>
      <top style="thin">
        <color rgb="FF000000"/>
      </top>
    </border>
    <border>
      <left style="thin">
        <color rgb="FF000000"/>
      </left>
      <right/>
    </border>
    <border>
      <left style="thin">
        <color rgb="FF000000"/>
      </left>
      <right/>
      <bottom style="thin">
        <color rgb="FF000000"/>
      </bottom>
    </border>
    <border>
      <bottom/>
    </border>
    <border>
      <left/>
      <top/>
    </border>
    <border>
      <right/>
      <top/>
    </border>
    <border>
      <left style="thin">
        <color rgb="FF000000"/>
      </left>
    </border>
    <border>
      <left/>
      <right/>
      <bottom/>
    </border>
    <border>
      <top/>
    </border>
    <border>
      <left/>
      <right style="thin">
        <color rgb="FF000000"/>
      </right>
      <top style="thin">
        <color rgb="FF000000"/>
      </top>
    </border>
    <border>
      <left/>
      <right style="thin">
        <color rgb="FF000000"/>
      </right>
    </border>
    <border>
      <left/>
      <right style="thin">
        <color rgb="FF000000"/>
      </right>
      <bottom style="thin">
        <color rgb="FF000000"/>
      </bottom>
    </border>
    <border>
      <left/>
      <right/>
      <top style="thin">
        <color rgb="FF000000"/>
      </top>
      <bottom style="thin">
        <color rgb="FF000000"/>
      </bottom>
    </border>
    <border>
      <left/>
      <right/>
    </border>
    <border>
      <left style="thin">
        <color rgb="FF000000"/>
      </left>
      <top/>
      <bottom style="thin">
        <color rgb="FF000000"/>
      </bottom>
    </border>
    <border>
      <left style="thin">
        <color rgb="FF000000"/>
      </left>
      <right style="thin">
        <color rgb="FF000000"/>
      </right>
      <top/>
      <bottom/>
    </border>
    <border>
      <bottom style="thin">
        <color rgb="FF000000"/>
      </bottom>
    </border>
    <border>
      <top style="thin">
        <color rgb="FF000000"/>
      </top>
    </border>
    <border>
      <left/>
      <right style="thin">
        <color rgb="FF000000"/>
      </right>
      <top/>
      <bottom style="thin">
        <color rgb="FF000000"/>
      </bottom>
    </border>
  </borders>
  <cellStyleXfs count="1">
    <xf borderId="0" fillId="0" fontId="0" numFmtId="0" applyAlignment="1" applyFont="1"/>
  </cellStyleXfs>
  <cellXfs count="1687">
    <xf borderId="0" fillId="0" fontId="0" numFmtId="0" xfId="0" applyAlignment="1" applyFont="1">
      <alignment readingOrder="0" shrinkToFit="0" vertical="bottom" wrapText="0"/>
    </xf>
    <xf borderId="1" fillId="2" fontId="1" numFmtId="164" xfId="0" applyAlignment="1" applyBorder="1" applyFill="1" applyFont="1" applyNumberFormat="1">
      <alignment horizontal="center" readingOrder="0" shrinkToFit="0" vertical="center" wrapText="1"/>
    </xf>
    <xf borderId="2" fillId="0" fontId="2" numFmtId="0" xfId="0" applyBorder="1" applyFont="1"/>
    <xf borderId="3" fillId="0" fontId="2" numFmtId="0" xfId="0" applyBorder="1" applyFont="1"/>
    <xf borderId="4" fillId="2" fontId="3" numFmtId="164" xfId="0" applyAlignment="1" applyBorder="1" applyFont="1" applyNumberFormat="1">
      <alignment horizontal="left" shrinkToFit="0" vertical="center" wrapText="1"/>
    </xf>
    <xf borderId="4" fillId="2" fontId="3" numFmtId="164" xfId="0" applyAlignment="1" applyBorder="1" applyFont="1" applyNumberFormat="1">
      <alignment horizontal="center" shrinkToFit="0" vertical="center" wrapText="1"/>
    </xf>
    <xf borderId="0" fillId="0" fontId="4" numFmtId="164" xfId="0" applyAlignment="1" applyFont="1" applyNumberFormat="1">
      <alignment horizontal="center" vertical="center"/>
    </xf>
    <xf borderId="0" fillId="0" fontId="4" numFmtId="165" xfId="0" applyAlignment="1" applyFont="1" applyNumberFormat="1">
      <alignment vertical="center"/>
    </xf>
    <xf borderId="0" fillId="0" fontId="5" numFmtId="0" xfId="0" applyAlignment="1" applyFont="1">
      <alignment vertical="center"/>
    </xf>
    <xf borderId="0" fillId="0" fontId="6" numFmtId="0" xfId="0" applyAlignment="1" applyFont="1">
      <alignment vertical="center"/>
    </xf>
    <xf borderId="5" fillId="3" fontId="7" numFmtId="164" xfId="0" applyAlignment="1" applyBorder="1" applyFill="1" applyFont="1" applyNumberFormat="1">
      <alignment horizontal="center" vertical="center"/>
    </xf>
    <xf borderId="5" fillId="3" fontId="7" numFmtId="14" xfId="0" applyAlignment="1" applyBorder="1" applyFont="1" applyNumberFormat="1">
      <alignment horizontal="center" vertical="center"/>
    </xf>
    <xf borderId="5" fillId="3" fontId="7" numFmtId="1" xfId="0" applyAlignment="1" applyBorder="1" applyFont="1" applyNumberFormat="1">
      <alignment horizontal="center" vertical="center"/>
    </xf>
    <xf borderId="5" fillId="3" fontId="7" numFmtId="164" xfId="0" applyAlignment="1" applyBorder="1" applyFont="1" applyNumberFormat="1">
      <alignment horizontal="center" shrinkToFit="0" vertical="center" wrapText="1"/>
    </xf>
    <xf borderId="5" fillId="3" fontId="7" numFmtId="0" xfId="0" applyAlignment="1" applyBorder="1" applyFont="1">
      <alignment horizontal="center" vertical="center"/>
    </xf>
    <xf borderId="6" fillId="4" fontId="7" numFmtId="164" xfId="0" applyAlignment="1" applyBorder="1" applyFill="1" applyFont="1" applyNumberFormat="1">
      <alignment horizontal="center" shrinkToFit="0" vertical="center" wrapText="1"/>
    </xf>
    <xf borderId="7" fillId="0" fontId="2" numFmtId="0" xfId="0" applyBorder="1" applyFont="1"/>
    <xf borderId="8" fillId="0" fontId="2" numFmtId="0" xfId="0" applyBorder="1" applyFont="1"/>
    <xf borderId="6" fillId="5" fontId="7" numFmtId="164" xfId="0" applyAlignment="1" applyBorder="1" applyFill="1" applyFont="1" applyNumberFormat="1">
      <alignment horizontal="center" shrinkToFit="0" vertical="center" wrapText="1"/>
    </xf>
    <xf borderId="9" fillId="6" fontId="7" numFmtId="164" xfId="0" applyAlignment="1" applyBorder="1" applyFill="1" applyFont="1" applyNumberFormat="1">
      <alignment horizontal="center" shrinkToFit="0" vertical="center" wrapText="1"/>
    </xf>
    <xf borderId="6" fillId="4" fontId="7" numFmtId="164" xfId="0" applyAlignment="1" applyBorder="1" applyFont="1" applyNumberFormat="1">
      <alignment horizontal="center" vertical="center"/>
    </xf>
    <xf borderId="5" fillId="4" fontId="7" numFmtId="164" xfId="0" applyAlignment="1" applyBorder="1" applyFont="1" applyNumberFormat="1">
      <alignment horizontal="center" shrinkToFit="0" vertical="center" wrapText="1"/>
    </xf>
    <xf borderId="0" fillId="0" fontId="8" numFmtId="0" xfId="0" applyAlignment="1" applyFont="1">
      <alignment vertical="center"/>
    </xf>
    <xf borderId="0" fillId="0" fontId="9" numFmtId="164" xfId="0" applyAlignment="1" applyFont="1" applyNumberFormat="1">
      <alignment horizontal="center" vertical="center"/>
    </xf>
    <xf borderId="0" fillId="0" fontId="9" numFmtId="165" xfId="0" applyAlignment="1" applyFont="1" applyNumberFormat="1">
      <alignment vertical="center"/>
    </xf>
    <xf borderId="0" fillId="0" fontId="10" numFmtId="0" xfId="0" applyAlignment="1" applyFont="1">
      <alignment vertical="center"/>
    </xf>
    <xf borderId="10" fillId="0" fontId="2" numFmtId="0" xfId="0" applyBorder="1" applyFont="1"/>
    <xf borderId="11" fillId="4" fontId="7" numFmtId="164" xfId="0" applyAlignment="1" applyBorder="1" applyFont="1" applyNumberFormat="1">
      <alignment horizontal="center" shrinkToFit="0" vertical="center" wrapText="1"/>
    </xf>
    <xf borderId="12" fillId="7" fontId="7" numFmtId="164" xfId="0" applyAlignment="1" applyBorder="1" applyFill="1" applyFont="1" applyNumberFormat="1">
      <alignment horizontal="center" shrinkToFit="0" vertical="center" wrapText="1"/>
    </xf>
    <xf borderId="12" fillId="8" fontId="7" numFmtId="164" xfId="0" applyAlignment="1" applyBorder="1" applyFill="1" applyFont="1" applyNumberFormat="1">
      <alignment vertical="center"/>
    </xf>
    <xf borderId="11" fillId="5" fontId="7" numFmtId="164" xfId="0" applyAlignment="1" applyBorder="1" applyFont="1" applyNumberFormat="1">
      <alignment horizontal="center" shrinkToFit="0" vertical="center" wrapText="1"/>
    </xf>
    <xf borderId="11" fillId="8" fontId="11" numFmtId="164" xfId="0" applyAlignment="1" applyBorder="1" applyFont="1" applyNumberFormat="1">
      <alignment horizontal="center" shrinkToFit="0" vertical="center" wrapText="1"/>
    </xf>
    <xf borderId="11" fillId="9" fontId="7" numFmtId="164" xfId="0" applyAlignment="1" applyBorder="1" applyFill="1" applyFont="1" applyNumberFormat="1">
      <alignment horizontal="center" readingOrder="0" shrinkToFit="0" vertical="center" wrapText="1"/>
    </xf>
    <xf borderId="11" fillId="5" fontId="7" numFmtId="164" xfId="0" applyAlignment="1" applyBorder="1" applyFont="1" applyNumberFormat="1">
      <alignment horizontal="center" vertical="center"/>
    </xf>
    <xf borderId="11" fillId="8" fontId="7" numFmtId="3" xfId="0" applyAlignment="1" applyBorder="1" applyFont="1" applyNumberFormat="1">
      <alignment horizontal="center" vertical="center"/>
    </xf>
    <xf borderId="12" fillId="10" fontId="12" numFmtId="164" xfId="0" applyAlignment="1" applyBorder="1" applyFill="1" applyFont="1" applyNumberFormat="1">
      <alignment horizontal="center" readingOrder="0" vertical="center"/>
    </xf>
    <xf borderId="11" fillId="11" fontId="11" numFmtId="164" xfId="0" applyAlignment="1" applyBorder="1" applyFill="1" applyFont="1" applyNumberFormat="1">
      <alignment horizontal="center" shrinkToFit="0" vertical="center" wrapText="1"/>
    </xf>
    <xf borderId="11" fillId="12" fontId="7" numFmtId="164" xfId="0" applyAlignment="1" applyBorder="1" applyFill="1" applyFont="1" applyNumberFormat="1">
      <alignment horizontal="center" shrinkToFit="0" vertical="center" wrapText="1"/>
    </xf>
    <xf borderId="11" fillId="4" fontId="7" numFmtId="164" xfId="0" applyAlignment="1" applyBorder="1" applyFont="1" applyNumberFormat="1">
      <alignment horizontal="center" vertical="center"/>
    </xf>
    <xf borderId="5" fillId="0" fontId="13" numFmtId="0" xfId="0" applyAlignment="1" applyBorder="1" applyFont="1">
      <alignment horizontal="center" readingOrder="0" shrinkToFit="0" vertical="center" wrapText="1"/>
    </xf>
    <xf borderId="5" fillId="0" fontId="9" numFmtId="166" xfId="0" applyAlignment="1" applyBorder="1" applyFont="1" applyNumberFormat="1">
      <alignment horizontal="center" readingOrder="0" vertical="center"/>
    </xf>
    <xf borderId="5" fillId="0" fontId="9" numFmtId="1" xfId="0" applyAlignment="1" applyBorder="1" applyFont="1" applyNumberFormat="1">
      <alignment horizontal="center" readingOrder="0" vertical="center"/>
    </xf>
    <xf borderId="5" fillId="8" fontId="14" numFmtId="164" xfId="0" applyAlignment="1" applyBorder="1" applyFont="1" applyNumberFormat="1">
      <alignment readingOrder="0" vertical="center"/>
    </xf>
    <xf quotePrefix="1" borderId="5" fillId="13" fontId="13" numFmtId="0" xfId="0" applyAlignment="1" applyBorder="1" applyFill="1" applyFont="1">
      <alignment horizontal="center" readingOrder="0" shrinkToFit="0" vertical="center" wrapText="1"/>
    </xf>
    <xf borderId="5" fillId="0" fontId="9" numFmtId="0" xfId="0" applyAlignment="1" applyBorder="1" applyFont="1">
      <alignment readingOrder="0" shrinkToFit="0" vertical="center" wrapText="1"/>
    </xf>
    <xf borderId="12" fillId="8" fontId="9" numFmtId="164" xfId="0" applyAlignment="1" applyBorder="1" applyFont="1" applyNumberFormat="1">
      <alignment horizontal="left" readingOrder="0" shrinkToFit="0" vertical="center" wrapText="1"/>
    </xf>
    <xf borderId="12" fillId="0" fontId="9" numFmtId="167" xfId="0" applyAlignment="1" applyBorder="1" applyFont="1" applyNumberFormat="1">
      <alignment horizontal="center" readingOrder="0" shrinkToFit="0" vertical="center" wrapText="1"/>
    </xf>
    <xf borderId="12" fillId="7" fontId="13" numFmtId="164" xfId="0" applyAlignment="1" applyBorder="1" applyFont="1" applyNumberFormat="1">
      <alignment readingOrder="0" vertical="center"/>
    </xf>
    <xf borderId="13" fillId="8" fontId="9" numFmtId="164" xfId="0" applyAlignment="1" applyBorder="1" applyFont="1" applyNumberFormat="1">
      <alignment horizontal="center" vertical="center"/>
    </xf>
    <xf borderId="5" fillId="5" fontId="9" numFmtId="165" xfId="0" applyAlignment="1" applyBorder="1" applyFont="1" applyNumberFormat="1">
      <alignment shrinkToFit="0" vertical="center" wrapText="1"/>
    </xf>
    <xf borderId="5" fillId="8" fontId="9" numFmtId="165" xfId="0" applyAlignment="1" applyBorder="1" applyFont="1" applyNumberFormat="1">
      <alignment horizontal="center" shrinkToFit="0" vertical="center" wrapText="1"/>
    </xf>
    <xf borderId="5" fillId="9" fontId="9" numFmtId="3" xfId="0" applyAlignment="1" applyBorder="1" applyFont="1" applyNumberFormat="1">
      <alignment horizontal="center" vertical="center"/>
    </xf>
    <xf borderId="5" fillId="5" fontId="9" numFmtId="3" xfId="0" applyAlignment="1" applyBorder="1" applyFont="1" applyNumberFormat="1">
      <alignment horizontal="center" vertical="center"/>
    </xf>
    <xf borderId="5" fillId="8" fontId="13" numFmtId="165" xfId="0" applyAlignment="1" applyBorder="1" applyFont="1" applyNumberFormat="1">
      <alignment shrinkToFit="0" vertical="center" wrapText="1"/>
    </xf>
    <xf borderId="14" fillId="10" fontId="9" numFmtId="164" xfId="0" applyAlignment="1" applyBorder="1" applyFont="1" applyNumberFormat="1">
      <alignment readingOrder="0" vertical="center"/>
    </xf>
    <xf borderId="5" fillId="0" fontId="13" numFmtId="3" xfId="0" applyAlignment="1" applyBorder="1" applyFont="1" applyNumberFormat="1">
      <alignment horizontal="center" readingOrder="0" shrinkToFit="0" vertical="center" wrapText="1"/>
    </xf>
    <xf borderId="5" fillId="12" fontId="9" numFmtId="164" xfId="0" applyAlignment="1" applyBorder="1" applyFont="1" applyNumberFormat="1">
      <alignment readingOrder="0" vertical="center"/>
    </xf>
    <xf borderId="5" fillId="12" fontId="9" numFmtId="164" xfId="0" applyAlignment="1" applyBorder="1" applyFont="1" applyNumberFormat="1">
      <alignment horizontal="center" readingOrder="0" vertical="center"/>
    </xf>
    <xf borderId="5" fillId="0" fontId="9" numFmtId="164" xfId="0" applyAlignment="1" applyBorder="1" applyFont="1" applyNumberFormat="1">
      <alignment horizontal="center" vertical="center"/>
    </xf>
    <xf borderId="5" fillId="0" fontId="9" numFmtId="164" xfId="0" applyAlignment="1" applyBorder="1" applyFont="1" applyNumberFormat="1">
      <alignment vertical="center"/>
    </xf>
    <xf borderId="12" fillId="8" fontId="9" numFmtId="0" xfId="0" applyAlignment="1" applyBorder="1" applyFont="1">
      <alignment horizontal="center" vertical="center"/>
    </xf>
    <xf borderId="12" fillId="8" fontId="9" numFmtId="165" xfId="0" applyAlignment="1" applyBorder="1" applyFont="1" applyNumberFormat="1">
      <alignment vertical="center"/>
    </xf>
    <xf borderId="14" fillId="0" fontId="2" numFmtId="0" xfId="0" applyBorder="1" applyFont="1"/>
    <xf borderId="12" fillId="0" fontId="13" numFmtId="0" xfId="0" applyAlignment="1" applyBorder="1" applyFont="1">
      <alignment horizontal="left" readingOrder="0" shrinkToFit="0" vertical="center" wrapText="1"/>
    </xf>
    <xf borderId="12" fillId="0" fontId="13" numFmtId="0" xfId="0" applyAlignment="1" applyBorder="1" applyFont="1">
      <alignment horizontal="center" readingOrder="0" shrinkToFit="0" vertical="center" wrapText="1"/>
    </xf>
    <xf borderId="12" fillId="0" fontId="9" numFmtId="0" xfId="0" applyAlignment="1" applyBorder="1" applyFont="1">
      <alignment horizontal="center" vertical="center"/>
    </xf>
    <xf borderId="12" fillId="0" fontId="9" numFmtId="165" xfId="0" applyAlignment="1" applyBorder="1" applyFont="1" applyNumberFormat="1">
      <alignment vertical="center"/>
    </xf>
    <xf borderId="15" fillId="0" fontId="2" numFmtId="0" xfId="0" applyBorder="1" applyFont="1"/>
    <xf borderId="12" fillId="8" fontId="13" numFmtId="0" xfId="0" applyAlignment="1" applyBorder="1" applyFont="1">
      <alignment horizontal="left" readingOrder="0" shrinkToFit="0" vertical="center" wrapText="1"/>
    </xf>
    <xf borderId="12" fillId="8" fontId="13" numFmtId="0" xfId="0" applyAlignment="1" applyBorder="1" applyFont="1">
      <alignment horizontal="center" readingOrder="0" shrinkToFit="0" vertical="center" wrapText="1"/>
    </xf>
    <xf borderId="12" fillId="8" fontId="13" numFmtId="168" xfId="0" applyAlignment="1" applyBorder="1" applyFont="1" applyNumberFormat="1">
      <alignment horizontal="center" readingOrder="0" shrinkToFit="0" vertical="center" wrapText="1"/>
    </xf>
    <xf quotePrefix="1" borderId="12" fillId="8" fontId="13" numFmtId="0" xfId="0" applyAlignment="1" applyBorder="1" applyFont="1">
      <alignment horizontal="center" readingOrder="0" shrinkToFit="0" vertical="center" wrapText="1"/>
    </xf>
    <xf borderId="12" fillId="14" fontId="13" numFmtId="0" xfId="0" applyAlignment="1" applyBorder="1" applyFill="1" applyFont="1">
      <alignment horizontal="left" readingOrder="0" shrinkToFit="0" vertical="center" wrapText="1"/>
    </xf>
    <xf borderId="12" fillId="14" fontId="13" numFmtId="0" xfId="0" applyAlignment="1" applyBorder="1" applyFont="1">
      <alignment horizontal="center" readingOrder="0" shrinkToFit="0" vertical="center" wrapText="1"/>
    </xf>
    <xf borderId="12" fillId="14" fontId="13" numFmtId="164" xfId="0" applyAlignment="1" applyBorder="1" applyFont="1" applyNumberFormat="1">
      <alignment readingOrder="0" vertical="center"/>
    </xf>
    <xf borderId="13" fillId="14" fontId="9" numFmtId="164" xfId="0" applyAlignment="1" applyBorder="1" applyFont="1" applyNumberFormat="1">
      <alignment horizontal="center" vertical="center"/>
    </xf>
    <xf borderId="12" fillId="5" fontId="9" numFmtId="165" xfId="0" applyAlignment="1" applyBorder="1" applyFont="1" applyNumberFormat="1">
      <alignment shrinkToFit="0" vertical="center" wrapText="1"/>
    </xf>
    <xf borderId="12" fillId="8" fontId="9" numFmtId="3" xfId="0" applyAlignment="1" applyBorder="1" applyFont="1" applyNumberFormat="1">
      <alignment horizontal="center" shrinkToFit="0" vertical="center" wrapText="1"/>
    </xf>
    <xf borderId="12" fillId="9" fontId="9" numFmtId="3" xfId="0" applyAlignment="1" applyBorder="1" applyFont="1" applyNumberFormat="1">
      <alignment horizontal="center" vertical="center"/>
    </xf>
    <xf borderId="12" fillId="5" fontId="9" numFmtId="3" xfId="0" applyAlignment="1" applyBorder="1" applyFont="1" applyNumberFormat="1">
      <alignment horizontal="center" vertical="center"/>
    </xf>
    <xf borderId="12" fillId="8" fontId="13" numFmtId="165" xfId="0" applyAlignment="1" applyBorder="1" applyFont="1" applyNumberFormat="1">
      <alignment shrinkToFit="0" vertical="center" wrapText="1"/>
    </xf>
    <xf borderId="12" fillId="10" fontId="9" numFmtId="164" xfId="0" applyAlignment="1" applyBorder="1" applyFont="1" applyNumberFormat="1">
      <alignment readingOrder="0" vertical="center"/>
    </xf>
    <xf borderId="12" fillId="0" fontId="13" numFmtId="3" xfId="0" applyAlignment="1" applyBorder="1" applyFont="1" applyNumberFormat="1">
      <alignment horizontal="center" readingOrder="0" shrinkToFit="0" vertical="center" wrapText="1"/>
    </xf>
    <xf borderId="12" fillId="12" fontId="9" numFmtId="164" xfId="0" applyAlignment="1" applyBorder="1" applyFont="1" applyNumberFormat="1">
      <alignment readingOrder="0" vertical="center"/>
    </xf>
    <xf borderId="12" fillId="12" fontId="9" numFmtId="164" xfId="0" applyAlignment="1" applyBorder="1" applyFont="1" applyNumberFormat="1">
      <alignment horizontal="center" readingOrder="0" vertical="center"/>
    </xf>
    <xf borderId="12" fillId="0" fontId="13" numFmtId="0" xfId="0" applyAlignment="1" applyBorder="1" applyFont="1">
      <alignment horizontal="center" shrinkToFit="0" vertical="center" wrapText="1"/>
    </xf>
    <xf borderId="12" fillId="0" fontId="9" numFmtId="164" xfId="0" applyAlignment="1" applyBorder="1" applyFont="1" applyNumberFormat="1">
      <alignment horizontal="center" vertical="center"/>
    </xf>
    <xf borderId="12" fillId="0" fontId="9" numFmtId="165" xfId="0" applyAlignment="1" applyBorder="1" applyFont="1" applyNumberFormat="1">
      <alignment readingOrder="0" vertical="center"/>
    </xf>
    <xf borderId="12" fillId="8" fontId="13" numFmtId="0" xfId="0" applyAlignment="1" applyBorder="1" applyFont="1">
      <alignment readingOrder="0" shrinkToFit="0" vertical="center" wrapText="1"/>
    </xf>
    <xf borderId="12" fillId="8" fontId="9" numFmtId="165" xfId="0" applyAlignment="1" applyBorder="1" applyFont="1" applyNumberFormat="1">
      <alignment horizontal="center" shrinkToFit="0" vertical="center" wrapText="1"/>
    </xf>
    <xf borderId="12" fillId="0" fontId="13" numFmtId="3" xfId="0" applyAlignment="1" applyBorder="1" applyFont="1" applyNumberFormat="1">
      <alignment horizontal="center" shrinkToFit="0" vertical="center" wrapText="1"/>
    </xf>
    <xf borderId="12" fillId="12" fontId="9" numFmtId="164" xfId="0" applyAlignment="1" applyBorder="1" applyFont="1" applyNumberFormat="1">
      <alignment vertical="center"/>
    </xf>
    <xf borderId="12" fillId="0" fontId="9" numFmtId="0" xfId="0" applyAlignment="1" applyBorder="1" applyFont="1">
      <alignment readingOrder="0" vertical="center"/>
    </xf>
    <xf borderId="12" fillId="0" fontId="9" numFmtId="0" xfId="0" applyAlignment="1" applyBorder="1" applyFont="1">
      <alignment horizontal="center" readingOrder="0" vertical="center"/>
    </xf>
    <xf borderId="5" fillId="8" fontId="13" numFmtId="0" xfId="0" applyAlignment="1" applyBorder="1" applyFont="1">
      <alignment horizontal="center" readingOrder="0" shrinkToFit="0" vertical="center" wrapText="1"/>
    </xf>
    <xf borderId="5" fillId="8" fontId="13" numFmtId="168" xfId="0" applyAlignment="1" applyBorder="1" applyFont="1" applyNumberFormat="1">
      <alignment horizontal="center" readingOrder="0" shrinkToFit="0" vertical="center" wrapText="1"/>
    </xf>
    <xf borderId="5" fillId="8" fontId="13" numFmtId="0" xfId="0" applyAlignment="1" applyBorder="1" applyFont="1">
      <alignment readingOrder="0" shrinkToFit="0" vertical="center" wrapText="1"/>
    </xf>
    <xf quotePrefix="1" borderId="5" fillId="8" fontId="13" numFmtId="0" xfId="0" applyAlignment="1" applyBorder="1" applyFont="1">
      <alignment horizontal="center" readingOrder="0" shrinkToFit="0" vertical="center" wrapText="1"/>
    </xf>
    <xf borderId="16" fillId="13" fontId="13" numFmtId="0" xfId="0" applyAlignment="1" applyBorder="1" applyFont="1">
      <alignment horizontal="left" readingOrder="0" shrinkToFit="0" vertical="center" wrapText="1"/>
    </xf>
    <xf borderId="5" fillId="10" fontId="9" numFmtId="164" xfId="0" applyAlignment="1" applyBorder="1" applyFont="1" applyNumberFormat="1">
      <alignment readingOrder="0" vertical="center"/>
    </xf>
    <xf borderId="5" fillId="0" fontId="13" numFmtId="0" xfId="0" applyAlignment="1" applyBorder="1" applyFont="1">
      <alignment horizontal="center" shrinkToFit="0" vertical="center" wrapText="1"/>
    </xf>
    <xf borderId="5" fillId="0" fontId="9" numFmtId="164" xfId="0" applyAlignment="1" applyBorder="1" applyFont="1" applyNumberFormat="1">
      <alignment readingOrder="0" shrinkToFit="0" vertical="center" wrapText="1"/>
    </xf>
    <xf borderId="17" fillId="0" fontId="2" numFmtId="0" xfId="0" applyBorder="1" applyFont="1"/>
    <xf borderId="12" fillId="0" fontId="9" numFmtId="168" xfId="0" applyAlignment="1" applyBorder="1" applyFont="1" applyNumberFormat="1">
      <alignment horizontal="center" readingOrder="0" vertical="center"/>
    </xf>
    <xf borderId="12" fillId="8" fontId="9" numFmtId="0" xfId="0" applyAlignment="1" applyBorder="1" applyFont="1">
      <alignment horizontal="center" readingOrder="0" vertical="center"/>
    </xf>
    <xf quotePrefix="1" borderId="12" fillId="0" fontId="9" numFmtId="0" xfId="0" applyAlignment="1" applyBorder="1" applyFont="1">
      <alignment horizontal="center" readingOrder="0" vertical="center"/>
    </xf>
    <xf borderId="0" fillId="0" fontId="13" numFmtId="0" xfId="0" applyAlignment="1" applyFont="1">
      <alignment vertical="center"/>
    </xf>
    <xf borderId="0" fillId="0" fontId="9" numFmtId="0" xfId="0" applyAlignment="1" applyFont="1">
      <alignment vertical="center"/>
    </xf>
    <xf borderId="12" fillId="0" fontId="9" numFmtId="3" xfId="0" applyAlignment="1" applyBorder="1" applyFont="1" applyNumberFormat="1">
      <alignment horizontal="center" readingOrder="0" vertical="center"/>
    </xf>
    <xf borderId="12" fillId="0" fontId="9" numFmtId="3" xfId="0" applyAlignment="1" applyBorder="1" applyFont="1" applyNumberFormat="1">
      <alignment horizontal="center" vertical="center"/>
    </xf>
    <xf quotePrefix="1" borderId="12" fillId="0" fontId="9" numFmtId="0" xfId="0" applyAlignment="1" applyBorder="1" applyFont="1">
      <alignment horizontal="center" vertical="center"/>
    </xf>
    <xf borderId="5" fillId="0" fontId="9" numFmtId="0" xfId="0" applyAlignment="1" applyBorder="1" applyFont="1">
      <alignment horizontal="center" readingOrder="0" vertical="center"/>
    </xf>
    <xf borderId="5" fillId="0" fontId="9" numFmtId="168" xfId="0" applyAlignment="1" applyBorder="1" applyFont="1" applyNumberFormat="1">
      <alignment horizontal="center" readingOrder="0" vertical="center"/>
    </xf>
    <xf borderId="5" fillId="0" fontId="13" numFmtId="0" xfId="0" applyAlignment="1" applyBorder="1" applyFont="1">
      <alignment shrinkToFit="0" vertical="center" wrapText="1"/>
    </xf>
    <xf borderId="12" fillId="8" fontId="9" numFmtId="165" xfId="0" applyAlignment="1" applyBorder="1" applyFont="1" applyNumberFormat="1">
      <alignment horizontal="center" readingOrder="0" shrinkToFit="0" vertical="center" wrapText="1"/>
    </xf>
    <xf borderId="12" fillId="5" fontId="9" numFmtId="3" xfId="0" applyAlignment="1" applyBorder="1" applyFont="1" applyNumberFormat="1">
      <alignment horizontal="center" readingOrder="0" vertical="center"/>
    </xf>
    <xf borderId="5" fillId="8" fontId="9" numFmtId="165" xfId="0" applyAlignment="1" applyBorder="1" applyFont="1" applyNumberFormat="1">
      <alignment horizontal="center" readingOrder="0" shrinkToFit="0" vertical="center" wrapText="1"/>
    </xf>
    <xf borderId="5" fillId="5" fontId="9" numFmtId="3" xfId="0" applyAlignment="1" applyBorder="1" applyFont="1" applyNumberFormat="1">
      <alignment horizontal="center" readingOrder="0" vertical="center"/>
    </xf>
    <xf borderId="5" fillId="0" fontId="13" numFmtId="3" xfId="0" applyAlignment="1" applyBorder="1" applyFont="1" applyNumberFormat="1">
      <alignment horizontal="center" shrinkToFit="0" vertical="center" wrapText="1"/>
    </xf>
    <xf borderId="5" fillId="12" fontId="9" numFmtId="164" xfId="0" applyAlignment="1" applyBorder="1" applyFont="1" applyNumberFormat="1">
      <alignment vertical="center"/>
    </xf>
    <xf borderId="12" fillId="0" fontId="9" numFmtId="166" xfId="0" applyAlignment="1" applyBorder="1" applyFont="1" applyNumberFormat="1">
      <alignment horizontal="center" readingOrder="0" vertical="center"/>
    </xf>
    <xf borderId="12" fillId="0" fontId="9" numFmtId="0" xfId="0" applyAlignment="1" applyBorder="1" applyFont="1">
      <alignment readingOrder="0" shrinkToFit="0" vertical="center" wrapText="1"/>
    </xf>
    <xf borderId="12" fillId="0" fontId="9" numFmtId="0" xfId="0" applyAlignment="1" applyBorder="1" applyFont="1">
      <alignment vertical="center"/>
    </xf>
    <xf borderId="0" fillId="8" fontId="13" numFmtId="0" xfId="0" applyAlignment="1" applyFont="1">
      <alignment vertical="center"/>
    </xf>
    <xf borderId="4" fillId="8" fontId="13" numFmtId="0" xfId="0" applyAlignment="1" applyBorder="1" applyFont="1">
      <alignment vertical="center"/>
    </xf>
    <xf borderId="5" fillId="0" fontId="13" numFmtId="166" xfId="0" applyAlignment="1" applyBorder="1" applyFont="1" applyNumberFormat="1">
      <alignment horizontal="center" readingOrder="0" shrinkToFit="0" vertical="center" wrapText="1"/>
    </xf>
    <xf borderId="5" fillId="0" fontId="13" numFmtId="0" xfId="0" applyAlignment="1" applyBorder="1" applyFont="1">
      <alignment horizontal="left" readingOrder="0" shrinkToFit="0" vertical="center" wrapText="1"/>
    </xf>
    <xf borderId="5" fillId="8" fontId="9" numFmtId="3" xfId="0" applyAlignment="1" applyBorder="1" applyFont="1" applyNumberFormat="1">
      <alignment horizontal="center" shrinkToFit="0" vertical="center" wrapText="1"/>
    </xf>
    <xf borderId="12" fillId="0" fontId="13" numFmtId="165" xfId="0" applyAlignment="1" applyBorder="1" applyFont="1" applyNumberFormat="1">
      <alignment shrinkToFit="0" vertical="center" wrapText="1"/>
    </xf>
    <xf borderId="12" fillId="8" fontId="13" numFmtId="0" xfId="0" applyAlignment="1" applyBorder="1" applyFont="1">
      <alignment horizontal="center" shrinkToFit="0" vertical="center" wrapText="1"/>
    </xf>
    <xf borderId="12" fillId="0" fontId="9" numFmtId="3" xfId="0" applyAlignment="1" applyBorder="1" applyFont="1" applyNumberFormat="1">
      <alignment vertical="center"/>
    </xf>
    <xf quotePrefix="1" borderId="12" fillId="0" fontId="13" numFmtId="0" xfId="0" applyAlignment="1" applyBorder="1" applyFont="1">
      <alignment horizontal="center" readingOrder="0" shrinkToFit="0" vertical="center" wrapText="1"/>
    </xf>
    <xf borderId="12" fillId="0" fontId="13" numFmtId="166" xfId="0" applyAlignment="1" applyBorder="1" applyFont="1" applyNumberFormat="1">
      <alignment horizontal="center" readingOrder="0" shrinkToFit="0" vertical="center" wrapText="1"/>
    </xf>
    <xf borderId="12" fillId="0" fontId="13" numFmtId="0" xfId="0" applyAlignment="1" applyBorder="1" applyFont="1">
      <alignment readingOrder="0" shrinkToFit="0" vertical="center" wrapText="1"/>
    </xf>
    <xf borderId="12" fillId="0" fontId="13" numFmtId="3" xfId="0" applyAlignment="1" applyBorder="1" applyFont="1" applyNumberFormat="1">
      <alignment shrinkToFit="0" vertical="center" wrapText="1"/>
    </xf>
    <xf borderId="12" fillId="0" fontId="9" numFmtId="164" xfId="0" applyAlignment="1" applyBorder="1" applyFont="1" applyNumberFormat="1">
      <alignment readingOrder="0" vertical="center"/>
    </xf>
    <xf borderId="12" fillId="5" fontId="9" numFmtId="3" xfId="0" applyAlignment="1" applyBorder="1" applyFont="1" applyNumberFormat="1">
      <alignment vertical="center"/>
    </xf>
    <xf borderId="12" fillId="0" fontId="13" numFmtId="165" xfId="0" applyAlignment="1" applyBorder="1" applyFont="1" applyNumberFormat="1">
      <alignment readingOrder="0" shrinkToFit="0" vertical="center" wrapText="1"/>
    </xf>
    <xf borderId="12" fillId="8" fontId="9" numFmtId="165" xfId="0" applyAlignment="1" applyBorder="1" applyFont="1" applyNumberFormat="1">
      <alignment shrinkToFit="0" vertical="center" wrapText="1"/>
    </xf>
    <xf borderId="12" fillId="0" fontId="13" numFmtId="164" xfId="0" applyAlignment="1" applyBorder="1" applyFont="1" applyNumberFormat="1">
      <alignment horizontal="center" vertical="center"/>
    </xf>
    <xf borderId="12" fillId="0" fontId="13" numFmtId="165" xfId="0" applyAlignment="1" applyBorder="1" applyFont="1" applyNumberFormat="1">
      <alignment vertical="center"/>
    </xf>
    <xf borderId="0" fillId="8" fontId="9" numFmtId="0" xfId="0" applyAlignment="1" applyFont="1">
      <alignment horizontal="center" readingOrder="0" vertical="center"/>
    </xf>
    <xf borderId="5" fillId="0" fontId="9" numFmtId="0" xfId="0" applyAlignment="1" applyBorder="1" applyFont="1">
      <alignment readingOrder="0" vertical="center"/>
    </xf>
    <xf quotePrefix="1" borderId="5" fillId="0" fontId="9" numFmtId="0" xfId="0" applyAlignment="1" applyBorder="1" applyFont="1">
      <alignment horizontal="center" readingOrder="0" vertical="center"/>
    </xf>
    <xf borderId="5" fillId="0" fontId="9" numFmtId="3" xfId="0" applyAlignment="1" applyBorder="1" applyFont="1" applyNumberFormat="1">
      <alignment horizontal="center" vertical="center"/>
    </xf>
    <xf borderId="5" fillId="0" fontId="9" numFmtId="3" xfId="0" applyAlignment="1" applyBorder="1" applyFont="1" applyNumberFormat="1">
      <alignment horizontal="center" readingOrder="0" vertical="center"/>
    </xf>
    <xf borderId="5" fillId="0" fontId="9" numFmtId="0" xfId="0" applyAlignment="1" applyBorder="1" applyFont="1">
      <alignment horizontal="center" vertical="center"/>
    </xf>
    <xf borderId="5" fillId="0" fontId="9" numFmtId="0" xfId="0" applyAlignment="1" applyBorder="1" applyFont="1">
      <alignment vertical="center"/>
    </xf>
    <xf borderId="5" fillId="0" fontId="9" numFmtId="0" xfId="0" applyAlignment="1" applyBorder="1" applyFont="1">
      <alignment horizontal="left" readingOrder="0" vertical="center"/>
    </xf>
    <xf borderId="5" fillId="0" fontId="9" numFmtId="0" xfId="0" applyAlignment="1" applyBorder="1" applyFont="1">
      <alignment horizontal="left" readingOrder="0" shrinkToFit="0" vertical="center" wrapText="1"/>
    </xf>
    <xf borderId="0" fillId="0" fontId="9" numFmtId="0" xfId="0" applyAlignment="1" applyFont="1">
      <alignment horizontal="center" readingOrder="0" vertical="center"/>
    </xf>
    <xf borderId="0" fillId="0" fontId="9" numFmtId="165" xfId="0" applyAlignment="1" applyFont="1" applyNumberFormat="1">
      <alignment readingOrder="0" vertical="center"/>
    </xf>
    <xf borderId="5" fillId="8" fontId="9" numFmtId="0" xfId="0" applyAlignment="1" applyBorder="1" applyFont="1">
      <alignment horizontal="center" readingOrder="0" vertical="center"/>
    </xf>
    <xf borderId="18" fillId="8" fontId="9" numFmtId="164" xfId="0" applyAlignment="1" applyBorder="1" applyFont="1" applyNumberFormat="1">
      <alignment horizontal="center" vertical="center"/>
    </xf>
    <xf borderId="19" fillId="0" fontId="2" numFmtId="0" xfId="0" applyBorder="1" applyFont="1"/>
    <xf borderId="12" fillId="0" fontId="9" numFmtId="0" xfId="0" applyAlignment="1" applyBorder="1" applyFont="1">
      <alignment horizontal="left" readingOrder="0" vertical="center"/>
    </xf>
    <xf borderId="12" fillId="0" fontId="9" numFmtId="0" xfId="0" applyAlignment="1" applyBorder="1" applyFont="1">
      <alignment horizontal="left" readingOrder="0" shrinkToFit="0" vertical="center" wrapText="1"/>
    </xf>
    <xf borderId="12" fillId="9" fontId="9" numFmtId="3" xfId="0" applyAlignment="1" applyBorder="1" applyFont="1" applyNumberFormat="1">
      <alignment horizontal="center" readingOrder="0" vertical="center"/>
    </xf>
    <xf borderId="12" fillId="2" fontId="13" numFmtId="0" xfId="0" applyAlignment="1" applyBorder="1" applyFont="1">
      <alignment horizontal="center" readingOrder="0" shrinkToFit="0" vertical="center" wrapText="1"/>
    </xf>
    <xf borderId="12" fillId="2" fontId="9" numFmtId="166" xfId="0" applyAlignment="1" applyBorder="1" applyFont="1" applyNumberFormat="1">
      <alignment horizontal="center" readingOrder="0" vertical="center"/>
    </xf>
    <xf borderId="12" fillId="2" fontId="9" numFmtId="0" xfId="0" applyAlignment="1" applyBorder="1" applyFont="1">
      <alignment horizontal="center" readingOrder="0" vertical="center"/>
    </xf>
    <xf borderId="12" fillId="2" fontId="9" numFmtId="0" xfId="0" applyAlignment="1" applyBorder="1" applyFont="1">
      <alignment readingOrder="0" vertical="center"/>
    </xf>
    <xf quotePrefix="1" borderId="12" fillId="2" fontId="9" numFmtId="0" xfId="0" applyAlignment="1" applyBorder="1" applyFont="1">
      <alignment horizontal="center" readingOrder="0" vertical="center"/>
    </xf>
    <xf borderId="12" fillId="2" fontId="9" numFmtId="0" xfId="0" applyAlignment="1" applyBorder="1" applyFont="1">
      <alignment horizontal="left" readingOrder="0" vertical="center"/>
    </xf>
    <xf borderId="12" fillId="2" fontId="13" numFmtId="0" xfId="0" applyAlignment="1" applyBorder="1" applyFont="1">
      <alignment horizontal="left" readingOrder="0" shrinkToFit="0" vertical="center" wrapText="1"/>
    </xf>
    <xf borderId="12" fillId="2" fontId="13" numFmtId="164" xfId="0" applyAlignment="1" applyBorder="1" applyFont="1" applyNumberFormat="1">
      <alignment readingOrder="0" vertical="center"/>
    </xf>
    <xf borderId="13" fillId="2" fontId="9" numFmtId="164" xfId="0" applyAlignment="1" applyBorder="1" applyFont="1" applyNumberFormat="1">
      <alignment horizontal="center" vertical="center"/>
    </xf>
    <xf borderId="12" fillId="2" fontId="9" numFmtId="165" xfId="0" applyAlignment="1" applyBorder="1" applyFont="1" applyNumberFormat="1">
      <alignment shrinkToFit="0" vertical="center" wrapText="1"/>
    </xf>
    <xf borderId="12" fillId="2" fontId="9" numFmtId="3" xfId="0" applyAlignment="1" applyBorder="1" applyFont="1" applyNumberFormat="1">
      <alignment horizontal="center" vertical="center"/>
    </xf>
    <xf borderId="12" fillId="2" fontId="13" numFmtId="165" xfId="0" applyAlignment="1" applyBorder="1" applyFont="1" applyNumberFormat="1">
      <alignment shrinkToFit="0" vertical="center" wrapText="1"/>
    </xf>
    <xf borderId="12" fillId="2" fontId="9" numFmtId="164" xfId="0" applyAlignment="1" applyBorder="1" applyFont="1" applyNumberFormat="1">
      <alignment vertical="center"/>
    </xf>
    <xf borderId="12" fillId="2" fontId="9" numFmtId="164" xfId="0" applyAlignment="1" applyBorder="1" applyFont="1" applyNumberFormat="1">
      <alignment horizontal="center" vertical="center"/>
    </xf>
    <xf borderId="12" fillId="2" fontId="9" numFmtId="0" xfId="0" applyAlignment="1" applyBorder="1" applyFont="1">
      <alignment horizontal="center" vertical="center"/>
    </xf>
    <xf borderId="12" fillId="14" fontId="9" numFmtId="0" xfId="0" applyAlignment="1" applyBorder="1" applyFont="1">
      <alignment horizontal="center" readingOrder="0" vertical="center"/>
    </xf>
    <xf borderId="0" fillId="8" fontId="13" numFmtId="0" xfId="0" applyAlignment="1" applyFont="1">
      <alignment horizontal="center" readingOrder="0" vertical="center"/>
    </xf>
    <xf quotePrefix="1" borderId="5" fillId="0" fontId="13" numFmtId="0" xfId="0" applyAlignment="1" applyBorder="1" applyFont="1">
      <alignment horizontal="center" readingOrder="0" shrinkToFit="0" vertical="center" wrapText="1"/>
    </xf>
    <xf borderId="12" fillId="10" fontId="9" numFmtId="164" xfId="0" applyAlignment="1" applyBorder="1" applyFont="1" applyNumberFormat="1">
      <alignment vertical="center"/>
    </xf>
    <xf borderId="12" fillId="2" fontId="9" numFmtId="168" xfId="0" applyAlignment="1" applyBorder="1" applyFont="1" applyNumberFormat="1">
      <alignment horizontal="center" readingOrder="0" vertical="center"/>
    </xf>
    <xf borderId="5" fillId="0" fontId="13" numFmtId="168" xfId="0" applyAlignment="1" applyBorder="1" applyFont="1" applyNumberFormat="1">
      <alignment horizontal="center" readingOrder="0" shrinkToFit="0" vertical="center" wrapText="1"/>
    </xf>
    <xf borderId="0" fillId="0" fontId="15" numFmtId="0" xfId="0" applyAlignment="1" applyFont="1">
      <alignment readingOrder="0" shrinkToFit="0" vertical="center" wrapText="1"/>
    </xf>
    <xf borderId="12" fillId="15" fontId="9" numFmtId="168" xfId="0" applyAlignment="1" applyBorder="1" applyFill="1" applyFont="1" applyNumberFormat="1">
      <alignment horizontal="center" readingOrder="0" vertical="center"/>
    </xf>
    <xf borderId="12" fillId="15" fontId="9" numFmtId="0" xfId="0" applyAlignment="1" applyBorder="1" applyFont="1">
      <alignment horizontal="center" readingOrder="0" vertical="center"/>
    </xf>
    <xf borderId="12" fillId="15" fontId="9" numFmtId="0" xfId="0" applyAlignment="1" applyBorder="1" applyFont="1">
      <alignment horizontal="left" readingOrder="0" vertical="center"/>
    </xf>
    <xf borderId="12" fillId="12" fontId="9" numFmtId="164" xfId="0" applyAlignment="1" applyBorder="1" applyFont="1" applyNumberFormat="1">
      <alignment horizontal="center" vertical="center"/>
    </xf>
    <xf borderId="0" fillId="0" fontId="15" numFmtId="0" xfId="0" applyAlignment="1" applyFont="1">
      <alignment readingOrder="0" vertical="center"/>
    </xf>
    <xf borderId="12" fillId="2" fontId="9" numFmtId="3" xfId="0" applyAlignment="1" applyBorder="1" applyFont="1" applyNumberFormat="1">
      <alignment horizontal="center" readingOrder="0" vertical="center"/>
    </xf>
    <xf borderId="12" fillId="2" fontId="9" numFmtId="164" xfId="0" applyAlignment="1" applyBorder="1" applyFont="1" applyNumberFormat="1">
      <alignment readingOrder="0" vertical="center"/>
    </xf>
    <xf borderId="12" fillId="2" fontId="9" numFmtId="164" xfId="0" applyAlignment="1" applyBorder="1" applyFont="1" applyNumberFormat="1">
      <alignment horizontal="center" readingOrder="0" vertical="center"/>
    </xf>
    <xf borderId="12" fillId="8" fontId="9" numFmtId="168" xfId="0" applyAlignment="1" applyBorder="1" applyFont="1" applyNumberFormat="1">
      <alignment horizontal="center" readingOrder="0" vertical="center"/>
    </xf>
    <xf borderId="12" fillId="8" fontId="9" numFmtId="0" xfId="0" applyAlignment="1" applyBorder="1" applyFont="1">
      <alignment horizontal="left" readingOrder="0" vertical="center"/>
    </xf>
    <xf borderId="5" fillId="8" fontId="9" numFmtId="168" xfId="0" applyAlignment="1" applyBorder="1" applyFont="1" applyNumberFormat="1">
      <alignment horizontal="center" readingOrder="0" vertical="center"/>
    </xf>
    <xf borderId="5" fillId="8" fontId="9" numFmtId="0" xfId="0" applyAlignment="1" applyBorder="1" applyFont="1">
      <alignment horizontal="left" readingOrder="0" vertical="center"/>
    </xf>
    <xf borderId="12" fillId="0" fontId="16" numFmtId="0" xfId="0" applyAlignment="1" applyBorder="1" applyFont="1">
      <alignment readingOrder="0" vertical="center"/>
    </xf>
    <xf borderId="5" fillId="2" fontId="9" numFmtId="168" xfId="0" applyAlignment="1" applyBorder="1" applyFont="1" applyNumberFormat="1">
      <alignment horizontal="center" readingOrder="0" vertical="center"/>
    </xf>
    <xf borderId="5" fillId="2" fontId="13" numFmtId="0" xfId="0" applyAlignment="1" applyBorder="1" applyFont="1">
      <alignment horizontal="center" readingOrder="0" shrinkToFit="0" vertical="center" wrapText="1"/>
    </xf>
    <xf borderId="5" fillId="2" fontId="13" numFmtId="0" xfId="0" applyAlignment="1" applyBorder="1" applyFont="1">
      <alignment horizontal="left" readingOrder="0" shrinkToFit="0" vertical="center" wrapText="1"/>
    </xf>
    <xf borderId="5" fillId="10" fontId="9" numFmtId="164" xfId="0" applyAlignment="1" applyBorder="1" applyFont="1" applyNumberFormat="1">
      <alignment vertical="center"/>
    </xf>
    <xf borderId="5" fillId="12" fontId="9" numFmtId="164" xfId="0" applyAlignment="1" applyBorder="1" applyFont="1" applyNumberFormat="1">
      <alignment horizontal="center" vertical="center"/>
    </xf>
    <xf borderId="6" fillId="0" fontId="11" numFmtId="164" xfId="0" applyAlignment="1" applyBorder="1" applyFont="1" applyNumberFormat="1">
      <alignment horizontal="center" vertical="center"/>
    </xf>
    <xf borderId="13" fillId="8" fontId="7" numFmtId="164" xfId="0" applyAlignment="1" applyBorder="1" applyFont="1" applyNumberFormat="1">
      <alignment horizontal="center" vertical="center"/>
    </xf>
    <xf borderId="12" fillId="8" fontId="7" numFmtId="165" xfId="0" applyAlignment="1" applyBorder="1" applyFont="1" applyNumberFormat="1">
      <alignment shrinkToFit="0" vertical="center" wrapText="1"/>
    </xf>
    <xf borderId="15" fillId="0" fontId="17" numFmtId="164" xfId="0" applyAlignment="1" applyBorder="1" applyFont="1" applyNumberFormat="1">
      <alignment horizontal="center" shrinkToFit="0" vertical="center" wrapText="1"/>
    </xf>
    <xf borderId="12" fillId="0" fontId="17" numFmtId="164" xfId="0" applyAlignment="1" applyBorder="1" applyFont="1" applyNumberFormat="1">
      <alignment horizontal="center" shrinkToFit="0" vertical="center" wrapText="1"/>
    </xf>
    <xf borderId="12" fillId="8" fontId="18" numFmtId="165" xfId="0" applyAlignment="1" applyBorder="1" applyFont="1" applyNumberFormat="1">
      <alignment shrinkToFit="0" vertical="center" wrapText="1"/>
    </xf>
    <xf borderId="0" fillId="0" fontId="6" numFmtId="165" xfId="0" applyAlignment="1" applyFont="1" applyNumberFormat="1">
      <alignment vertical="center"/>
    </xf>
    <xf borderId="0" fillId="0" fontId="19" numFmtId="0" xfId="0" applyAlignment="1" applyFont="1">
      <alignment vertical="center"/>
    </xf>
    <xf borderId="6" fillId="0" fontId="20" numFmtId="164" xfId="0" applyAlignment="1" applyBorder="1" applyFont="1" applyNumberFormat="1">
      <alignment horizontal="center" readingOrder="0" vertical="center"/>
    </xf>
    <xf borderId="8" fillId="0" fontId="7" numFmtId="164" xfId="0" applyAlignment="1" applyBorder="1" applyFont="1" applyNumberFormat="1">
      <alignment horizontal="center" shrinkToFit="0" vertical="center" wrapText="1"/>
    </xf>
    <xf borderId="0" fillId="0" fontId="7" numFmtId="164" xfId="0" applyAlignment="1" applyFont="1" applyNumberFormat="1">
      <alignment horizontal="center" shrinkToFit="0" vertical="center" wrapText="1"/>
    </xf>
    <xf borderId="0" fillId="0" fontId="17" numFmtId="164" xfId="0" applyAlignment="1" applyFont="1" applyNumberFormat="1">
      <alignment horizontal="center" shrinkToFit="0" vertical="center" wrapText="1"/>
    </xf>
    <xf borderId="0" fillId="0" fontId="9" numFmtId="164" xfId="0" applyAlignment="1" applyFont="1" applyNumberFormat="1">
      <alignment horizontal="center" shrinkToFit="0" vertical="center" wrapText="1"/>
    </xf>
    <xf borderId="0" fillId="0" fontId="9" numFmtId="3" xfId="0" applyAlignment="1" applyFont="1" applyNumberFormat="1">
      <alignment horizontal="center" shrinkToFit="0" vertical="center" wrapText="1"/>
    </xf>
    <xf borderId="20" fillId="8" fontId="9" numFmtId="164" xfId="0" applyAlignment="1" applyBorder="1" applyFont="1" applyNumberFormat="1">
      <alignment horizontal="center" vertical="center"/>
    </xf>
    <xf borderId="21" fillId="8" fontId="9" numFmtId="164" xfId="0" applyAlignment="1" applyBorder="1" applyFont="1" applyNumberFormat="1">
      <alignment horizontal="center" vertical="center"/>
    </xf>
    <xf borderId="6" fillId="16" fontId="7" numFmtId="164" xfId="0" applyAlignment="1" applyBorder="1" applyFill="1" applyFont="1" applyNumberFormat="1">
      <alignment horizontal="center" vertical="center"/>
    </xf>
    <xf borderId="22" fillId="16" fontId="17" numFmtId="164" xfId="0" applyAlignment="1" applyBorder="1" applyFont="1" applyNumberFormat="1">
      <alignment horizontal="center" shrinkToFit="0" vertical="center" wrapText="1"/>
    </xf>
    <xf borderId="0" fillId="0" fontId="7" numFmtId="164" xfId="0" applyAlignment="1" applyFont="1" applyNumberFormat="1">
      <alignment shrinkToFit="0" vertical="center" wrapText="1"/>
    </xf>
    <xf borderId="6" fillId="0" fontId="7" numFmtId="164" xfId="0" applyAlignment="1" applyBorder="1" applyFont="1" applyNumberFormat="1">
      <alignment horizontal="center" vertical="center"/>
    </xf>
    <xf borderId="0" fillId="0" fontId="21" numFmtId="164" xfId="0" applyAlignment="1" applyFont="1" applyNumberFormat="1">
      <alignment horizontal="center" vertical="center"/>
    </xf>
    <xf borderId="0" fillId="0" fontId="21" numFmtId="165" xfId="0" applyAlignment="1" applyFont="1" applyNumberFormat="1">
      <alignment vertical="center"/>
    </xf>
    <xf borderId="6" fillId="0" fontId="22" numFmtId="164" xfId="0" applyAlignment="1" applyBorder="1" applyFont="1" applyNumberFormat="1">
      <alignment horizontal="center" vertical="center"/>
    </xf>
    <xf borderId="8" fillId="0" fontId="22" numFmtId="164" xfId="0" applyAlignment="1" applyBorder="1" applyFont="1" applyNumberFormat="1">
      <alignment horizontal="center" shrinkToFit="0" vertical="center" wrapText="1"/>
    </xf>
    <xf borderId="0" fillId="0" fontId="23" numFmtId="0" xfId="0" applyAlignment="1" applyFont="1">
      <alignment horizontal="left" vertical="center"/>
    </xf>
    <xf borderId="0" fillId="0" fontId="6" numFmtId="0" xfId="0" applyAlignment="1" applyFont="1">
      <alignment horizontal="center" vertical="center"/>
    </xf>
    <xf borderId="0" fillId="0" fontId="23" numFmtId="0" xfId="0" applyAlignment="1" applyFont="1">
      <alignment horizontal="center" vertical="center"/>
    </xf>
    <xf borderId="0" fillId="0" fontId="23" numFmtId="0" xfId="0" applyAlignment="1" applyFont="1">
      <alignment vertical="center"/>
    </xf>
    <xf borderId="0" fillId="0" fontId="6" numFmtId="3" xfId="0" applyAlignment="1" applyFont="1" applyNumberFormat="1">
      <alignment vertical="center"/>
    </xf>
    <xf borderId="0" fillId="0" fontId="24" numFmtId="14" xfId="0" applyAlignment="1" applyFont="1" applyNumberFormat="1">
      <alignment horizontal="center" vertical="center"/>
    </xf>
    <xf borderId="0" fillId="0" fontId="24" numFmtId="1" xfId="0" applyAlignment="1" applyFont="1" applyNumberFormat="1">
      <alignment horizontal="center" vertical="center"/>
    </xf>
    <xf borderId="0" fillId="0" fontId="24" numFmtId="164" xfId="0" applyAlignment="1" applyFont="1" applyNumberFormat="1">
      <alignment horizontal="left" shrinkToFit="0" vertical="center" wrapText="1"/>
    </xf>
    <xf borderId="0" fillId="0" fontId="24" numFmtId="0" xfId="0" applyAlignment="1" applyFont="1">
      <alignment horizontal="left" vertical="center"/>
    </xf>
    <xf borderId="0" fillId="0" fontId="24" numFmtId="164" xfId="0" applyAlignment="1" applyFont="1" applyNumberFormat="1">
      <alignment horizontal="center" vertical="center"/>
    </xf>
    <xf borderId="0" fillId="0" fontId="25" numFmtId="164" xfId="0" applyAlignment="1" applyFont="1" applyNumberFormat="1">
      <alignment horizontal="center" vertical="center"/>
    </xf>
    <xf borderId="0" fillId="0" fontId="26" numFmtId="164" xfId="0" applyAlignment="1" applyFont="1" applyNumberFormat="1">
      <alignment horizontal="center" vertical="center"/>
    </xf>
    <xf borderId="0" fillId="0" fontId="21" numFmtId="3" xfId="0" applyAlignment="1" applyFont="1" applyNumberFormat="1">
      <alignment horizontal="center" vertical="center"/>
    </xf>
    <xf borderId="0" fillId="0" fontId="21" numFmtId="164" xfId="0" applyAlignment="1" applyFont="1" applyNumberFormat="1">
      <alignment horizontal="center" shrinkToFit="0" vertical="center" wrapText="1"/>
    </xf>
    <xf borderId="6" fillId="2" fontId="11" numFmtId="0" xfId="0" applyAlignment="1" applyBorder="1" applyFont="1">
      <alignment horizontal="center" shrinkToFit="0" vertical="center" wrapText="1"/>
    </xf>
    <xf borderId="6" fillId="2" fontId="27" numFmtId="0" xfId="0" applyAlignment="1" applyBorder="1" applyFont="1">
      <alignment horizontal="center" shrinkToFit="0" vertical="center" wrapText="1"/>
    </xf>
    <xf borderId="0" fillId="8" fontId="7" numFmtId="0" xfId="0" applyAlignment="1" applyFont="1">
      <alignment horizontal="center" vertical="center"/>
    </xf>
    <xf borderId="6" fillId="17" fontId="7" numFmtId="0" xfId="0" applyAlignment="1" applyBorder="1" applyFill="1" applyFont="1">
      <alignment horizontal="center" readingOrder="0" vertical="center"/>
    </xf>
    <xf borderId="0" fillId="0" fontId="28" numFmtId="164" xfId="0" applyAlignment="1" applyFont="1" applyNumberFormat="1">
      <alignment horizontal="center" shrinkToFit="0" vertical="center" wrapText="1"/>
    </xf>
    <xf borderId="15" fillId="0" fontId="7" numFmtId="14" xfId="0" applyAlignment="1" applyBorder="1" applyFont="1" applyNumberFormat="1">
      <alignment horizontal="center" shrinkToFit="0" vertical="center" wrapText="1"/>
    </xf>
    <xf borderId="15" fillId="0" fontId="7" numFmtId="1" xfId="0" applyAlignment="1" applyBorder="1" applyFont="1" applyNumberFormat="1">
      <alignment horizontal="center" vertical="center"/>
    </xf>
    <xf borderId="15" fillId="0" fontId="7" numFmtId="164" xfId="0" applyAlignment="1" applyBorder="1" applyFont="1" applyNumberFormat="1">
      <alignment horizontal="center" shrinkToFit="0" vertical="center" wrapText="1"/>
    </xf>
    <xf borderId="15" fillId="0" fontId="7" numFmtId="0" xfId="0" applyAlignment="1" applyBorder="1" applyFont="1">
      <alignment horizontal="center" shrinkToFit="0" vertical="center" wrapText="1"/>
    </xf>
    <xf borderId="15" fillId="0" fontId="28" numFmtId="164" xfId="0" applyAlignment="1" applyBorder="1" applyFont="1" applyNumberFormat="1">
      <alignment horizontal="center" shrinkToFit="0" vertical="center" wrapText="1"/>
    </xf>
    <xf borderId="19" fillId="0" fontId="7" numFmtId="164" xfId="0" applyAlignment="1" applyBorder="1" applyFont="1" applyNumberFormat="1">
      <alignment horizontal="center" vertical="center"/>
    </xf>
    <xf borderId="15" fillId="0" fontId="11" numFmtId="164" xfId="0" applyAlignment="1" applyBorder="1" applyFont="1" applyNumberFormat="1">
      <alignment horizontal="center" vertical="center"/>
    </xf>
    <xf borderId="0" fillId="0" fontId="7" numFmtId="168" xfId="0" applyAlignment="1" applyFont="1" applyNumberFormat="1">
      <alignment horizontal="center" vertical="center"/>
    </xf>
    <xf borderId="0" fillId="8" fontId="12" numFmtId="0" xfId="0" applyAlignment="1" applyFont="1">
      <alignment horizontal="center" readingOrder="0" shrinkToFit="0" vertical="center" wrapText="1"/>
    </xf>
    <xf borderId="12" fillId="10" fontId="7" numFmtId="0" xfId="0" applyAlignment="1" applyBorder="1" applyFont="1">
      <alignment horizontal="center" readingOrder="0" shrinkToFit="0" vertical="center" wrapText="1"/>
    </xf>
    <xf borderId="12" fillId="18" fontId="7" numFmtId="0" xfId="0" applyAlignment="1" applyBorder="1" applyFill="1" applyFont="1">
      <alignment horizontal="center" readingOrder="0" shrinkToFit="0" vertical="center" wrapText="1"/>
    </xf>
    <xf borderId="12" fillId="19" fontId="7" numFmtId="0" xfId="0" applyAlignment="1" applyBorder="1" applyFill="1" applyFont="1">
      <alignment horizontal="center" vertical="center"/>
    </xf>
    <xf borderId="12" fillId="0" fontId="7" numFmtId="0" xfId="0" applyAlignment="1" applyBorder="1" applyFont="1">
      <alignment horizontal="center" shrinkToFit="0" vertical="center" wrapText="1"/>
    </xf>
    <xf borderId="5" fillId="0" fontId="7" numFmtId="14" xfId="0" applyAlignment="1" applyBorder="1" applyFont="1" applyNumberFormat="1">
      <alignment horizontal="center" shrinkToFit="0" vertical="center" wrapText="1"/>
    </xf>
    <xf borderId="12" fillId="0" fontId="9" numFmtId="164" xfId="0" applyAlignment="1" applyBorder="1" applyFont="1" applyNumberFormat="1">
      <alignment horizontal="left" shrinkToFit="0" vertical="center" wrapText="1"/>
    </xf>
    <xf borderId="12" fillId="0" fontId="29" numFmtId="164" xfId="0" applyAlignment="1" applyBorder="1" applyFont="1" applyNumberFormat="1">
      <alignment horizontal="center" vertical="center"/>
    </xf>
    <xf borderId="12" fillId="0" fontId="9" numFmtId="164" xfId="0" applyAlignment="1" applyBorder="1" applyFont="1" applyNumberFormat="1">
      <alignment horizontal="center" shrinkToFit="0" vertical="center" wrapText="1"/>
    </xf>
    <xf borderId="0" fillId="0" fontId="9" numFmtId="168" xfId="0" applyAlignment="1" applyFont="1" applyNumberFormat="1">
      <alignment horizontal="center" vertical="center"/>
    </xf>
    <xf borderId="0" fillId="8" fontId="9" numFmtId="168" xfId="0" applyAlignment="1" applyFont="1" applyNumberFormat="1">
      <alignment horizontal="center" vertical="center"/>
    </xf>
    <xf borderId="12" fillId="10" fontId="9" numFmtId="168" xfId="0" applyAlignment="1" applyBorder="1" applyFont="1" applyNumberFormat="1">
      <alignment horizontal="center" readingOrder="0" shrinkToFit="0" vertical="center" wrapText="1"/>
    </xf>
    <xf borderId="12" fillId="10" fontId="7" numFmtId="165" xfId="0" applyAlignment="1" applyBorder="1" applyFont="1" applyNumberFormat="1">
      <alignment horizontal="center" shrinkToFit="0" vertical="center" wrapText="1"/>
    </xf>
    <xf borderId="12" fillId="18" fontId="7" numFmtId="165" xfId="0" applyAlignment="1" applyBorder="1" applyFont="1" applyNumberFormat="1">
      <alignment horizontal="right" vertical="center"/>
    </xf>
    <xf borderId="12" fillId="18" fontId="7" numFmtId="165" xfId="0" applyAlignment="1" applyBorder="1" applyFont="1" applyNumberFormat="1">
      <alignment horizontal="center" vertical="center"/>
    </xf>
    <xf borderId="12" fillId="19" fontId="7" numFmtId="165" xfId="0" applyAlignment="1" applyBorder="1" applyFont="1" applyNumberFormat="1">
      <alignment horizontal="center" vertical="center"/>
    </xf>
    <xf borderId="12" fillId="8" fontId="9" numFmtId="164" xfId="0" applyAlignment="1" applyBorder="1" applyFont="1" applyNumberFormat="1">
      <alignment horizontal="center" readingOrder="0" vertical="center"/>
    </xf>
    <xf borderId="0" fillId="0" fontId="25" numFmtId="164" xfId="0" applyAlignment="1" applyFont="1" applyNumberFormat="1">
      <alignment horizontal="center" shrinkToFit="0" vertical="center" wrapText="1"/>
    </xf>
    <xf borderId="12" fillId="8" fontId="9" numFmtId="164" xfId="0" applyAlignment="1" applyBorder="1" applyFont="1" applyNumberFormat="1">
      <alignment horizontal="center" vertical="center"/>
    </xf>
    <xf borderId="12" fillId="0" fontId="30" numFmtId="0" xfId="0" applyAlignment="1" applyBorder="1" applyFont="1">
      <alignment horizontal="center" vertical="center"/>
    </xf>
    <xf borderId="12" fillId="0" fontId="7" numFmtId="164" xfId="0" applyAlignment="1" applyBorder="1" applyFont="1" applyNumberFormat="1">
      <alignment horizontal="left" shrinkToFit="0" vertical="center" wrapText="1"/>
    </xf>
    <xf borderId="12" fillId="0" fontId="7" numFmtId="164" xfId="0" applyAlignment="1" applyBorder="1" applyFont="1" applyNumberFormat="1">
      <alignment horizontal="left" readingOrder="0" shrinkToFit="0" vertical="center" wrapText="1"/>
    </xf>
    <xf borderId="12" fillId="10" fontId="9" numFmtId="166" xfId="0" applyAlignment="1" applyBorder="1" applyFont="1" applyNumberFormat="1">
      <alignment horizontal="center" readingOrder="0" shrinkToFit="0" vertical="center" wrapText="1"/>
    </xf>
    <xf borderId="12" fillId="10" fontId="9" numFmtId="169" xfId="0" applyAlignment="1" applyBorder="1" applyFont="1" applyNumberFormat="1">
      <alignment horizontal="center" readingOrder="0" shrinkToFit="0" vertical="center" wrapText="1"/>
    </xf>
    <xf borderId="12" fillId="0" fontId="13" numFmtId="164" xfId="0" applyAlignment="1" applyBorder="1" applyFont="1" applyNumberFormat="1">
      <alignment horizontal="center" readingOrder="0" vertical="center"/>
    </xf>
    <xf borderId="12" fillId="0" fontId="13" numFmtId="165" xfId="0" applyAlignment="1" applyBorder="1" applyFont="1" applyNumberFormat="1">
      <alignment readingOrder="0" vertical="center"/>
    </xf>
    <xf borderId="0" fillId="8" fontId="21" numFmtId="164" xfId="0" applyAlignment="1" applyFont="1" applyNumberFormat="1">
      <alignment horizontal="center" vertical="center"/>
    </xf>
    <xf borderId="8" fillId="8" fontId="9" numFmtId="0" xfId="0" applyAlignment="1" applyBorder="1" applyFont="1">
      <alignment horizontal="center" readingOrder="0" vertical="center"/>
    </xf>
    <xf borderId="12" fillId="8" fontId="9" numFmtId="165" xfId="0" applyAlignment="1" applyBorder="1" applyFont="1" applyNumberFormat="1">
      <alignment readingOrder="0" vertical="center"/>
    </xf>
    <xf borderId="0" fillId="8" fontId="9" numFmtId="164" xfId="0" applyAlignment="1" applyFont="1" applyNumberFormat="1">
      <alignment horizontal="center" vertical="center"/>
    </xf>
    <xf borderId="0" fillId="8" fontId="25" numFmtId="164" xfId="0" applyAlignment="1" applyFont="1" applyNumberFormat="1">
      <alignment horizontal="center" shrinkToFit="0" vertical="center" wrapText="1"/>
    </xf>
    <xf borderId="0" fillId="8" fontId="21" numFmtId="165" xfId="0" applyAlignment="1" applyFont="1" applyNumberFormat="1">
      <alignment vertical="center"/>
    </xf>
    <xf borderId="0" fillId="8" fontId="19" numFmtId="0" xfId="0" applyAlignment="1" applyFont="1">
      <alignment vertical="center"/>
    </xf>
    <xf borderId="0" fillId="8" fontId="6" numFmtId="0" xfId="0" applyAlignment="1" applyFont="1">
      <alignment vertical="center"/>
    </xf>
    <xf borderId="22" fillId="8" fontId="9" numFmtId="0" xfId="0" applyAlignment="1" applyBorder="1" applyFont="1">
      <alignment horizontal="center" vertical="center"/>
    </xf>
    <xf borderId="12" fillId="0" fontId="9" numFmtId="0" xfId="0" applyAlignment="1" applyBorder="1" applyFont="1">
      <alignment horizontal="left" vertical="center"/>
    </xf>
    <xf borderId="8" fillId="0" fontId="9" numFmtId="0" xfId="0" applyAlignment="1" applyBorder="1" applyFont="1">
      <alignment horizontal="center" vertical="center"/>
    </xf>
    <xf borderId="0" fillId="8" fontId="7" numFmtId="168" xfId="0" applyAlignment="1" applyFont="1" applyNumberFormat="1">
      <alignment horizontal="center" vertical="center"/>
    </xf>
    <xf borderId="8" fillId="0" fontId="9" numFmtId="0" xfId="0" applyAlignment="1" applyBorder="1" applyFont="1">
      <alignment horizontal="center" readingOrder="0" vertical="center"/>
    </xf>
    <xf quotePrefix="1" borderId="8" fillId="0" fontId="9" numFmtId="0" xfId="0" applyAlignment="1" applyBorder="1" applyFont="1">
      <alignment horizontal="center" vertical="center"/>
    </xf>
    <xf borderId="0" fillId="8" fontId="7" numFmtId="0" xfId="0" applyAlignment="1" applyFont="1">
      <alignment horizontal="center" readingOrder="0" vertical="center"/>
    </xf>
    <xf borderId="12" fillId="10" fontId="9" numFmtId="165" xfId="0" applyAlignment="1" applyBorder="1" applyFont="1" applyNumberFormat="1">
      <alignment horizontal="center" shrinkToFit="0" vertical="center" wrapText="1"/>
    </xf>
    <xf borderId="12" fillId="20" fontId="12" numFmtId="165" xfId="0" applyAlignment="1" applyBorder="1" applyFill="1" applyFont="1" applyNumberFormat="1">
      <alignment horizontal="center" readingOrder="0" shrinkToFit="0" vertical="center" wrapText="1"/>
    </xf>
    <xf borderId="12" fillId="20" fontId="9" numFmtId="164" xfId="0" applyAlignment="1" applyBorder="1" applyFont="1" applyNumberFormat="1">
      <alignment horizontal="center" vertical="center"/>
    </xf>
    <xf borderId="0" fillId="8" fontId="9" numFmtId="165" xfId="0" applyAlignment="1" applyFont="1" applyNumberFormat="1">
      <alignment horizontal="center" shrinkToFit="0" vertical="center" wrapText="1"/>
    </xf>
    <xf borderId="0" fillId="8" fontId="7" numFmtId="165" xfId="0" applyAlignment="1" applyFont="1" applyNumberFormat="1">
      <alignment horizontal="center" shrinkToFit="0" vertical="center" wrapText="1"/>
    </xf>
    <xf borderId="0" fillId="8" fontId="7" numFmtId="165" xfId="0" applyAlignment="1" applyFont="1" applyNumberFormat="1">
      <alignment horizontal="right" vertical="center"/>
    </xf>
    <xf borderId="0" fillId="8" fontId="7" numFmtId="165" xfId="0" applyAlignment="1" applyFont="1" applyNumberFormat="1">
      <alignment horizontal="center" vertical="center"/>
    </xf>
    <xf borderId="0" fillId="8" fontId="12" numFmtId="165" xfId="0" applyAlignment="1" applyFont="1" applyNumberFormat="1">
      <alignment horizontal="center" readingOrder="0" shrinkToFit="0" vertical="center" wrapText="1"/>
    </xf>
    <xf borderId="0" fillId="0" fontId="28" numFmtId="3" xfId="0" applyAlignment="1" applyFont="1" applyNumberFormat="1">
      <alignment horizontal="center" vertical="center"/>
    </xf>
    <xf borderId="0" fillId="0" fontId="28" numFmtId="164" xfId="0" applyAlignment="1" applyFont="1" applyNumberFormat="1">
      <alignment horizontal="center" vertical="center"/>
    </xf>
    <xf borderId="23" fillId="0" fontId="9" numFmtId="0" xfId="0" applyAlignment="1" applyBorder="1" applyFont="1">
      <alignment horizontal="center" vertical="center"/>
    </xf>
    <xf borderId="5" fillId="0" fontId="9" numFmtId="164" xfId="0" applyAlignment="1" applyBorder="1" applyFont="1" applyNumberFormat="1">
      <alignment horizontal="left" shrinkToFit="0" vertical="center" wrapText="1"/>
    </xf>
    <xf borderId="5" fillId="0" fontId="9" numFmtId="165" xfId="0" applyAlignment="1" applyBorder="1" applyFont="1" applyNumberFormat="1">
      <alignment vertical="center"/>
    </xf>
    <xf borderId="23" fillId="0" fontId="9" numFmtId="0" xfId="0" applyAlignment="1" applyBorder="1" applyFont="1">
      <alignment horizontal="center" readingOrder="0" vertical="center"/>
    </xf>
    <xf borderId="5" fillId="0" fontId="9" numFmtId="165" xfId="0" applyAlignment="1" applyBorder="1" applyFont="1" applyNumberFormat="1">
      <alignment readingOrder="0" vertical="center"/>
    </xf>
    <xf borderId="5" fillId="0" fontId="7" numFmtId="164" xfId="0" applyAlignment="1" applyBorder="1" applyFont="1" applyNumberFormat="1">
      <alignment horizontal="left" shrinkToFit="0" vertical="center" wrapText="1"/>
    </xf>
    <xf borderId="6" fillId="10" fontId="7" numFmtId="14" xfId="0" applyAlignment="1" applyBorder="1" applyFont="1" applyNumberFormat="1">
      <alignment horizontal="center" vertical="center"/>
    </xf>
    <xf borderId="22" fillId="10" fontId="7" numFmtId="164" xfId="0" applyAlignment="1" applyBorder="1" applyFont="1" applyNumberFormat="1">
      <alignment horizontal="center" vertical="center"/>
    </xf>
    <xf borderId="6" fillId="21" fontId="7" numFmtId="14" xfId="0" applyAlignment="1" applyBorder="1" applyFill="1" applyFont="1" applyNumberFormat="1">
      <alignment horizontal="center" vertical="center"/>
    </xf>
    <xf borderId="22" fillId="21" fontId="7" numFmtId="164" xfId="0" applyAlignment="1" applyBorder="1" applyFont="1" applyNumberFormat="1">
      <alignment horizontal="center" vertical="center"/>
    </xf>
    <xf borderId="6" fillId="0" fontId="12" numFmtId="164" xfId="0" applyAlignment="1" applyBorder="1" applyFont="1" applyNumberFormat="1">
      <alignment horizontal="center" readingOrder="0" vertical="center"/>
    </xf>
    <xf borderId="0" fillId="0" fontId="30" numFmtId="164" xfId="0" applyAlignment="1" applyFont="1" applyNumberFormat="1">
      <alignment horizontal="center" readingOrder="0" vertical="center"/>
    </xf>
    <xf borderId="6" fillId="22" fontId="12" numFmtId="0" xfId="0" applyAlignment="1" applyBorder="1" applyFill="1" applyFont="1">
      <alignment horizontal="center" readingOrder="0" vertical="center"/>
    </xf>
    <xf borderId="22" fillId="22" fontId="9" numFmtId="164" xfId="0" applyAlignment="1" applyBorder="1" applyFont="1" applyNumberFormat="1">
      <alignment horizontal="center" vertical="center"/>
    </xf>
    <xf borderId="12" fillId="0" fontId="30" numFmtId="164" xfId="0" applyAlignment="1" applyBorder="1" applyFont="1" applyNumberFormat="1">
      <alignment horizontal="center" readingOrder="0" vertical="center"/>
    </xf>
    <xf borderId="12" fillId="0" fontId="28" numFmtId="164" xfId="0" applyAlignment="1" applyBorder="1" applyFont="1" applyNumberFormat="1">
      <alignment horizontal="center" vertical="center"/>
    </xf>
    <xf borderId="12" fillId="0" fontId="21" numFmtId="164" xfId="0" applyAlignment="1" applyBorder="1" applyFont="1" applyNumberFormat="1">
      <alignment horizontal="center" vertical="center"/>
    </xf>
    <xf borderId="6" fillId="23" fontId="7" numFmtId="14" xfId="0" applyAlignment="1" applyBorder="1" applyFill="1" applyFont="1" applyNumberFormat="1">
      <alignment horizontal="center" vertical="center"/>
    </xf>
    <xf borderId="6" fillId="23" fontId="12" numFmtId="0" xfId="0" applyAlignment="1" applyBorder="1" applyFont="1">
      <alignment horizontal="left" readingOrder="0" vertical="center"/>
    </xf>
    <xf borderId="22" fillId="23" fontId="13" numFmtId="164" xfId="0" applyAlignment="1" applyBorder="1" applyFont="1" applyNumberFormat="1">
      <alignment vertical="center"/>
    </xf>
    <xf borderId="12" fillId="0" fontId="30" numFmtId="164" xfId="0" applyAlignment="1" applyBorder="1" applyFont="1" applyNumberFormat="1">
      <alignment horizontal="left" readingOrder="0" vertical="center"/>
    </xf>
    <xf borderId="6" fillId="0" fontId="7" numFmtId="14" xfId="0" applyAlignment="1" applyBorder="1" applyFont="1" applyNumberFormat="1">
      <alignment horizontal="center" vertical="center"/>
    </xf>
    <xf borderId="22" fillId="13" fontId="13" numFmtId="164" xfId="0" applyAlignment="1" applyBorder="1" applyFont="1" applyNumberFormat="1">
      <alignment vertical="center"/>
    </xf>
    <xf borderId="12" fillId="0" fontId="9" numFmtId="164" xfId="0" applyAlignment="1" applyBorder="1" applyFont="1" applyNumberFormat="1">
      <alignment horizontal="center" readingOrder="0" vertical="center"/>
    </xf>
    <xf borderId="12" fillId="0" fontId="21" numFmtId="164" xfId="0" applyAlignment="1" applyBorder="1" applyFont="1" applyNumberFormat="1">
      <alignment horizontal="center" shrinkToFit="0" vertical="center" wrapText="1"/>
    </xf>
    <xf borderId="0" fillId="0" fontId="31" numFmtId="164" xfId="0" applyAlignment="1" applyFont="1" applyNumberFormat="1">
      <alignment horizontal="center" vertical="center"/>
    </xf>
    <xf borderId="6" fillId="2" fontId="17" numFmtId="14" xfId="0" applyAlignment="1" applyBorder="1" applyFont="1" applyNumberFormat="1">
      <alignment horizontal="center" vertical="center"/>
    </xf>
    <xf borderId="22" fillId="2" fontId="17" numFmtId="164" xfId="0" applyAlignment="1" applyBorder="1" applyFont="1" applyNumberFormat="1">
      <alignment horizontal="center" vertical="center"/>
    </xf>
    <xf borderId="12" fillId="2" fontId="7" numFmtId="164" xfId="0" applyAlignment="1" applyBorder="1" applyFont="1" applyNumberFormat="1">
      <alignment horizontal="center" readingOrder="0" vertical="center"/>
    </xf>
    <xf borderId="12" fillId="2" fontId="28" numFmtId="164" xfId="0" applyAlignment="1" applyBorder="1" applyFont="1" applyNumberFormat="1">
      <alignment horizontal="center" vertical="center"/>
    </xf>
    <xf borderId="6" fillId="22" fontId="17" numFmtId="14" xfId="0" applyAlignment="1" applyBorder="1" applyFont="1" applyNumberFormat="1">
      <alignment horizontal="center" vertical="center"/>
    </xf>
    <xf borderId="22" fillId="22" fontId="29" numFmtId="164" xfId="0" applyAlignment="1" applyBorder="1" applyFont="1" applyNumberFormat="1">
      <alignment horizontal="center" vertical="center"/>
    </xf>
    <xf borderId="0" fillId="8" fontId="7" numFmtId="164" xfId="0" applyAlignment="1" applyFont="1" applyNumberFormat="1">
      <alignment horizontal="center" readingOrder="0" vertical="center"/>
    </xf>
    <xf borderId="0" fillId="8" fontId="28" numFmtId="164" xfId="0" applyAlignment="1" applyFont="1" applyNumberFormat="1">
      <alignment horizontal="center" vertical="center"/>
    </xf>
    <xf borderId="0" fillId="8" fontId="21" numFmtId="164" xfId="0" applyAlignment="1" applyFont="1" applyNumberFormat="1">
      <alignment horizontal="center" shrinkToFit="0" vertical="center" wrapText="1"/>
    </xf>
    <xf borderId="0" fillId="0" fontId="7" numFmtId="164" xfId="0" applyAlignment="1" applyFont="1" applyNumberFormat="1">
      <alignment horizontal="center" vertical="center"/>
    </xf>
    <xf borderId="0" fillId="0" fontId="21" numFmtId="14" xfId="0" applyAlignment="1" applyFont="1" applyNumberFormat="1">
      <alignment horizontal="center" vertical="center"/>
    </xf>
    <xf borderId="0" fillId="0" fontId="21" numFmtId="0" xfId="0" applyAlignment="1" applyFont="1">
      <alignment horizontal="left" vertical="center"/>
    </xf>
    <xf borderId="0" fillId="0" fontId="21" numFmtId="164" xfId="0" applyAlignment="1" applyFont="1" applyNumberFormat="1">
      <alignment horizontal="left" shrinkToFit="0" vertical="center" wrapText="1"/>
    </xf>
    <xf borderId="0" fillId="0" fontId="32" numFmtId="164" xfId="0" applyAlignment="1" applyFont="1" applyNumberFormat="1">
      <alignment horizontal="center" vertical="center"/>
    </xf>
    <xf borderId="0" fillId="0" fontId="33" numFmtId="164" xfId="0" applyAlignment="1" applyFont="1" applyNumberFormat="1">
      <alignment horizontal="center" vertical="center"/>
    </xf>
    <xf borderId="0" fillId="0" fontId="12" numFmtId="0" xfId="0" applyAlignment="1" applyFont="1">
      <alignment horizontal="left" shrinkToFit="0" vertical="center" wrapText="1"/>
    </xf>
    <xf borderId="0" fillId="0" fontId="12" numFmtId="0" xfId="0" applyAlignment="1" applyFont="1">
      <alignment horizontal="center" shrinkToFit="0" vertical="center" wrapText="1"/>
    </xf>
    <xf borderId="0" fillId="0" fontId="21" numFmtId="3" xfId="0" applyAlignment="1" applyFont="1" applyNumberFormat="1">
      <alignment vertical="center"/>
    </xf>
    <xf borderId="0" fillId="0" fontId="21" numFmtId="0" xfId="0" applyAlignment="1" applyFont="1">
      <alignment vertical="center"/>
    </xf>
    <xf borderId="0" fillId="0" fontId="21" numFmtId="0" xfId="0" applyAlignment="1" applyFont="1">
      <alignment horizontal="center" vertical="center"/>
    </xf>
    <xf borderId="11" fillId="3" fontId="18" numFmtId="0" xfId="0" applyAlignment="1" applyBorder="1" applyFont="1">
      <alignment horizontal="center" vertical="center"/>
    </xf>
    <xf borderId="22" fillId="3" fontId="18" numFmtId="1" xfId="0" applyAlignment="1" applyBorder="1" applyFont="1" applyNumberFormat="1">
      <alignment horizontal="center" vertical="center"/>
    </xf>
    <xf borderId="22" fillId="3" fontId="18" numFmtId="0" xfId="0" applyAlignment="1" applyBorder="1" applyFont="1">
      <alignment horizontal="center" vertical="center"/>
    </xf>
    <xf borderId="22" fillId="3" fontId="18" numFmtId="164" xfId="0" applyAlignment="1" applyBorder="1" applyFont="1" applyNumberFormat="1">
      <alignment horizontal="center" vertical="center"/>
    </xf>
    <xf borderId="7" fillId="3" fontId="18" numFmtId="164" xfId="0" applyAlignment="1" applyBorder="1" applyFont="1" applyNumberFormat="1">
      <alignment horizontal="center" vertical="center"/>
    </xf>
    <xf borderId="12" fillId="3" fontId="18" numFmtId="164" xfId="0" applyAlignment="1" applyBorder="1" applyFont="1" applyNumberFormat="1">
      <alignment horizontal="center" readingOrder="0" vertical="center"/>
    </xf>
    <xf borderId="0" fillId="8" fontId="18" numFmtId="164" xfId="0" applyAlignment="1" applyFont="1" applyNumberFormat="1">
      <alignment horizontal="center" vertical="center"/>
    </xf>
    <xf borderId="0" fillId="0" fontId="28" numFmtId="165" xfId="0" applyAlignment="1" applyFont="1" applyNumberFormat="1">
      <alignment vertical="center"/>
    </xf>
    <xf borderId="4" fillId="13" fontId="28" numFmtId="164" xfId="0" applyAlignment="1" applyBorder="1" applyFont="1" applyNumberFormat="1">
      <alignment horizontal="center" vertical="center"/>
    </xf>
    <xf borderId="12" fillId="8" fontId="14" numFmtId="0" xfId="0" applyAlignment="1" applyBorder="1" applyFont="1">
      <alignment horizontal="center" readingOrder="0" shrinkToFit="0" vertical="center" wrapText="1"/>
    </xf>
    <xf borderId="12" fillId="8" fontId="14" numFmtId="166" xfId="0" applyAlignment="1" applyBorder="1" applyFont="1" applyNumberFormat="1">
      <alignment horizontal="center" readingOrder="0" shrinkToFit="0" vertical="center" wrapText="1"/>
    </xf>
    <xf borderId="12" fillId="8" fontId="13" numFmtId="1" xfId="0" applyAlignment="1" applyBorder="1" applyFont="1" applyNumberFormat="1">
      <alignment horizontal="center" shrinkToFit="0" vertical="center" wrapText="1"/>
    </xf>
    <xf borderId="12" fillId="8" fontId="14" numFmtId="0" xfId="0" applyAlignment="1" applyBorder="1" applyFont="1">
      <alignment horizontal="left" shrinkToFit="0" vertical="center" wrapText="1"/>
    </xf>
    <xf borderId="12" fillId="8" fontId="14" numFmtId="3" xfId="0" applyAlignment="1" applyBorder="1" applyFont="1" applyNumberFormat="1">
      <alignment horizontal="left" shrinkToFit="0" vertical="center" wrapText="1"/>
    </xf>
    <xf borderId="6" fillId="8" fontId="14" numFmtId="3" xfId="0" applyAlignment="1" applyBorder="1" applyFont="1" applyNumberFormat="1">
      <alignment horizontal="center" readingOrder="0" shrinkToFit="0" vertical="center" wrapText="1"/>
    </xf>
    <xf borderId="12" fillId="8" fontId="13" numFmtId="164" xfId="0" applyAlignment="1" applyBorder="1" applyFont="1" applyNumberFormat="1">
      <alignment horizontal="center" readingOrder="0" vertical="center"/>
    </xf>
    <xf borderId="0" fillId="8" fontId="13" numFmtId="164" xfId="0" applyAlignment="1" applyFont="1" applyNumberFormat="1">
      <alignment horizontal="center" shrinkToFit="0" vertical="center" wrapText="1"/>
    </xf>
    <xf borderId="24" fillId="13" fontId="21" numFmtId="164" xfId="0" applyAlignment="1" applyBorder="1" applyFont="1" applyNumberFormat="1">
      <alignment horizontal="center" vertical="center"/>
    </xf>
    <xf borderId="4" fillId="13" fontId="21" numFmtId="164" xfId="0" applyAlignment="1" applyBorder="1" applyFont="1" applyNumberFormat="1">
      <alignment horizontal="center" vertical="center"/>
    </xf>
    <xf borderId="4" fillId="13" fontId="21" numFmtId="165" xfId="0" applyAlignment="1" applyBorder="1" applyFont="1" applyNumberFormat="1">
      <alignment vertical="center"/>
    </xf>
    <xf borderId="12" fillId="8" fontId="13" numFmtId="1" xfId="0" applyAlignment="1" applyBorder="1" applyFont="1" applyNumberFormat="1">
      <alignment horizontal="center" readingOrder="0" shrinkToFit="0" vertical="center" wrapText="1"/>
    </xf>
    <xf borderId="12" fillId="8" fontId="14" numFmtId="3" xfId="0" applyAlignment="1" applyBorder="1" applyFont="1" applyNumberFormat="1">
      <alignment horizontal="center" readingOrder="0" shrinkToFit="0" vertical="center" wrapText="1"/>
    </xf>
    <xf borderId="12" fillId="8" fontId="14" numFmtId="3" xfId="0" applyAlignment="1" applyBorder="1" applyFont="1" applyNumberFormat="1">
      <alignment horizontal="center" shrinkToFit="0" vertical="center" wrapText="1"/>
    </xf>
    <xf borderId="24" fillId="13" fontId="34" numFmtId="164" xfId="0" applyAlignment="1" applyBorder="1" applyFont="1" applyNumberFormat="1">
      <alignment horizontal="center" vertical="center"/>
    </xf>
    <xf borderId="4" fillId="13" fontId="21" numFmtId="164" xfId="0" applyAlignment="1" applyBorder="1" applyFont="1" applyNumberFormat="1">
      <alignment horizontal="center" shrinkToFit="0" vertical="center" wrapText="1"/>
    </xf>
    <xf borderId="25" fillId="8" fontId="14" numFmtId="0" xfId="0" applyAlignment="1" applyBorder="1" applyFont="1">
      <alignment horizontal="center" readingOrder="0" shrinkToFit="0" vertical="center" wrapText="1"/>
    </xf>
    <xf borderId="25" fillId="8" fontId="14" numFmtId="168" xfId="0" applyAlignment="1" applyBorder="1" applyFont="1" applyNumberFormat="1">
      <alignment horizontal="center" readingOrder="0" shrinkToFit="0" vertical="center" wrapText="1"/>
    </xf>
    <xf borderId="25" fillId="8" fontId="13" numFmtId="0" xfId="0" applyAlignment="1" applyBorder="1" applyFont="1">
      <alignment horizontal="center" readingOrder="0" shrinkToFit="0" vertical="center" wrapText="1"/>
    </xf>
    <xf quotePrefix="1" borderId="25" fillId="8" fontId="13" numFmtId="0" xfId="0" applyAlignment="1" applyBorder="1" applyFont="1">
      <alignment horizontal="center" readingOrder="0" shrinkToFit="0" vertical="center" wrapText="1"/>
    </xf>
    <xf borderId="25" fillId="8" fontId="13" numFmtId="0" xfId="0" applyAlignment="1" applyBorder="1" applyFont="1">
      <alignment horizontal="left" readingOrder="0" shrinkToFit="0" vertical="center" wrapText="1"/>
    </xf>
    <xf borderId="26" fillId="8" fontId="14" numFmtId="164" xfId="0" applyAlignment="1" applyBorder="1" applyFont="1" applyNumberFormat="1">
      <alignment horizontal="center" vertical="center"/>
    </xf>
    <xf borderId="12" fillId="8" fontId="13" numFmtId="0" xfId="0" applyAlignment="1" applyBorder="1" applyFont="1">
      <alignment horizontal="center" readingOrder="0" vertical="center"/>
    </xf>
    <xf borderId="12" fillId="8" fontId="13" numFmtId="168" xfId="0" applyAlignment="1" applyBorder="1" applyFont="1" applyNumberFormat="1">
      <alignment horizontal="center" readingOrder="0" vertical="center"/>
    </xf>
    <xf quotePrefix="1" borderId="12" fillId="8" fontId="13" numFmtId="0" xfId="0" applyAlignment="1" applyBorder="1" applyFont="1">
      <alignment horizontal="center" readingOrder="0" vertical="center"/>
    </xf>
    <xf borderId="12" fillId="8" fontId="13" numFmtId="164" xfId="0" applyAlignment="1" applyBorder="1" applyFont="1" applyNumberFormat="1">
      <alignment horizontal="left" vertical="center"/>
    </xf>
    <xf borderId="0" fillId="8" fontId="13" numFmtId="164" xfId="0" applyAlignment="1" applyFont="1" applyNumberFormat="1">
      <alignment horizontal="center" vertical="center"/>
    </xf>
    <xf borderId="24" fillId="8" fontId="14" numFmtId="164" xfId="0" applyAlignment="1" applyBorder="1" applyFont="1" applyNumberFormat="1">
      <alignment horizontal="center" vertical="center"/>
    </xf>
    <xf borderId="4" fillId="8" fontId="14" numFmtId="164" xfId="0" applyAlignment="1" applyBorder="1" applyFont="1" applyNumberFormat="1">
      <alignment horizontal="center" vertical="center"/>
    </xf>
    <xf borderId="20" fillId="8" fontId="13" numFmtId="164" xfId="0" applyAlignment="1" applyBorder="1" applyFont="1" applyNumberFormat="1">
      <alignment horizontal="center" vertical="center"/>
    </xf>
    <xf borderId="21" fillId="8" fontId="13" numFmtId="164" xfId="0" applyAlignment="1" applyBorder="1" applyFont="1" applyNumberFormat="1">
      <alignment horizontal="center" vertical="center"/>
    </xf>
    <xf borderId="4" fillId="8" fontId="14" numFmtId="164" xfId="0" applyAlignment="1" applyBorder="1" applyFont="1" applyNumberFormat="1">
      <alignment horizontal="center" shrinkToFit="0" vertical="center" wrapText="1"/>
    </xf>
    <xf borderId="4" fillId="8" fontId="14" numFmtId="165" xfId="0" applyAlignment="1" applyBorder="1" applyFont="1" applyNumberFormat="1">
      <alignment vertical="center"/>
    </xf>
    <xf borderId="0" fillId="8" fontId="35" numFmtId="0" xfId="0" applyAlignment="1" applyFont="1">
      <alignment vertical="center"/>
    </xf>
    <xf borderId="6" fillId="24" fontId="36" numFmtId="0" xfId="0" applyAlignment="1" applyBorder="1" applyFill="1" applyFont="1">
      <alignment horizontal="center" vertical="center"/>
    </xf>
    <xf borderId="12" fillId="24" fontId="18" numFmtId="164" xfId="0" applyAlignment="1" applyBorder="1" applyFont="1" applyNumberFormat="1">
      <alignment horizontal="left" vertical="center"/>
    </xf>
    <xf borderId="12" fillId="24" fontId="18" numFmtId="164" xfId="0" applyAlignment="1" applyBorder="1" applyFont="1" applyNumberFormat="1">
      <alignment horizontal="center" vertical="center"/>
    </xf>
    <xf borderId="12" fillId="24" fontId="7" numFmtId="164" xfId="0" applyAlignment="1" applyBorder="1" applyFont="1" applyNumberFormat="1">
      <alignment horizontal="center" vertical="center"/>
    </xf>
    <xf borderId="0" fillId="8" fontId="7" numFmtId="164" xfId="0" applyAlignment="1" applyFont="1" applyNumberFormat="1">
      <alignment horizontal="center" vertical="center"/>
    </xf>
    <xf borderId="4" fillId="8" fontId="21" numFmtId="1" xfId="0" applyAlignment="1" applyBorder="1" applyFont="1" applyNumberFormat="1">
      <alignment horizontal="right" vertical="center"/>
    </xf>
    <xf borderId="4" fillId="8" fontId="21" numFmtId="168" xfId="0" applyAlignment="1" applyBorder="1" applyFont="1" applyNumberFormat="1">
      <alignment horizontal="right" vertical="center"/>
    </xf>
    <xf borderId="4" fillId="8" fontId="21" numFmtId="168" xfId="0" applyAlignment="1" applyBorder="1" applyFont="1" applyNumberFormat="1">
      <alignment horizontal="center" vertical="center"/>
    </xf>
    <xf borderId="0" fillId="0" fontId="23" numFmtId="1" xfId="0" applyAlignment="1" applyFont="1" applyNumberFormat="1">
      <alignment vertical="center"/>
    </xf>
    <xf borderId="0" fillId="0" fontId="23" numFmtId="3" xfId="0" applyAlignment="1" applyFont="1" applyNumberFormat="1">
      <alignment vertical="center"/>
    </xf>
    <xf borderId="0" fillId="0" fontId="23" numFmtId="0" xfId="0" applyAlignment="1" applyFont="1">
      <alignment readingOrder="0" vertical="center"/>
    </xf>
    <xf borderId="27" fillId="8" fontId="9" numFmtId="164" xfId="0" applyAlignment="1" applyBorder="1" applyFont="1" applyNumberFormat="1">
      <alignment horizontal="center" vertical="center"/>
    </xf>
    <xf borderId="28" fillId="8" fontId="9" numFmtId="164" xfId="0" applyAlignment="1" applyBorder="1" applyFont="1" applyNumberFormat="1">
      <alignment horizontal="center" vertical="center"/>
    </xf>
    <xf borderId="0" fillId="0" fontId="37" numFmtId="3" xfId="0" applyAlignment="1" applyFont="1" applyNumberFormat="1">
      <alignment vertical="center"/>
    </xf>
    <xf borderId="1" fillId="2" fontId="27" numFmtId="164" xfId="0" applyAlignment="1" applyBorder="1" applyFont="1" applyNumberFormat="1">
      <alignment horizontal="center" readingOrder="0" shrinkToFit="0" vertical="center" wrapText="1"/>
    </xf>
    <xf borderId="4" fillId="2" fontId="11" numFmtId="164" xfId="0" applyAlignment="1" applyBorder="1" applyFont="1" applyNumberFormat="1">
      <alignment horizontal="left" shrinkToFit="0" vertical="center" wrapText="1"/>
    </xf>
    <xf borderId="4" fillId="2" fontId="11" numFmtId="164" xfId="0" applyAlignment="1" applyBorder="1" applyFont="1" applyNumberFormat="1">
      <alignment horizontal="center" shrinkToFit="0" vertical="center" wrapText="1"/>
    </xf>
    <xf borderId="29" fillId="2" fontId="11" numFmtId="164" xfId="0" applyAlignment="1" applyBorder="1" applyFont="1" applyNumberFormat="1">
      <alignment horizontal="left" shrinkToFit="0" vertical="center" wrapText="1"/>
    </xf>
    <xf borderId="30" fillId="10" fontId="7" numFmtId="164" xfId="0" applyAlignment="1" applyBorder="1" applyFont="1" applyNumberFormat="1">
      <alignment horizontal="center" readingOrder="0" vertical="center"/>
    </xf>
    <xf borderId="31" fillId="0" fontId="2" numFmtId="0" xfId="0" applyBorder="1" applyFont="1"/>
    <xf borderId="12" fillId="0" fontId="9" numFmtId="1" xfId="0" applyAlignment="1" applyBorder="1" applyFont="1" applyNumberFormat="1">
      <alignment horizontal="center" readingOrder="0" vertical="center"/>
    </xf>
    <xf borderId="12" fillId="8" fontId="13" numFmtId="164" xfId="0" applyAlignment="1" applyBorder="1" applyFont="1" applyNumberFormat="1">
      <alignment readingOrder="0" vertical="center"/>
    </xf>
    <xf quotePrefix="1" borderId="12" fillId="13" fontId="13" numFmtId="0" xfId="0" applyAlignment="1" applyBorder="1" applyFont="1">
      <alignment horizontal="center" readingOrder="0" shrinkToFit="0" vertical="center" wrapText="1"/>
    </xf>
    <xf borderId="12" fillId="0" fontId="9" numFmtId="164" xfId="0" applyAlignment="1" applyBorder="1" applyFont="1" applyNumberFormat="1">
      <alignment vertical="center"/>
    </xf>
    <xf borderId="12" fillId="8" fontId="13" numFmtId="166" xfId="0" applyAlignment="1" applyBorder="1" applyFont="1" applyNumberFormat="1">
      <alignment horizontal="center" readingOrder="0" shrinkToFit="0" vertical="center" wrapText="1"/>
    </xf>
    <xf borderId="12" fillId="0" fontId="13" numFmtId="0" xfId="0" applyAlignment="1" applyBorder="1" applyFont="1">
      <alignment horizontal="right" shrinkToFit="0" vertical="center" wrapText="1"/>
    </xf>
    <xf borderId="12" fillId="13" fontId="38" numFmtId="164" xfId="0" applyAlignment="1" applyBorder="1" applyFont="1" applyNumberFormat="1">
      <alignment horizontal="left" readingOrder="0" vertical="center"/>
    </xf>
    <xf borderId="5" fillId="8" fontId="13" numFmtId="166" xfId="0" applyAlignment="1" applyBorder="1" applyFont="1" applyNumberFormat="1">
      <alignment horizontal="center" readingOrder="0" shrinkToFit="0" vertical="center" wrapText="1"/>
    </xf>
    <xf borderId="5" fillId="8" fontId="13" numFmtId="0" xfId="0" applyAlignment="1" applyBorder="1" applyFont="1">
      <alignment horizontal="left" readingOrder="0" shrinkToFit="0" vertical="center" wrapText="1"/>
    </xf>
    <xf borderId="5" fillId="8" fontId="9" numFmtId="3" xfId="0" applyAlignment="1" applyBorder="1" applyFont="1" applyNumberFormat="1">
      <alignment horizontal="center" readingOrder="0" shrinkToFit="0" vertical="center" wrapText="1"/>
    </xf>
    <xf borderId="12" fillId="0" fontId="13" numFmtId="0" xfId="0" applyAlignment="1" applyBorder="1" applyFont="1">
      <alignment shrinkToFit="0" vertical="center" wrapText="1"/>
    </xf>
    <xf borderId="12" fillId="10" fontId="30" numFmtId="164" xfId="0" applyAlignment="1" applyBorder="1" applyFont="1" applyNumberFormat="1">
      <alignment readingOrder="0" vertical="center"/>
    </xf>
    <xf borderId="12" fillId="2" fontId="9" numFmtId="0" xfId="0" applyAlignment="1" applyBorder="1" applyFont="1">
      <alignment vertical="center"/>
    </xf>
    <xf borderId="16" fillId="0" fontId="9" numFmtId="0" xfId="0" applyAlignment="1" applyBorder="1" applyFont="1">
      <alignment readingOrder="0" vertical="center"/>
    </xf>
    <xf borderId="16" fillId="0" fontId="2" numFmtId="0" xfId="0" applyBorder="1" applyFont="1"/>
    <xf borderId="5" fillId="0" fontId="13" numFmtId="0" xfId="0" applyAlignment="1" applyBorder="1" applyFont="1">
      <alignment readingOrder="0" shrinkToFit="0" vertical="center" wrapText="1"/>
    </xf>
    <xf borderId="5" fillId="13" fontId="38" numFmtId="164" xfId="0" applyAlignment="1" applyBorder="1" applyFont="1" applyNumberFormat="1">
      <alignment horizontal="left" readingOrder="0" vertical="center"/>
    </xf>
    <xf borderId="0" fillId="0" fontId="13" numFmtId="164" xfId="0" applyAlignment="1" applyFont="1" applyNumberFormat="1">
      <alignment horizontal="center" vertical="center"/>
    </xf>
    <xf borderId="0" fillId="0" fontId="13" numFmtId="165" xfId="0" applyAlignment="1" applyFont="1" applyNumberFormat="1">
      <alignment vertical="center"/>
    </xf>
    <xf borderId="0" fillId="0" fontId="9" numFmtId="0" xfId="0" applyAlignment="1" applyFont="1">
      <alignment horizontal="center" vertical="center"/>
    </xf>
    <xf borderId="12" fillId="0" fontId="13" numFmtId="0" xfId="0" applyAlignment="1" applyBorder="1" applyFont="1">
      <alignment readingOrder="0" vertical="center"/>
    </xf>
    <xf borderId="0" fillId="13" fontId="13" numFmtId="0" xfId="0" applyAlignment="1" applyFont="1">
      <alignment horizontal="center" readingOrder="0" vertical="center"/>
    </xf>
    <xf borderId="12" fillId="8" fontId="9" numFmtId="166" xfId="0" applyAlignment="1" applyBorder="1" applyFont="1" applyNumberFormat="1">
      <alignment horizontal="center" readingOrder="0" vertical="center"/>
    </xf>
    <xf borderId="12" fillId="8" fontId="9" numFmtId="0" xfId="0" applyAlignment="1" applyBorder="1" applyFont="1">
      <alignment readingOrder="0" vertical="center"/>
    </xf>
    <xf borderId="5" fillId="9" fontId="9" numFmtId="3" xfId="0" applyAlignment="1" applyBorder="1" applyFont="1" applyNumberFormat="1">
      <alignment horizontal="center" readingOrder="0" vertical="center"/>
    </xf>
    <xf borderId="12" fillId="2" fontId="13" numFmtId="0" xfId="0" applyAlignment="1" applyBorder="1" applyFont="1">
      <alignment horizontal="center" readingOrder="0" vertical="center"/>
    </xf>
    <xf borderId="12" fillId="2" fontId="13" numFmtId="166" xfId="0" applyAlignment="1" applyBorder="1" applyFont="1" applyNumberFormat="1">
      <alignment horizontal="center" readingOrder="0" vertical="center"/>
    </xf>
    <xf borderId="12" fillId="2" fontId="13" numFmtId="0" xfId="0" applyAlignment="1" applyBorder="1" applyFont="1">
      <alignment readingOrder="0" vertical="center"/>
    </xf>
    <xf quotePrefix="1" borderId="12" fillId="2" fontId="13" numFmtId="0" xfId="0" applyAlignment="1" applyBorder="1" applyFont="1">
      <alignment horizontal="center" readingOrder="0" vertical="center"/>
    </xf>
    <xf borderId="13" fillId="2" fontId="13" numFmtId="164" xfId="0" applyAlignment="1" applyBorder="1" applyFont="1" applyNumberFormat="1">
      <alignment horizontal="center" vertical="center"/>
    </xf>
    <xf borderId="12" fillId="2" fontId="13" numFmtId="0" xfId="0" applyAlignment="1" applyBorder="1" applyFont="1">
      <alignment horizontal="center" vertical="center"/>
    </xf>
    <xf borderId="12" fillId="2" fontId="13" numFmtId="3" xfId="0" applyAlignment="1" applyBorder="1" applyFont="1" applyNumberFormat="1">
      <alignment horizontal="center" vertical="center"/>
    </xf>
    <xf borderId="12" fillId="2" fontId="13" numFmtId="164" xfId="0" applyAlignment="1" applyBorder="1" applyFont="1" applyNumberFormat="1">
      <alignment vertical="center"/>
    </xf>
    <xf borderId="12" fillId="2" fontId="13" numFmtId="4" xfId="0" applyAlignment="1" applyBorder="1" applyFont="1" applyNumberFormat="1">
      <alignment horizontal="center" vertical="center"/>
    </xf>
    <xf borderId="12" fillId="2" fontId="13" numFmtId="164" xfId="0" applyAlignment="1" applyBorder="1" applyFont="1" applyNumberFormat="1">
      <alignment horizontal="center" vertical="center"/>
    </xf>
    <xf borderId="12" fillId="2" fontId="13" numFmtId="0" xfId="0" applyAlignment="1" applyBorder="1" applyFont="1">
      <alignment vertical="center"/>
    </xf>
    <xf borderId="12" fillId="2" fontId="38" numFmtId="164" xfId="0" applyAlignment="1" applyBorder="1" applyFont="1" applyNumberFormat="1">
      <alignment horizontal="left" readingOrder="0" vertical="center"/>
    </xf>
    <xf borderId="12" fillId="0" fontId="9" numFmtId="4" xfId="0" applyAlignment="1" applyBorder="1" applyFont="1" applyNumberFormat="1">
      <alignment horizontal="center" vertical="center"/>
    </xf>
    <xf quotePrefix="1" borderId="12" fillId="8" fontId="9" numFmtId="0" xfId="0" applyAlignment="1" applyBorder="1" applyFont="1">
      <alignment horizontal="center" readingOrder="0" vertical="center"/>
    </xf>
    <xf borderId="23" fillId="0" fontId="9" numFmtId="0" xfId="0" applyAlignment="1" applyBorder="1" applyFont="1">
      <alignment horizontal="left" shrinkToFit="0" vertical="center" wrapText="1"/>
    </xf>
    <xf borderId="5" fillId="7" fontId="13" numFmtId="0" xfId="0" applyAlignment="1" applyBorder="1" applyFont="1">
      <alignment horizontal="left" readingOrder="0" shrinkToFit="0" vertical="center" wrapText="1"/>
    </xf>
    <xf borderId="32" fillId="8" fontId="9" numFmtId="164" xfId="0" applyAlignment="1" applyBorder="1" applyFont="1" applyNumberFormat="1">
      <alignment horizontal="center" vertical="center"/>
    </xf>
    <xf borderId="16" fillId="0" fontId="15" numFmtId="0" xfId="0" applyAlignment="1" applyBorder="1" applyFont="1">
      <alignment readingOrder="0" shrinkToFit="0" vertical="center" wrapText="1"/>
    </xf>
    <xf borderId="33" fillId="0" fontId="2" numFmtId="0" xfId="0" applyBorder="1" applyFont="1"/>
    <xf borderId="34" fillId="0" fontId="2" numFmtId="0" xfId="0" applyBorder="1" applyFont="1"/>
    <xf borderId="8" fillId="0" fontId="9" numFmtId="0" xfId="0" applyAlignment="1" applyBorder="1" applyFont="1">
      <alignment readingOrder="0" vertical="center"/>
    </xf>
    <xf borderId="8" fillId="7" fontId="9" numFmtId="164" xfId="0" applyAlignment="1" applyBorder="1" applyFont="1" applyNumberFormat="1">
      <alignment horizontal="center" vertical="center"/>
    </xf>
    <xf borderId="8" fillId="0" fontId="9" numFmtId="0" xfId="0" applyAlignment="1" applyBorder="1" applyFont="1">
      <alignment vertical="center"/>
    </xf>
    <xf borderId="12" fillId="0" fontId="13" numFmtId="0" xfId="0" applyAlignment="1" applyBorder="1" applyFont="1">
      <alignment horizontal="left" shrinkToFit="0" vertical="center" wrapText="1"/>
    </xf>
    <xf borderId="12" fillId="0" fontId="9" numFmtId="166" xfId="0" applyAlignment="1" applyBorder="1" applyFont="1" applyNumberFormat="1">
      <alignment horizontal="center" vertical="center"/>
    </xf>
    <xf borderId="22" fillId="7" fontId="9" numFmtId="164" xfId="0" applyAlignment="1" applyBorder="1" applyFont="1" applyNumberFormat="1">
      <alignment horizontal="center" vertical="center"/>
    </xf>
    <xf borderId="12" fillId="5" fontId="7" numFmtId="165" xfId="0" applyAlignment="1" applyBorder="1" applyFont="1" applyNumberFormat="1">
      <alignment shrinkToFit="0" vertical="center" wrapText="1"/>
    </xf>
    <xf borderId="0" fillId="0" fontId="13" numFmtId="164" xfId="0" applyAlignment="1" applyFont="1" applyNumberFormat="1">
      <alignment horizontal="center" readingOrder="0" vertical="center"/>
    </xf>
    <xf borderId="0" fillId="0" fontId="13" numFmtId="165" xfId="0" applyAlignment="1" applyFont="1" applyNumberFormat="1">
      <alignment readingOrder="0" vertical="center"/>
    </xf>
    <xf borderId="6" fillId="0" fontId="20" numFmtId="164" xfId="0" applyAlignment="1" applyBorder="1" applyFont="1" applyNumberFormat="1">
      <alignment horizontal="center" vertical="center"/>
    </xf>
    <xf borderId="4" fillId="8" fontId="9" numFmtId="164" xfId="0" applyAlignment="1" applyBorder="1" applyFont="1" applyNumberFormat="1">
      <alignment horizontal="center" vertical="center"/>
    </xf>
    <xf borderId="0" fillId="0" fontId="8" numFmtId="165" xfId="0" applyAlignment="1" applyFont="1" applyNumberFormat="1">
      <alignment vertical="center"/>
    </xf>
    <xf borderId="4" fillId="8" fontId="9" numFmtId="164" xfId="0" applyAlignment="1" applyBorder="1" applyFont="1" applyNumberFormat="1">
      <alignment horizontal="center" shrinkToFit="0" vertical="center" wrapText="1"/>
    </xf>
    <xf borderId="0" fillId="0" fontId="10" numFmtId="0" xfId="0" applyAlignment="1" applyFont="1">
      <alignment horizontal="left" vertical="center"/>
    </xf>
    <xf borderId="0" fillId="0" fontId="8" numFmtId="0" xfId="0" applyAlignment="1" applyFont="1">
      <alignment horizontal="center" vertical="center"/>
    </xf>
    <xf borderId="0" fillId="0" fontId="10" numFmtId="0" xfId="0" applyAlignment="1" applyFont="1">
      <alignment horizontal="center" vertical="center"/>
    </xf>
    <xf borderId="0" fillId="0" fontId="8" numFmtId="3" xfId="0" applyAlignment="1" applyFont="1" applyNumberFormat="1">
      <alignment vertical="center"/>
    </xf>
    <xf borderId="4" fillId="8" fontId="10" numFmtId="0" xfId="0" applyAlignment="1" applyBorder="1" applyFont="1">
      <alignment vertical="center"/>
    </xf>
    <xf borderId="0" fillId="0" fontId="11" numFmtId="14" xfId="0" applyAlignment="1" applyFont="1" applyNumberFormat="1">
      <alignment horizontal="center" vertical="center"/>
    </xf>
    <xf borderId="0" fillId="0" fontId="11" numFmtId="1" xfId="0" applyAlignment="1" applyFont="1" applyNumberFormat="1">
      <alignment horizontal="center" vertical="center"/>
    </xf>
    <xf borderId="0" fillId="0" fontId="11" numFmtId="164" xfId="0" applyAlignment="1" applyFont="1" applyNumberFormat="1">
      <alignment horizontal="left" shrinkToFit="0" vertical="center" wrapText="1"/>
    </xf>
    <xf borderId="0" fillId="0" fontId="11" numFmtId="0" xfId="0" applyAlignment="1" applyFont="1">
      <alignment horizontal="left" vertical="center"/>
    </xf>
    <xf borderId="0" fillId="0" fontId="11" numFmtId="164" xfId="0" applyAlignment="1" applyFont="1" applyNumberFormat="1">
      <alignment horizontal="center" vertical="center"/>
    </xf>
    <xf borderId="0" fillId="0" fontId="9" numFmtId="3" xfId="0" applyAlignment="1" applyFont="1" applyNumberFormat="1">
      <alignment horizontal="center" vertical="center"/>
    </xf>
    <xf borderId="24" fillId="8" fontId="7" numFmtId="164" xfId="0" applyAlignment="1" applyBorder="1" applyFont="1" applyNumberFormat="1">
      <alignment vertical="center"/>
    </xf>
    <xf borderId="4" fillId="8" fontId="7" numFmtId="164" xfId="0" applyAlignment="1" applyBorder="1" applyFont="1" applyNumberFormat="1">
      <alignment vertical="center"/>
    </xf>
    <xf borderId="0" fillId="8" fontId="7" numFmtId="0" xfId="0" applyAlignment="1" applyFont="1">
      <alignment horizontal="center" readingOrder="0" shrinkToFit="0" vertical="center" wrapText="1"/>
    </xf>
    <xf borderId="24" fillId="8" fontId="7" numFmtId="164" xfId="0" applyAlignment="1" applyBorder="1" applyFont="1" applyNumberFormat="1">
      <alignment horizontal="center" shrinkToFit="0" vertical="center" wrapText="1"/>
    </xf>
    <xf borderId="4" fillId="8" fontId="7" numFmtId="164" xfId="0" applyAlignment="1" applyBorder="1" applyFont="1" applyNumberFormat="1">
      <alignment horizontal="center" vertical="center"/>
    </xf>
    <xf borderId="12" fillId="0" fontId="9" numFmtId="0" xfId="0" applyAlignment="1" applyBorder="1" applyFont="1">
      <alignment horizontal="center" readingOrder="0" shrinkToFit="0" vertical="center" wrapText="1"/>
    </xf>
    <xf borderId="24" fillId="8" fontId="7" numFmtId="164" xfId="0" applyAlignment="1" applyBorder="1" applyFont="1" applyNumberFormat="1">
      <alignment horizontal="center" vertical="center"/>
    </xf>
    <xf borderId="4" fillId="8" fontId="26" numFmtId="164" xfId="0" applyAlignment="1" applyBorder="1" applyFont="1" applyNumberFormat="1">
      <alignment horizontal="center" vertical="center"/>
    </xf>
    <xf borderId="0" fillId="0" fontId="26" numFmtId="164" xfId="0" applyAlignment="1" applyFont="1" applyNumberFormat="1">
      <alignment horizontal="center" shrinkToFit="0" vertical="center" wrapText="1"/>
    </xf>
    <xf borderId="12" fillId="18" fontId="7" numFmtId="165" xfId="0" applyAlignment="1" applyBorder="1" applyFont="1" applyNumberFormat="1">
      <alignment horizontal="center" shrinkToFit="0" vertical="center" wrapText="1"/>
    </xf>
    <xf borderId="12" fillId="0" fontId="9" numFmtId="0" xfId="0" applyAlignment="1" applyBorder="1" applyFont="1">
      <alignment horizontal="center" shrinkToFit="0" vertical="center" wrapText="1"/>
    </xf>
    <xf borderId="0" fillId="8" fontId="26" numFmtId="164" xfId="0" applyAlignment="1" applyFont="1" applyNumberFormat="1">
      <alignment horizontal="center" shrinkToFit="0" vertical="center" wrapText="1"/>
    </xf>
    <xf borderId="0" fillId="8" fontId="9" numFmtId="165" xfId="0" applyAlignment="1" applyFont="1" applyNumberFormat="1">
      <alignment vertical="center"/>
    </xf>
    <xf borderId="0" fillId="8" fontId="10" numFmtId="0" xfId="0" applyAlignment="1" applyFont="1">
      <alignment vertical="center"/>
    </xf>
    <xf borderId="0" fillId="8" fontId="8" numFmtId="0" xfId="0" applyAlignment="1" applyFont="1">
      <alignment vertical="center"/>
    </xf>
    <xf borderId="4" fillId="8" fontId="26" numFmtId="164" xfId="0" applyAlignment="1" applyBorder="1" applyFont="1" applyNumberFormat="1">
      <alignment horizontal="center" shrinkToFit="0" vertical="center" wrapText="1"/>
    </xf>
    <xf borderId="12" fillId="10" fontId="30" numFmtId="166" xfId="0" applyAlignment="1" applyBorder="1" applyFont="1" applyNumberFormat="1">
      <alignment horizontal="center" readingOrder="0" shrinkToFit="0" vertical="center" wrapText="1"/>
    </xf>
    <xf borderId="4" fillId="8" fontId="7" numFmtId="164" xfId="0" applyAlignment="1" applyBorder="1" applyFont="1" applyNumberFormat="1">
      <alignment horizontal="center" shrinkToFit="0" vertical="center" wrapText="1"/>
    </xf>
    <xf borderId="12" fillId="10" fontId="7" numFmtId="165" xfId="0" applyAlignment="1" applyBorder="1" applyFont="1" applyNumberFormat="1">
      <alignment horizontal="center" readingOrder="0" shrinkToFit="0" vertical="center" wrapText="1"/>
    </xf>
    <xf borderId="12" fillId="10" fontId="9" numFmtId="166" xfId="0" applyAlignment="1" applyBorder="1" applyFont="1" applyNumberFormat="1">
      <alignment horizontal="center" shrinkToFit="0" vertical="center" wrapText="1"/>
    </xf>
    <xf borderId="12" fillId="20" fontId="7" numFmtId="165" xfId="0" applyAlignment="1" applyBorder="1" applyFont="1" applyNumberFormat="1">
      <alignment horizontal="center" readingOrder="0" shrinkToFit="0" vertical="center" wrapText="1"/>
    </xf>
    <xf borderId="0" fillId="0" fontId="7" numFmtId="3" xfId="0" applyAlignment="1" applyFont="1" applyNumberFormat="1">
      <alignment horizontal="center" vertical="center"/>
    </xf>
    <xf borderId="0" fillId="0" fontId="9" numFmtId="0" xfId="0" applyAlignment="1" applyFont="1">
      <alignment horizontal="center" shrinkToFit="0" vertical="center" wrapText="1"/>
    </xf>
    <xf borderId="5" fillId="0" fontId="9" numFmtId="0" xfId="0" applyAlignment="1" applyBorder="1" applyFont="1">
      <alignment horizontal="left" vertical="center"/>
    </xf>
    <xf borderId="6" fillId="0" fontId="7" numFmtId="164" xfId="0" applyAlignment="1" applyBorder="1" applyFont="1" applyNumberFormat="1">
      <alignment horizontal="center" readingOrder="0" vertical="center"/>
    </xf>
    <xf borderId="0" fillId="0" fontId="7" numFmtId="164" xfId="0" applyAlignment="1" applyFont="1" applyNumberFormat="1">
      <alignment horizontal="center" readingOrder="0" vertical="center"/>
    </xf>
    <xf borderId="0" fillId="0" fontId="9" numFmtId="164" xfId="0" applyAlignment="1" applyFont="1" applyNumberFormat="1">
      <alignment horizontal="center" readingOrder="0" vertical="center"/>
    </xf>
    <xf borderId="6" fillId="22" fontId="7" numFmtId="0" xfId="0" applyAlignment="1" applyBorder="1" applyFont="1">
      <alignment horizontal="center" readingOrder="0" vertical="center"/>
    </xf>
    <xf borderId="6" fillId="23" fontId="7" numFmtId="0" xfId="0" applyAlignment="1" applyBorder="1" applyFont="1">
      <alignment horizontal="left" readingOrder="0" vertical="center"/>
    </xf>
    <xf borderId="12" fillId="0" fontId="7" numFmtId="164" xfId="0" applyAlignment="1" applyBorder="1" applyFont="1" applyNumberFormat="1">
      <alignment horizontal="center" readingOrder="0" vertical="center"/>
    </xf>
    <xf borderId="12" fillId="0" fontId="7" numFmtId="164" xfId="0" applyAlignment="1" applyBorder="1" applyFont="1" applyNumberFormat="1">
      <alignment horizontal="center" vertical="center"/>
    </xf>
    <xf borderId="0" fillId="0" fontId="29" numFmtId="164" xfId="0" applyAlignment="1" applyFont="1" applyNumberFormat="1">
      <alignment horizontal="center" vertical="center"/>
    </xf>
    <xf borderId="0" fillId="0" fontId="9" numFmtId="14" xfId="0" applyAlignment="1" applyFont="1" applyNumberFormat="1">
      <alignment horizontal="center" vertical="center"/>
    </xf>
    <xf borderId="0" fillId="0" fontId="9" numFmtId="0" xfId="0" applyAlignment="1" applyFont="1">
      <alignment horizontal="left" vertical="center"/>
    </xf>
    <xf borderId="0" fillId="0" fontId="9" numFmtId="164" xfId="0" applyAlignment="1" applyFont="1" applyNumberFormat="1">
      <alignment horizontal="left" shrinkToFit="0" vertical="center" wrapText="1"/>
    </xf>
    <xf borderId="0" fillId="0" fontId="18" numFmtId="164" xfId="0" applyAlignment="1" applyFont="1" applyNumberFormat="1">
      <alignment horizontal="center" vertical="center"/>
    </xf>
    <xf borderId="0" fillId="0" fontId="7" numFmtId="0" xfId="0" applyAlignment="1" applyFont="1">
      <alignment horizontal="left" shrinkToFit="0" vertical="center" wrapText="1"/>
    </xf>
    <xf borderId="0" fillId="0" fontId="7" numFmtId="0" xfId="0" applyAlignment="1" applyFont="1">
      <alignment horizontal="center" shrinkToFit="0" vertical="center" wrapText="1"/>
    </xf>
    <xf borderId="0" fillId="0" fontId="9" numFmtId="3" xfId="0" applyAlignment="1" applyFont="1" applyNumberFormat="1">
      <alignment vertical="center"/>
    </xf>
    <xf borderId="4" fillId="8" fontId="9" numFmtId="0" xfId="0" applyAlignment="1" applyBorder="1" applyFont="1">
      <alignment vertical="center"/>
    </xf>
    <xf borderId="9" fillId="3" fontId="18" numFmtId="164" xfId="0" applyAlignment="1" applyBorder="1" applyFont="1" applyNumberFormat="1">
      <alignment horizontal="center" vertical="center"/>
    </xf>
    <xf borderId="12" fillId="3" fontId="18" numFmtId="164" xfId="0" applyAlignment="1" applyBorder="1" applyFont="1" applyNumberFormat="1">
      <alignment horizontal="center" vertical="center"/>
    </xf>
    <xf borderId="21" fillId="0" fontId="18" numFmtId="164" xfId="0" applyAlignment="1" applyBorder="1" applyFont="1" applyNumberFormat="1">
      <alignment horizontal="center" vertical="center"/>
    </xf>
    <xf borderId="0" fillId="0" fontId="7" numFmtId="165" xfId="0" applyAlignment="1" applyFont="1" applyNumberFormat="1">
      <alignment vertical="center"/>
    </xf>
    <xf borderId="4" fillId="13" fontId="7" numFmtId="164" xfId="0" applyAlignment="1" applyBorder="1" applyFont="1" applyNumberFormat="1">
      <alignment horizontal="center" vertical="center"/>
    </xf>
    <xf borderId="12" fillId="8" fontId="9" numFmtId="1" xfId="0" applyAlignment="1" applyBorder="1" applyFont="1" applyNumberFormat="1">
      <alignment horizontal="center" vertical="center"/>
    </xf>
    <xf borderId="12" fillId="8" fontId="13" numFmtId="3" xfId="0" applyAlignment="1" applyBorder="1" applyFont="1" applyNumberFormat="1">
      <alignment horizontal="center" readingOrder="0" shrinkToFit="0" vertical="center" wrapText="1"/>
    </xf>
    <xf borderId="12" fillId="8" fontId="13" numFmtId="3" xfId="0" applyAlignment="1" applyBorder="1" applyFont="1" applyNumberFormat="1">
      <alignment horizontal="center" shrinkToFit="0" vertical="center" wrapText="1"/>
    </xf>
    <xf borderId="6" fillId="8" fontId="13" numFmtId="3" xfId="0" applyAlignment="1" applyBorder="1" applyFont="1" applyNumberFormat="1">
      <alignment horizontal="center" shrinkToFit="0" vertical="center" wrapText="1"/>
    </xf>
    <xf borderId="4" fillId="13" fontId="9" numFmtId="164" xfId="0" applyAlignment="1" applyBorder="1" applyFont="1" applyNumberFormat="1">
      <alignment horizontal="center" vertical="center"/>
    </xf>
    <xf borderId="4" fillId="13" fontId="9" numFmtId="165" xfId="0" applyAlignment="1" applyBorder="1" applyFont="1" applyNumberFormat="1">
      <alignment vertical="center"/>
    </xf>
    <xf borderId="4" fillId="13" fontId="9" numFmtId="164" xfId="0" applyAlignment="1" applyBorder="1" applyFont="1" applyNumberFormat="1">
      <alignment horizontal="center" shrinkToFit="0" vertical="center" wrapText="1"/>
    </xf>
    <xf borderId="25" fillId="8" fontId="13" numFmtId="168" xfId="0" applyAlignment="1" applyBorder="1" applyFont="1" applyNumberFormat="1">
      <alignment horizontal="center" readingOrder="0" shrinkToFit="0" vertical="center" wrapText="1"/>
    </xf>
    <xf borderId="26" fillId="8" fontId="7" numFmtId="164" xfId="0" applyAlignment="1" applyBorder="1" applyFont="1" applyNumberFormat="1">
      <alignment horizontal="center" vertical="center"/>
    </xf>
    <xf borderId="12" fillId="8" fontId="13" numFmtId="166" xfId="0" applyAlignment="1" applyBorder="1" applyFont="1" applyNumberFormat="1">
      <alignment horizontal="center" readingOrder="0" vertical="center"/>
    </xf>
    <xf borderId="6" fillId="8" fontId="7" numFmtId="164" xfId="0" applyAlignment="1" applyBorder="1" applyFont="1" applyNumberFormat="1">
      <alignment horizontal="center" vertical="center"/>
    </xf>
    <xf borderId="21" fillId="8" fontId="18" numFmtId="164" xfId="0" applyAlignment="1" applyBorder="1" applyFont="1" applyNumberFormat="1">
      <alignment horizontal="center" vertical="center"/>
    </xf>
    <xf borderId="4" fillId="8" fontId="9" numFmtId="165" xfId="0" applyAlignment="1" applyBorder="1" applyFont="1" applyNumberFormat="1">
      <alignment vertical="center"/>
    </xf>
    <xf borderId="5" fillId="8" fontId="13" numFmtId="0" xfId="0" applyAlignment="1" applyBorder="1" applyFont="1">
      <alignment horizontal="center" readingOrder="0" vertical="center"/>
    </xf>
    <xf borderId="5" fillId="8" fontId="13" numFmtId="166" xfId="0" applyAlignment="1" applyBorder="1" applyFont="1" applyNumberFormat="1">
      <alignment horizontal="center" readingOrder="0" vertical="center"/>
    </xf>
    <xf borderId="5" fillId="0" fontId="9" numFmtId="0" xfId="0" applyAlignment="1" applyBorder="1" applyFont="1">
      <alignment horizontal="center" readingOrder="0" shrinkToFit="0" vertical="center" wrapText="1"/>
    </xf>
    <xf borderId="5" fillId="8" fontId="13" numFmtId="3" xfId="0" applyAlignment="1" applyBorder="1" applyFont="1" applyNumberFormat="1">
      <alignment horizontal="center" readingOrder="0" shrinkToFit="0" vertical="center" wrapText="1"/>
    </xf>
    <xf borderId="5" fillId="8" fontId="9" numFmtId="164" xfId="0" applyAlignment="1" applyBorder="1" applyFont="1" applyNumberFormat="1">
      <alignment horizontal="center" readingOrder="0" vertical="center"/>
    </xf>
    <xf borderId="26" fillId="13" fontId="7" numFmtId="164" xfId="0" applyAlignment="1" applyBorder="1" applyFont="1" applyNumberFormat="1">
      <alignment horizontal="center" vertical="center"/>
    </xf>
    <xf borderId="6" fillId="24" fontId="7" numFmtId="164" xfId="0" applyAlignment="1" applyBorder="1" applyFont="1" applyNumberFormat="1">
      <alignment horizontal="center" vertical="center"/>
    </xf>
    <xf borderId="0" fillId="8" fontId="9" numFmtId="1" xfId="0" applyAlignment="1" applyFont="1" applyNumberFormat="1">
      <alignment horizontal="right" vertical="center"/>
    </xf>
    <xf borderId="0" fillId="8" fontId="9" numFmtId="168" xfId="0" applyAlignment="1" applyFont="1" applyNumberFormat="1">
      <alignment horizontal="right" vertical="center"/>
    </xf>
    <xf borderId="35" fillId="0" fontId="18" numFmtId="164" xfId="0" applyAlignment="1" applyBorder="1" applyFont="1" applyNumberFormat="1">
      <alignment horizontal="center" vertical="center"/>
    </xf>
    <xf borderId="28" fillId="0" fontId="18" numFmtId="164" xfId="0" applyAlignment="1" applyBorder="1" applyFont="1" applyNumberFormat="1">
      <alignment horizontal="center" vertical="center"/>
    </xf>
    <xf borderId="36" fillId="8" fontId="10" numFmtId="0" xfId="0" applyAlignment="1" applyBorder="1" applyFont="1">
      <alignment vertical="center"/>
    </xf>
    <xf borderId="37" fillId="8" fontId="10" numFmtId="0" xfId="0" applyAlignment="1" applyBorder="1" applyFont="1">
      <alignment vertical="center"/>
    </xf>
    <xf borderId="0" fillId="0" fontId="10" numFmtId="1" xfId="0" applyAlignment="1" applyFont="1" applyNumberFormat="1">
      <alignment vertical="center"/>
    </xf>
    <xf borderId="20" fillId="8" fontId="10" numFmtId="0" xfId="0" applyAlignment="1" applyBorder="1" applyFont="1">
      <alignment vertical="center"/>
    </xf>
    <xf borderId="21" fillId="8" fontId="10" numFmtId="0" xfId="0" applyAlignment="1" applyBorder="1" applyFont="1">
      <alignment vertical="center"/>
    </xf>
    <xf borderId="27" fillId="8" fontId="10" numFmtId="0" xfId="0" applyAlignment="1" applyBorder="1" applyFont="1">
      <alignment vertical="center"/>
    </xf>
    <xf borderId="28" fillId="8" fontId="10" numFmtId="0" xfId="0" applyAlignment="1" applyBorder="1" applyFont="1">
      <alignment vertical="center"/>
    </xf>
    <xf borderId="1" fillId="2" fontId="39" numFmtId="164" xfId="0" applyAlignment="1" applyBorder="1" applyFont="1" applyNumberFormat="1">
      <alignment horizontal="center" readingOrder="0" shrinkToFit="0" vertical="center" wrapText="1"/>
    </xf>
    <xf borderId="0" fillId="0" fontId="4" numFmtId="0" xfId="0" applyAlignment="1" applyFont="1">
      <alignment vertical="center"/>
    </xf>
    <xf borderId="0" fillId="0" fontId="37" numFmtId="0" xfId="0" applyAlignment="1" applyFont="1">
      <alignment vertical="center"/>
    </xf>
    <xf borderId="5" fillId="3" fontId="7" numFmtId="164" xfId="0" applyAlignment="1" applyBorder="1" applyFont="1" applyNumberFormat="1">
      <alignment horizontal="center" readingOrder="0" shrinkToFit="0" vertical="center" wrapText="1"/>
    </xf>
    <xf borderId="30" fillId="10" fontId="7" numFmtId="164" xfId="0" applyAlignment="1" applyBorder="1" applyFont="1" applyNumberFormat="1">
      <alignment horizontal="center" vertical="center"/>
    </xf>
    <xf borderId="5" fillId="8" fontId="13" numFmtId="164" xfId="0" applyAlignment="1" applyBorder="1" applyFont="1" applyNumberFormat="1">
      <alignment readingOrder="0" vertical="center"/>
    </xf>
    <xf borderId="5" fillId="8" fontId="9" numFmtId="165" xfId="0" applyAlignment="1" applyBorder="1" applyFont="1" applyNumberFormat="1">
      <alignment shrinkToFit="0" vertical="center" wrapText="1"/>
    </xf>
    <xf borderId="5" fillId="9" fontId="9" numFmtId="3" xfId="0" applyAlignment="1" applyBorder="1" applyFont="1" applyNumberFormat="1">
      <alignment vertical="center"/>
    </xf>
    <xf borderId="5" fillId="5" fontId="9" numFmtId="3" xfId="0" applyAlignment="1" applyBorder="1" applyFont="1" applyNumberFormat="1">
      <alignment vertical="center"/>
    </xf>
    <xf borderId="5" fillId="0" fontId="13" numFmtId="3" xfId="0" applyAlignment="1" applyBorder="1" applyFont="1" applyNumberFormat="1">
      <alignment readingOrder="0" shrinkToFit="0" vertical="center" wrapText="1"/>
    </xf>
    <xf borderId="5" fillId="0" fontId="9" numFmtId="164" xfId="0" applyAlignment="1" applyBorder="1" applyFont="1" applyNumberFormat="1">
      <alignment horizontal="left" vertical="center"/>
    </xf>
    <xf borderId="12" fillId="0" fontId="9" numFmtId="164" xfId="0" applyAlignment="1" applyBorder="1" applyFont="1" applyNumberFormat="1">
      <alignment horizontal="left" readingOrder="0" vertical="center"/>
    </xf>
    <xf borderId="12" fillId="0" fontId="9" numFmtId="164" xfId="0" applyAlignment="1" applyBorder="1" applyFont="1" applyNumberFormat="1">
      <alignment horizontal="left" vertical="center"/>
    </xf>
    <xf borderId="0" fillId="0" fontId="9" numFmtId="0" xfId="0" applyAlignment="1" applyFont="1">
      <alignment readingOrder="0" shrinkToFit="0" vertical="center" wrapText="1"/>
    </xf>
    <xf borderId="12" fillId="8" fontId="9" numFmtId="3" xfId="0" applyAlignment="1" applyBorder="1" applyFont="1" applyNumberFormat="1">
      <alignment horizontal="center" readingOrder="0" shrinkToFit="0" vertical="center" wrapText="1"/>
    </xf>
    <xf borderId="12" fillId="8" fontId="9" numFmtId="3" xfId="0" applyAlignment="1" applyBorder="1" applyFont="1" applyNumberFormat="1">
      <alignment shrinkToFit="0" vertical="center" wrapText="1"/>
    </xf>
    <xf borderId="12" fillId="0" fontId="13" numFmtId="164" xfId="0" applyAlignment="1" applyBorder="1" applyFont="1" applyNumberFormat="1">
      <alignment horizontal="center" shrinkToFit="0" vertical="center" wrapText="1"/>
    </xf>
    <xf borderId="12" fillId="25" fontId="13" numFmtId="0" xfId="0" applyAlignment="1" applyBorder="1" applyFill="1" applyFont="1">
      <alignment horizontal="left" readingOrder="0" shrinkToFit="0" vertical="center" wrapText="1"/>
    </xf>
    <xf borderId="12" fillId="25" fontId="13" numFmtId="0" xfId="0" applyAlignment="1" applyBorder="1" applyFont="1">
      <alignment horizontal="center" readingOrder="0" shrinkToFit="0" vertical="center" wrapText="1"/>
    </xf>
    <xf borderId="12" fillId="25" fontId="13" numFmtId="164" xfId="0" applyAlignment="1" applyBorder="1" applyFont="1" applyNumberFormat="1">
      <alignment readingOrder="0" vertical="center"/>
    </xf>
    <xf borderId="13" fillId="25" fontId="9" numFmtId="164" xfId="0" applyAlignment="1" applyBorder="1" applyFont="1" applyNumberFormat="1">
      <alignment horizontal="center" vertical="center"/>
    </xf>
    <xf borderId="12" fillId="9" fontId="9" numFmtId="3" xfId="0" applyAlignment="1" applyBorder="1" applyFont="1" applyNumberFormat="1">
      <alignment vertical="center"/>
    </xf>
    <xf borderId="12" fillId="0" fontId="9" numFmtId="164" xfId="0" applyAlignment="1" applyBorder="1" applyFont="1" applyNumberFormat="1">
      <alignment readingOrder="0" shrinkToFit="0" vertical="center" wrapText="1"/>
    </xf>
    <xf borderId="6" fillId="8" fontId="9" numFmtId="164" xfId="0" applyAlignment="1" applyBorder="1" applyFont="1" applyNumberFormat="1">
      <alignment horizontal="center" vertical="center"/>
    </xf>
    <xf borderId="16" fillId="0" fontId="9" numFmtId="0" xfId="0" applyAlignment="1" applyBorder="1" applyFont="1">
      <alignment readingOrder="0" shrinkToFit="0" vertical="center" wrapText="1"/>
    </xf>
    <xf borderId="0" fillId="0" fontId="37" numFmtId="165" xfId="0" applyAlignment="1" applyFont="1" applyNumberFormat="1">
      <alignment vertical="center"/>
    </xf>
    <xf borderId="6" fillId="25" fontId="9" numFmtId="164" xfId="0" applyAlignment="1" applyBorder="1" applyFont="1" applyNumberFormat="1">
      <alignment horizontal="center" vertical="center"/>
    </xf>
    <xf borderId="0" fillId="13" fontId="13" numFmtId="0" xfId="0" applyAlignment="1" applyFont="1">
      <alignment horizontal="left" readingOrder="0" shrinkToFit="0" vertical="center" wrapText="1"/>
    </xf>
    <xf borderId="12" fillId="2" fontId="9" numFmtId="164" xfId="0" applyAlignment="1" applyBorder="1" applyFont="1" applyNumberFormat="1">
      <alignment horizontal="left" readingOrder="0" vertical="center"/>
    </xf>
    <xf borderId="0" fillId="8" fontId="37" numFmtId="0" xfId="0" applyAlignment="1" applyFont="1">
      <alignment vertical="center"/>
    </xf>
    <xf borderId="0" fillId="8" fontId="37" numFmtId="165" xfId="0" applyAlignment="1" applyFont="1" applyNumberFormat="1">
      <alignment vertical="center"/>
    </xf>
    <xf borderId="0" fillId="8" fontId="9" numFmtId="0" xfId="0" applyAlignment="1" applyFont="1">
      <alignment vertical="center"/>
    </xf>
    <xf borderId="0" fillId="13" fontId="13" numFmtId="0" xfId="0" applyAlignment="1" applyFont="1">
      <alignment horizontal="left" readingOrder="0" vertical="center"/>
    </xf>
    <xf borderId="5" fillId="0" fontId="9" numFmtId="164" xfId="0" applyAlignment="1" applyBorder="1" applyFont="1" applyNumberFormat="1">
      <alignment horizontal="left" readingOrder="0" vertical="center"/>
    </xf>
    <xf borderId="14" fillId="0" fontId="9" numFmtId="0" xfId="0" applyAlignment="1" applyBorder="1" applyFont="1">
      <alignment horizontal="center" readingOrder="0" vertical="center"/>
    </xf>
    <xf borderId="0" fillId="0" fontId="13" numFmtId="0" xfId="0" applyAlignment="1" applyFont="1">
      <alignment horizontal="center" vertical="center"/>
    </xf>
    <xf borderId="13" fillId="8" fontId="11" numFmtId="164" xfId="0" applyAlignment="1" applyBorder="1" applyFont="1" applyNumberFormat="1">
      <alignment horizontal="center" vertical="center"/>
    </xf>
    <xf borderId="15" fillId="0" fontId="17" numFmtId="164" xfId="0" applyAlignment="1" applyBorder="1" applyFont="1" applyNumberFormat="1">
      <alignment horizontal="left" shrinkToFit="0" vertical="center" wrapText="1"/>
    </xf>
    <xf borderId="0" fillId="0" fontId="30" numFmtId="0" xfId="0" applyAlignment="1" applyFont="1">
      <alignment vertical="center"/>
    </xf>
    <xf borderId="22" fillId="16" fontId="11" numFmtId="164" xfId="0" applyAlignment="1" applyBorder="1" applyFont="1" applyNumberFormat="1">
      <alignment horizontal="center" shrinkToFit="0" vertical="center" wrapText="1"/>
    </xf>
    <xf borderId="0" fillId="0" fontId="40" numFmtId="0" xfId="0" applyAlignment="1" applyFont="1">
      <alignment horizontal="center" vertical="center"/>
    </xf>
    <xf borderId="0" fillId="0" fontId="41" numFmtId="0" xfId="0" applyAlignment="1" applyFont="1">
      <alignment horizontal="left" vertical="center"/>
    </xf>
    <xf borderId="0" fillId="0" fontId="37" numFmtId="0" xfId="0" applyAlignment="1" applyFont="1">
      <alignment horizontal="center" vertical="center"/>
    </xf>
    <xf borderId="0" fillId="0" fontId="41" numFmtId="0" xfId="0" applyAlignment="1" applyFont="1">
      <alignment horizontal="center" vertical="center"/>
    </xf>
    <xf borderId="0" fillId="0" fontId="41" numFmtId="0" xfId="0" applyAlignment="1" applyFont="1">
      <alignment vertical="center"/>
    </xf>
    <xf borderId="4" fillId="8" fontId="41" numFmtId="0" xfId="0" applyAlignment="1" applyBorder="1" applyFont="1">
      <alignment vertical="center"/>
    </xf>
    <xf borderId="0" fillId="0" fontId="42" numFmtId="164" xfId="0" applyAlignment="1" applyFont="1" applyNumberFormat="1">
      <alignment horizontal="center" vertical="center"/>
    </xf>
    <xf borderId="4" fillId="8" fontId="21" numFmtId="164" xfId="0" applyAlignment="1" applyBorder="1" applyFont="1" applyNumberFormat="1">
      <alignment horizontal="center" vertical="center"/>
    </xf>
    <xf borderId="6" fillId="17" fontId="7" numFmtId="0" xfId="0" applyAlignment="1" applyBorder="1" applyFont="1">
      <alignment horizontal="center" vertical="center"/>
    </xf>
    <xf borderId="24" fillId="8" fontId="28" numFmtId="164" xfId="0" applyAlignment="1" applyBorder="1" applyFont="1" applyNumberFormat="1">
      <alignment vertical="center"/>
    </xf>
    <xf borderId="4" fillId="8" fontId="28" numFmtId="164" xfId="0" applyAlignment="1" applyBorder="1" applyFont="1" applyNumberFormat="1">
      <alignment vertical="center"/>
    </xf>
    <xf borderId="12" fillId="8" fontId="12" numFmtId="0" xfId="0" applyAlignment="1" applyBorder="1" applyFont="1">
      <alignment horizontal="center" readingOrder="0" shrinkToFit="0" vertical="center" wrapText="1"/>
    </xf>
    <xf borderId="0" fillId="8" fontId="7" numFmtId="0" xfId="0" applyAlignment="1" applyFont="1">
      <alignment horizontal="center" shrinkToFit="0" vertical="center" wrapText="1"/>
    </xf>
    <xf borderId="24" fillId="8" fontId="28" numFmtId="164" xfId="0" applyAlignment="1" applyBorder="1" applyFont="1" applyNumberFormat="1">
      <alignment horizontal="center" shrinkToFit="0" vertical="center" wrapText="1"/>
    </xf>
    <xf borderId="4" fillId="8" fontId="28" numFmtId="164" xfId="0" applyAlignment="1" applyBorder="1" applyFont="1" applyNumberFormat="1">
      <alignment horizontal="center" vertical="center"/>
    </xf>
    <xf borderId="12" fillId="19" fontId="7" numFmtId="165" xfId="0" applyAlignment="1" applyBorder="1" applyFont="1" applyNumberFormat="1">
      <alignment horizontal="right" vertical="center"/>
    </xf>
    <xf borderId="24" fillId="8" fontId="28" numFmtId="164" xfId="0" applyAlignment="1" applyBorder="1" applyFont="1" applyNumberFormat="1">
      <alignment horizontal="center" vertical="center"/>
    </xf>
    <xf borderId="4" fillId="8" fontId="25" numFmtId="164" xfId="0" applyAlignment="1" applyBorder="1" applyFont="1" applyNumberFormat="1">
      <alignment horizontal="center" vertical="center"/>
    </xf>
    <xf borderId="0" fillId="0" fontId="9" numFmtId="4" xfId="0" applyAlignment="1" applyFont="1" applyNumberFormat="1">
      <alignment horizontal="center" vertical="center"/>
    </xf>
    <xf borderId="12" fillId="0" fontId="9" numFmtId="164" xfId="0" applyAlignment="1" applyBorder="1" applyFont="1" applyNumberFormat="1">
      <alignment horizontal="left" readingOrder="0" shrinkToFit="0" vertical="center" wrapText="1"/>
    </xf>
    <xf borderId="12" fillId="0" fontId="9" numFmtId="0" xfId="0" applyAlignment="1" applyBorder="1" applyFont="1">
      <alignment horizontal="center" readingOrder="0" shrinkToFit="0" vertical="center" wrapText="0"/>
    </xf>
    <xf borderId="0" fillId="8" fontId="21" numFmtId="0" xfId="0" applyAlignment="1" applyFont="1">
      <alignment horizontal="center" shrinkToFit="0" vertical="center" wrapText="1"/>
    </xf>
    <xf borderId="4" fillId="8" fontId="25" numFmtId="164" xfId="0" applyAlignment="1" applyBorder="1" applyFont="1" applyNumberFormat="1">
      <alignment horizontal="center" shrinkToFit="0" vertical="center" wrapText="1"/>
    </xf>
    <xf borderId="0" fillId="0" fontId="21" numFmtId="0" xfId="0" applyAlignment="1" applyFont="1">
      <alignment horizontal="center" shrinkToFit="0" vertical="center" wrapText="1"/>
    </xf>
    <xf borderId="4" fillId="8" fontId="28" numFmtId="164" xfId="0" applyAlignment="1" applyBorder="1" applyFont="1" applyNumberFormat="1">
      <alignment horizontal="center" shrinkToFit="0" vertical="center" wrapText="1"/>
    </xf>
    <xf borderId="12" fillId="0" fontId="30" numFmtId="165" xfId="0" applyAlignment="1" applyBorder="1" applyFont="1" applyNumberFormat="1">
      <alignment readingOrder="0" vertical="center"/>
    </xf>
    <xf borderId="12" fillId="0" fontId="9" numFmtId="168" xfId="0" applyAlignment="1" applyBorder="1" applyFont="1" applyNumberFormat="1">
      <alignment horizontal="center" vertical="center"/>
    </xf>
    <xf borderId="12" fillId="20" fontId="7" numFmtId="0" xfId="0" applyAlignment="1" applyBorder="1" applyFont="1">
      <alignment horizontal="center" readingOrder="0" vertical="center"/>
    </xf>
    <xf borderId="4" fillId="8" fontId="21" numFmtId="164" xfId="0" applyAlignment="1" applyBorder="1" applyFont="1" applyNumberFormat="1">
      <alignment horizontal="center" shrinkToFit="0" vertical="center" wrapText="1"/>
    </xf>
    <xf borderId="0" fillId="0" fontId="21" numFmtId="164" xfId="0" applyAlignment="1" applyFont="1" applyNumberFormat="1">
      <alignment horizontal="center" readingOrder="0" vertical="center"/>
    </xf>
    <xf borderId="5" fillId="0" fontId="29" numFmtId="164" xfId="0" applyAlignment="1" applyBorder="1" applyFont="1" applyNumberFormat="1">
      <alignment horizontal="center" vertical="center"/>
    </xf>
    <xf borderId="12" fillId="0" fontId="21" numFmtId="164" xfId="0" applyAlignment="1" applyBorder="1" applyFont="1" applyNumberFormat="1">
      <alignment horizontal="center" readingOrder="0" vertical="center"/>
    </xf>
    <xf borderId="0" fillId="0" fontId="43" numFmtId="164" xfId="0" applyAlignment="1" applyFont="1" applyNumberFormat="1">
      <alignment horizontal="center" vertical="center"/>
    </xf>
    <xf borderId="0" fillId="0" fontId="44" numFmtId="164" xfId="0" applyAlignment="1" applyFont="1" applyNumberFormat="1">
      <alignment horizontal="center" vertical="center"/>
    </xf>
    <xf borderId="0" fillId="0" fontId="45" numFmtId="164" xfId="0" applyAlignment="1" applyFont="1" applyNumberFormat="1">
      <alignment horizontal="center" vertical="center"/>
    </xf>
    <xf borderId="29" fillId="8" fontId="21" numFmtId="0" xfId="0" applyAlignment="1" applyBorder="1" applyFont="1">
      <alignment vertical="center"/>
    </xf>
    <xf borderId="9" fillId="3" fontId="18" numFmtId="164" xfId="0" applyAlignment="1" applyBorder="1" applyFont="1" applyNumberFormat="1">
      <alignment horizontal="center" readingOrder="0" vertical="center"/>
    </xf>
    <xf borderId="0" fillId="8" fontId="33" numFmtId="164" xfId="0" applyAlignment="1" applyFont="1" applyNumberFormat="1">
      <alignment horizontal="center" shrinkToFit="0" vertical="center" wrapText="1"/>
    </xf>
    <xf borderId="0" fillId="8" fontId="33" numFmtId="164" xfId="0" applyAlignment="1" applyFont="1" applyNumberFormat="1">
      <alignment horizontal="center" vertical="center"/>
    </xf>
    <xf borderId="4" fillId="13" fontId="46" numFmtId="164" xfId="0" applyAlignment="1" applyBorder="1" applyFont="1" applyNumberFormat="1">
      <alignment horizontal="center" vertical="center"/>
    </xf>
    <xf borderId="5" fillId="8" fontId="14" numFmtId="0" xfId="0" applyAlignment="1" applyBorder="1" applyFont="1">
      <alignment horizontal="center" readingOrder="0" shrinkToFit="0" vertical="center" wrapText="1"/>
    </xf>
    <xf borderId="5" fillId="8" fontId="14" numFmtId="168" xfId="0" applyAlignment="1" applyBorder="1" applyFont="1" applyNumberFormat="1">
      <alignment horizontal="center" readingOrder="0" shrinkToFit="0" vertical="center" wrapText="1"/>
    </xf>
    <xf borderId="18" fillId="8" fontId="14" numFmtId="3" xfId="0" applyAlignment="1" applyBorder="1" applyFont="1" applyNumberFormat="1">
      <alignment horizontal="center" readingOrder="0" shrinkToFit="0" vertical="center" wrapText="1"/>
    </xf>
    <xf borderId="5" fillId="8" fontId="14" numFmtId="3" xfId="0" applyAlignment="1" applyBorder="1" applyFont="1" applyNumberFormat="1">
      <alignment horizontal="left" readingOrder="0" shrinkToFit="0" vertical="center" wrapText="1"/>
    </xf>
    <xf borderId="0" fillId="0" fontId="47" numFmtId="0" xfId="0" applyFont="1"/>
    <xf borderId="0" fillId="13" fontId="21" numFmtId="164" xfId="0" applyAlignment="1" applyFont="1" applyNumberFormat="1">
      <alignment horizontal="center" vertical="center"/>
    </xf>
    <xf borderId="0" fillId="13" fontId="21" numFmtId="165" xfId="0" applyAlignment="1" applyFont="1" applyNumberFormat="1">
      <alignment vertical="center"/>
    </xf>
    <xf borderId="38" fillId="0" fontId="2" numFmtId="0" xfId="0" applyBorder="1" applyFont="1"/>
    <xf borderId="0" fillId="0" fontId="34" numFmtId="0" xfId="0" applyAlignment="1" applyFont="1">
      <alignment vertical="center"/>
    </xf>
    <xf borderId="0" fillId="13" fontId="34" numFmtId="164" xfId="0" applyAlignment="1" applyFont="1" applyNumberFormat="1">
      <alignment horizontal="center" vertical="center"/>
    </xf>
    <xf borderId="0" fillId="13" fontId="21" numFmtId="164" xfId="0" applyAlignment="1" applyFont="1" applyNumberFormat="1">
      <alignment horizontal="center" shrinkToFit="0" vertical="center" wrapText="1"/>
    </xf>
    <xf borderId="29" fillId="13" fontId="46" numFmtId="164" xfId="0" applyAlignment="1" applyBorder="1" applyFont="1" applyNumberFormat="1">
      <alignment horizontal="center" vertical="center"/>
    </xf>
    <xf borderId="5" fillId="8" fontId="14" numFmtId="3" xfId="0" applyAlignment="1" applyBorder="1" applyFont="1" applyNumberFormat="1">
      <alignment horizontal="center" readingOrder="0" shrinkToFit="0" vertical="center" wrapText="1"/>
    </xf>
    <xf borderId="0" fillId="8" fontId="46" numFmtId="164" xfId="0" applyAlignment="1" applyFont="1" applyNumberFormat="1">
      <alignment horizontal="center" vertical="center"/>
    </xf>
    <xf borderId="12" fillId="8" fontId="13" numFmtId="0" xfId="0" applyAlignment="1" applyBorder="1" applyFont="1">
      <alignment horizontal="left" readingOrder="0" vertical="center"/>
    </xf>
    <xf borderId="12" fillId="8" fontId="13" numFmtId="3" xfId="0" applyAlignment="1" applyBorder="1" applyFont="1" applyNumberFormat="1">
      <alignment horizontal="center" readingOrder="0" vertical="center"/>
    </xf>
    <xf borderId="12" fillId="8" fontId="7" numFmtId="164" xfId="0" applyAlignment="1" applyBorder="1" applyFont="1" applyNumberFormat="1">
      <alignment horizontal="center" vertical="center"/>
    </xf>
    <xf borderId="0" fillId="8" fontId="21" numFmtId="0" xfId="0" applyAlignment="1" applyFont="1">
      <alignment vertical="center"/>
    </xf>
    <xf borderId="0" fillId="8" fontId="30" numFmtId="0" xfId="0" applyAlignment="1" applyFont="1">
      <alignment vertical="center"/>
    </xf>
    <xf borderId="39" fillId="13" fontId="46" numFmtId="164" xfId="0" applyAlignment="1" applyBorder="1" applyFont="1" applyNumberFormat="1">
      <alignment horizontal="center" vertical="center"/>
    </xf>
    <xf borderId="39" fillId="13" fontId="21" numFmtId="164" xfId="0" applyAlignment="1" applyBorder="1" applyFont="1" applyNumberFormat="1">
      <alignment horizontal="center" vertical="center"/>
    </xf>
    <xf borderId="39" fillId="8" fontId="21" numFmtId="164" xfId="0" applyAlignment="1" applyBorder="1" applyFont="1" applyNumberFormat="1">
      <alignment horizontal="center" vertical="center"/>
    </xf>
    <xf borderId="39" fillId="13" fontId="21" numFmtId="164" xfId="0" applyAlignment="1" applyBorder="1" applyFont="1" applyNumberFormat="1">
      <alignment horizontal="center" shrinkToFit="0" vertical="center" wrapText="1"/>
    </xf>
    <xf borderId="39" fillId="13" fontId="21" numFmtId="165" xfId="0" applyAlignment="1" applyBorder="1" applyFont="1" applyNumberFormat="1">
      <alignment vertical="center"/>
    </xf>
    <xf borderId="0" fillId="0" fontId="42" numFmtId="0" xfId="0" applyAlignment="1" applyFont="1">
      <alignment horizontal="center" vertical="center"/>
    </xf>
    <xf borderId="36" fillId="8" fontId="21" numFmtId="168" xfId="0" applyAlignment="1" applyBorder="1" applyFont="1" applyNumberFormat="1">
      <alignment horizontal="right" vertical="center"/>
    </xf>
    <xf borderId="40" fillId="8" fontId="21" numFmtId="168" xfId="0" applyAlignment="1" applyBorder="1" applyFont="1" applyNumberFormat="1">
      <alignment horizontal="right" vertical="center"/>
    </xf>
    <xf borderId="37" fillId="8" fontId="21" numFmtId="168" xfId="0" applyAlignment="1" applyBorder="1" applyFont="1" applyNumberFormat="1">
      <alignment horizontal="right" vertical="center"/>
    </xf>
    <xf borderId="4" fillId="8" fontId="21" numFmtId="0" xfId="0" applyAlignment="1" applyBorder="1" applyFont="1">
      <alignment vertical="center"/>
    </xf>
    <xf borderId="20" fillId="8" fontId="21" numFmtId="168" xfId="0" applyAlignment="1" applyBorder="1" applyFont="1" applyNumberFormat="1">
      <alignment horizontal="right" vertical="center"/>
    </xf>
    <xf borderId="0" fillId="8" fontId="21" numFmtId="168" xfId="0" applyAlignment="1" applyFont="1" applyNumberFormat="1">
      <alignment horizontal="right" vertical="center"/>
    </xf>
    <xf borderId="21" fillId="8" fontId="21" numFmtId="168" xfId="0" applyAlignment="1" applyBorder="1" applyFont="1" applyNumberFormat="1">
      <alignment horizontal="right" vertical="center"/>
    </xf>
    <xf borderId="27" fillId="8" fontId="21" numFmtId="168" xfId="0" applyAlignment="1" applyBorder="1" applyFont="1" applyNumberFormat="1">
      <alignment horizontal="right" vertical="center"/>
    </xf>
    <xf borderId="35" fillId="8" fontId="21" numFmtId="168" xfId="0" applyAlignment="1" applyBorder="1" applyFont="1" applyNumberFormat="1">
      <alignment horizontal="right" vertical="center"/>
    </xf>
    <xf borderId="28" fillId="8" fontId="21" numFmtId="168" xfId="0" applyAlignment="1" applyBorder="1" applyFont="1" applyNumberFormat="1">
      <alignment horizontal="right" vertical="center"/>
    </xf>
    <xf borderId="0" fillId="0" fontId="41" numFmtId="1" xfId="0" applyAlignment="1" applyFont="1" applyNumberFormat="1">
      <alignment vertical="center"/>
    </xf>
    <xf borderId="1" fillId="2" fontId="1" numFmtId="170" xfId="0" applyAlignment="1" applyBorder="1" applyFont="1" applyNumberFormat="1">
      <alignment horizontal="center" readingOrder="0" shrinkToFit="0" vertical="center" wrapText="1"/>
    </xf>
    <xf borderId="12" fillId="0" fontId="9" numFmtId="164" xfId="0" applyAlignment="1" applyBorder="1" applyFont="1" applyNumberFormat="1">
      <alignment shrinkToFit="0" vertical="center" wrapText="1"/>
    </xf>
    <xf borderId="15" fillId="8" fontId="9" numFmtId="0" xfId="0" applyAlignment="1" applyBorder="1" applyFont="1">
      <alignment horizontal="center" vertical="center"/>
    </xf>
    <xf borderId="12" fillId="0" fontId="9" numFmtId="0" xfId="0" applyAlignment="1" applyBorder="1" applyFont="1">
      <alignment shrinkToFit="0" vertical="center" wrapText="1"/>
    </xf>
    <xf borderId="0" fillId="0" fontId="9" numFmtId="0" xfId="0" applyAlignment="1" applyFont="1">
      <alignment readingOrder="0" vertical="center"/>
    </xf>
    <xf borderId="12" fillId="13" fontId="9" numFmtId="0" xfId="0" applyAlignment="1" applyBorder="1" applyFont="1">
      <alignment horizontal="left" vertical="center"/>
    </xf>
    <xf borderId="15" fillId="13" fontId="9" numFmtId="0" xfId="0" applyAlignment="1" applyBorder="1" applyFont="1">
      <alignment horizontal="left" vertical="center"/>
    </xf>
    <xf borderId="12" fillId="8" fontId="13" numFmtId="0" xfId="0" applyAlignment="1" applyBorder="1" applyFont="1">
      <alignment shrinkToFit="0" vertical="center" wrapText="1"/>
    </xf>
    <xf borderId="5" fillId="0" fontId="9" numFmtId="0" xfId="0" applyAlignment="1" applyBorder="1" applyFont="1">
      <alignment shrinkToFit="0" vertical="center" wrapText="1"/>
    </xf>
    <xf borderId="5" fillId="0" fontId="9" numFmtId="164" xfId="0" applyAlignment="1" applyBorder="1" applyFont="1" applyNumberFormat="1">
      <alignment readingOrder="0" vertical="center"/>
    </xf>
    <xf borderId="15" fillId="0" fontId="9" numFmtId="0" xfId="0" applyAlignment="1" applyBorder="1" applyFont="1">
      <alignment horizontal="left" vertical="center"/>
    </xf>
    <xf borderId="12" fillId="8" fontId="13" numFmtId="0" xfId="0" applyAlignment="1" applyBorder="1" applyFont="1">
      <alignment horizontal="left" shrinkToFit="0" vertical="center" wrapText="1"/>
    </xf>
    <xf borderId="12" fillId="0" fontId="48" numFmtId="0" xfId="0" applyAlignment="1" applyBorder="1" applyFont="1">
      <alignment horizontal="left" readingOrder="0" shrinkToFit="0" vertical="center" wrapText="1"/>
    </xf>
    <xf borderId="16" fillId="8" fontId="13" numFmtId="0" xfId="0" applyAlignment="1" applyBorder="1" applyFont="1">
      <alignment horizontal="center" readingOrder="0" vertical="center"/>
    </xf>
    <xf quotePrefix="1" borderId="12" fillId="0" fontId="13" numFmtId="0" xfId="0" applyAlignment="1" applyBorder="1" applyFont="1">
      <alignment horizontal="center" readingOrder="0" vertical="center"/>
    </xf>
    <xf borderId="13" fillId="8" fontId="13" numFmtId="164" xfId="0" applyAlignment="1" applyBorder="1" applyFont="1" applyNumberFormat="1">
      <alignment horizontal="center" vertical="center"/>
    </xf>
    <xf borderId="12" fillId="5" fontId="13" numFmtId="165" xfId="0" applyAlignment="1" applyBorder="1" applyFont="1" applyNumberFormat="1">
      <alignment shrinkToFit="0" vertical="center" wrapText="1"/>
    </xf>
    <xf borderId="12" fillId="0" fontId="13" numFmtId="0" xfId="0" applyAlignment="1" applyBorder="1" applyFont="1">
      <alignment horizontal="center" vertical="center"/>
    </xf>
    <xf borderId="12" fillId="9" fontId="13" numFmtId="3" xfId="0" applyAlignment="1" applyBorder="1" applyFont="1" applyNumberFormat="1">
      <alignment horizontal="center" vertical="center"/>
    </xf>
    <xf borderId="12" fillId="5" fontId="13" numFmtId="3" xfId="0" applyAlignment="1" applyBorder="1" applyFont="1" applyNumberFormat="1">
      <alignment horizontal="center" vertical="center"/>
    </xf>
    <xf borderId="12" fillId="10" fontId="13" numFmtId="164" xfId="0" applyAlignment="1" applyBorder="1" applyFont="1" applyNumberFormat="1">
      <alignment readingOrder="0" vertical="center"/>
    </xf>
    <xf borderId="12" fillId="12" fontId="13" numFmtId="164" xfId="0" applyAlignment="1" applyBorder="1" applyFont="1" applyNumberFormat="1">
      <alignment horizontal="center" vertical="center"/>
    </xf>
    <xf borderId="12" fillId="12" fontId="13" numFmtId="164" xfId="0" applyAlignment="1" applyBorder="1" applyFont="1" applyNumberFormat="1">
      <alignment horizontal="center" readingOrder="0" vertical="center"/>
    </xf>
    <xf borderId="12" fillId="0" fontId="13" numFmtId="0" xfId="0" applyAlignment="1" applyBorder="1" applyFont="1">
      <alignment vertical="center"/>
    </xf>
    <xf borderId="12" fillId="0" fontId="13" numFmtId="0" xfId="0" applyAlignment="1" applyBorder="1" applyFont="1">
      <alignment horizontal="center" readingOrder="0" vertical="center"/>
    </xf>
    <xf borderId="12" fillId="0" fontId="13" numFmtId="165" xfId="0" applyAlignment="1" applyBorder="1" applyFont="1" applyNumberFormat="1">
      <alignment horizontal="center" readingOrder="0" vertical="center"/>
    </xf>
    <xf borderId="12" fillId="26" fontId="9" numFmtId="0" xfId="0" applyAlignment="1" applyBorder="1" applyFill="1" applyFont="1">
      <alignment horizontal="center" readingOrder="0" vertical="center"/>
    </xf>
    <xf borderId="12" fillId="26" fontId="9" numFmtId="168" xfId="0" applyAlignment="1" applyBorder="1" applyFont="1" applyNumberFormat="1">
      <alignment horizontal="center" readingOrder="0" vertical="center"/>
    </xf>
    <xf borderId="12" fillId="26" fontId="9" numFmtId="0" xfId="0" applyAlignment="1" applyBorder="1" applyFont="1">
      <alignment horizontal="center" vertical="center"/>
    </xf>
    <xf borderId="12" fillId="26" fontId="9" numFmtId="0" xfId="0" applyAlignment="1" applyBorder="1" applyFont="1">
      <alignment readingOrder="0" vertical="center"/>
    </xf>
    <xf quotePrefix="1" borderId="12" fillId="26" fontId="9" numFmtId="0" xfId="0" applyAlignment="1" applyBorder="1" applyFont="1">
      <alignment horizontal="center" readingOrder="0" vertical="center"/>
    </xf>
    <xf borderId="12" fillId="26" fontId="13" numFmtId="0" xfId="0" applyAlignment="1" applyBorder="1" applyFont="1">
      <alignment horizontal="left" readingOrder="0" shrinkToFit="0" vertical="center" wrapText="1"/>
    </xf>
    <xf borderId="12" fillId="26" fontId="13" numFmtId="0" xfId="0" applyAlignment="1" applyBorder="1" applyFont="1">
      <alignment horizontal="center" readingOrder="0" shrinkToFit="0" vertical="center" wrapText="1"/>
    </xf>
    <xf borderId="12" fillId="26" fontId="13" numFmtId="164" xfId="0" applyAlignment="1" applyBorder="1" applyFont="1" applyNumberFormat="1">
      <alignment readingOrder="0" vertical="center"/>
    </xf>
    <xf borderId="13" fillId="26" fontId="9" numFmtId="164" xfId="0" applyAlignment="1" applyBorder="1" applyFont="1" applyNumberFormat="1">
      <alignment horizontal="center" vertical="center"/>
    </xf>
    <xf borderId="12" fillId="26" fontId="9" numFmtId="165" xfId="0" applyAlignment="1" applyBorder="1" applyFont="1" applyNumberFormat="1">
      <alignment shrinkToFit="0" vertical="center" wrapText="1"/>
    </xf>
    <xf borderId="12" fillId="26" fontId="9" numFmtId="0" xfId="0" applyAlignment="1" applyBorder="1" applyFont="1">
      <alignment vertical="center"/>
    </xf>
    <xf borderId="12" fillId="26" fontId="9" numFmtId="3" xfId="0" applyAlignment="1" applyBorder="1" applyFont="1" applyNumberFormat="1">
      <alignment vertical="center"/>
    </xf>
    <xf borderId="12" fillId="26" fontId="13" numFmtId="165" xfId="0" applyAlignment="1" applyBorder="1" applyFont="1" applyNumberFormat="1">
      <alignment shrinkToFit="0" vertical="center" wrapText="1"/>
    </xf>
    <xf borderId="12" fillId="26" fontId="9" numFmtId="164" xfId="0" applyAlignment="1" applyBorder="1" applyFont="1" applyNumberFormat="1">
      <alignment readingOrder="0" vertical="center"/>
    </xf>
    <xf borderId="12" fillId="26" fontId="9" numFmtId="164" xfId="0" applyAlignment="1" applyBorder="1" applyFont="1" applyNumberFormat="1">
      <alignment horizontal="center" vertical="center"/>
    </xf>
    <xf borderId="12" fillId="26" fontId="9" numFmtId="0" xfId="0" applyAlignment="1" applyBorder="1" applyFont="1">
      <alignment shrinkToFit="0" vertical="center" wrapText="1"/>
    </xf>
    <xf borderId="0" fillId="8" fontId="13" numFmtId="165" xfId="0" applyAlignment="1" applyFont="1" applyNumberFormat="1">
      <alignment vertical="center"/>
    </xf>
    <xf borderId="12" fillId="0" fontId="13" numFmtId="0" xfId="0" applyAlignment="1" applyBorder="1" applyFont="1">
      <alignment horizontal="left" shrinkToFit="0" vertical="center" wrapText="1"/>
    </xf>
    <xf borderId="12" fillId="0" fontId="13" numFmtId="0" xfId="0" applyAlignment="1" applyBorder="1" applyFont="1">
      <alignment horizontal="center" shrinkToFit="0" vertical="center" wrapText="1"/>
    </xf>
    <xf quotePrefix="1" borderId="15" fillId="0" fontId="9" numFmtId="0" xfId="0" applyAlignment="1" applyBorder="1" applyFont="1">
      <alignment horizontal="center" vertical="center"/>
    </xf>
    <xf borderId="6" fillId="14" fontId="9" numFmtId="164" xfId="0" applyAlignment="1" applyBorder="1" applyFont="1" applyNumberFormat="1">
      <alignment horizontal="center" vertical="center"/>
    </xf>
    <xf borderId="12" fillId="14" fontId="9" numFmtId="165" xfId="0" applyAlignment="1" applyBorder="1" applyFont="1" applyNumberFormat="1">
      <alignment shrinkToFit="0" vertical="center" wrapText="1"/>
    </xf>
    <xf quotePrefix="1" borderId="12" fillId="8" fontId="9" numFmtId="0" xfId="0" applyAlignment="1" applyBorder="1" applyFont="1">
      <alignment horizontal="center" vertical="center"/>
    </xf>
    <xf borderId="12" fillId="8" fontId="9" numFmtId="0" xfId="0" applyAlignment="1" applyBorder="1" applyFont="1">
      <alignment vertical="center"/>
    </xf>
    <xf borderId="12" fillId="8" fontId="9" numFmtId="0" xfId="0" applyAlignment="1" applyBorder="1" applyFont="1">
      <alignment shrinkToFit="0" vertical="center" wrapText="1"/>
    </xf>
    <xf borderId="12" fillId="8" fontId="9" numFmtId="164" xfId="0" applyAlignment="1" applyBorder="1" applyFont="1" applyNumberFormat="1">
      <alignment readingOrder="0" vertical="center"/>
    </xf>
    <xf borderId="5" fillId="8" fontId="9" numFmtId="0" xfId="0" applyAlignment="1" applyBorder="1" applyFont="1">
      <alignment horizontal="center" vertical="center"/>
    </xf>
    <xf quotePrefix="1" borderId="5" fillId="0" fontId="9" numFmtId="0" xfId="0" applyAlignment="1" applyBorder="1" applyFont="1">
      <alignment horizontal="center" vertical="center"/>
    </xf>
    <xf borderId="12" fillId="8" fontId="9" numFmtId="3" xfId="0" applyAlignment="1" applyBorder="1" applyFont="1" applyNumberFormat="1">
      <alignment horizontal="center" vertical="center"/>
    </xf>
    <xf borderId="5" fillId="26" fontId="9" numFmtId="0" xfId="0" applyAlignment="1" applyBorder="1" applyFont="1">
      <alignment horizontal="center" readingOrder="0" vertical="center"/>
    </xf>
    <xf borderId="5" fillId="26" fontId="9" numFmtId="168" xfId="0" applyAlignment="1" applyBorder="1" applyFont="1" applyNumberFormat="1">
      <alignment horizontal="center" readingOrder="0" vertical="center"/>
    </xf>
    <xf borderId="5" fillId="26" fontId="9" numFmtId="0" xfId="0" applyAlignment="1" applyBorder="1" applyFont="1">
      <alignment readingOrder="0" vertical="center"/>
    </xf>
    <xf quotePrefix="1" borderId="5" fillId="26" fontId="9" numFmtId="0" xfId="0" applyAlignment="1" applyBorder="1" applyFont="1">
      <alignment horizontal="center" readingOrder="0" vertical="center"/>
    </xf>
    <xf borderId="5" fillId="26" fontId="9" numFmtId="165" xfId="0" applyAlignment="1" applyBorder="1" applyFont="1" applyNumberFormat="1">
      <alignment shrinkToFit="0" vertical="center" wrapText="1"/>
    </xf>
    <xf borderId="5" fillId="26" fontId="9" numFmtId="3" xfId="0" applyAlignment="1" applyBorder="1" applyFont="1" applyNumberFormat="1">
      <alignment horizontal="center" vertical="center"/>
    </xf>
    <xf borderId="5" fillId="26" fontId="9" numFmtId="3" xfId="0" applyAlignment="1" applyBorder="1" applyFont="1" applyNumberFormat="1">
      <alignment vertical="center"/>
    </xf>
    <xf borderId="5" fillId="26" fontId="13" numFmtId="165" xfId="0" applyAlignment="1" applyBorder="1" applyFont="1" applyNumberFormat="1">
      <alignment shrinkToFit="0" vertical="center" wrapText="1"/>
    </xf>
    <xf borderId="5" fillId="26" fontId="9" numFmtId="164" xfId="0" applyAlignment="1" applyBorder="1" applyFont="1" applyNumberFormat="1">
      <alignment vertical="center"/>
    </xf>
    <xf borderId="5" fillId="26" fontId="9" numFmtId="0" xfId="0" applyAlignment="1" applyBorder="1" applyFont="1">
      <alignment horizontal="center" vertical="center"/>
    </xf>
    <xf borderId="5" fillId="26" fontId="9" numFmtId="164" xfId="0" applyAlignment="1" applyBorder="1" applyFont="1" applyNumberFormat="1">
      <alignment horizontal="center" vertical="center"/>
    </xf>
    <xf borderId="5" fillId="26" fontId="9" numFmtId="0" xfId="0" applyAlignment="1" applyBorder="1" applyFont="1">
      <alignment vertical="center"/>
    </xf>
    <xf borderId="5" fillId="26" fontId="9" numFmtId="0" xfId="0" applyAlignment="1" applyBorder="1" applyFont="1">
      <alignment shrinkToFit="0" vertical="center" wrapText="1"/>
    </xf>
    <xf borderId="5" fillId="26" fontId="9" numFmtId="164" xfId="0" applyAlignment="1" applyBorder="1" applyFont="1" applyNumberFormat="1">
      <alignment readingOrder="0" vertical="center"/>
    </xf>
    <xf borderId="8" fillId="0" fontId="9" numFmtId="0" xfId="0" applyAlignment="1" applyBorder="1" applyFont="1">
      <alignment horizontal="left" vertical="center"/>
    </xf>
    <xf quotePrefix="1" borderId="15" fillId="8" fontId="9" numFmtId="0" xfId="0" applyAlignment="1" applyBorder="1" applyFont="1">
      <alignment horizontal="center" vertical="center"/>
    </xf>
    <xf borderId="17" fillId="8" fontId="9" numFmtId="0" xfId="0" applyAlignment="1" applyBorder="1" applyFont="1">
      <alignment horizontal="left" vertical="center"/>
    </xf>
    <xf borderId="5" fillId="8" fontId="9" numFmtId="0" xfId="0" applyAlignment="1" applyBorder="1" applyFont="1">
      <alignment vertical="center"/>
    </xf>
    <xf borderId="5" fillId="8" fontId="9" numFmtId="3" xfId="0" applyAlignment="1" applyBorder="1" applyFont="1" applyNumberFormat="1">
      <alignment horizontal="center" readingOrder="0" vertical="center"/>
    </xf>
    <xf borderId="5" fillId="8" fontId="9" numFmtId="0" xfId="0" applyAlignment="1" applyBorder="1" applyFont="1">
      <alignment readingOrder="0" vertical="center"/>
    </xf>
    <xf borderId="5" fillId="8" fontId="9" numFmtId="0" xfId="0" applyAlignment="1" applyBorder="1" applyFont="1">
      <alignment horizontal="center" readingOrder="0" shrinkToFit="0" vertical="center" wrapText="1"/>
    </xf>
    <xf borderId="17" fillId="0" fontId="9" numFmtId="168" xfId="0" applyAlignment="1" applyBorder="1" applyFont="1" applyNumberFormat="1">
      <alignment horizontal="center" vertical="center"/>
    </xf>
    <xf quotePrefix="1" borderId="8" fillId="0" fontId="9" numFmtId="0" xfId="0" applyAlignment="1" applyBorder="1" applyFont="1">
      <alignment horizontal="center" vertical="center"/>
    </xf>
    <xf borderId="8" fillId="0" fontId="9" numFmtId="0" xfId="0" applyAlignment="1" applyBorder="1" applyFont="1">
      <alignment horizontal="left" vertical="center"/>
    </xf>
    <xf borderId="12" fillId="0" fontId="9" numFmtId="0" xfId="0" applyAlignment="1" applyBorder="1" applyFont="1">
      <alignment horizontal="left" vertical="center"/>
    </xf>
    <xf borderId="8" fillId="0" fontId="9" numFmtId="0" xfId="0" applyAlignment="1" applyBorder="1" applyFont="1">
      <alignment horizontal="center" vertical="center"/>
    </xf>
    <xf borderId="15" fillId="0" fontId="9" numFmtId="0" xfId="0" applyAlignment="1" applyBorder="1" applyFont="1">
      <alignment horizontal="center" vertical="center"/>
    </xf>
    <xf quotePrefix="1" borderId="17" fillId="0" fontId="9" numFmtId="0" xfId="0" applyAlignment="1" applyBorder="1" applyFont="1">
      <alignment horizontal="center" vertical="center"/>
    </xf>
    <xf borderId="17" fillId="0" fontId="9" numFmtId="0" xfId="0" applyAlignment="1" applyBorder="1" applyFont="1">
      <alignment horizontal="left" vertical="center"/>
    </xf>
    <xf borderId="15" fillId="0" fontId="9" numFmtId="0" xfId="0" applyAlignment="1" applyBorder="1" applyFont="1">
      <alignment horizontal="left" vertical="center"/>
    </xf>
    <xf borderId="17" fillId="0" fontId="9" numFmtId="0" xfId="0" applyAlignment="1" applyBorder="1" applyFont="1">
      <alignment horizontal="center" vertical="center"/>
    </xf>
    <xf borderId="15" fillId="0" fontId="9" numFmtId="0" xfId="0" applyAlignment="1" applyBorder="1" applyFont="1">
      <alignment horizontal="left" readingOrder="0" vertical="center"/>
    </xf>
    <xf borderId="17" fillId="0" fontId="9" numFmtId="0" xfId="0" applyAlignment="1" applyBorder="1" applyFont="1">
      <alignment horizontal="left" vertical="center"/>
    </xf>
    <xf borderId="17" fillId="0" fontId="9" numFmtId="0" xfId="0" applyAlignment="1" applyBorder="1" applyFont="1">
      <alignment readingOrder="0" shrinkToFit="0" vertical="center" wrapText="1"/>
    </xf>
    <xf quotePrefix="1" borderId="16" fillId="0" fontId="9" numFmtId="0" xfId="0" applyAlignment="1" applyBorder="1" applyFont="1">
      <alignment horizontal="center" vertical="center"/>
    </xf>
    <xf borderId="16" fillId="0" fontId="9" numFmtId="0" xfId="0" applyAlignment="1" applyBorder="1" applyFont="1">
      <alignment horizontal="left" shrinkToFit="0" vertical="center" wrapText="1"/>
    </xf>
    <xf quotePrefix="1" borderId="16" fillId="0" fontId="9" numFmtId="0" xfId="0" applyAlignment="1" applyBorder="1" applyFont="1">
      <alignment horizontal="center" readingOrder="0" vertical="center"/>
    </xf>
    <xf quotePrefix="1" borderId="17" fillId="0" fontId="9" numFmtId="0" xfId="0" applyAlignment="1" applyBorder="1" applyFont="1">
      <alignment horizontal="center" readingOrder="0" vertical="center"/>
    </xf>
    <xf borderId="17" fillId="0" fontId="9" numFmtId="0" xfId="0" applyAlignment="1" applyBorder="1" applyFont="1">
      <alignment readingOrder="0" vertical="center"/>
    </xf>
    <xf borderId="12" fillId="13" fontId="13" numFmtId="164" xfId="0" applyAlignment="1" applyBorder="1" applyFont="1" applyNumberFormat="1">
      <alignment horizontal="left" readingOrder="0" vertical="center"/>
    </xf>
    <xf borderId="5" fillId="13" fontId="13" numFmtId="164" xfId="0" applyAlignment="1" applyBorder="1" applyFont="1" applyNumberFormat="1">
      <alignment horizontal="left" readingOrder="0" vertical="center"/>
    </xf>
    <xf borderId="5" fillId="7" fontId="13" numFmtId="164" xfId="0" applyAlignment="1" applyBorder="1" applyFont="1" applyNumberFormat="1">
      <alignment readingOrder="0" vertical="center"/>
    </xf>
    <xf borderId="12" fillId="0" fontId="9" numFmtId="0" xfId="0" applyAlignment="1" applyBorder="1" applyFont="1">
      <alignment horizontal="right" shrinkToFit="0" vertical="center" wrapText="1"/>
    </xf>
    <xf quotePrefix="1" borderId="0" fillId="0" fontId="9" numFmtId="0" xfId="0" applyAlignment="1" applyFont="1">
      <alignment horizontal="center" readingOrder="0" vertical="center"/>
    </xf>
    <xf borderId="16" fillId="13" fontId="13" numFmtId="0" xfId="0" applyAlignment="1" applyBorder="1" applyFont="1">
      <alignment horizontal="left" readingOrder="0" vertical="center"/>
    </xf>
    <xf borderId="15" fillId="0" fontId="9" numFmtId="0" xfId="0" applyAlignment="1" applyBorder="1" applyFont="1">
      <alignment horizontal="left" readingOrder="0" shrinkToFit="0" vertical="center" wrapText="1"/>
    </xf>
    <xf borderId="4" fillId="8" fontId="41" numFmtId="0" xfId="0" applyAlignment="1" applyBorder="1" applyFont="1">
      <alignment shrinkToFit="0" vertical="center" wrapText="1"/>
    </xf>
    <xf borderId="0" fillId="0" fontId="24" numFmtId="0" xfId="0" applyAlignment="1" applyFont="1">
      <alignment horizontal="center" vertical="center"/>
    </xf>
    <xf borderId="24" fillId="8" fontId="28" numFmtId="164" xfId="0" applyAlignment="1" applyBorder="1" applyFont="1" applyNumberFormat="1">
      <alignment shrinkToFit="0" vertical="center" wrapText="1"/>
    </xf>
    <xf borderId="12" fillId="0" fontId="9" numFmtId="164" xfId="0" applyAlignment="1" applyBorder="1" applyFont="1" applyNumberFormat="1">
      <alignment horizontal="center" readingOrder="0" shrinkToFit="0" vertical="center" wrapText="1"/>
    </xf>
    <xf borderId="6" fillId="27" fontId="7" numFmtId="14" xfId="0" applyAlignment="1" applyBorder="1" applyFill="1" applyFont="1" applyNumberFormat="1">
      <alignment horizontal="center" vertical="center"/>
    </xf>
    <xf borderId="22" fillId="27" fontId="7" numFmtId="164" xfId="0" applyAlignment="1" applyBorder="1" applyFont="1" applyNumberFormat="1">
      <alignment horizontal="center" vertical="center"/>
    </xf>
    <xf borderId="6" fillId="23" fontId="12" numFmtId="0" xfId="0" applyAlignment="1" applyBorder="1" applyFont="1">
      <alignment horizontal="center" readingOrder="0" vertical="center"/>
    </xf>
    <xf borderId="4" fillId="8" fontId="21" numFmtId="0" xfId="0" applyAlignment="1" applyBorder="1" applyFont="1">
      <alignment shrinkToFit="0" vertical="center" wrapText="1"/>
    </xf>
    <xf borderId="4" fillId="8" fontId="33" numFmtId="164" xfId="0" applyAlignment="1" applyBorder="1" applyFont="1" applyNumberFormat="1">
      <alignment horizontal="center" shrinkToFit="0" vertical="center" wrapText="1"/>
    </xf>
    <xf borderId="4" fillId="8" fontId="33" numFmtId="164" xfId="0" applyAlignment="1" applyBorder="1" applyFont="1" applyNumberFormat="1">
      <alignment horizontal="center" vertical="center"/>
    </xf>
    <xf borderId="12" fillId="8" fontId="14" numFmtId="168" xfId="0" applyAlignment="1" applyBorder="1" applyFont="1" applyNumberFormat="1">
      <alignment horizontal="center" readingOrder="0" shrinkToFit="0" vertical="center" wrapText="1"/>
    </xf>
    <xf borderId="12" fillId="8" fontId="14" numFmtId="3" xfId="0" applyAlignment="1" applyBorder="1" applyFont="1" applyNumberFormat="1">
      <alignment horizontal="left" readingOrder="0" shrinkToFit="0" vertical="center" wrapText="1"/>
    </xf>
    <xf borderId="6" fillId="8" fontId="14" numFmtId="3" xfId="0" applyAlignment="1" applyBorder="1" applyFont="1" applyNumberFormat="1">
      <alignment horizontal="left" shrinkToFit="0" vertical="center" wrapText="1"/>
    </xf>
    <xf borderId="4" fillId="13" fontId="34" numFmtId="164" xfId="0" applyAlignment="1" applyBorder="1" applyFont="1" applyNumberFormat="1">
      <alignment horizontal="center" vertical="center"/>
    </xf>
    <xf borderId="12" fillId="8" fontId="14" numFmtId="0" xfId="0" applyAlignment="1" applyBorder="1" applyFont="1">
      <alignment horizontal="center" shrinkToFit="0" vertical="center" wrapText="1"/>
    </xf>
    <xf borderId="26" fillId="13" fontId="28" numFmtId="164" xfId="0" applyAlignment="1" applyBorder="1" applyFont="1" applyNumberFormat="1">
      <alignment horizontal="center" vertical="center"/>
    </xf>
    <xf borderId="14" fillId="8" fontId="13" numFmtId="0" xfId="0" applyAlignment="1" applyBorder="1" applyFont="1">
      <alignment horizontal="left" readingOrder="0" shrinkToFit="0" vertical="center" wrapText="1"/>
    </xf>
    <xf quotePrefix="1" borderId="14" fillId="8" fontId="13" numFmtId="0" xfId="0" applyAlignment="1" applyBorder="1" applyFont="1">
      <alignment horizontal="center" readingOrder="0" shrinkToFit="0" vertical="center" wrapText="1"/>
    </xf>
    <xf borderId="14" fillId="8" fontId="13" numFmtId="0" xfId="0" applyAlignment="1" applyBorder="1" applyFont="1">
      <alignment horizontal="center" readingOrder="0" shrinkToFit="0" vertical="center" wrapText="1"/>
    </xf>
    <xf borderId="14" fillId="8" fontId="14" numFmtId="0" xfId="0" applyAlignment="1" applyBorder="1" applyFont="1">
      <alignment horizontal="center" readingOrder="0" shrinkToFit="0" vertical="center" wrapText="1"/>
    </xf>
    <xf borderId="18" fillId="8" fontId="14" numFmtId="3" xfId="0" applyAlignment="1" applyBorder="1" applyFont="1" applyNumberFormat="1">
      <alignment horizontal="left" shrinkToFit="0" vertical="center" wrapText="1"/>
    </xf>
    <xf borderId="4" fillId="8" fontId="21" numFmtId="1" xfId="0" applyAlignment="1" applyBorder="1" applyFont="1" applyNumberFormat="1">
      <alignment horizontal="center" vertical="center"/>
    </xf>
    <xf borderId="0" fillId="0" fontId="41" numFmtId="1" xfId="0" applyAlignment="1" applyFont="1" applyNumberFormat="1">
      <alignment horizontal="center" vertical="center"/>
    </xf>
    <xf borderId="0" fillId="14" fontId="49" numFmtId="0" xfId="0" applyAlignment="1" applyFont="1">
      <alignment horizontal="center" readingOrder="0" vertical="center"/>
    </xf>
    <xf borderId="12" fillId="0" fontId="18" numFmtId="0" xfId="0" applyAlignment="1" applyBorder="1" applyFont="1">
      <alignment horizontal="center" readingOrder="0" vertical="center"/>
    </xf>
    <xf borderId="12" fillId="0" fontId="7" numFmtId="1" xfId="0" applyAlignment="1" applyBorder="1" applyFont="1" applyNumberFormat="1">
      <alignment horizontal="center" readingOrder="0" vertical="center"/>
    </xf>
    <xf borderId="12" fillId="0" fontId="7" numFmtId="0" xfId="0" applyAlignment="1" applyBorder="1" applyFont="1">
      <alignment horizontal="center" readingOrder="0" vertical="center"/>
    </xf>
    <xf borderId="0" fillId="0" fontId="41" numFmtId="0" xfId="0" applyAlignment="1" applyFont="1">
      <alignment readingOrder="0" vertical="center"/>
    </xf>
    <xf borderId="0" fillId="0" fontId="13" numFmtId="0" xfId="0" applyAlignment="1" applyFont="1">
      <alignment readingOrder="0" vertical="center"/>
    </xf>
    <xf borderId="12" fillId="0" fontId="13" numFmtId="0" xfId="0" applyAlignment="1" applyBorder="1" applyFont="1">
      <alignment horizontal="left" readingOrder="0" vertical="center"/>
    </xf>
    <xf borderId="0" fillId="0" fontId="13" numFmtId="3" xfId="0" applyAlignment="1" applyFont="1" applyNumberFormat="1">
      <alignment vertical="center"/>
    </xf>
    <xf borderId="4" fillId="8" fontId="9" numFmtId="0" xfId="0" applyAlignment="1" applyBorder="1" applyFont="1">
      <alignment shrinkToFit="0" vertical="center" wrapText="1"/>
    </xf>
    <xf borderId="0" fillId="14" fontId="12" numFmtId="1" xfId="0" applyAlignment="1" applyFont="1" applyNumberFormat="1">
      <alignment horizontal="center" readingOrder="0" vertical="center"/>
    </xf>
    <xf borderId="12" fillId="0" fontId="18" numFmtId="166" xfId="0" applyAlignment="1" applyBorder="1" applyFont="1" applyNumberFormat="1">
      <alignment horizontal="center" readingOrder="0" vertical="center"/>
    </xf>
    <xf borderId="12" fillId="0" fontId="13" numFmtId="3" xfId="0" applyAlignment="1" applyBorder="1" applyFont="1" applyNumberFormat="1">
      <alignment horizontal="center" vertical="center"/>
    </xf>
    <xf borderId="12" fillId="0" fontId="13" numFmtId="3" xfId="0" applyAlignment="1" applyBorder="1" applyFont="1" applyNumberFormat="1">
      <alignment horizontal="center" readingOrder="0" vertical="center"/>
    </xf>
    <xf borderId="0" fillId="0" fontId="37" numFmtId="0" xfId="0" applyAlignment="1" applyFont="1">
      <alignment shrinkToFit="0" vertical="center" wrapText="1"/>
    </xf>
    <xf borderId="12" fillId="0" fontId="18" numFmtId="168" xfId="0" applyAlignment="1" applyBorder="1" applyFont="1" applyNumberFormat="1">
      <alignment horizontal="center" readingOrder="0" vertical="center"/>
    </xf>
    <xf borderId="12" fillId="0" fontId="7" numFmtId="3" xfId="0" applyAlignment="1" applyBorder="1" applyFont="1" applyNumberFormat="1">
      <alignment horizontal="center" vertical="center"/>
    </xf>
    <xf borderId="0" fillId="0" fontId="37" numFmtId="0" xfId="0" applyAlignment="1" applyFont="1">
      <alignment readingOrder="0" vertical="center"/>
    </xf>
    <xf borderId="5" fillId="4" fontId="7" numFmtId="164" xfId="0" applyAlignment="1" applyBorder="1" applyFont="1" applyNumberFormat="1">
      <alignment horizontal="left" shrinkToFit="0" vertical="center" wrapText="1"/>
    </xf>
    <xf borderId="12" fillId="0" fontId="9" numFmtId="1" xfId="0" applyAlignment="1" applyBorder="1" applyFont="1" applyNumberFormat="1">
      <alignment vertical="center"/>
    </xf>
    <xf borderId="12" fillId="8" fontId="14" numFmtId="164" xfId="0" applyAlignment="1" applyBorder="1" applyFont="1" applyNumberFormat="1">
      <alignment readingOrder="0" vertical="center"/>
    </xf>
    <xf borderId="12" fillId="0" fontId="13" numFmtId="3" xfId="0" applyAlignment="1" applyBorder="1" applyFont="1" applyNumberFormat="1">
      <alignment readingOrder="0" shrinkToFit="0" vertical="center" wrapText="1"/>
    </xf>
    <xf borderId="16" fillId="0" fontId="15" numFmtId="0" xfId="0" applyAlignment="1" applyBorder="1" applyFont="1">
      <alignment readingOrder="0" vertical="center"/>
    </xf>
    <xf borderId="5" fillId="0" fontId="13" numFmtId="0" xfId="0" applyAlignment="1" applyBorder="1" applyFont="1">
      <alignment horizontal="left" shrinkToFit="0" vertical="center" wrapText="1"/>
    </xf>
    <xf borderId="41" fillId="7" fontId="9" numFmtId="164" xfId="0" applyAlignment="1" applyBorder="1" applyFont="1" applyNumberFormat="1">
      <alignment horizontal="center" vertical="center"/>
    </xf>
    <xf borderId="42" fillId="0" fontId="2" numFmtId="0" xfId="0" applyBorder="1" applyFont="1"/>
    <xf borderId="43" fillId="0" fontId="2" numFmtId="0" xfId="0" applyBorder="1" applyFont="1"/>
    <xf borderId="22" fillId="14" fontId="9" numFmtId="164" xfId="0" applyAlignment="1" applyBorder="1" applyFont="1" applyNumberFormat="1">
      <alignment horizontal="center" vertical="center"/>
    </xf>
    <xf quotePrefix="1" borderId="5" fillId="0" fontId="9" numFmtId="0" xfId="0" applyAlignment="1" applyBorder="1" applyFont="1">
      <alignment horizontal="center" readingOrder="0" shrinkToFit="0" vertical="center" wrapText="1"/>
    </xf>
    <xf borderId="5" fillId="8" fontId="9" numFmtId="3" xfId="0" applyAlignment="1" applyBorder="1" applyFont="1" applyNumberFormat="1">
      <alignment shrinkToFit="0" vertical="center" wrapText="1"/>
    </xf>
    <xf borderId="5" fillId="0" fontId="13" numFmtId="3" xfId="0" applyAlignment="1" applyBorder="1" applyFont="1" applyNumberFormat="1">
      <alignment shrinkToFit="0" vertical="center" wrapText="1"/>
    </xf>
    <xf borderId="16" fillId="0" fontId="15" numFmtId="0" xfId="0" applyAlignment="1" applyBorder="1" applyFont="1">
      <alignment horizontal="center" readingOrder="0" vertical="center"/>
    </xf>
    <xf borderId="5" fillId="7" fontId="13" numFmtId="0" xfId="0" applyAlignment="1" applyBorder="1" applyFont="1">
      <alignment horizontal="left" shrinkToFit="0" vertical="center" wrapText="1"/>
    </xf>
    <xf borderId="5" fillId="5" fontId="13" numFmtId="0" xfId="0" applyAlignment="1" applyBorder="1" applyFont="1">
      <alignment horizontal="left" shrinkToFit="0" vertical="center" wrapText="1"/>
    </xf>
    <xf borderId="5" fillId="12" fontId="13" numFmtId="0" xfId="0" applyAlignment="1" applyBorder="1" applyFont="1">
      <alignment horizontal="left" shrinkToFit="0" vertical="center" wrapText="1"/>
    </xf>
    <xf borderId="5" fillId="12" fontId="13" numFmtId="0" xfId="0" applyAlignment="1" applyBorder="1" applyFont="1">
      <alignment horizontal="center" readingOrder="0" shrinkToFit="0" vertical="center" wrapText="1"/>
    </xf>
    <xf borderId="12" fillId="28" fontId="9" numFmtId="0" xfId="0" applyAlignment="1" applyBorder="1" applyFill="1" applyFont="1">
      <alignment horizontal="center" readingOrder="0" vertical="center"/>
    </xf>
    <xf borderId="12" fillId="28" fontId="9" numFmtId="168" xfId="0" applyAlignment="1" applyBorder="1" applyFont="1" applyNumberFormat="1">
      <alignment horizontal="center" readingOrder="0" vertical="center"/>
    </xf>
    <xf borderId="12" fillId="28" fontId="9" numFmtId="0" xfId="0" applyAlignment="1" applyBorder="1" applyFont="1">
      <alignment readingOrder="0" vertical="center"/>
    </xf>
    <xf quotePrefix="1" borderId="12" fillId="28" fontId="9" numFmtId="0" xfId="0" applyAlignment="1" applyBorder="1" applyFont="1">
      <alignment horizontal="center" readingOrder="0" vertical="center"/>
    </xf>
    <xf borderId="12" fillId="28" fontId="15" numFmtId="0" xfId="0" applyAlignment="1" applyBorder="1" applyFont="1">
      <alignment readingOrder="0" shrinkToFit="0" wrapText="1"/>
    </xf>
    <xf borderId="12" fillId="28" fontId="13" numFmtId="0" xfId="0" applyAlignment="1" applyBorder="1" applyFont="1">
      <alignment horizontal="left" readingOrder="0" shrinkToFit="0" vertical="center" wrapText="1"/>
    </xf>
    <xf borderId="12" fillId="28" fontId="13" numFmtId="0" xfId="0" applyAlignment="1" applyBorder="1" applyFont="1">
      <alignment horizontal="center" readingOrder="0" shrinkToFit="0" vertical="center" wrapText="1"/>
    </xf>
    <xf borderId="12" fillId="28" fontId="13" numFmtId="164" xfId="0" applyAlignment="1" applyBorder="1" applyFont="1" applyNumberFormat="1">
      <alignment vertical="center"/>
    </xf>
    <xf borderId="13" fillId="28" fontId="9" numFmtId="164" xfId="0" applyAlignment="1" applyBorder="1" applyFont="1" applyNumberFormat="1">
      <alignment horizontal="center" vertical="center"/>
    </xf>
    <xf borderId="12" fillId="28" fontId="9" numFmtId="165" xfId="0" applyAlignment="1" applyBorder="1" applyFont="1" applyNumberFormat="1">
      <alignment shrinkToFit="0" vertical="center" wrapText="1"/>
    </xf>
    <xf borderId="12" fillId="28" fontId="9" numFmtId="3" xfId="0" applyAlignment="1" applyBorder="1" applyFont="1" applyNumberFormat="1">
      <alignment horizontal="center" readingOrder="0" vertical="center"/>
    </xf>
    <xf borderId="12" fillId="28" fontId="9" numFmtId="3" xfId="0" applyAlignment="1" applyBorder="1" applyFont="1" applyNumberFormat="1">
      <alignment vertical="center"/>
    </xf>
    <xf borderId="12" fillId="28" fontId="13" numFmtId="165" xfId="0" applyAlignment="1" applyBorder="1" applyFont="1" applyNumberFormat="1">
      <alignment shrinkToFit="0" vertical="center" wrapText="1"/>
    </xf>
    <xf borderId="12" fillId="28" fontId="9" numFmtId="164" xfId="0" applyAlignment="1" applyBorder="1" applyFont="1" applyNumberFormat="1">
      <alignment vertical="center"/>
    </xf>
    <xf borderId="12" fillId="28" fontId="9" numFmtId="164" xfId="0" applyAlignment="1" applyBorder="1" applyFont="1" applyNumberFormat="1">
      <alignment horizontal="center" vertical="center"/>
    </xf>
    <xf borderId="12" fillId="28" fontId="9" numFmtId="0" xfId="0" applyAlignment="1" applyBorder="1" applyFont="1">
      <alignment vertical="center"/>
    </xf>
    <xf borderId="12" fillId="28" fontId="9" numFmtId="0" xfId="0" applyAlignment="1" applyBorder="1" applyFont="1">
      <alignment horizontal="left" readingOrder="0" vertical="center"/>
    </xf>
    <xf borderId="12" fillId="0" fontId="15" numFmtId="0" xfId="0" applyAlignment="1" applyBorder="1" applyFont="1">
      <alignment readingOrder="0" vertical="center"/>
    </xf>
    <xf borderId="12" fillId="7" fontId="13" numFmtId="164" xfId="0" applyAlignment="1" applyBorder="1" applyFont="1" applyNumberFormat="1">
      <alignment vertical="center"/>
    </xf>
    <xf borderId="0" fillId="7" fontId="13" numFmtId="164" xfId="0" applyAlignment="1" applyFont="1" applyNumberFormat="1">
      <alignment vertical="center"/>
    </xf>
    <xf borderId="12" fillId="13" fontId="38" numFmtId="0" xfId="0" applyAlignment="1" applyBorder="1" applyFont="1">
      <alignment horizontal="left" readingOrder="0" vertical="center"/>
    </xf>
    <xf borderId="5" fillId="13" fontId="38" numFmtId="0" xfId="0" applyAlignment="1" applyBorder="1" applyFont="1">
      <alignment horizontal="left" readingOrder="0" vertical="center"/>
    </xf>
    <xf borderId="5" fillId="12" fontId="9" numFmtId="0" xfId="0" applyAlignment="1" applyBorder="1" applyFont="1">
      <alignment vertical="center"/>
    </xf>
    <xf borderId="5" fillId="5" fontId="9" numFmtId="0" xfId="0" applyAlignment="1" applyBorder="1" applyFont="1">
      <alignment vertical="center"/>
    </xf>
    <xf borderId="12" fillId="14" fontId="13" numFmtId="164" xfId="0" applyAlignment="1" applyBorder="1" applyFont="1" applyNumberFormat="1">
      <alignment vertical="center"/>
    </xf>
    <xf borderId="12" fillId="29" fontId="13" numFmtId="0" xfId="0" applyAlignment="1" applyBorder="1" applyFill="1" applyFont="1">
      <alignment horizontal="center" readingOrder="0" vertical="center"/>
    </xf>
    <xf borderId="12" fillId="29" fontId="13" numFmtId="168" xfId="0" applyAlignment="1" applyBorder="1" applyFont="1" applyNumberFormat="1">
      <alignment horizontal="center" readingOrder="0" vertical="center"/>
    </xf>
    <xf borderId="12" fillId="29" fontId="13" numFmtId="0" xfId="0" applyAlignment="1" applyBorder="1" applyFont="1">
      <alignment readingOrder="0" vertical="center"/>
    </xf>
    <xf quotePrefix="1" borderId="12" fillId="29" fontId="13" numFmtId="0" xfId="0" applyAlignment="1" applyBorder="1" applyFont="1">
      <alignment horizontal="center" readingOrder="0" vertical="center"/>
    </xf>
    <xf borderId="0" fillId="29" fontId="13" numFmtId="0" xfId="0" applyAlignment="1" applyFont="1">
      <alignment readingOrder="0" vertical="center"/>
    </xf>
    <xf borderId="12" fillId="29" fontId="13" numFmtId="0" xfId="0" applyAlignment="1" applyBorder="1" applyFont="1">
      <alignment horizontal="left" readingOrder="0" shrinkToFit="0" vertical="center" wrapText="1"/>
    </xf>
    <xf borderId="12" fillId="29" fontId="13" numFmtId="0" xfId="0" applyAlignment="1" applyBorder="1" applyFont="1">
      <alignment horizontal="center" readingOrder="0" shrinkToFit="0" vertical="center" wrapText="1"/>
    </xf>
    <xf borderId="12" fillId="29" fontId="13" numFmtId="164" xfId="0" applyAlignment="1" applyBorder="1" applyFont="1" applyNumberFormat="1">
      <alignment vertical="center"/>
    </xf>
    <xf borderId="13" fillId="29" fontId="13" numFmtId="164" xfId="0" applyAlignment="1" applyBorder="1" applyFont="1" applyNumberFormat="1">
      <alignment horizontal="center" vertical="center"/>
    </xf>
    <xf borderId="12" fillId="29" fontId="13" numFmtId="165" xfId="0" applyAlignment="1" applyBorder="1" applyFont="1" applyNumberFormat="1">
      <alignment shrinkToFit="0" vertical="center" wrapText="1"/>
    </xf>
    <xf borderId="12" fillId="29" fontId="13" numFmtId="0" xfId="0" applyAlignment="1" applyBorder="1" applyFont="1">
      <alignment vertical="center"/>
    </xf>
    <xf borderId="12" fillId="29" fontId="13" numFmtId="3" xfId="0" applyAlignment="1" applyBorder="1" applyFont="1" applyNumberFormat="1">
      <alignment vertical="center"/>
    </xf>
    <xf borderId="12" fillId="29" fontId="13" numFmtId="164" xfId="0" applyAlignment="1" applyBorder="1" applyFont="1" applyNumberFormat="1">
      <alignment readingOrder="0" vertical="center"/>
    </xf>
    <xf borderId="12" fillId="29" fontId="13" numFmtId="3" xfId="0" applyAlignment="1" applyBorder="1" applyFont="1" applyNumberFormat="1">
      <alignment horizontal="center" readingOrder="0" vertical="center"/>
    </xf>
    <xf borderId="12" fillId="29" fontId="13" numFmtId="164" xfId="0" applyAlignment="1" applyBorder="1" applyFont="1" applyNumberFormat="1">
      <alignment horizontal="center" readingOrder="0" vertical="center"/>
    </xf>
    <xf borderId="12" fillId="0" fontId="15" numFmtId="0" xfId="0" applyAlignment="1" applyBorder="1" applyFont="1">
      <alignment readingOrder="0" shrinkToFit="0" vertical="center" wrapText="1"/>
    </xf>
    <xf borderId="5" fillId="7" fontId="13" numFmtId="0" xfId="0" applyAlignment="1" applyBorder="1" applyFont="1">
      <alignment horizontal="center" shrinkToFit="0" vertical="center" wrapText="1"/>
    </xf>
    <xf borderId="5" fillId="5" fontId="13" numFmtId="0" xfId="0" applyAlignment="1" applyBorder="1" applyFont="1">
      <alignment horizontal="center" shrinkToFit="0" vertical="center" wrapText="1"/>
    </xf>
    <xf borderId="5" fillId="12" fontId="13" numFmtId="0" xfId="0" applyAlignment="1" applyBorder="1" applyFont="1">
      <alignment horizontal="center" shrinkToFit="0" vertical="center" wrapText="1"/>
    </xf>
    <xf borderId="5" fillId="10" fontId="13" numFmtId="0" xfId="0" applyAlignment="1" applyBorder="1" applyFont="1">
      <alignment horizontal="center" shrinkToFit="0" vertical="center" wrapText="1"/>
    </xf>
    <xf borderId="8" fillId="14" fontId="9" numFmtId="164" xfId="0" applyAlignment="1" applyBorder="1" applyFont="1" applyNumberFormat="1">
      <alignment horizontal="center" vertical="center"/>
    </xf>
    <xf borderId="12" fillId="12" fontId="9" numFmtId="3" xfId="0" applyAlignment="1" applyBorder="1" applyFont="1" applyNumberFormat="1">
      <alignment horizontal="center" vertical="center"/>
    </xf>
    <xf borderId="12" fillId="8" fontId="9" numFmtId="0" xfId="0" applyAlignment="1" applyBorder="1" applyFont="1">
      <alignment horizontal="left" vertical="center"/>
    </xf>
    <xf quotePrefix="1" borderId="12" fillId="8" fontId="9" numFmtId="0" xfId="0" applyAlignment="1" applyBorder="1" applyFont="1">
      <alignment horizontal="center" vertical="center"/>
    </xf>
    <xf borderId="12" fillId="12" fontId="9" numFmtId="3" xfId="0" applyAlignment="1" applyBorder="1" applyFont="1" applyNumberFormat="1">
      <alignment vertical="center"/>
    </xf>
    <xf borderId="12" fillId="8" fontId="9" numFmtId="3" xfId="0" applyAlignment="1" applyBorder="1" applyFont="1" applyNumberFormat="1">
      <alignment horizontal="center" readingOrder="0" vertical="center"/>
    </xf>
    <xf borderId="15" fillId="8" fontId="9" numFmtId="0" xfId="0" applyAlignment="1" applyBorder="1" applyFont="1">
      <alignment horizontal="center" readingOrder="0" vertical="center"/>
    </xf>
    <xf quotePrefix="1" borderId="15" fillId="8" fontId="9" numFmtId="0" xfId="0" applyAlignment="1" applyBorder="1" applyFont="1">
      <alignment horizontal="center" readingOrder="0" vertical="center"/>
    </xf>
    <xf borderId="23" fillId="0" fontId="9" numFmtId="0" xfId="0" applyAlignment="1" applyBorder="1" applyFont="1">
      <alignment horizontal="left" readingOrder="0" vertical="center"/>
    </xf>
    <xf borderId="15" fillId="0" fontId="9" numFmtId="0" xfId="0" applyAlignment="1" applyBorder="1" applyFont="1">
      <alignment horizontal="center" readingOrder="0" vertical="center"/>
    </xf>
    <xf borderId="8" fillId="0" fontId="9" numFmtId="0" xfId="0" applyAlignment="1" applyBorder="1" applyFont="1">
      <alignment horizontal="left" readingOrder="0" vertical="center"/>
    </xf>
    <xf borderId="14" fillId="8" fontId="9" numFmtId="0" xfId="0" applyAlignment="1" applyBorder="1" applyFont="1">
      <alignment horizontal="center" readingOrder="0" vertical="center"/>
    </xf>
    <xf borderId="12" fillId="0" fontId="9" numFmtId="0" xfId="0" applyAlignment="1" applyBorder="1" applyFont="1">
      <alignment horizontal="left" readingOrder="0" vertical="bottom"/>
    </xf>
    <xf borderId="8" fillId="0" fontId="9" numFmtId="0" xfId="0" applyAlignment="1" applyBorder="1" applyFont="1">
      <alignment horizontal="center" readingOrder="0" vertical="bottom"/>
    </xf>
    <xf borderId="12" fillId="14" fontId="9" numFmtId="0" xfId="0" applyAlignment="1" applyBorder="1" applyFont="1">
      <alignment horizontal="left" readingOrder="0" vertical="center"/>
    </xf>
    <xf borderId="8" fillId="14" fontId="9" numFmtId="0" xfId="0" applyAlignment="1" applyBorder="1" applyFont="1">
      <alignment horizontal="center" readingOrder="0" vertical="center"/>
    </xf>
    <xf quotePrefix="1" borderId="12" fillId="0" fontId="9" numFmtId="0" xfId="0" applyAlignment="1" applyBorder="1" applyFont="1">
      <alignment horizontal="center" vertical="center"/>
    </xf>
    <xf quotePrefix="1" borderId="15" fillId="0" fontId="9" numFmtId="0" xfId="0" applyAlignment="1" applyBorder="1" applyFont="1">
      <alignment horizontal="center" vertical="center"/>
    </xf>
    <xf borderId="17" fillId="0" fontId="9" numFmtId="0" xfId="0" applyAlignment="1" applyBorder="1" applyFont="1">
      <alignment horizontal="center" vertical="center"/>
    </xf>
    <xf borderId="17" fillId="0" fontId="9" numFmtId="0" xfId="0" applyAlignment="1" applyBorder="1" applyFont="1">
      <alignment horizontal="center" readingOrder="0" vertical="center"/>
    </xf>
    <xf borderId="15" fillId="26" fontId="9" numFmtId="0" xfId="0" applyAlignment="1" applyBorder="1" applyFont="1">
      <alignment horizontal="left" vertical="center"/>
    </xf>
    <xf borderId="8" fillId="26" fontId="9" numFmtId="164" xfId="0" applyAlignment="1" applyBorder="1" applyFont="1" applyNumberFormat="1">
      <alignment horizontal="center" vertical="center"/>
    </xf>
    <xf borderId="12" fillId="26" fontId="9" numFmtId="3" xfId="0" applyAlignment="1" applyBorder="1" applyFont="1" applyNumberFormat="1">
      <alignment horizontal="center" vertical="center"/>
    </xf>
    <xf borderId="12" fillId="26" fontId="9" numFmtId="164" xfId="0" applyAlignment="1" applyBorder="1" applyFont="1" applyNumberFormat="1">
      <alignment vertical="center"/>
    </xf>
    <xf borderId="12" fillId="26" fontId="9" numFmtId="0" xfId="0" applyAlignment="1" applyBorder="1" applyFont="1">
      <alignment horizontal="left" readingOrder="0" vertical="center"/>
    </xf>
    <xf borderId="15" fillId="0" fontId="13" numFmtId="0" xfId="0" applyAlignment="1" applyBorder="1" applyFont="1">
      <alignment horizontal="left" readingOrder="0" shrinkToFit="0" vertical="center" wrapText="1"/>
    </xf>
    <xf borderId="12" fillId="0" fontId="30" numFmtId="168" xfId="0" applyAlignment="1" applyBorder="1" applyFont="1" applyNumberFormat="1">
      <alignment horizontal="center" readingOrder="0" vertical="center"/>
    </xf>
    <xf borderId="15" fillId="14" fontId="13" numFmtId="0" xfId="0" applyAlignment="1" applyBorder="1" applyFont="1">
      <alignment horizontal="left" readingOrder="0" shrinkToFit="0" vertical="center" wrapText="1"/>
    </xf>
    <xf quotePrefix="1" borderId="12" fillId="0" fontId="9" numFmtId="0" xfId="0" applyAlignment="1" applyBorder="1" applyFont="1">
      <alignment readingOrder="0" vertical="center"/>
    </xf>
    <xf borderId="0" fillId="8" fontId="14" numFmtId="0" xfId="0" applyAlignment="1" applyFont="1">
      <alignment horizontal="center" readingOrder="0" vertical="center"/>
    </xf>
    <xf quotePrefix="1" borderId="0" fillId="0" fontId="15" numFmtId="0" xfId="0" applyAlignment="1" applyFont="1">
      <alignment horizontal="center" readingOrder="0" vertical="center"/>
    </xf>
    <xf borderId="12" fillId="13" fontId="13" numFmtId="0" xfId="0" applyAlignment="1" applyBorder="1" applyFont="1">
      <alignment horizontal="left" readingOrder="0" vertical="center"/>
    </xf>
    <xf borderId="16" fillId="13" fontId="13" numFmtId="0" xfId="0" applyAlignment="1" applyBorder="1" applyFont="1">
      <alignment horizontal="center" readingOrder="0" vertical="center"/>
    </xf>
    <xf borderId="12" fillId="0" fontId="6" numFmtId="0" xfId="0" applyAlignment="1" applyBorder="1" applyFont="1">
      <alignment vertical="center"/>
    </xf>
    <xf borderId="12" fillId="0" fontId="11" numFmtId="164" xfId="0" applyAlignment="1" applyBorder="1" applyFont="1" applyNumberFormat="1">
      <alignment horizontal="center" vertical="center"/>
    </xf>
    <xf borderId="8" fillId="0" fontId="11" numFmtId="164" xfId="0" applyAlignment="1" applyBorder="1" applyFont="1" applyNumberFormat="1">
      <alignment horizontal="center" vertical="center"/>
    </xf>
    <xf borderId="6" fillId="0" fontId="50" numFmtId="164" xfId="0" applyAlignment="1" applyBorder="1" applyFont="1" applyNumberFormat="1">
      <alignment horizontal="center" readingOrder="0" vertical="center"/>
    </xf>
    <xf borderId="4" fillId="8" fontId="9" numFmtId="164" xfId="0" applyAlignment="1" applyBorder="1" applyFont="1" applyNumberFormat="1">
      <alignment horizontal="left" vertical="center"/>
    </xf>
    <xf borderId="4" fillId="8" fontId="9" numFmtId="164" xfId="0" applyAlignment="1" applyBorder="1" applyFont="1" applyNumberFormat="1">
      <alignment horizontal="left" shrinkToFit="0" vertical="center" wrapText="1"/>
    </xf>
    <xf borderId="4" fillId="8" fontId="23" numFmtId="0" xfId="0" applyAlignment="1" applyBorder="1" applyFont="1">
      <alignment vertical="center"/>
    </xf>
    <xf borderId="4" fillId="8" fontId="23" numFmtId="0" xfId="0" applyAlignment="1" applyBorder="1" applyFont="1">
      <alignment horizontal="left" vertical="center"/>
    </xf>
    <xf borderId="4" fillId="8" fontId="21" numFmtId="164" xfId="0" applyAlignment="1" applyBorder="1" applyFont="1" applyNumberFormat="1">
      <alignment horizontal="left" vertical="center"/>
    </xf>
    <xf borderId="4" fillId="8" fontId="28" numFmtId="164" xfId="0" applyAlignment="1" applyBorder="1" applyFont="1" applyNumberFormat="1">
      <alignment horizontal="left" vertical="center"/>
    </xf>
    <xf borderId="4" fillId="8" fontId="25" numFmtId="164" xfId="0" applyAlignment="1" applyBorder="1" applyFont="1" applyNumberFormat="1">
      <alignment horizontal="left" vertical="center"/>
    </xf>
    <xf borderId="8" fillId="8" fontId="9" numFmtId="0" xfId="0" applyAlignment="1" applyBorder="1" applyFont="1">
      <alignment horizontal="center" vertical="center"/>
    </xf>
    <xf borderId="4" fillId="8" fontId="25" numFmtId="164" xfId="0" applyAlignment="1" applyBorder="1" applyFont="1" applyNumberFormat="1">
      <alignment horizontal="left" shrinkToFit="0" vertical="center" wrapText="1"/>
    </xf>
    <xf borderId="4" fillId="8" fontId="21" numFmtId="164" xfId="0" applyAlignment="1" applyBorder="1" applyFont="1" applyNumberFormat="1">
      <alignment horizontal="left" shrinkToFit="0" vertical="center" wrapText="1"/>
    </xf>
    <xf borderId="12" fillId="0" fontId="12" numFmtId="0" xfId="0" applyAlignment="1" applyBorder="1" applyFont="1">
      <alignment horizontal="center" readingOrder="0" shrinkToFit="0" vertical="center" wrapText="1"/>
    </xf>
    <xf borderId="23" fillId="0" fontId="30" numFmtId="0" xfId="0" applyAlignment="1" applyBorder="1" applyFont="1">
      <alignment horizontal="center" readingOrder="0" vertical="center"/>
    </xf>
    <xf borderId="5" fillId="0" fontId="30" numFmtId="165" xfId="0" applyAlignment="1" applyBorder="1" applyFont="1" applyNumberFormat="1">
      <alignment readingOrder="0" vertical="center"/>
    </xf>
    <xf borderId="6" fillId="13" fontId="7" numFmtId="14" xfId="0" applyAlignment="1" applyBorder="1" applyFont="1" applyNumberFormat="1">
      <alignment horizontal="center" vertical="center"/>
    </xf>
    <xf borderId="22" fillId="13" fontId="7" numFmtId="164" xfId="0" applyAlignment="1" applyBorder="1" applyFont="1" applyNumberFormat="1">
      <alignment horizontal="center" vertical="center"/>
    </xf>
    <xf borderId="0" fillId="8" fontId="9" numFmtId="0" xfId="0" applyAlignment="1" applyFont="1">
      <alignment horizontal="center" shrinkToFit="0" vertical="center" wrapText="1"/>
    </xf>
    <xf borderId="6" fillId="9" fontId="12" numFmtId="0" xfId="0" applyAlignment="1" applyBorder="1" applyFont="1">
      <alignment horizontal="center" readingOrder="0" vertical="center"/>
    </xf>
    <xf borderId="6" fillId="9" fontId="12" numFmtId="0" xfId="0" applyAlignment="1" applyBorder="1" applyFont="1">
      <alignment horizontal="left" readingOrder="0" vertical="center"/>
    </xf>
    <xf borderId="22" fillId="9" fontId="9" numFmtId="164" xfId="0" applyAlignment="1" applyBorder="1" applyFont="1" applyNumberFormat="1">
      <alignment horizontal="center" vertical="center"/>
    </xf>
    <xf borderId="0" fillId="0" fontId="28" numFmtId="164" xfId="0" applyAlignment="1" applyFont="1" applyNumberFormat="1">
      <alignment horizontal="center" readingOrder="0" vertical="center"/>
    </xf>
    <xf borderId="4" fillId="8" fontId="21" numFmtId="0" xfId="0" applyAlignment="1" applyBorder="1" applyFont="1">
      <alignment horizontal="left" vertical="center"/>
    </xf>
    <xf borderId="44" fillId="3" fontId="18" numFmtId="164" xfId="0" applyAlignment="1" applyBorder="1" applyFont="1" applyNumberFormat="1">
      <alignment horizontal="center" vertical="center"/>
    </xf>
    <xf borderId="6" fillId="3" fontId="18" numFmtId="164" xfId="0" applyAlignment="1" applyBorder="1" applyFont="1" applyNumberFormat="1">
      <alignment horizontal="center" vertical="center"/>
    </xf>
    <xf borderId="4" fillId="8" fontId="33" numFmtId="164" xfId="0" applyAlignment="1" applyBorder="1" applyFont="1" applyNumberFormat="1">
      <alignment horizontal="left" vertical="center"/>
    </xf>
    <xf borderId="5" fillId="8" fontId="14" numFmtId="0" xfId="0" applyAlignment="1" applyBorder="1" applyFont="1">
      <alignment horizontal="left" shrinkToFit="0" vertical="center" wrapText="1"/>
    </xf>
    <xf borderId="32" fillId="8" fontId="14" numFmtId="3" xfId="0" applyAlignment="1" applyBorder="1" applyFont="1" applyNumberFormat="1">
      <alignment horizontal="center" readingOrder="0" shrinkToFit="0" vertical="center" wrapText="1"/>
    </xf>
    <xf borderId="18" fillId="8" fontId="13" numFmtId="164" xfId="0" applyAlignment="1" applyBorder="1" applyFont="1" applyNumberFormat="1">
      <alignment horizontal="left" readingOrder="0" shrinkToFit="0" vertical="center" wrapText="1"/>
    </xf>
    <xf borderId="23" fillId="0" fontId="2" numFmtId="0" xfId="0" applyBorder="1" applyFont="1"/>
    <xf borderId="26" fillId="13" fontId="13" numFmtId="164" xfId="0" applyAlignment="1" applyBorder="1" applyFont="1" applyNumberFormat="1">
      <alignment horizontal="center" vertical="center"/>
    </xf>
    <xf borderId="5" fillId="8" fontId="48" numFmtId="0" xfId="0" applyAlignment="1" applyBorder="1" applyFont="1">
      <alignment horizontal="center" readingOrder="0" vertical="center"/>
    </xf>
    <xf borderId="5" fillId="8" fontId="13" numFmtId="168" xfId="0" applyAlignment="1" applyBorder="1" applyFont="1" applyNumberFormat="1">
      <alignment horizontal="center" readingOrder="0" vertical="center"/>
    </xf>
    <xf borderId="5" fillId="0" fontId="13" numFmtId="0" xfId="0" applyAlignment="1" applyBorder="1" applyFont="1">
      <alignment horizontal="center" readingOrder="0" vertical="center"/>
    </xf>
    <xf borderId="5" fillId="8" fontId="13" numFmtId="0" xfId="0" applyAlignment="1" applyBorder="1" applyFont="1">
      <alignment horizontal="left" readingOrder="0" vertical="center"/>
    </xf>
    <xf quotePrefix="1" borderId="5" fillId="0" fontId="13" numFmtId="0" xfId="0" applyAlignment="1" applyBorder="1" applyFont="1">
      <alignment horizontal="center" readingOrder="0" vertical="center"/>
    </xf>
    <xf borderId="12" fillId="8" fontId="48" numFmtId="164" xfId="0" applyAlignment="1" applyBorder="1" applyFont="1" applyNumberFormat="1">
      <alignment horizontal="center" readingOrder="0" vertical="center"/>
    </xf>
    <xf borderId="6" fillId="8" fontId="13" numFmtId="164" xfId="0" applyAlignment="1" applyBorder="1" applyFont="1" applyNumberFormat="1">
      <alignment horizontal="center" vertical="center"/>
    </xf>
    <xf borderId="6" fillId="8" fontId="13" numFmtId="3" xfId="0" applyAlignment="1" applyBorder="1" applyFont="1" applyNumberFormat="1">
      <alignment horizontal="center" readingOrder="0" vertical="center"/>
    </xf>
    <xf borderId="6" fillId="8" fontId="13" numFmtId="164" xfId="0" applyAlignment="1" applyBorder="1" applyFont="1" applyNumberFormat="1">
      <alignment horizontal="left" readingOrder="0" vertical="center"/>
    </xf>
    <xf borderId="4" fillId="13" fontId="13" numFmtId="164" xfId="0" applyAlignment="1" applyBorder="1" applyFont="1" applyNumberFormat="1">
      <alignment horizontal="center" vertical="center"/>
    </xf>
    <xf borderId="4" fillId="8" fontId="13" numFmtId="164" xfId="0" applyAlignment="1" applyBorder="1" applyFont="1" applyNumberFormat="1">
      <alignment horizontal="center" vertical="center"/>
    </xf>
    <xf borderId="4" fillId="8" fontId="13" numFmtId="164" xfId="0" applyAlignment="1" applyBorder="1" applyFont="1" applyNumberFormat="1">
      <alignment horizontal="left" vertical="center"/>
    </xf>
    <xf borderId="4" fillId="13" fontId="13" numFmtId="164" xfId="0" applyAlignment="1" applyBorder="1" applyFont="1" applyNumberFormat="1">
      <alignment horizontal="center" shrinkToFit="0" vertical="center" wrapText="1"/>
    </xf>
    <xf borderId="4" fillId="13" fontId="13" numFmtId="165" xfId="0" applyAlignment="1" applyBorder="1" applyFont="1" applyNumberFormat="1">
      <alignment vertical="center"/>
    </xf>
    <xf borderId="26" fillId="8" fontId="13" numFmtId="164" xfId="0" applyAlignment="1" applyBorder="1" applyFont="1" applyNumberFormat="1">
      <alignment horizontal="center" vertical="center"/>
    </xf>
    <xf borderId="4" fillId="8" fontId="13" numFmtId="164" xfId="0" applyAlignment="1" applyBorder="1" applyFont="1" applyNumberFormat="1">
      <alignment horizontal="center" shrinkToFit="0" vertical="center" wrapText="1"/>
    </xf>
    <xf borderId="4" fillId="8" fontId="13" numFmtId="165" xfId="0" applyAlignment="1" applyBorder="1" applyFont="1" applyNumberFormat="1">
      <alignment vertical="center"/>
    </xf>
    <xf borderId="12" fillId="8" fontId="48" numFmtId="0" xfId="0" applyAlignment="1" applyBorder="1" applyFont="1">
      <alignment horizontal="center" readingOrder="0" vertical="center"/>
    </xf>
    <xf borderId="12" fillId="8" fontId="13" numFmtId="0" xfId="0" applyAlignment="1" applyBorder="1" applyFont="1">
      <alignment readingOrder="0" vertical="center"/>
    </xf>
    <xf borderId="12" fillId="8" fontId="38" numFmtId="0" xfId="0" applyAlignment="1" applyBorder="1" applyFont="1">
      <alignment readingOrder="0" shrinkToFit="0" wrapText="1"/>
    </xf>
    <xf borderId="12" fillId="0" fontId="38" numFmtId="0" xfId="0" applyAlignment="1" applyBorder="1" applyFont="1">
      <alignment readingOrder="0" shrinkToFit="0" vertical="center" wrapText="1"/>
    </xf>
    <xf borderId="12" fillId="8" fontId="13" numFmtId="164" xfId="0" applyAlignment="1" applyBorder="1" applyFont="1" applyNumberFormat="1">
      <alignment horizontal="center" vertical="center"/>
    </xf>
    <xf borderId="6" fillId="0" fontId="9" numFmtId="0" xfId="0" applyAlignment="1" applyBorder="1" applyFont="1">
      <alignment horizontal="left" readingOrder="0" shrinkToFit="0" vertical="center" wrapText="1"/>
    </xf>
    <xf borderId="26" fillId="8" fontId="28" numFmtId="164" xfId="0" applyAlignment="1" applyBorder="1" applyFont="1" applyNumberFormat="1">
      <alignment horizontal="center" vertical="center"/>
    </xf>
    <xf borderId="12" fillId="8" fontId="13" numFmtId="0" xfId="0" applyAlignment="1" applyBorder="1" applyFont="1">
      <alignment horizontal="center" vertical="center"/>
    </xf>
    <xf borderId="6" fillId="8" fontId="9" numFmtId="164" xfId="0" applyAlignment="1" applyBorder="1" applyFont="1" applyNumberFormat="1">
      <alignment horizontal="left" readingOrder="0" vertical="center"/>
    </xf>
    <xf borderId="4" fillId="8" fontId="21" numFmtId="165" xfId="0" applyAlignment="1" applyBorder="1" applyFont="1" applyNumberFormat="1">
      <alignment vertical="center"/>
    </xf>
    <xf borderId="13" fillId="24" fontId="7" numFmtId="164" xfId="0" applyAlignment="1" applyBorder="1" applyFont="1" applyNumberFormat="1">
      <alignment horizontal="center" vertical="center"/>
    </xf>
    <xf borderId="0" fillId="0" fontId="8" numFmtId="0" xfId="0" applyAlignment="1" applyFont="1">
      <alignment readingOrder="0" vertical="center"/>
    </xf>
    <xf borderId="0" fillId="14" fontId="18" numFmtId="0" xfId="0" applyAlignment="1" applyFont="1">
      <alignment horizontal="center" readingOrder="0" vertical="center"/>
    </xf>
    <xf borderId="4" fillId="8" fontId="9" numFmtId="0" xfId="0" applyAlignment="1" applyBorder="1" applyFont="1">
      <alignment horizontal="left" vertical="center"/>
    </xf>
    <xf borderId="0" fillId="0" fontId="6" numFmtId="0" xfId="0" applyAlignment="1" applyFont="1">
      <alignment horizontal="left" vertical="center"/>
    </xf>
    <xf borderId="12" fillId="0" fontId="18" numFmtId="3" xfId="0" applyAlignment="1" applyBorder="1" applyFont="1" applyNumberFormat="1">
      <alignment horizontal="center" vertical="center"/>
    </xf>
    <xf borderId="5" fillId="0" fontId="18" numFmtId="0" xfId="0" applyAlignment="1" applyBorder="1" applyFont="1">
      <alignment horizontal="center" readingOrder="0" vertical="center"/>
    </xf>
    <xf borderId="5" fillId="0" fontId="13" numFmtId="0" xfId="0" applyAlignment="1" applyBorder="1" applyFont="1">
      <alignment horizontal="center" vertical="center"/>
    </xf>
    <xf borderId="22" fillId="7" fontId="9" numFmtId="164" xfId="0" applyAlignment="1" applyBorder="1" applyFont="1" applyNumberFormat="1">
      <alignment horizontal="center" readingOrder="0" vertical="center"/>
    </xf>
    <xf borderId="5" fillId="8" fontId="9" numFmtId="165" xfId="0" applyAlignment="1" applyBorder="1" applyFont="1" applyNumberFormat="1">
      <alignment readingOrder="0" shrinkToFit="0" vertical="center" wrapText="1"/>
    </xf>
    <xf borderId="5" fillId="0" fontId="13" numFmtId="0" xfId="0" applyAlignment="1" applyBorder="1" applyFont="1">
      <alignment horizontal="right" shrinkToFit="0" vertical="center" wrapText="1"/>
    </xf>
    <xf borderId="5" fillId="0" fontId="9" numFmtId="164" xfId="0" applyAlignment="1" applyBorder="1" applyFont="1" applyNumberFormat="1">
      <alignment horizontal="center" readingOrder="0" vertical="center"/>
    </xf>
    <xf borderId="22" fillId="14" fontId="9" numFmtId="164" xfId="0" applyAlignment="1" applyBorder="1" applyFont="1" applyNumberFormat="1">
      <alignment horizontal="center" readingOrder="0" vertical="center"/>
    </xf>
    <xf borderId="12" fillId="5" fontId="9" numFmtId="165" xfId="0" applyAlignment="1" applyBorder="1" applyFont="1" applyNumberFormat="1">
      <alignment horizontal="center" shrinkToFit="0" vertical="center" wrapText="1"/>
    </xf>
    <xf borderId="12" fillId="10" fontId="9" numFmtId="164" xfId="0" applyAlignment="1" applyBorder="1" applyFont="1" applyNumberFormat="1">
      <alignment horizontal="left" readingOrder="0" vertical="center"/>
    </xf>
    <xf borderId="5" fillId="5" fontId="9" numFmtId="165" xfId="0" applyAlignment="1" applyBorder="1" applyFont="1" applyNumberFormat="1">
      <alignment horizontal="center" shrinkToFit="0" vertical="center" wrapText="1"/>
    </xf>
    <xf borderId="5" fillId="10" fontId="9" numFmtId="164" xfId="0" applyAlignment="1" applyBorder="1" applyFont="1" applyNumberFormat="1">
      <alignment horizontal="left" readingOrder="0" vertical="center"/>
    </xf>
    <xf borderId="12" fillId="2" fontId="13" numFmtId="166" xfId="0" applyAlignment="1" applyBorder="1" applyFont="1" applyNumberFormat="1">
      <alignment horizontal="center" readingOrder="0" shrinkToFit="0" vertical="center" wrapText="1"/>
    </xf>
    <xf quotePrefix="1" borderId="12" fillId="2" fontId="13" numFmtId="0" xfId="0" applyAlignment="1" applyBorder="1" applyFont="1">
      <alignment horizontal="center" readingOrder="0" shrinkToFit="0" vertical="center" wrapText="1"/>
    </xf>
    <xf borderId="22" fillId="2" fontId="9" numFmtId="164" xfId="0" applyAlignment="1" applyBorder="1" applyFont="1" applyNumberFormat="1">
      <alignment horizontal="center" readingOrder="0" vertical="center"/>
    </xf>
    <xf borderId="12" fillId="2" fontId="9" numFmtId="165" xfId="0" applyAlignment="1" applyBorder="1" applyFont="1" applyNumberFormat="1">
      <alignment horizontal="center" shrinkToFit="0" vertical="center" wrapText="1"/>
    </xf>
    <xf borderId="12" fillId="2" fontId="9" numFmtId="164" xfId="0" applyAlignment="1" applyBorder="1" applyFont="1" applyNumberFormat="1">
      <alignment horizontal="left" vertical="center"/>
    </xf>
    <xf borderId="12" fillId="2" fontId="13" numFmtId="3" xfId="0" applyAlignment="1" applyBorder="1" applyFont="1" applyNumberFormat="1">
      <alignment horizontal="center" shrinkToFit="0" vertical="center" wrapText="1"/>
    </xf>
    <xf borderId="12" fillId="2" fontId="13" numFmtId="0" xfId="0" applyAlignment="1" applyBorder="1" applyFont="1">
      <alignment horizontal="center" shrinkToFit="0" vertical="center" wrapText="1"/>
    </xf>
    <xf quotePrefix="1" borderId="12" fillId="8" fontId="15" numFmtId="0" xfId="0" applyAlignment="1" applyBorder="1" applyFont="1">
      <alignment horizontal="center" vertical="bottom"/>
    </xf>
    <xf borderId="12" fillId="0" fontId="15" numFmtId="0" xfId="0" applyAlignment="1" applyBorder="1" applyFont="1">
      <alignment vertical="bottom"/>
    </xf>
    <xf quotePrefix="1" borderId="15" fillId="8" fontId="15" numFmtId="0" xfId="0" applyAlignment="1" applyBorder="1" applyFont="1">
      <alignment horizontal="center" vertical="bottom"/>
    </xf>
    <xf borderId="15" fillId="0" fontId="15" numFmtId="0" xfId="0" applyAlignment="1" applyBorder="1" applyFont="1">
      <alignment vertical="bottom"/>
    </xf>
    <xf borderId="12" fillId="0" fontId="41" numFmtId="0" xfId="0" applyAlignment="1" applyBorder="1" applyFont="1">
      <alignment horizontal="center" vertical="center"/>
    </xf>
    <xf borderId="12" fillId="0" fontId="23" numFmtId="0" xfId="0" applyAlignment="1" applyBorder="1" applyFont="1">
      <alignment horizontal="center" vertical="center"/>
    </xf>
    <xf quotePrefix="1" borderId="12" fillId="0" fontId="9" numFmtId="0" xfId="0" applyAlignment="1" applyBorder="1" applyFont="1">
      <alignment horizontal="center" readingOrder="0" vertical="bottom"/>
    </xf>
    <xf quotePrefix="1" borderId="12" fillId="0" fontId="13" numFmtId="0" xfId="0" applyAlignment="1" applyBorder="1" applyFont="1">
      <alignment horizontal="center" shrinkToFit="0" vertical="center" wrapText="1"/>
    </xf>
    <xf borderId="12" fillId="0" fontId="13" numFmtId="0" xfId="0" applyAlignment="1" applyBorder="1" applyFont="1">
      <alignment shrinkToFit="0" vertical="center" wrapText="1"/>
    </xf>
    <xf quotePrefix="1" borderId="0" fillId="13" fontId="38" numFmtId="0" xfId="0" applyAlignment="1" applyFont="1">
      <alignment horizontal="center" readingOrder="0" vertical="center"/>
    </xf>
    <xf borderId="5" fillId="13" fontId="13" numFmtId="0" xfId="0" applyAlignment="1" applyBorder="1" applyFont="1">
      <alignment readingOrder="0" shrinkToFit="0" vertical="center" wrapText="1"/>
    </xf>
    <xf borderId="12" fillId="0" fontId="23" numFmtId="0" xfId="0" applyAlignment="1" applyBorder="1" applyFont="1">
      <alignment vertical="center"/>
    </xf>
    <xf borderId="0" fillId="0" fontId="13" numFmtId="0" xfId="0" applyAlignment="1" applyFont="1">
      <alignment horizontal="center" readingOrder="0" vertical="center"/>
    </xf>
    <xf borderId="0" fillId="0" fontId="13" numFmtId="3" xfId="0" applyAlignment="1" applyFont="1" applyNumberFormat="1">
      <alignment horizontal="center" readingOrder="0" vertical="center"/>
    </xf>
    <xf borderId="0" fillId="0" fontId="15" numFmtId="0" xfId="0" applyAlignment="1" applyFont="1">
      <alignment readingOrder="0" shrinkToFit="0" wrapText="1"/>
    </xf>
    <xf quotePrefix="1" borderId="0" fillId="0" fontId="15" numFmtId="0" xfId="0" applyAlignment="1" applyFont="1">
      <alignment horizontal="center" readingOrder="0"/>
    </xf>
    <xf borderId="12" fillId="0" fontId="23" numFmtId="3" xfId="0" applyAlignment="1" applyBorder="1" applyFont="1" applyNumberFormat="1">
      <alignment horizontal="center" vertical="center"/>
    </xf>
    <xf borderId="5" fillId="0" fontId="13" numFmtId="3" xfId="0" applyAlignment="1" applyBorder="1" applyFont="1" applyNumberFormat="1">
      <alignment horizontal="center" vertical="center"/>
    </xf>
    <xf borderId="5" fillId="0" fontId="23" numFmtId="0" xfId="0" applyAlignment="1" applyBorder="1" applyFont="1">
      <alignment vertical="center"/>
    </xf>
    <xf borderId="12" fillId="0" fontId="9" numFmtId="0" xfId="0" applyAlignment="1" applyBorder="1" applyFont="1">
      <alignment readingOrder="0" vertical="bottom"/>
    </xf>
    <xf borderId="12" fillId="5" fontId="13" numFmtId="3" xfId="0" applyAlignment="1" applyBorder="1" applyFont="1" applyNumberFormat="1">
      <alignment horizontal="center" readingOrder="0" vertical="center"/>
    </xf>
    <xf borderId="12" fillId="10" fontId="13" numFmtId="164" xfId="0" applyAlignment="1" applyBorder="1" applyFont="1" applyNumberFormat="1">
      <alignment horizontal="left" readingOrder="0" vertical="center"/>
    </xf>
    <xf borderId="12" fillId="12" fontId="13" numFmtId="164" xfId="0" applyAlignment="1" applyBorder="1" applyFont="1" applyNumberFormat="1">
      <alignment vertical="center"/>
    </xf>
    <xf quotePrefix="1" borderId="12" fillId="0" fontId="13" numFmtId="0" xfId="0" applyAlignment="1" applyBorder="1" applyFont="1">
      <alignment horizontal="center" vertical="center"/>
    </xf>
    <xf borderId="12" fillId="0" fontId="15" numFmtId="0" xfId="0" applyAlignment="1" applyBorder="1" applyFont="1">
      <alignment vertical="bottom"/>
    </xf>
    <xf borderId="12" fillId="9" fontId="13" numFmtId="3" xfId="0" applyAlignment="1" applyBorder="1" applyFont="1" applyNumberFormat="1">
      <alignment horizontal="center" readingOrder="0" vertical="center"/>
    </xf>
    <xf borderId="12" fillId="12" fontId="13" numFmtId="164" xfId="0" applyAlignment="1" applyBorder="1" applyFont="1" applyNumberFormat="1">
      <alignment readingOrder="0" vertical="center"/>
    </xf>
    <xf quotePrefix="1" borderId="12" fillId="0" fontId="13" numFmtId="0" xfId="0" applyAlignment="1" applyBorder="1" applyFont="1">
      <alignment horizontal="center" vertical="center"/>
    </xf>
    <xf quotePrefix="1" borderId="12" fillId="2" fontId="13" numFmtId="0" xfId="0" applyAlignment="1" applyBorder="1" applyFont="1">
      <alignment horizontal="center" vertical="center"/>
    </xf>
    <xf borderId="15" fillId="2" fontId="15" numFmtId="0" xfId="0" applyAlignment="1" applyBorder="1" applyFont="1">
      <alignment vertical="bottom"/>
    </xf>
    <xf borderId="12" fillId="2" fontId="13" numFmtId="164" xfId="0" applyAlignment="1" applyBorder="1" applyFont="1" applyNumberFormat="1">
      <alignment horizontal="left" vertical="center"/>
    </xf>
    <xf borderId="5" fillId="0" fontId="13" numFmtId="168" xfId="0" applyAlignment="1" applyBorder="1" applyFont="1" applyNumberFormat="1">
      <alignment horizontal="center" readingOrder="0" vertical="center"/>
    </xf>
    <xf borderId="5" fillId="0" fontId="13" numFmtId="0" xfId="0" applyAlignment="1" applyBorder="1" applyFont="1">
      <alignment horizontal="left" readingOrder="0" vertical="center"/>
    </xf>
    <xf borderId="14" fillId="0" fontId="13" numFmtId="0" xfId="0" applyAlignment="1" applyBorder="1" applyFont="1">
      <alignment readingOrder="0" vertical="center"/>
    </xf>
    <xf borderId="5" fillId="9" fontId="13" numFmtId="3" xfId="0" applyAlignment="1" applyBorder="1" applyFont="1" applyNumberFormat="1">
      <alignment horizontal="center" vertical="center"/>
    </xf>
    <xf borderId="5" fillId="5" fontId="13" numFmtId="3" xfId="0" applyAlignment="1" applyBorder="1" applyFont="1" applyNumberFormat="1">
      <alignment horizontal="center" vertical="center"/>
    </xf>
    <xf borderId="5" fillId="10" fontId="13" numFmtId="164" xfId="0" applyAlignment="1" applyBorder="1" applyFont="1" applyNumberFormat="1">
      <alignment horizontal="left" readingOrder="0" vertical="center"/>
    </xf>
    <xf borderId="5" fillId="0" fontId="13" numFmtId="3" xfId="0" applyAlignment="1" applyBorder="1" applyFont="1" applyNumberFormat="1">
      <alignment horizontal="center" readingOrder="0" vertical="center"/>
    </xf>
    <xf borderId="5" fillId="12" fontId="13" numFmtId="164" xfId="0" applyAlignment="1" applyBorder="1" applyFont="1" applyNumberFormat="1">
      <alignment readingOrder="0" vertical="center"/>
    </xf>
    <xf borderId="5" fillId="12" fontId="13" numFmtId="164" xfId="0" applyAlignment="1" applyBorder="1" applyFont="1" applyNumberFormat="1">
      <alignment horizontal="center" readingOrder="0" vertical="center"/>
    </xf>
    <xf borderId="5" fillId="0" fontId="13" numFmtId="0" xfId="0" applyAlignment="1" applyBorder="1" applyFont="1">
      <alignment vertical="center"/>
    </xf>
    <xf borderId="12" fillId="0" fontId="13" numFmtId="168" xfId="0" applyAlignment="1" applyBorder="1" applyFont="1" applyNumberFormat="1">
      <alignment horizontal="center" readingOrder="0" vertical="center"/>
    </xf>
    <xf quotePrefix="1" borderId="15" fillId="0" fontId="13" numFmtId="0" xfId="0" applyAlignment="1" applyBorder="1" applyFont="1">
      <alignment horizontal="center" readingOrder="0"/>
    </xf>
    <xf borderId="17" fillId="0" fontId="13" numFmtId="0" xfId="0" applyAlignment="1" applyBorder="1" applyFont="1">
      <alignment horizontal="left" readingOrder="0" shrinkToFit="0" vertical="center" wrapText="1"/>
    </xf>
    <xf borderId="15" fillId="0" fontId="13" numFmtId="0" xfId="0" applyAlignment="1" applyBorder="1" applyFont="1">
      <alignment readingOrder="0" vertical="center"/>
    </xf>
    <xf borderId="22" fillId="7" fontId="13" numFmtId="164" xfId="0" applyAlignment="1" applyBorder="1" applyFont="1" applyNumberFormat="1">
      <alignment horizontal="center" readingOrder="0" vertical="center"/>
    </xf>
    <xf borderId="15" fillId="0" fontId="13" numFmtId="0" xfId="0" applyAlignment="1" applyBorder="1" applyFont="1">
      <alignment readingOrder="0" shrinkToFit="0" vertical="center" wrapText="1"/>
    </xf>
    <xf borderId="5" fillId="0" fontId="13" numFmtId="0" xfId="0" applyAlignment="1" applyBorder="1" applyFont="1">
      <alignment readingOrder="0" vertical="center"/>
    </xf>
    <xf quotePrefix="1" borderId="5" fillId="13" fontId="38" numFmtId="0" xfId="0" applyAlignment="1" applyBorder="1" applyFont="1">
      <alignment horizontal="center" readingOrder="0" vertical="center"/>
    </xf>
    <xf quotePrefix="1" borderId="17" fillId="0" fontId="13" numFmtId="0" xfId="0" applyAlignment="1" applyBorder="1" applyFont="1">
      <alignment horizontal="center" readingOrder="0" vertical="center"/>
    </xf>
    <xf borderId="5" fillId="5" fontId="13" numFmtId="165" xfId="0" applyAlignment="1" applyBorder="1" applyFont="1" applyNumberFormat="1">
      <alignment shrinkToFit="0" vertical="center" wrapText="1"/>
    </xf>
    <xf borderId="5" fillId="5" fontId="13" numFmtId="3" xfId="0" applyAlignment="1" applyBorder="1" applyFont="1" applyNumberFormat="1">
      <alignment horizontal="center" readingOrder="0" vertical="center"/>
    </xf>
    <xf borderId="12" fillId="0" fontId="15" numFmtId="0" xfId="0" applyAlignment="1" applyBorder="1" applyFont="1">
      <alignment vertical="center"/>
    </xf>
    <xf quotePrefix="1" borderId="12" fillId="0" fontId="15" numFmtId="0" xfId="0" applyAlignment="1" applyBorder="1" applyFont="1">
      <alignment horizontal="center" vertical="center"/>
    </xf>
    <xf borderId="12" fillId="9" fontId="48" numFmtId="3" xfId="0" applyAlignment="1" applyBorder="1" applyFont="1" applyNumberFormat="1">
      <alignment horizontal="center" readingOrder="0" vertical="center"/>
    </xf>
    <xf borderId="15" fillId="0" fontId="15" numFmtId="0" xfId="0" applyAlignment="1" applyBorder="1" applyFont="1">
      <alignment vertical="center"/>
    </xf>
    <xf quotePrefix="1" borderId="15" fillId="0" fontId="15" numFmtId="0" xfId="0" applyAlignment="1" applyBorder="1" applyFont="1">
      <alignment horizontal="center" vertical="center"/>
    </xf>
    <xf borderId="12" fillId="0" fontId="13" numFmtId="0" xfId="0" applyAlignment="1" applyBorder="1" applyFont="1">
      <alignment vertical="center"/>
    </xf>
    <xf borderId="12" fillId="5" fontId="13" numFmtId="3" xfId="0" applyAlignment="1" applyBorder="1" applyFont="1" applyNumberFormat="1">
      <alignment vertical="center"/>
    </xf>
    <xf quotePrefix="1" borderId="12" fillId="8" fontId="15" numFmtId="0" xfId="0" applyAlignment="1" applyBorder="1" applyFont="1">
      <alignment horizontal="center" vertical="center"/>
    </xf>
    <xf borderId="8" fillId="0" fontId="15" numFmtId="0" xfId="0" applyAlignment="1" applyBorder="1" applyFont="1">
      <alignment vertical="center"/>
    </xf>
    <xf borderId="5" fillId="9" fontId="13" numFmtId="3" xfId="0" applyAlignment="1" applyBorder="1" applyFont="1" applyNumberFormat="1">
      <alignment vertical="center"/>
    </xf>
    <xf borderId="5" fillId="12" fontId="13" numFmtId="164" xfId="0" applyAlignment="1" applyBorder="1" applyFont="1" applyNumberFormat="1">
      <alignment vertical="center"/>
    </xf>
    <xf borderId="12" fillId="9" fontId="13" numFmtId="3" xfId="0" applyAlignment="1" applyBorder="1" applyFont="1" applyNumberFormat="1">
      <alignment vertical="center"/>
    </xf>
    <xf borderId="5" fillId="5" fontId="13" numFmtId="3" xfId="0" applyAlignment="1" applyBorder="1" applyFont="1" applyNumberFormat="1">
      <alignment vertical="center"/>
    </xf>
    <xf borderId="12" fillId="8" fontId="13" numFmtId="0" xfId="0" applyAlignment="1" applyBorder="1" applyFont="1">
      <alignment vertical="center"/>
    </xf>
    <xf quotePrefix="1" borderId="12" fillId="8" fontId="9" numFmtId="0" xfId="0" applyAlignment="1" applyBorder="1" applyFont="1">
      <alignment horizontal="center" readingOrder="0"/>
    </xf>
    <xf borderId="12" fillId="15" fontId="13" numFmtId="3" xfId="0" applyAlignment="1" applyBorder="1" applyFont="1" applyNumberFormat="1">
      <alignment horizontal="center" vertical="center"/>
    </xf>
    <xf borderId="12" fillId="0" fontId="15" numFmtId="0" xfId="0" applyAlignment="1" applyBorder="1" applyFont="1">
      <alignment vertical="center"/>
    </xf>
    <xf borderId="5" fillId="10" fontId="13" numFmtId="164" xfId="0" applyAlignment="1" applyBorder="1" applyFont="1" applyNumberFormat="1">
      <alignment readingOrder="0" vertical="center"/>
    </xf>
    <xf borderId="22" fillId="14" fontId="13" numFmtId="164" xfId="0" applyAlignment="1" applyBorder="1" applyFont="1" applyNumberFormat="1">
      <alignment horizontal="center" readingOrder="0" vertical="center"/>
    </xf>
    <xf borderId="13" fillId="14" fontId="13" numFmtId="164" xfId="0" applyAlignment="1" applyBorder="1" applyFont="1" applyNumberFormat="1">
      <alignment horizontal="center" vertical="center"/>
    </xf>
    <xf borderId="12" fillId="0" fontId="15" numFmtId="0" xfId="0" applyAlignment="1" applyBorder="1" applyFont="1">
      <alignment horizontal="left" vertical="center"/>
    </xf>
    <xf borderId="15" fillId="0" fontId="15" numFmtId="0" xfId="0" applyAlignment="1" applyBorder="1" applyFont="1">
      <alignment horizontal="left" vertical="center"/>
    </xf>
    <xf borderId="12" fillId="2" fontId="13" numFmtId="168" xfId="0" applyAlignment="1" applyBorder="1" applyFont="1" applyNumberFormat="1">
      <alignment horizontal="center" readingOrder="0" vertical="center"/>
    </xf>
    <xf borderId="15" fillId="2" fontId="15" numFmtId="0" xfId="0" applyAlignment="1" applyBorder="1" applyFont="1">
      <alignment horizontal="left" vertical="center"/>
    </xf>
    <xf borderId="22" fillId="2" fontId="13" numFmtId="164" xfId="0" applyAlignment="1" applyBorder="1" applyFont="1" applyNumberFormat="1">
      <alignment horizontal="center" readingOrder="0" vertical="center"/>
    </xf>
    <xf borderId="12" fillId="2" fontId="13" numFmtId="3" xfId="0" applyAlignment="1" applyBorder="1" applyFont="1" applyNumberFormat="1">
      <alignment vertical="center"/>
    </xf>
    <xf quotePrefix="1" borderId="12" fillId="0" fontId="9" numFmtId="0" xfId="0" applyAlignment="1" applyBorder="1" applyFont="1">
      <alignment horizontal="center" vertical="bottom"/>
    </xf>
    <xf borderId="8" fillId="0" fontId="9" numFmtId="0" xfId="0" applyAlignment="1" applyBorder="1" applyFont="1">
      <alignment readingOrder="0" vertical="bottom"/>
    </xf>
    <xf borderId="22" fillId="7" fontId="13" numFmtId="164" xfId="0" applyAlignment="1" applyBorder="1" applyFont="1" applyNumberFormat="1">
      <alignment horizontal="center" vertical="center"/>
    </xf>
    <xf borderId="17" fillId="0" fontId="13" numFmtId="0" xfId="0" applyAlignment="1" applyBorder="1" applyFont="1">
      <alignment vertical="center"/>
    </xf>
    <xf borderId="15" fillId="0" fontId="13" numFmtId="0" xfId="0" applyAlignment="1" applyBorder="1" applyFont="1">
      <alignment vertical="center"/>
    </xf>
    <xf borderId="14" fillId="0" fontId="13" numFmtId="0" xfId="0" applyAlignment="1" applyBorder="1" applyFont="1">
      <alignment readingOrder="0" shrinkToFit="0" vertical="center" wrapText="1"/>
    </xf>
    <xf borderId="12" fillId="0" fontId="13" numFmtId="0" xfId="0" applyAlignment="1" applyBorder="1" applyFont="1">
      <alignment horizontal="left" vertical="center"/>
    </xf>
    <xf borderId="12" fillId="7" fontId="13" numFmtId="164" xfId="0" applyBorder="1" applyFont="1" applyNumberFormat="1"/>
    <xf borderId="15" fillId="0" fontId="13" numFmtId="0" xfId="0" applyAlignment="1" applyBorder="1" applyFont="1">
      <alignment vertical="center"/>
    </xf>
    <xf borderId="12" fillId="0" fontId="15" numFmtId="0" xfId="0" applyAlignment="1" applyBorder="1" applyFont="1">
      <alignment horizontal="left" vertical="bottom"/>
    </xf>
    <xf borderId="15" fillId="0" fontId="15" numFmtId="0" xfId="0" applyAlignment="1" applyBorder="1" applyFont="1">
      <alignment horizontal="left" vertical="bottom"/>
    </xf>
    <xf borderId="12" fillId="14" fontId="13" numFmtId="164" xfId="0" applyBorder="1" applyFont="1" applyNumberFormat="1"/>
    <xf borderId="12" fillId="5" fontId="13" numFmtId="165" xfId="0" applyAlignment="1" applyBorder="1" applyFont="1" applyNumberFormat="1">
      <alignment horizontal="center" shrinkToFit="0" vertical="center" wrapText="1"/>
    </xf>
    <xf borderId="12" fillId="10" fontId="13" numFmtId="164" xfId="0" applyAlignment="1" applyBorder="1" applyFont="1" applyNumberFormat="1">
      <alignment vertical="center"/>
    </xf>
    <xf borderId="5" fillId="5" fontId="13" numFmtId="165" xfId="0" applyAlignment="1" applyBorder="1" applyFont="1" applyNumberFormat="1">
      <alignment horizontal="center" shrinkToFit="0" vertical="center" wrapText="1"/>
    </xf>
    <xf borderId="5" fillId="10" fontId="13" numFmtId="164" xfId="0" applyAlignment="1" applyBorder="1" applyFont="1" applyNumberFormat="1">
      <alignment vertical="center"/>
    </xf>
    <xf borderId="5" fillId="12" fontId="13" numFmtId="164" xfId="0" applyAlignment="1" applyBorder="1" applyFont="1" applyNumberFormat="1">
      <alignment horizontal="center" vertical="center"/>
    </xf>
    <xf quotePrefix="1" borderId="5" fillId="0" fontId="13" numFmtId="0" xfId="0" applyAlignment="1" applyBorder="1" applyFont="1">
      <alignment horizontal="center" vertical="center"/>
    </xf>
    <xf borderId="5" fillId="0" fontId="15" numFmtId="0" xfId="0" applyAlignment="1" applyBorder="1" applyFont="1">
      <alignment horizontal="left" vertical="center"/>
    </xf>
    <xf borderId="5" fillId="7" fontId="13" numFmtId="164" xfId="0" applyAlignment="1" applyBorder="1" applyFont="1" applyNumberFormat="1">
      <alignment vertical="center"/>
    </xf>
    <xf borderId="5" fillId="8" fontId="13" numFmtId="164" xfId="0" applyAlignment="1" applyBorder="1" applyFont="1" applyNumberFormat="1">
      <alignment horizontal="center" vertical="center"/>
    </xf>
    <xf borderId="14" fillId="0" fontId="15" numFmtId="0" xfId="0" applyAlignment="1" applyBorder="1" applyFont="1">
      <alignment horizontal="left" vertical="center"/>
    </xf>
    <xf borderId="32" fillId="8" fontId="13" numFmtId="164" xfId="0" applyAlignment="1" applyBorder="1" applyFont="1" applyNumberFormat="1">
      <alignment horizontal="center" vertical="center"/>
    </xf>
    <xf borderId="14" fillId="0" fontId="13" numFmtId="0" xfId="0" applyAlignment="1" applyBorder="1" applyFont="1">
      <alignment vertical="center"/>
    </xf>
    <xf borderId="23" fillId="7" fontId="13" numFmtId="164" xfId="0" applyAlignment="1" applyBorder="1" applyFont="1" applyNumberFormat="1">
      <alignment horizontal="center" vertical="center"/>
    </xf>
    <xf borderId="8" fillId="7" fontId="13" numFmtId="164" xfId="0" applyAlignment="1" applyBorder="1" applyFont="1" applyNumberFormat="1">
      <alignment horizontal="center" vertical="center"/>
    </xf>
    <xf borderId="5" fillId="9" fontId="13" numFmtId="0" xfId="0" applyAlignment="1" applyBorder="1" applyFont="1">
      <alignment vertical="center"/>
    </xf>
    <xf borderId="18" fillId="8" fontId="13" numFmtId="164" xfId="0" applyAlignment="1" applyBorder="1" applyFont="1" applyNumberFormat="1">
      <alignment horizontal="center" vertical="center"/>
    </xf>
    <xf borderId="12" fillId="13" fontId="38" numFmtId="0" xfId="0" applyAlignment="1" applyBorder="1" applyFont="1">
      <alignment horizontal="center" readingOrder="0" vertical="center"/>
    </xf>
    <xf borderId="5" fillId="0" fontId="15" numFmtId="0" xfId="0" applyAlignment="1" applyBorder="1" applyFont="1">
      <alignment readingOrder="0" vertical="center"/>
    </xf>
    <xf borderId="5" fillId="13" fontId="38" numFmtId="0" xfId="0" applyAlignment="1" applyBorder="1" applyFont="1">
      <alignment horizontal="center" readingOrder="0" vertical="center"/>
    </xf>
    <xf borderId="23" fillId="5" fontId="13" numFmtId="165" xfId="0" applyAlignment="1" applyBorder="1" applyFont="1" applyNumberFormat="1">
      <alignment shrinkToFit="0" vertical="center" wrapText="1"/>
    </xf>
    <xf borderId="5" fillId="7" fontId="13" numFmtId="164" xfId="0" applyAlignment="1" applyBorder="1" applyFont="1" applyNumberFormat="1">
      <alignment horizontal="center" vertical="center"/>
    </xf>
    <xf borderId="5" fillId="0" fontId="13" numFmtId="164" xfId="0" applyAlignment="1" applyBorder="1" applyFont="1" applyNumberFormat="1">
      <alignment horizontal="center" vertical="center"/>
    </xf>
    <xf quotePrefix="1" borderId="12" fillId="0" fontId="13" numFmtId="0" xfId="0" applyAlignment="1" applyBorder="1" applyFont="1">
      <alignment readingOrder="0" shrinkToFit="0" vertical="center" wrapText="1"/>
    </xf>
    <xf borderId="8" fillId="14" fontId="13" numFmtId="164" xfId="0" applyAlignment="1" applyBorder="1" applyFont="1" applyNumberFormat="1">
      <alignment horizontal="center" vertical="center"/>
    </xf>
    <xf borderId="12" fillId="14" fontId="13" numFmtId="164" xfId="0" applyAlignment="1" applyBorder="1" applyFont="1" applyNumberFormat="1">
      <alignment horizontal="center" vertical="center"/>
    </xf>
    <xf borderId="12" fillId="0" fontId="17" numFmtId="164" xfId="0" applyAlignment="1" applyBorder="1" applyFont="1" applyNumberFormat="1">
      <alignment horizontal="center" vertical="center"/>
    </xf>
    <xf borderId="12" fillId="0" fontId="18" numFmtId="0" xfId="0" applyAlignment="1" applyBorder="1" applyFont="1">
      <alignment horizontal="center" vertical="center"/>
    </xf>
    <xf borderId="26" fillId="8" fontId="9" numFmtId="164" xfId="0" applyAlignment="1" applyBorder="1" applyFont="1" applyNumberFormat="1">
      <alignment horizontal="center" vertical="center"/>
    </xf>
    <xf borderId="45" fillId="8" fontId="9" numFmtId="164" xfId="0" applyAlignment="1" applyBorder="1" applyFont="1" applyNumberFormat="1">
      <alignment horizontal="center" vertical="center"/>
    </xf>
    <xf borderId="45" fillId="0" fontId="2" numFmtId="0" xfId="0" applyBorder="1" applyFont="1"/>
    <xf borderId="0" fillId="0" fontId="13" numFmtId="164" xfId="0" applyAlignment="1" applyFont="1" applyNumberFormat="1">
      <alignment horizontal="center" shrinkToFit="0" vertical="center" wrapText="1"/>
    </xf>
    <xf borderId="39" fillId="0" fontId="2" numFmtId="0" xfId="0" applyBorder="1" applyFont="1"/>
    <xf borderId="29" fillId="8" fontId="21" numFmtId="164" xfId="0" applyAlignment="1" applyBorder="1" applyFont="1" applyNumberFormat="1">
      <alignment horizontal="center" vertical="center"/>
    </xf>
    <xf borderId="29" fillId="8" fontId="25" numFmtId="164" xfId="0" applyAlignment="1" applyBorder="1" applyFont="1" applyNumberFormat="1">
      <alignment horizontal="center" vertical="center"/>
    </xf>
    <xf borderId="12" fillId="10" fontId="12" numFmtId="165" xfId="0" applyAlignment="1" applyBorder="1" applyFont="1" applyNumberFormat="1">
      <alignment horizontal="center" readingOrder="0" shrinkToFit="0" vertical="center" wrapText="1"/>
    </xf>
    <xf borderId="12" fillId="8" fontId="7" numFmtId="165" xfId="0" applyAlignment="1" applyBorder="1" applyFont="1" applyNumberFormat="1">
      <alignment horizontal="center" shrinkToFit="0" vertical="center" wrapText="1"/>
    </xf>
    <xf borderId="12" fillId="0" fontId="21" numFmtId="168" xfId="0" applyAlignment="1" applyBorder="1" applyFont="1" applyNumberFormat="1">
      <alignment horizontal="center" readingOrder="0" vertical="center"/>
    </xf>
    <xf borderId="12" fillId="10" fontId="28" numFmtId="3" xfId="0" applyAlignment="1" applyBorder="1" applyFont="1" applyNumberFormat="1">
      <alignment horizontal="center" vertical="center"/>
    </xf>
    <xf borderId="12" fillId="10" fontId="7" numFmtId="164" xfId="0" applyAlignment="1" applyBorder="1" applyFont="1" applyNumberFormat="1">
      <alignment horizontal="center" vertical="center"/>
    </xf>
    <xf borderId="12" fillId="18" fontId="28" numFmtId="164" xfId="0" applyAlignment="1" applyBorder="1" applyFont="1" applyNumberFormat="1">
      <alignment horizontal="center" vertical="center"/>
    </xf>
    <xf borderId="8" fillId="0" fontId="30" numFmtId="0" xfId="0" applyAlignment="1" applyBorder="1" applyFont="1">
      <alignment horizontal="center" readingOrder="0" vertical="center"/>
    </xf>
    <xf borderId="12" fillId="10" fontId="28" numFmtId="164" xfId="0" applyAlignment="1" applyBorder="1" applyFont="1" applyNumberFormat="1">
      <alignment horizontal="center" vertical="center"/>
    </xf>
    <xf borderId="12" fillId="20" fontId="7" numFmtId="165" xfId="0" applyAlignment="1" applyBorder="1" applyFont="1" applyNumberFormat="1">
      <alignment horizontal="center" shrinkToFit="0" vertical="center" wrapText="1"/>
    </xf>
    <xf borderId="12" fillId="8" fontId="13" numFmtId="168" xfId="0" applyAlignment="1" applyBorder="1" applyFont="1" applyNumberFormat="1">
      <alignment horizontal="center" shrinkToFit="0" vertical="center" wrapText="1"/>
    </xf>
    <xf quotePrefix="1" borderId="12" fillId="8" fontId="13" numFmtId="0" xfId="0" applyAlignment="1" applyBorder="1" applyFont="1">
      <alignment horizontal="center" shrinkToFit="0" vertical="center" wrapText="1"/>
    </xf>
    <xf borderId="13" fillId="8" fontId="14" numFmtId="3" xfId="0" applyAlignment="1" applyBorder="1" applyFont="1" applyNumberFormat="1">
      <alignment horizontal="center" shrinkToFit="0" vertical="center" wrapText="1"/>
    </xf>
    <xf borderId="6" fillId="8" fontId="13" numFmtId="164" xfId="0" applyAlignment="1" applyBorder="1" applyFont="1" applyNumberFormat="1">
      <alignment horizontal="center" readingOrder="0" shrinkToFit="0" vertical="center" wrapText="1"/>
    </xf>
    <xf borderId="6" fillId="8" fontId="14" numFmtId="3" xfId="0" applyAlignment="1" applyBorder="1" applyFont="1" applyNumberFormat="1">
      <alignment horizontal="center" shrinkToFit="0" vertical="center" wrapText="1"/>
    </xf>
    <xf borderId="0" fillId="19" fontId="12" numFmtId="1" xfId="0" applyAlignment="1" applyFont="1" applyNumberFormat="1">
      <alignment horizontal="center" readingOrder="0" vertical="center"/>
    </xf>
    <xf borderId="5" fillId="4" fontId="18" numFmtId="0" xfId="0" applyAlignment="1" applyBorder="1" applyFont="1">
      <alignment horizontal="center" readingOrder="0" shrinkToFit="0" vertical="center" wrapText="1"/>
    </xf>
    <xf borderId="11" fillId="30" fontId="12" numFmtId="164" xfId="0" applyAlignment="1" applyBorder="1" applyFill="1" applyFont="1" applyNumberFormat="1">
      <alignment horizontal="center" readingOrder="0" vertical="center"/>
    </xf>
    <xf borderId="12" fillId="0" fontId="9" numFmtId="0" xfId="0" applyAlignment="1" applyBorder="1" applyFont="1">
      <alignment readingOrder="0" shrinkToFit="0" vertical="center" wrapText="1"/>
    </xf>
    <xf borderId="12" fillId="8" fontId="9" numFmtId="165" xfId="0" applyAlignment="1" applyBorder="1" applyFont="1" applyNumberFormat="1">
      <alignment readingOrder="0" shrinkToFit="0" vertical="center" wrapText="1"/>
    </xf>
    <xf borderId="12" fillId="30" fontId="9" numFmtId="3" xfId="0" applyAlignment="1" applyBorder="1" applyFont="1" applyNumberFormat="1">
      <alignment horizontal="center" readingOrder="0" vertical="center"/>
    </xf>
    <xf borderId="5" fillId="0" fontId="9" numFmtId="0" xfId="0" applyAlignment="1" applyBorder="1" applyFont="1">
      <alignment horizontal="center" readingOrder="0" vertical="center"/>
    </xf>
    <xf borderId="5" fillId="0" fontId="9" numFmtId="0" xfId="0" applyAlignment="1" applyBorder="1" applyFont="1">
      <alignment readingOrder="0" vertical="center"/>
    </xf>
    <xf borderId="12" fillId="30" fontId="9" numFmtId="3" xfId="0" applyAlignment="1" applyBorder="1" applyFont="1" applyNumberFormat="1">
      <alignment vertical="center"/>
    </xf>
    <xf borderId="5" fillId="30" fontId="9" numFmtId="3" xfId="0" applyAlignment="1" applyBorder="1" applyFont="1" applyNumberFormat="1">
      <alignment vertical="center"/>
    </xf>
    <xf borderId="12" fillId="8" fontId="13" numFmtId="0" xfId="0" applyAlignment="1" applyBorder="1" applyFont="1">
      <alignment horizontal="center" readingOrder="0" shrinkToFit="0" vertical="center" wrapText="1"/>
    </xf>
    <xf borderId="12" fillId="8" fontId="13" numFmtId="0" xfId="0" applyAlignment="1" applyBorder="1" applyFont="1">
      <alignment horizontal="left" readingOrder="0" shrinkToFit="0" vertical="center" wrapText="1"/>
    </xf>
    <xf borderId="5" fillId="8" fontId="13" numFmtId="0" xfId="0" applyAlignment="1" applyBorder="1" applyFont="1">
      <alignment horizontal="center" readingOrder="0" shrinkToFit="0" vertical="center" wrapText="1"/>
    </xf>
    <xf borderId="5" fillId="8" fontId="13" numFmtId="0" xfId="0" applyAlignment="1" applyBorder="1" applyFont="1">
      <alignment readingOrder="0" shrinkToFit="0" vertical="center" wrapText="1"/>
    </xf>
    <xf borderId="5" fillId="30" fontId="9" numFmtId="3" xfId="0" applyAlignment="1" applyBorder="1" applyFont="1" applyNumberFormat="1">
      <alignment horizontal="center" vertical="center"/>
    </xf>
    <xf borderId="5" fillId="30" fontId="9" numFmtId="3" xfId="0" applyAlignment="1" applyBorder="1" applyFont="1" applyNumberFormat="1">
      <alignment horizontal="center" readingOrder="0" vertical="center"/>
    </xf>
    <xf borderId="5" fillId="0" fontId="9" numFmtId="0" xfId="0" applyAlignment="1" applyBorder="1" applyFont="1">
      <alignment readingOrder="0" shrinkToFit="0" vertical="center" wrapText="1"/>
    </xf>
    <xf borderId="5" fillId="0" fontId="13" numFmtId="0" xfId="0" applyAlignment="1" applyBorder="1" applyFont="1">
      <alignment horizontal="center" readingOrder="0" shrinkToFit="0" vertical="center" wrapText="1"/>
    </xf>
    <xf borderId="5" fillId="0" fontId="13" numFmtId="0" xfId="0" applyAlignment="1" applyBorder="1" applyFont="1">
      <alignment horizontal="left" readingOrder="0" shrinkToFit="0" vertical="center" wrapText="1"/>
    </xf>
    <xf borderId="5" fillId="30" fontId="9" numFmtId="3" xfId="0" applyAlignment="1" applyBorder="1" applyFont="1" applyNumberFormat="1">
      <alignment readingOrder="0" vertical="center"/>
    </xf>
    <xf borderId="5" fillId="5" fontId="9" numFmtId="3" xfId="0" applyAlignment="1" applyBorder="1" applyFont="1" applyNumberFormat="1">
      <alignment readingOrder="0" vertical="center"/>
    </xf>
    <xf borderId="5" fillId="0" fontId="9" numFmtId="0" xfId="0" applyAlignment="1" applyBorder="1" applyFont="1">
      <alignment horizontal="left" readingOrder="0" vertical="center"/>
    </xf>
    <xf borderId="5" fillId="0" fontId="13" numFmtId="0" xfId="0" applyAlignment="1" applyBorder="1" applyFont="1">
      <alignment readingOrder="0" shrinkToFit="0" vertical="center" wrapText="1"/>
    </xf>
    <xf borderId="12" fillId="0" fontId="9" numFmtId="0" xfId="0" applyAlignment="1" applyBorder="1" applyFont="1">
      <alignment horizontal="center" readingOrder="0" vertical="center"/>
    </xf>
    <xf borderId="12" fillId="0" fontId="9" numFmtId="0" xfId="0" applyAlignment="1" applyBorder="1" applyFont="1">
      <alignment readingOrder="0" vertical="center"/>
    </xf>
    <xf quotePrefix="1" borderId="12" fillId="0" fontId="9" numFmtId="0" xfId="0" applyAlignment="1" applyBorder="1" applyFont="1">
      <alignment horizontal="center" readingOrder="0" shrinkToFit="0" vertical="center" wrapText="1"/>
    </xf>
    <xf borderId="12" fillId="30" fontId="9" numFmtId="3" xfId="0" applyAlignment="1" applyBorder="1" applyFont="1" applyNumberFormat="1">
      <alignment horizontal="center" vertical="center"/>
    </xf>
    <xf borderId="16" fillId="13" fontId="9" numFmtId="0" xfId="0" applyAlignment="1" applyBorder="1" applyFont="1">
      <alignment horizontal="left" readingOrder="0" shrinkToFit="0" vertical="center" wrapText="1"/>
    </xf>
    <xf borderId="5" fillId="10" fontId="9" numFmtId="0" xfId="0" applyAlignment="1" applyBorder="1" applyFont="1">
      <alignment horizontal="center" readingOrder="0" vertical="center"/>
    </xf>
    <xf borderId="12" fillId="0" fontId="15" numFmtId="0" xfId="0" applyAlignment="1" applyBorder="1" applyFont="1">
      <alignment horizontal="left" readingOrder="0" vertical="center"/>
    </xf>
    <xf quotePrefix="1" borderId="12" fillId="0" fontId="15" numFmtId="0" xfId="0" applyAlignment="1" applyBorder="1" applyFont="1">
      <alignment horizontal="center" vertical="bottom"/>
    </xf>
    <xf borderId="8" fillId="0" fontId="15" numFmtId="0" xfId="0" applyAlignment="1" applyBorder="1" applyFont="1">
      <alignment shrinkToFit="0" vertical="bottom" wrapText="1"/>
    </xf>
    <xf borderId="16" fillId="13" fontId="48" numFmtId="0" xfId="0" applyAlignment="1" applyBorder="1" applyFont="1">
      <alignment horizontal="left" readingOrder="0" shrinkToFit="0" vertical="center" wrapText="1"/>
    </xf>
    <xf borderId="5" fillId="0" fontId="41" numFmtId="0" xfId="0" applyAlignment="1" applyBorder="1" applyFont="1">
      <alignment vertical="center"/>
    </xf>
    <xf borderId="41" fillId="7" fontId="9" numFmtId="164" xfId="0" applyAlignment="1" applyBorder="1" applyFont="1" applyNumberFormat="1">
      <alignment horizontal="center" readingOrder="0" vertical="center"/>
    </xf>
    <xf borderId="12" fillId="13" fontId="13" numFmtId="0" xfId="0" applyAlignment="1" applyBorder="1" applyFont="1">
      <alignment horizontal="left" readingOrder="0" shrinkToFit="0" vertical="center" wrapText="1"/>
    </xf>
    <xf borderId="5" fillId="13" fontId="13" numFmtId="0" xfId="0" applyAlignment="1" applyBorder="1" applyFont="1">
      <alignment horizontal="left" readingOrder="0" shrinkToFit="0" vertical="center" wrapText="1"/>
    </xf>
    <xf borderId="12" fillId="0" fontId="10" numFmtId="0" xfId="0" applyAlignment="1" applyBorder="1" applyFont="1">
      <alignment vertical="center"/>
    </xf>
    <xf borderId="6" fillId="0" fontId="17" numFmtId="164" xfId="0" applyAlignment="1" applyBorder="1" applyFont="1" applyNumberFormat="1">
      <alignment horizontal="center" vertical="center"/>
    </xf>
    <xf borderId="17" fillId="0" fontId="17" numFmtId="164" xfId="0" applyAlignment="1" applyBorder="1" applyFont="1" applyNumberFormat="1">
      <alignment horizontal="center" shrinkToFit="0" vertical="center" wrapText="1"/>
    </xf>
    <xf borderId="15" fillId="0" fontId="9" numFmtId="165" xfId="0" applyAlignment="1" applyBorder="1" applyFont="1" applyNumberFormat="1">
      <alignment horizontal="center" shrinkToFit="0" vertical="center" wrapText="1"/>
    </xf>
    <xf borderId="0" fillId="17" fontId="7" numFmtId="0" xfId="0" applyAlignment="1" applyFont="1">
      <alignment horizontal="center" vertical="center"/>
    </xf>
    <xf borderId="46" fillId="17" fontId="7" numFmtId="0" xfId="0" applyAlignment="1" applyBorder="1" applyFont="1">
      <alignment horizontal="center" vertical="center"/>
    </xf>
    <xf borderId="5" fillId="0" fontId="7" numFmtId="168" xfId="0" applyAlignment="1" applyBorder="1" applyFont="1" applyNumberFormat="1">
      <alignment horizontal="center" vertical="center"/>
    </xf>
    <xf borderId="11" fillId="10" fontId="7" numFmtId="0" xfId="0" applyAlignment="1" applyBorder="1" applyFont="1">
      <alignment horizontal="center" readingOrder="0" shrinkToFit="0" vertical="center" wrapText="1"/>
    </xf>
    <xf borderId="11" fillId="18" fontId="7" numFmtId="0" xfId="0" applyAlignment="1" applyBorder="1" applyFont="1">
      <alignment horizontal="center" readingOrder="0" shrinkToFit="0" vertical="center" wrapText="1"/>
    </xf>
    <xf borderId="0" fillId="0" fontId="9" numFmtId="168" xfId="0" applyAlignment="1" applyFont="1" applyNumberFormat="1">
      <alignment horizontal="center" readingOrder="0" vertical="center"/>
    </xf>
    <xf borderId="22" fillId="18" fontId="7" numFmtId="165" xfId="0" applyAlignment="1" applyBorder="1" applyFont="1" applyNumberFormat="1">
      <alignment horizontal="center" vertical="center"/>
    </xf>
    <xf borderId="22" fillId="18" fontId="7" numFmtId="165" xfId="0" applyAlignment="1" applyBorder="1" applyFont="1" applyNumberFormat="1">
      <alignment horizontal="right" vertical="center"/>
    </xf>
    <xf borderId="22" fillId="19" fontId="7" numFmtId="165" xfId="0" applyAlignment="1" applyBorder="1" applyFont="1" applyNumberFormat="1">
      <alignment horizontal="right" vertical="center"/>
    </xf>
    <xf borderId="0" fillId="20" fontId="7" numFmtId="168" xfId="0" applyAlignment="1" applyFont="1" applyNumberFormat="1">
      <alignment horizontal="center" vertical="center"/>
    </xf>
    <xf borderId="12" fillId="20" fontId="7" numFmtId="168" xfId="0" applyAlignment="1" applyBorder="1" applyFont="1" applyNumberFormat="1">
      <alignment horizontal="center" vertical="center"/>
    </xf>
    <xf borderId="12" fillId="20" fontId="7" numFmtId="0" xfId="0" applyAlignment="1" applyBorder="1" applyFont="1">
      <alignment horizontal="center" shrinkToFit="0" vertical="center" wrapText="1"/>
    </xf>
    <xf borderId="12" fillId="8" fontId="14" numFmtId="168" xfId="0" applyAlignment="1" applyBorder="1" applyFont="1" applyNumberFormat="1">
      <alignment horizontal="center" shrinkToFit="0" vertical="center" wrapText="1"/>
    </xf>
    <xf borderId="13" fillId="8" fontId="14" numFmtId="3" xfId="0" applyAlignment="1" applyBorder="1" applyFont="1" applyNumberFormat="1">
      <alignment horizontal="left" shrinkToFit="0" vertical="center" wrapText="1"/>
    </xf>
    <xf borderId="6" fillId="8" fontId="13" numFmtId="164" xfId="0" applyAlignment="1" applyBorder="1" applyFont="1" applyNumberFormat="1">
      <alignment horizontal="center" shrinkToFit="0" vertical="center" wrapText="1"/>
    </xf>
    <xf borderId="47" fillId="8" fontId="14" numFmtId="0" xfId="0" applyAlignment="1" applyBorder="1" applyFont="1">
      <alignment horizontal="center" shrinkToFit="0" vertical="center" wrapText="1"/>
    </xf>
    <xf borderId="47" fillId="8" fontId="14" numFmtId="168" xfId="0" applyAlignment="1" applyBorder="1" applyFont="1" applyNumberFormat="1">
      <alignment horizontal="center" shrinkToFit="0" vertical="center" wrapText="1"/>
    </xf>
    <xf borderId="47" fillId="8" fontId="13" numFmtId="1" xfId="0" applyAlignment="1" applyBorder="1" applyFont="1" applyNumberFormat="1">
      <alignment horizontal="center" shrinkToFit="0" vertical="center" wrapText="1"/>
    </xf>
    <xf borderId="47" fillId="8" fontId="13" numFmtId="0" xfId="0" applyAlignment="1" applyBorder="1" applyFont="1">
      <alignment horizontal="center" shrinkToFit="0" vertical="center" wrapText="1"/>
    </xf>
    <xf borderId="47" fillId="8" fontId="14" numFmtId="0" xfId="0" applyAlignment="1" applyBorder="1" applyFont="1">
      <alignment horizontal="left" shrinkToFit="0" vertical="center" wrapText="1"/>
    </xf>
    <xf borderId="11" fillId="8" fontId="14" numFmtId="3" xfId="0" applyAlignment="1" applyBorder="1" applyFont="1" applyNumberFormat="1">
      <alignment horizontal="left" shrinkToFit="0" vertical="center" wrapText="1"/>
    </xf>
    <xf borderId="12" fillId="24" fontId="13" numFmtId="164" xfId="0" applyAlignment="1" applyBorder="1" applyFont="1" applyNumberFormat="1">
      <alignment horizontal="left" vertical="center"/>
    </xf>
    <xf borderId="0" fillId="0" fontId="18" numFmtId="0" xfId="0" applyAlignment="1" applyFont="1">
      <alignment horizontal="center" vertical="center"/>
    </xf>
    <xf borderId="0" fillId="0" fontId="7" numFmtId="1" xfId="0" applyAlignment="1" applyFont="1" applyNumberFormat="1">
      <alignment horizontal="center" vertical="center"/>
    </xf>
    <xf borderId="0" fillId="0" fontId="7" numFmtId="0" xfId="0" applyAlignment="1" applyFont="1">
      <alignment horizontal="center" vertical="center"/>
    </xf>
    <xf borderId="0" fillId="2" fontId="3" numFmtId="164" xfId="0" applyAlignment="1" applyFont="1" applyNumberFormat="1">
      <alignment horizontal="left" shrinkToFit="0" vertical="center" wrapText="1"/>
    </xf>
    <xf borderId="5" fillId="4" fontId="7" numFmtId="164" xfId="0" applyAlignment="1" applyBorder="1" applyFont="1" applyNumberFormat="1">
      <alignment horizontal="center" readingOrder="0" shrinkToFit="0" vertical="center" wrapText="1"/>
    </xf>
    <xf borderId="5" fillId="0" fontId="9" numFmtId="166" xfId="0" applyAlignment="1" applyBorder="1" applyFont="1" applyNumberFormat="1">
      <alignment readingOrder="0" vertical="center"/>
    </xf>
    <xf borderId="5" fillId="0" fontId="9" numFmtId="1" xfId="0" applyAlignment="1" applyBorder="1" applyFont="1" applyNumberFormat="1">
      <alignment vertical="center"/>
    </xf>
    <xf borderId="5" fillId="0" fontId="13" numFmtId="3" xfId="0" applyAlignment="1" applyBorder="1" applyFont="1" applyNumberFormat="1">
      <alignment horizontal="right" readingOrder="0" shrinkToFit="0" vertical="center" wrapText="1"/>
    </xf>
    <xf borderId="12" fillId="7" fontId="13" numFmtId="164" xfId="0" applyAlignment="1" applyBorder="1" applyFont="1" applyNumberFormat="1">
      <alignment readingOrder="0"/>
    </xf>
    <xf borderId="5" fillId="0" fontId="13" numFmtId="3" xfId="0" applyAlignment="1" applyBorder="1" applyFont="1" applyNumberFormat="1">
      <alignment horizontal="right" shrinkToFit="0" vertical="center" wrapText="1"/>
    </xf>
    <xf borderId="5" fillId="0" fontId="9" numFmtId="164" xfId="0" applyAlignment="1" applyBorder="1" applyFont="1" applyNumberFormat="1">
      <alignment horizontal="center" shrinkToFit="0" vertical="center" wrapText="1"/>
    </xf>
    <xf quotePrefix="1" borderId="16" fillId="13" fontId="38" numFmtId="0" xfId="0" applyAlignment="1" applyBorder="1" applyFont="1">
      <alignment horizontal="center" readingOrder="0"/>
    </xf>
    <xf borderId="5" fillId="0" fontId="9" numFmtId="3" xfId="0" applyAlignment="1" applyBorder="1" applyFont="1" applyNumberFormat="1">
      <alignment horizontal="right" readingOrder="0" vertical="center"/>
    </xf>
    <xf borderId="5" fillId="0" fontId="9" numFmtId="0" xfId="0" applyAlignment="1" applyBorder="1" applyFont="1">
      <alignment horizontal="right" readingOrder="0" vertical="center"/>
    </xf>
    <xf borderId="5" fillId="2" fontId="13" numFmtId="168" xfId="0" applyAlignment="1" applyBorder="1" applyFont="1" applyNumberFormat="1">
      <alignment horizontal="center" readingOrder="0" shrinkToFit="0" vertical="center" wrapText="1"/>
    </xf>
    <xf borderId="5" fillId="2" fontId="13" numFmtId="0" xfId="0" applyAlignment="1" applyBorder="1" applyFont="1">
      <alignment readingOrder="0" shrinkToFit="0" vertical="center" wrapText="1"/>
    </xf>
    <xf quotePrefix="1" borderId="5" fillId="2" fontId="13" numFmtId="0" xfId="0" applyAlignment="1" applyBorder="1" applyFont="1">
      <alignment horizontal="center" readingOrder="0" shrinkToFit="0" vertical="center" wrapText="1"/>
    </xf>
    <xf borderId="5" fillId="2" fontId="9" numFmtId="165" xfId="0" applyAlignment="1" applyBorder="1" applyFont="1" applyNumberFormat="1">
      <alignment shrinkToFit="0" vertical="center" wrapText="1"/>
    </xf>
    <xf borderId="5" fillId="2" fontId="9" numFmtId="165" xfId="0" applyAlignment="1" applyBorder="1" applyFont="1" applyNumberFormat="1">
      <alignment readingOrder="0" shrinkToFit="0" vertical="center" wrapText="1"/>
    </xf>
    <xf borderId="5" fillId="2" fontId="9" numFmtId="3" xfId="0" applyAlignment="1" applyBorder="1" applyFont="1" applyNumberFormat="1">
      <alignment readingOrder="0" vertical="center"/>
    </xf>
    <xf borderId="5" fillId="2" fontId="13" numFmtId="165" xfId="0" applyAlignment="1" applyBorder="1" applyFont="1" applyNumberFormat="1">
      <alignment shrinkToFit="0" vertical="center" wrapText="1"/>
    </xf>
    <xf borderId="5" fillId="2" fontId="9" numFmtId="164" xfId="0" applyAlignment="1" applyBorder="1" applyFont="1" applyNumberFormat="1">
      <alignment vertical="center"/>
    </xf>
    <xf borderId="5" fillId="2" fontId="13" numFmtId="3" xfId="0" applyAlignment="1" applyBorder="1" applyFont="1" applyNumberFormat="1">
      <alignment horizontal="right" shrinkToFit="0" vertical="center" wrapText="1"/>
    </xf>
    <xf borderId="5" fillId="2" fontId="9" numFmtId="164" xfId="0" applyAlignment="1" applyBorder="1" applyFont="1" applyNumberFormat="1">
      <alignment horizontal="center" readingOrder="0" vertical="center"/>
    </xf>
    <xf borderId="5" fillId="2" fontId="13" numFmtId="0" xfId="0" applyAlignment="1" applyBorder="1" applyFont="1">
      <alignment shrinkToFit="0" vertical="center" wrapText="1"/>
    </xf>
    <xf borderId="5" fillId="2" fontId="13" numFmtId="0" xfId="0" applyAlignment="1" applyBorder="1" applyFont="1">
      <alignment horizontal="left" shrinkToFit="0" vertical="center" wrapText="1"/>
    </xf>
    <xf borderId="0" fillId="8" fontId="13" numFmtId="0" xfId="0" applyAlignment="1" applyFont="1">
      <alignment horizontal="center" readingOrder="0"/>
    </xf>
    <xf borderId="12" fillId="0" fontId="13" numFmtId="3" xfId="0" applyAlignment="1" applyBorder="1" applyFont="1" applyNumberFormat="1">
      <alignment horizontal="right" readingOrder="0" shrinkToFit="0" vertical="center" wrapText="1"/>
    </xf>
    <xf borderId="5" fillId="0" fontId="9" numFmtId="164" xfId="0" applyAlignment="1" applyBorder="1" applyFont="1" applyNumberFormat="1">
      <alignment horizontal="right" readingOrder="0" vertical="center"/>
    </xf>
    <xf borderId="22" fillId="7" fontId="9" numFmtId="164" xfId="0" applyAlignment="1" applyBorder="1" applyFont="1" applyNumberFormat="1">
      <alignment horizontal="left" readingOrder="0" vertical="center"/>
    </xf>
    <xf borderId="13" fillId="8" fontId="9" numFmtId="164" xfId="0" applyAlignment="1" applyBorder="1" applyFont="1" applyNumberFormat="1">
      <alignment horizontal="left" vertical="center"/>
    </xf>
    <xf borderId="12" fillId="5" fontId="9" numFmtId="165" xfId="0" applyAlignment="1" applyBorder="1" applyFont="1" applyNumberFormat="1">
      <alignment horizontal="left" shrinkToFit="0" vertical="center" wrapText="1"/>
    </xf>
    <xf borderId="12" fillId="0" fontId="9" numFmtId="3" xfId="0" applyAlignment="1" applyBorder="1" applyFont="1" applyNumberFormat="1">
      <alignment horizontal="left" readingOrder="0" vertical="center"/>
    </xf>
    <xf borderId="12" fillId="5" fontId="9" numFmtId="3" xfId="0" applyAlignment="1" applyBorder="1" applyFont="1" applyNumberFormat="1">
      <alignment horizontal="left" readingOrder="0" vertical="center"/>
    </xf>
    <xf borderId="12" fillId="8" fontId="13" numFmtId="165" xfId="0" applyAlignment="1" applyBorder="1" applyFont="1" applyNumberFormat="1">
      <alignment horizontal="left" shrinkToFit="0" vertical="center" wrapText="1"/>
    </xf>
    <xf borderId="12" fillId="0" fontId="9" numFmtId="0" xfId="0" applyAlignment="1" applyBorder="1" applyFont="1">
      <alignment horizontal="right" vertical="center"/>
    </xf>
    <xf borderId="12" fillId="12" fontId="9" numFmtId="164" xfId="0" applyAlignment="1" applyBorder="1" applyFont="1" applyNumberFormat="1">
      <alignment horizontal="left" vertical="center"/>
    </xf>
    <xf borderId="0" fillId="0" fontId="13" numFmtId="0" xfId="0" applyAlignment="1" applyFont="1">
      <alignment horizontal="left" vertical="center"/>
    </xf>
    <xf borderId="12" fillId="0" fontId="9" numFmtId="165" xfId="0" applyAlignment="1" applyBorder="1" applyFont="1" applyNumberFormat="1">
      <alignment horizontal="left" vertical="center"/>
    </xf>
    <xf borderId="12" fillId="0" fontId="9" numFmtId="169" xfId="0" applyAlignment="1" applyBorder="1" applyFont="1" applyNumberFormat="1">
      <alignment horizontal="center" readingOrder="0" vertical="center"/>
    </xf>
    <xf borderId="0" fillId="0" fontId="9" numFmtId="0" xfId="0" applyAlignment="1" applyFont="1">
      <alignment readingOrder="0" shrinkToFit="0" wrapText="1"/>
    </xf>
    <xf borderId="12" fillId="0" fontId="9" numFmtId="3" xfId="0" applyAlignment="1" applyBorder="1" applyFont="1" applyNumberFormat="1">
      <alignment horizontal="right" readingOrder="0" vertical="center"/>
    </xf>
    <xf borderId="5" fillId="0" fontId="9" numFmtId="169" xfId="0" applyAlignment="1" applyBorder="1" applyFont="1" applyNumberFormat="1">
      <alignment horizontal="center" readingOrder="0" vertical="center"/>
    </xf>
    <xf borderId="24" fillId="8" fontId="8" numFmtId="0" xfId="0" applyAlignment="1" applyBorder="1" applyFont="1">
      <alignment vertical="center"/>
    </xf>
    <xf borderId="12" fillId="31" fontId="13" numFmtId="0" xfId="0" applyAlignment="1" applyBorder="1" applyFill="1" applyFont="1">
      <alignment horizontal="left" readingOrder="0" shrinkToFit="0" vertical="center" wrapText="1"/>
    </xf>
    <xf borderId="12" fillId="31" fontId="13" numFmtId="0" xfId="0" applyAlignment="1" applyBorder="1" applyFont="1">
      <alignment horizontal="center" readingOrder="0" shrinkToFit="0" vertical="center" wrapText="1"/>
    </xf>
    <xf borderId="22" fillId="31" fontId="9" numFmtId="164" xfId="0" applyAlignment="1" applyBorder="1" applyFont="1" applyNumberFormat="1">
      <alignment horizontal="center" readingOrder="0" vertical="center"/>
    </xf>
    <xf borderId="6" fillId="31" fontId="9" numFmtId="164" xfId="0" applyAlignment="1" applyBorder="1" applyFont="1" applyNumberFormat="1">
      <alignment horizontal="center" vertical="center"/>
    </xf>
    <xf borderId="12" fillId="0" fontId="13" numFmtId="0" xfId="0" applyAlignment="1" applyBorder="1" applyFont="1">
      <alignment horizontal="center" readingOrder="0" shrinkToFit="0" vertical="center" wrapText="1"/>
    </xf>
    <xf borderId="12" fillId="0" fontId="13" numFmtId="0" xfId="0" applyAlignment="1" applyBorder="1" applyFont="1">
      <alignment readingOrder="0" shrinkToFit="0" vertical="center" wrapText="1"/>
    </xf>
    <xf borderId="5" fillId="0" fontId="9" numFmtId="3" xfId="0" applyAlignment="1" applyBorder="1" applyFont="1" applyNumberFormat="1">
      <alignment readingOrder="0" vertical="center"/>
    </xf>
    <xf borderId="5" fillId="0" fontId="9" numFmtId="0" xfId="0" applyAlignment="1" applyBorder="1" applyFont="1">
      <alignment horizontal="right" vertical="center"/>
    </xf>
    <xf borderId="16" fillId="0" fontId="9" numFmtId="0" xfId="0" applyAlignment="1" applyBorder="1" applyFont="1">
      <alignment horizontal="center" readingOrder="0" vertical="center"/>
    </xf>
    <xf borderId="5" fillId="0" fontId="30" numFmtId="0" xfId="0" applyAlignment="1" applyBorder="1" applyFont="1">
      <alignment horizontal="right" readingOrder="0" vertical="center"/>
    </xf>
    <xf borderId="16" fillId="0" fontId="13" numFmtId="1" xfId="0" applyAlignment="1" applyBorder="1" applyFont="1" applyNumberFormat="1">
      <alignment horizontal="center" readingOrder="0" vertical="center"/>
    </xf>
    <xf borderId="5" fillId="0" fontId="13" numFmtId="164" xfId="0" applyAlignment="1" applyBorder="1" applyFont="1" applyNumberFormat="1">
      <alignment horizontal="left" readingOrder="0" vertical="center"/>
    </xf>
    <xf borderId="5" fillId="0" fontId="13" numFmtId="164" xfId="0" applyAlignment="1" applyBorder="1" applyFont="1" applyNumberFormat="1">
      <alignment shrinkToFit="0" vertical="center" wrapText="1"/>
    </xf>
    <xf borderId="12" fillId="0" fontId="13" numFmtId="164" xfId="0" applyAlignment="1" applyBorder="1" applyFont="1" applyNumberFormat="1">
      <alignment horizontal="left" readingOrder="0" vertical="center"/>
    </xf>
    <xf borderId="8" fillId="7" fontId="13" numFmtId="164" xfId="0" applyAlignment="1" applyBorder="1" applyFont="1" applyNumberFormat="1">
      <alignment horizontal="center" readingOrder="0" vertical="center"/>
    </xf>
    <xf borderId="14" fillId="5" fontId="13" numFmtId="165" xfId="0" applyAlignment="1" applyBorder="1" applyFont="1" applyNumberFormat="1">
      <alignment horizontal="center" shrinkToFit="0" vertical="center" wrapText="1"/>
    </xf>
    <xf borderId="14" fillId="0" fontId="13" numFmtId="164" xfId="0" applyAlignment="1" applyBorder="1" applyFont="1" applyNumberFormat="1">
      <alignment horizontal="center" readingOrder="0" shrinkToFit="0" vertical="center" wrapText="1"/>
    </xf>
    <xf borderId="14" fillId="5" fontId="13" numFmtId="164" xfId="0" applyAlignment="1" applyBorder="1" applyFont="1" applyNumberFormat="1">
      <alignment horizontal="center" shrinkToFit="0" vertical="center" wrapText="1"/>
    </xf>
    <xf borderId="14" fillId="12" fontId="13" numFmtId="164" xfId="0" applyAlignment="1" applyBorder="1" applyFont="1" applyNumberFormat="1">
      <alignment horizontal="center" readingOrder="0" shrinkToFit="0" vertical="center" wrapText="1"/>
    </xf>
    <xf borderId="14" fillId="0" fontId="13" numFmtId="164" xfId="0" applyAlignment="1" applyBorder="1" applyFont="1" applyNumberFormat="1">
      <alignment horizontal="center" shrinkToFit="0" vertical="center" wrapText="1"/>
    </xf>
    <xf borderId="5" fillId="0" fontId="48" numFmtId="164" xfId="0" applyAlignment="1" applyBorder="1" applyFont="1" applyNumberFormat="1">
      <alignment horizontal="left" readingOrder="0" shrinkToFit="0" vertical="center" wrapText="1"/>
    </xf>
    <xf borderId="16" fillId="0" fontId="13" numFmtId="164" xfId="0" applyAlignment="1" applyBorder="1" applyFont="1" applyNumberFormat="1">
      <alignment horizontal="left" readingOrder="0" vertical="center"/>
    </xf>
    <xf borderId="5" fillId="0" fontId="13" numFmtId="164" xfId="0" applyAlignment="1" applyBorder="1" applyFont="1" applyNumberFormat="1">
      <alignment horizontal="left" shrinkToFit="0" vertical="center" wrapText="1"/>
    </xf>
    <xf borderId="16" fillId="0" fontId="13" numFmtId="164" xfId="0" applyAlignment="1" applyBorder="1" applyFont="1" applyNumberFormat="1">
      <alignment horizontal="left" vertical="center"/>
    </xf>
    <xf borderId="16" fillId="0" fontId="13" numFmtId="164" xfId="0" applyAlignment="1" applyBorder="1" applyFont="1" applyNumberFormat="1">
      <alignment horizontal="left" readingOrder="0" shrinkToFit="0" vertical="center" wrapText="1"/>
    </xf>
    <xf borderId="13" fillId="8" fontId="13" numFmtId="164" xfId="0" applyAlignment="1" applyBorder="1" applyFont="1" applyNumberFormat="1">
      <alignment horizontal="left" vertical="center"/>
    </xf>
    <xf borderId="14" fillId="5" fontId="13" numFmtId="165" xfId="0" applyAlignment="1" applyBorder="1" applyFont="1" applyNumberFormat="1">
      <alignment horizontal="left" shrinkToFit="0" vertical="center" wrapText="1"/>
    </xf>
    <xf borderId="14" fillId="0" fontId="13" numFmtId="164" xfId="0" applyAlignment="1" applyBorder="1" applyFont="1" applyNumberFormat="1">
      <alignment horizontal="left" shrinkToFit="0" vertical="center" wrapText="1"/>
    </xf>
    <xf borderId="14" fillId="5" fontId="13" numFmtId="164" xfId="0" applyAlignment="1" applyBorder="1" applyFont="1" applyNumberFormat="1">
      <alignment horizontal="left" shrinkToFit="0" vertical="center" wrapText="1"/>
    </xf>
    <xf borderId="5" fillId="8" fontId="13" numFmtId="165" xfId="0" applyAlignment="1" applyBorder="1" applyFont="1" applyNumberFormat="1">
      <alignment horizontal="left" shrinkToFit="0" vertical="center" wrapText="1"/>
    </xf>
    <xf borderId="5" fillId="12" fontId="13" numFmtId="164" xfId="0" applyAlignment="1" applyBorder="1" applyFont="1" applyNumberFormat="1">
      <alignment horizontal="left" readingOrder="0" vertical="center"/>
    </xf>
    <xf borderId="14" fillId="0" fontId="13" numFmtId="164" xfId="0" applyAlignment="1" applyBorder="1" applyFont="1" applyNumberFormat="1">
      <alignment horizontal="left" readingOrder="0" shrinkToFit="0" vertical="center" wrapText="1"/>
    </xf>
    <xf borderId="0" fillId="0" fontId="13" numFmtId="165" xfId="0" applyAlignment="1" applyFont="1" applyNumberFormat="1">
      <alignment horizontal="left" vertical="center"/>
    </xf>
    <xf borderId="8" fillId="7" fontId="13" numFmtId="164" xfId="0" applyAlignment="1" applyBorder="1" applyFont="1" applyNumberFormat="1">
      <alignment horizontal="left" readingOrder="0" vertical="center"/>
    </xf>
    <xf borderId="16" fillId="0" fontId="13" numFmtId="1" xfId="0" applyAlignment="1" applyBorder="1" applyFont="1" applyNumberFormat="1">
      <alignment horizontal="center" readingOrder="0" vertical="center"/>
    </xf>
    <xf borderId="5" fillId="0" fontId="13" numFmtId="164" xfId="0" applyAlignment="1" applyBorder="1" applyFont="1" applyNumberFormat="1">
      <alignment horizontal="center" readingOrder="0" vertical="center"/>
    </xf>
    <xf borderId="5" fillId="0" fontId="13" numFmtId="164" xfId="0" applyAlignment="1" applyBorder="1" applyFont="1" applyNumberFormat="1">
      <alignment horizontal="left" readingOrder="0" shrinkToFit="0" vertical="center" wrapText="1"/>
    </xf>
    <xf borderId="16" fillId="8" fontId="13" numFmtId="1" xfId="0" applyAlignment="1" applyBorder="1" applyFont="1" applyNumberFormat="1">
      <alignment horizontal="center" readingOrder="0" vertical="center"/>
    </xf>
    <xf borderId="5" fillId="8" fontId="13" numFmtId="164" xfId="0" applyAlignment="1" applyBorder="1" applyFont="1" applyNumberFormat="1">
      <alignment horizontal="left" readingOrder="0" shrinkToFit="0" vertical="center" wrapText="1"/>
    </xf>
    <xf borderId="12" fillId="8" fontId="13" numFmtId="164" xfId="0" applyAlignment="1" applyBorder="1" applyFont="1" applyNumberFormat="1">
      <alignment horizontal="left" readingOrder="0" shrinkToFit="0" vertical="center" wrapText="1"/>
    </xf>
    <xf borderId="14" fillId="0" fontId="13" numFmtId="164" xfId="0" applyAlignment="1" applyBorder="1" applyFont="1" applyNumberFormat="1">
      <alignment horizontal="right" readingOrder="0" shrinkToFit="0" vertical="center" wrapText="1"/>
    </xf>
    <xf borderId="12" fillId="14" fontId="13" numFmtId="164" xfId="0" applyAlignment="1" applyBorder="1" applyFont="1" applyNumberFormat="1">
      <alignment horizontal="left" readingOrder="0" vertical="center"/>
    </xf>
    <xf borderId="8" fillId="14" fontId="13" numFmtId="164" xfId="0" applyAlignment="1" applyBorder="1" applyFont="1" applyNumberFormat="1">
      <alignment horizontal="center" readingOrder="0" vertical="center"/>
    </xf>
    <xf borderId="12" fillId="14" fontId="13" numFmtId="164" xfId="0" applyAlignment="1" applyBorder="1" applyFont="1" applyNumberFormat="1">
      <alignment horizontal="left" vertical="center"/>
    </xf>
    <xf borderId="17" fillId="0" fontId="13" numFmtId="1" xfId="0" applyAlignment="1" applyBorder="1" applyFont="1" applyNumberFormat="1">
      <alignment horizontal="center" readingOrder="0" vertical="center"/>
    </xf>
    <xf borderId="17" fillId="0" fontId="13" numFmtId="164" xfId="0" applyAlignment="1" applyBorder="1" applyFont="1" applyNumberFormat="1">
      <alignment horizontal="left" readingOrder="0" shrinkToFit="0" vertical="center" wrapText="1"/>
    </xf>
    <xf borderId="15" fillId="5" fontId="13" numFmtId="165" xfId="0" applyAlignment="1" applyBorder="1" applyFont="1" applyNumberFormat="1">
      <alignment horizontal="center" shrinkToFit="0" vertical="center" wrapText="1"/>
    </xf>
    <xf borderId="15" fillId="0" fontId="13" numFmtId="164" xfId="0" applyAlignment="1" applyBorder="1" applyFont="1" applyNumberFormat="1">
      <alignment horizontal="center" shrinkToFit="0" vertical="center" wrapText="1"/>
    </xf>
    <xf borderId="15" fillId="5" fontId="13" numFmtId="164" xfId="0" applyAlignment="1" applyBorder="1" applyFont="1" applyNumberFormat="1">
      <alignment horizontal="center" shrinkToFit="0" vertical="center" wrapText="1"/>
    </xf>
    <xf borderId="15" fillId="0" fontId="13" numFmtId="164" xfId="0" applyAlignment="1" applyBorder="1" applyFont="1" applyNumberFormat="1">
      <alignment horizontal="right" shrinkToFit="0" vertical="center" wrapText="1"/>
    </xf>
    <xf borderId="15" fillId="12" fontId="13" numFmtId="164" xfId="0" applyAlignment="1" applyBorder="1" applyFont="1" applyNumberFormat="1">
      <alignment horizontal="center" readingOrder="0" shrinkToFit="0" vertical="center" wrapText="1"/>
    </xf>
    <xf borderId="12" fillId="0" fontId="13" numFmtId="164" xfId="0" applyAlignment="1" applyBorder="1" applyFont="1" applyNumberFormat="1">
      <alignment horizontal="left" shrinkToFit="0" vertical="center" wrapText="1"/>
    </xf>
    <xf borderId="16" fillId="0" fontId="15" numFmtId="164" xfId="0" applyAlignment="1" applyBorder="1" applyFont="1" applyNumberFormat="1">
      <alignment readingOrder="0" shrinkToFit="0" vertical="center" wrapText="1"/>
    </xf>
    <xf quotePrefix="1" borderId="12" fillId="13" fontId="38" numFmtId="0" xfId="0" applyAlignment="1" applyBorder="1" applyFont="1">
      <alignment horizontal="center" readingOrder="0"/>
    </xf>
    <xf borderId="15" fillId="0" fontId="13" numFmtId="164" xfId="0" applyAlignment="1" applyBorder="1" applyFont="1" applyNumberFormat="1">
      <alignment horizontal="center" readingOrder="0" shrinkToFit="0" vertical="center" wrapText="1"/>
    </xf>
    <xf borderId="16" fillId="0" fontId="51" numFmtId="164" xfId="0" applyAlignment="1" applyBorder="1" applyFont="1" applyNumberFormat="1">
      <alignment readingOrder="0" vertical="center"/>
    </xf>
    <xf borderId="14" fillId="5" fontId="13" numFmtId="164" xfId="0" applyAlignment="1" applyBorder="1" applyFont="1" applyNumberFormat="1">
      <alignment horizontal="center" readingOrder="0" shrinkToFit="0" vertical="center" wrapText="1"/>
    </xf>
    <xf borderId="13" fillId="14" fontId="13" numFmtId="164" xfId="0" applyAlignment="1" applyBorder="1" applyFont="1" applyNumberFormat="1">
      <alignment horizontal="left" vertical="center"/>
    </xf>
    <xf borderId="16" fillId="13" fontId="9" numFmtId="1" xfId="0" applyAlignment="1" applyBorder="1" applyFont="1" applyNumberFormat="1">
      <alignment horizontal="center" readingOrder="0" vertical="center"/>
    </xf>
    <xf borderId="16" fillId="0" fontId="15" numFmtId="164" xfId="0" applyAlignment="1" applyBorder="1" applyFont="1" applyNumberFormat="1">
      <alignment readingOrder="0" vertical="center"/>
    </xf>
    <xf borderId="12" fillId="13" fontId="9" numFmtId="1" xfId="0" applyAlignment="1" applyBorder="1" applyFont="1" applyNumberFormat="1">
      <alignment horizontal="center" readingOrder="0"/>
    </xf>
    <xf borderId="17" fillId="0" fontId="13" numFmtId="164" xfId="0" applyAlignment="1" applyBorder="1" applyFont="1" applyNumberFormat="1">
      <alignment horizontal="left" readingOrder="0" vertical="center"/>
    </xf>
    <xf borderId="15" fillId="5" fontId="13" numFmtId="164" xfId="0" applyAlignment="1" applyBorder="1" applyFont="1" applyNumberFormat="1">
      <alignment horizontal="center" readingOrder="0" shrinkToFit="0" vertical="center" wrapText="1"/>
    </xf>
    <xf borderId="16" fillId="13" fontId="13" numFmtId="1" xfId="0" applyAlignment="1" applyBorder="1" applyFont="1" applyNumberFormat="1">
      <alignment horizontal="center" readingOrder="0" vertical="center"/>
    </xf>
    <xf borderId="14" fillId="12" fontId="13" numFmtId="164" xfId="0" applyAlignment="1" applyBorder="1" applyFont="1" applyNumberFormat="1">
      <alignment horizontal="center" shrinkToFit="0" vertical="center" wrapText="1"/>
    </xf>
    <xf borderId="12" fillId="0" fontId="13" numFmtId="1" xfId="0" applyAlignment="1" applyBorder="1" applyFont="1" applyNumberFormat="1">
      <alignment horizontal="center" readingOrder="0" vertical="center"/>
    </xf>
    <xf borderId="15" fillId="12" fontId="13" numFmtId="164" xfId="0" applyAlignment="1" applyBorder="1" applyFont="1" applyNumberFormat="1">
      <alignment horizontal="center" shrinkToFit="0" vertical="center" wrapText="1"/>
    </xf>
    <xf borderId="0" fillId="8" fontId="13" numFmtId="1" xfId="0" applyAlignment="1" applyFont="1" applyNumberFormat="1">
      <alignment horizontal="center" readingOrder="0"/>
    </xf>
    <xf borderId="12" fillId="0" fontId="9" numFmtId="164" xfId="0" applyAlignment="1" applyBorder="1" applyFont="1" applyNumberFormat="1">
      <alignment readingOrder="0" shrinkToFit="0" wrapText="1"/>
    </xf>
    <xf borderId="12" fillId="0" fontId="13" numFmtId="164" xfId="0" applyAlignment="1" applyBorder="1" applyFont="1" applyNumberFormat="1">
      <alignment horizontal="left" readingOrder="0" shrinkToFit="0" vertical="center" wrapText="1"/>
    </xf>
    <xf borderId="12" fillId="0" fontId="9" numFmtId="164" xfId="0" applyAlignment="1" applyBorder="1" applyFont="1" applyNumberFormat="1">
      <alignment readingOrder="0"/>
    </xf>
    <xf borderId="5" fillId="0" fontId="13" numFmtId="1" xfId="0" applyAlignment="1" applyBorder="1" applyFont="1" applyNumberFormat="1">
      <alignment horizontal="center" readingOrder="0" vertical="center"/>
    </xf>
    <xf borderId="0" fillId="13" fontId="38" numFmtId="164" xfId="0" applyAlignment="1" applyFont="1" applyNumberFormat="1">
      <alignment horizontal="left" readingOrder="0"/>
    </xf>
    <xf borderId="12" fillId="8" fontId="9" numFmtId="164" xfId="0" applyAlignment="1" applyBorder="1" applyFont="1" applyNumberFormat="1">
      <alignment vertical="center"/>
    </xf>
    <xf borderId="12" fillId="0" fontId="17" numFmtId="164" xfId="0" applyAlignment="1" applyBorder="1" applyFont="1" applyNumberFormat="1">
      <alignment horizontal="left" shrinkToFit="0" vertical="center" wrapText="1"/>
    </xf>
    <xf borderId="0" fillId="8" fontId="9" numFmtId="164" xfId="0" applyAlignment="1" applyFont="1" applyNumberFormat="1">
      <alignment horizontal="left" vertical="center"/>
    </xf>
    <xf borderId="0" fillId="8" fontId="9" numFmtId="164" xfId="0" applyAlignment="1" applyFont="1" applyNumberFormat="1">
      <alignment horizontal="left" shrinkToFit="0" vertical="center" wrapText="1"/>
    </xf>
    <xf borderId="0" fillId="8" fontId="23" numFmtId="0" xfId="0" applyAlignment="1" applyFont="1">
      <alignment horizontal="left" vertical="center"/>
    </xf>
    <xf borderId="0" fillId="8" fontId="21" numFmtId="164" xfId="0" applyAlignment="1" applyFont="1" applyNumberFormat="1">
      <alignment horizontal="left" vertical="center"/>
    </xf>
    <xf borderId="0" fillId="8" fontId="28" numFmtId="164" xfId="0" applyAlignment="1" applyFont="1" applyNumberFormat="1">
      <alignment horizontal="left" vertical="center"/>
    </xf>
    <xf borderId="12" fillId="0" fontId="13" numFmtId="165" xfId="0" applyAlignment="1" applyBorder="1" applyFont="1" applyNumberFormat="1">
      <alignment horizontal="center" shrinkToFit="0" vertical="center" wrapText="1"/>
    </xf>
    <xf borderId="0" fillId="8" fontId="25" numFmtId="164" xfId="0" applyAlignment="1" applyFont="1" applyNumberFormat="1">
      <alignment horizontal="left" vertical="center"/>
    </xf>
    <xf borderId="12" fillId="8" fontId="13" numFmtId="165" xfId="0" applyAlignment="1" applyBorder="1" applyFont="1" applyNumberFormat="1">
      <alignment horizontal="center" shrinkToFit="0" vertical="center" wrapText="1"/>
    </xf>
    <xf borderId="22" fillId="19" fontId="7" numFmtId="165" xfId="0" applyAlignment="1" applyBorder="1" applyFont="1" applyNumberFormat="1">
      <alignment horizontal="right" readingOrder="0" vertical="center"/>
    </xf>
    <xf borderId="12" fillId="0" fontId="9" numFmtId="165" xfId="0" applyAlignment="1" applyBorder="1" applyFont="1" applyNumberFormat="1">
      <alignment horizontal="center" vertical="center"/>
    </xf>
    <xf borderId="12" fillId="8" fontId="9" numFmtId="165" xfId="0" applyAlignment="1" applyBorder="1" applyFont="1" applyNumberFormat="1">
      <alignment horizontal="center" vertical="center"/>
    </xf>
    <xf borderId="0" fillId="8" fontId="25" numFmtId="164" xfId="0" applyAlignment="1" applyFont="1" applyNumberFormat="1">
      <alignment horizontal="left" shrinkToFit="0" vertical="center" wrapText="1"/>
    </xf>
    <xf borderId="0" fillId="8" fontId="21" numFmtId="164" xfId="0" applyAlignment="1" applyFont="1" applyNumberFormat="1">
      <alignment horizontal="left" shrinkToFit="0" vertical="center" wrapText="1"/>
    </xf>
    <xf borderId="5" fillId="0" fontId="9" numFmtId="165" xfId="0" applyAlignment="1" applyBorder="1" applyFont="1" applyNumberFormat="1">
      <alignment horizontal="center" vertical="center"/>
    </xf>
    <xf borderId="6" fillId="6" fontId="7" numFmtId="14" xfId="0" applyAlignment="1" applyBorder="1" applyFont="1" applyNumberFormat="1">
      <alignment horizontal="center" vertical="center"/>
    </xf>
    <xf borderId="22" fillId="6" fontId="7" numFmtId="164" xfId="0" applyAlignment="1" applyBorder="1" applyFont="1" applyNumberFormat="1">
      <alignment horizontal="center" vertical="center"/>
    </xf>
    <xf borderId="6" fillId="0" fontId="30" numFmtId="164" xfId="0" applyAlignment="1" applyBorder="1" applyFont="1" applyNumberFormat="1">
      <alignment horizontal="center" readingOrder="0" vertical="center"/>
    </xf>
    <xf borderId="0" fillId="0" fontId="28" numFmtId="164" xfId="0" applyAlignment="1" applyFont="1" applyNumberFormat="1">
      <alignment horizontal="center" readingOrder="0" shrinkToFit="0" vertical="center" wrapText="1"/>
    </xf>
    <xf borderId="0" fillId="8" fontId="21" numFmtId="0" xfId="0" applyAlignment="1" applyFont="1">
      <alignment horizontal="left" vertical="center"/>
    </xf>
    <xf borderId="0" fillId="8" fontId="33" numFmtId="164" xfId="0" applyAlignment="1" applyFont="1" applyNumberFormat="1">
      <alignment horizontal="left" vertical="center"/>
    </xf>
    <xf borderId="5" fillId="8" fontId="13" numFmtId="1" xfId="0" applyAlignment="1" applyBorder="1" applyFont="1" applyNumberFormat="1">
      <alignment horizontal="center" readingOrder="0" shrinkToFit="0" vertical="center" wrapText="1"/>
    </xf>
    <xf borderId="12" fillId="8" fontId="14" numFmtId="0" xfId="0" applyAlignment="1" applyBorder="1" applyFont="1">
      <alignment horizontal="left" readingOrder="0" shrinkToFit="0" vertical="center" wrapText="1"/>
    </xf>
    <xf borderId="32" fillId="8" fontId="14" numFmtId="3" xfId="0" applyAlignment="1" applyBorder="1" applyFont="1" applyNumberFormat="1">
      <alignment horizontal="right" readingOrder="0" shrinkToFit="0" vertical="center" wrapText="1"/>
    </xf>
    <xf borderId="18" fillId="8" fontId="13" numFmtId="164" xfId="0" applyAlignment="1" applyBorder="1" applyFont="1" applyNumberFormat="1">
      <alignment horizontal="center" readingOrder="0" shrinkToFit="0" vertical="center" wrapText="1"/>
    </xf>
    <xf borderId="12" fillId="0" fontId="7" numFmtId="1" xfId="0" applyAlignment="1" applyBorder="1" applyFont="1" applyNumberFormat="1">
      <alignment horizontal="center" vertical="center"/>
    </xf>
    <xf borderId="12" fillId="0" fontId="7" numFmtId="0" xfId="0" applyAlignment="1" applyBorder="1" applyFont="1">
      <alignment horizontal="center" vertical="center"/>
    </xf>
    <xf borderId="0" fillId="0" fontId="6" numFmtId="4" xfId="0" applyAlignment="1" applyFont="1" applyNumberFormat="1">
      <alignment vertical="center"/>
    </xf>
    <xf borderId="26" fillId="2" fontId="3" numFmtId="164" xfId="0" applyAlignment="1" applyBorder="1" applyFont="1" applyNumberFormat="1">
      <alignment horizontal="left" shrinkToFit="0" vertical="center" wrapText="1"/>
    </xf>
    <xf borderId="12" fillId="0" fontId="4" numFmtId="164" xfId="0" applyAlignment="1" applyBorder="1" applyFont="1" applyNumberFormat="1">
      <alignment horizontal="center" vertical="center"/>
    </xf>
    <xf borderId="5" fillId="3" fontId="7" numFmtId="0" xfId="0" applyAlignment="1" applyBorder="1" applyFont="1">
      <alignment horizontal="center" readingOrder="0" vertical="center"/>
    </xf>
    <xf borderId="12" fillId="8" fontId="14" numFmtId="164" xfId="0" applyAlignment="1" applyBorder="1" applyFont="1" applyNumberFormat="1">
      <alignment horizontal="left" readingOrder="0" vertical="center"/>
    </xf>
    <xf borderId="12" fillId="0" fontId="9" numFmtId="0" xfId="0" applyAlignment="1" applyBorder="1" applyFont="1">
      <alignment horizontal="left" readingOrder="0" shrinkToFit="0" vertical="center" wrapText="1"/>
    </xf>
    <xf borderId="8" fillId="0" fontId="9" numFmtId="0" xfId="0" applyAlignment="1" applyBorder="1" applyFont="1">
      <alignment shrinkToFit="0" vertical="center" wrapText="1"/>
    </xf>
    <xf borderId="12" fillId="0" fontId="13" numFmtId="0" xfId="0" applyAlignment="1" applyBorder="1" applyFont="1">
      <alignment horizontal="right" readingOrder="0" shrinkToFit="0" vertical="center" wrapText="1"/>
    </xf>
    <xf borderId="0" fillId="0" fontId="51" numFmtId="0" xfId="0" applyAlignment="1" applyFont="1">
      <alignment readingOrder="0" shrinkToFit="0" vertical="center" wrapText="1"/>
    </xf>
    <xf borderId="5" fillId="8" fontId="13" numFmtId="0" xfId="0" applyAlignment="1" applyBorder="1" applyFont="1">
      <alignment horizontal="left" readingOrder="0" shrinkToFit="0" vertical="center" wrapText="1"/>
    </xf>
    <xf borderId="5" fillId="0" fontId="15" numFmtId="0" xfId="0" applyAlignment="1" applyBorder="1" applyFont="1">
      <alignment horizontal="center" readingOrder="0" vertical="center"/>
    </xf>
    <xf quotePrefix="1" borderId="5" fillId="0" fontId="15" numFmtId="0" xfId="0" applyAlignment="1" applyBorder="1" applyFont="1">
      <alignment horizontal="center" vertical="center"/>
    </xf>
    <xf borderId="23" fillId="0" fontId="15" numFmtId="0" xfId="0" applyAlignment="1" applyBorder="1" applyFont="1">
      <alignment shrinkToFit="0" vertical="center" wrapText="1"/>
    </xf>
    <xf borderId="12" fillId="0" fontId="15" numFmtId="0" xfId="0" applyAlignment="1" applyBorder="1" applyFont="1">
      <alignment readingOrder="0" shrinkToFit="0" vertical="center" wrapText="1"/>
    </xf>
    <xf borderId="5" fillId="8" fontId="13" numFmtId="0" xfId="0" applyAlignment="1" applyBorder="1" applyFont="1">
      <alignment vertical="center"/>
    </xf>
    <xf borderId="8" fillId="0" fontId="15" numFmtId="0" xfId="0" applyAlignment="1" applyBorder="1" applyFont="1">
      <alignment shrinkToFit="0" vertical="center" wrapText="1"/>
    </xf>
    <xf borderId="8" fillId="0" fontId="15" numFmtId="0" xfId="0" applyAlignment="1" applyBorder="1" applyFont="1">
      <alignment readingOrder="0" shrinkToFit="0" vertical="center" wrapText="1"/>
    </xf>
    <xf quotePrefix="1" borderId="5" fillId="0" fontId="15" numFmtId="166" xfId="0" applyAlignment="1" applyBorder="1" applyFont="1" applyNumberFormat="1">
      <alignment horizontal="center" vertical="center"/>
    </xf>
    <xf borderId="5" fillId="0" fontId="13" numFmtId="0" xfId="0" applyAlignment="1" applyBorder="1" applyFont="1">
      <alignment horizontal="right" readingOrder="0" shrinkToFit="0" vertical="center" wrapText="1"/>
    </xf>
    <xf borderId="12" fillId="0" fontId="15" numFmtId="166" xfId="0" applyAlignment="1" applyBorder="1" applyFont="1" applyNumberFormat="1">
      <alignment horizontal="center" readingOrder="0" vertical="center"/>
    </xf>
    <xf borderId="12" fillId="0" fontId="15" numFmtId="0" xfId="0" applyAlignment="1" applyBorder="1" applyFont="1">
      <alignment horizontal="center" readingOrder="0" vertical="center"/>
    </xf>
    <xf borderId="12" fillId="0" fontId="13" numFmtId="0" xfId="0" applyAlignment="1" applyBorder="1" applyFont="1">
      <alignment horizontal="left" readingOrder="0" shrinkToFit="0" vertical="center" wrapText="1"/>
    </xf>
    <xf borderId="12" fillId="0" fontId="9" numFmtId="0" xfId="0" applyAlignment="1" applyBorder="1" applyFont="1">
      <alignment horizontal="left" readingOrder="0" vertical="center"/>
    </xf>
    <xf borderId="0" fillId="0" fontId="9" numFmtId="0" xfId="0" applyAlignment="1" applyFont="1">
      <alignment readingOrder="0" vertical="center"/>
    </xf>
    <xf borderId="5" fillId="0" fontId="9" numFmtId="0" xfId="0" applyAlignment="1" applyBorder="1" applyFont="1">
      <alignment horizontal="left" readingOrder="0" shrinkToFit="0" vertical="center" wrapText="1"/>
    </xf>
    <xf borderId="7" fillId="13" fontId="15" numFmtId="0" xfId="0" applyAlignment="1" applyBorder="1" applyFont="1">
      <alignment horizontal="left" readingOrder="0" vertical="center"/>
    </xf>
    <xf borderId="48" fillId="13" fontId="15" numFmtId="0" xfId="0" applyAlignment="1" applyBorder="1" applyFont="1">
      <alignment horizontal="left" readingOrder="0" vertical="center"/>
    </xf>
    <xf borderId="48" fillId="14" fontId="15" numFmtId="0" xfId="0" applyAlignment="1" applyBorder="1" applyFont="1">
      <alignment horizontal="left" readingOrder="0" vertical="center"/>
    </xf>
    <xf borderId="15" fillId="14" fontId="15" numFmtId="0" xfId="0" applyAlignment="1" applyBorder="1" applyFont="1">
      <alignment horizontal="left" readingOrder="0" vertical="center"/>
    </xf>
    <xf borderId="15" fillId="13" fontId="15" numFmtId="0" xfId="0" applyAlignment="1" applyBorder="1" applyFont="1">
      <alignment horizontal="left" readingOrder="0" vertical="center"/>
    </xf>
    <xf borderId="16" fillId="13" fontId="9" numFmtId="0" xfId="0" applyAlignment="1" applyBorder="1" applyFont="1">
      <alignment horizontal="left" readingOrder="0" shrinkToFit="0" vertical="center" wrapText="1"/>
    </xf>
    <xf quotePrefix="1" borderId="12" fillId="13" fontId="38" numFmtId="0" xfId="0" applyAlignment="1" applyBorder="1" applyFont="1">
      <alignment horizontal="center" readingOrder="0" vertical="center"/>
    </xf>
    <xf borderId="12" fillId="13" fontId="38" numFmtId="0" xfId="0" applyAlignment="1" applyBorder="1" applyFont="1">
      <alignment horizontal="left" readingOrder="0" shrinkToFit="0" vertical="center" wrapText="1"/>
    </xf>
    <xf borderId="15" fillId="0" fontId="28" numFmtId="164" xfId="0" applyAlignment="1" applyBorder="1" applyFont="1" applyNumberFormat="1">
      <alignment horizontal="left" shrinkToFit="0" vertical="center" wrapText="1"/>
    </xf>
    <xf borderId="12" fillId="0" fontId="30" numFmtId="0" xfId="0" applyAlignment="1" applyBorder="1" applyFont="1">
      <alignment horizontal="center" readingOrder="0" vertical="center"/>
    </xf>
    <xf borderId="0" fillId="0" fontId="21" numFmtId="3" xfId="0" applyAlignment="1" applyFont="1" applyNumberFormat="1">
      <alignment horizontal="center" readingOrder="0" vertical="center"/>
    </xf>
    <xf borderId="4" fillId="8" fontId="18" numFmtId="164" xfId="0" applyAlignment="1" applyBorder="1" applyFont="1" applyNumberFormat="1">
      <alignment horizontal="center" shrinkToFit="0" vertical="center" wrapText="1"/>
    </xf>
    <xf borderId="4" fillId="8" fontId="18" numFmtId="164" xfId="0" applyAlignment="1" applyBorder="1" applyFont="1" applyNumberFormat="1">
      <alignment horizontal="center" vertical="center"/>
    </xf>
    <xf borderId="0" fillId="8" fontId="13" numFmtId="1" xfId="0" applyAlignment="1" applyFont="1" applyNumberFormat="1">
      <alignment horizontal="center" readingOrder="0" vertical="center"/>
    </xf>
    <xf borderId="13" fillId="8" fontId="13" numFmtId="3" xfId="0" applyAlignment="1" applyBorder="1" applyFont="1" applyNumberFormat="1">
      <alignment horizontal="center" readingOrder="0" shrinkToFit="0" vertical="center" wrapText="1"/>
    </xf>
    <xf borderId="6" fillId="8" fontId="13" numFmtId="164" xfId="0" applyAlignment="1" applyBorder="1" applyFont="1" applyNumberFormat="1">
      <alignment horizontal="left" readingOrder="0" shrinkToFit="0" vertical="center" wrapText="1"/>
    </xf>
    <xf borderId="12" fillId="24" fontId="18" numFmtId="3" xfId="0" applyAlignment="1" applyBorder="1" applyFont="1" applyNumberFormat="1">
      <alignment horizontal="center" shrinkToFit="0" vertical="center" wrapText="1"/>
    </xf>
    <xf borderId="4" fillId="8" fontId="21" numFmtId="168" xfId="0" applyAlignment="1" applyBorder="1" applyFont="1" applyNumberFormat="1">
      <alignment horizontal="left" vertical="center"/>
    </xf>
    <xf borderId="0" fillId="0" fontId="23" numFmtId="1" xfId="0" applyAlignment="1" applyFont="1" applyNumberFormat="1">
      <alignment horizontal="center" vertical="center"/>
    </xf>
    <xf borderId="12" fillId="0" fontId="7" numFmtId="0" xfId="0" applyAlignment="1" applyBorder="1" applyFont="1">
      <alignment horizontal="left" readingOrder="0" vertical="center"/>
    </xf>
    <xf borderId="12" fillId="0" fontId="9" numFmtId="0" xfId="0" applyAlignment="1" applyBorder="1" applyFont="1">
      <alignment readingOrder="0"/>
    </xf>
    <xf borderId="12" fillId="26" fontId="13" numFmtId="164" xfId="0" applyAlignment="1" applyBorder="1" applyFont="1" applyNumberFormat="1">
      <alignment readingOrder="0"/>
    </xf>
    <xf borderId="12" fillId="8" fontId="9" numFmtId="165" xfId="0" applyAlignment="1" applyBorder="1" applyFont="1" applyNumberFormat="1">
      <alignment horizontal="right" shrinkToFit="0" vertical="center" wrapText="1"/>
    </xf>
    <xf borderId="12" fillId="16" fontId="9" numFmtId="3" xfId="0" applyAlignment="1" applyBorder="1" applyFont="1" applyNumberFormat="1">
      <alignment horizontal="center" readingOrder="0" vertical="center"/>
    </xf>
    <xf borderId="12" fillId="7" fontId="13" numFmtId="164" xfId="0" applyAlignment="1" applyBorder="1" applyFont="1" applyNumberFormat="1">
      <alignment horizontal="left" vertical="center"/>
    </xf>
    <xf borderId="5" fillId="5" fontId="9" numFmtId="165" xfId="0" applyAlignment="1" applyBorder="1" applyFont="1" applyNumberFormat="1">
      <alignment horizontal="left" shrinkToFit="0" vertical="center" wrapText="1"/>
    </xf>
    <xf borderId="5" fillId="12" fontId="9" numFmtId="164" xfId="0" applyAlignment="1" applyBorder="1" applyFont="1" applyNumberFormat="1">
      <alignment horizontal="left" readingOrder="0" vertical="center"/>
    </xf>
    <xf borderId="22" fillId="26" fontId="9" numFmtId="164" xfId="0" applyAlignment="1" applyBorder="1" applyFont="1" applyNumberFormat="1">
      <alignment horizontal="center" readingOrder="0" vertical="center"/>
    </xf>
    <xf borderId="0" fillId="13" fontId="9" numFmtId="0" xfId="0" applyAlignment="1" applyFont="1">
      <alignment horizontal="center" readingOrder="0"/>
    </xf>
    <xf borderId="0" fillId="13" fontId="9" numFmtId="0" xfId="0" applyAlignment="1" applyFont="1">
      <alignment horizontal="left" readingOrder="0" vertical="center"/>
    </xf>
    <xf borderId="22" fillId="16" fontId="9" numFmtId="164" xfId="0" applyAlignment="1" applyBorder="1" applyFont="1" applyNumberFormat="1">
      <alignment horizontal="center" readingOrder="0" vertical="center"/>
    </xf>
    <xf borderId="5" fillId="8" fontId="13" numFmtId="165" xfId="0" applyAlignment="1" applyBorder="1" applyFont="1" applyNumberFormat="1">
      <alignment horizontal="center" shrinkToFit="0" vertical="center" wrapText="1"/>
    </xf>
    <xf borderId="24" fillId="8" fontId="13" numFmtId="0" xfId="0" applyAlignment="1" applyBorder="1" applyFont="1">
      <alignment vertical="center"/>
    </xf>
    <xf borderId="0" fillId="12" fontId="52" numFmtId="0" xfId="0" applyAlignment="1" applyFont="1">
      <alignment horizontal="center" readingOrder="0"/>
    </xf>
    <xf borderId="12" fillId="8" fontId="9" numFmtId="3" xfId="0" applyAlignment="1" applyBorder="1" applyFont="1" applyNumberFormat="1">
      <alignment horizontal="right" shrinkToFit="0" vertical="center" wrapText="1"/>
    </xf>
    <xf borderId="12" fillId="8" fontId="9" numFmtId="165" xfId="0" applyAlignment="1" applyBorder="1" applyFont="1" applyNumberFormat="1">
      <alignment horizontal="right" readingOrder="0" shrinkToFit="0" vertical="center" wrapText="1"/>
    </xf>
    <xf borderId="5" fillId="0" fontId="13" numFmtId="166" xfId="0" applyAlignment="1" applyBorder="1" applyFont="1" applyNumberFormat="1">
      <alignment readingOrder="0" shrinkToFit="0" vertical="center" wrapText="1"/>
    </xf>
    <xf borderId="12" fillId="14" fontId="13" numFmtId="166" xfId="0" applyAlignment="1" applyBorder="1" applyFont="1" applyNumberFormat="1">
      <alignment readingOrder="0" shrinkToFit="0" vertical="center" wrapText="1"/>
    </xf>
    <xf borderId="12" fillId="14" fontId="13" numFmtId="0" xfId="0" applyAlignment="1" applyBorder="1" applyFont="1">
      <alignment horizontal="center" readingOrder="0" shrinkToFit="0" vertical="center" wrapText="1"/>
    </xf>
    <xf quotePrefix="1" borderId="12" fillId="14" fontId="9" numFmtId="0" xfId="0" applyAlignment="1" applyBorder="1" applyFont="1">
      <alignment horizontal="center" readingOrder="0" vertical="center"/>
    </xf>
    <xf borderId="22" fillId="14" fontId="9" numFmtId="164" xfId="0" applyAlignment="1" applyBorder="1" applyFont="1" applyNumberFormat="1">
      <alignment horizontal="left" readingOrder="0" vertical="center"/>
    </xf>
    <xf borderId="12" fillId="14" fontId="9" numFmtId="165" xfId="0" applyAlignment="1" applyBorder="1" applyFont="1" applyNumberFormat="1">
      <alignment horizontal="center" shrinkToFit="0" vertical="center" wrapText="1"/>
    </xf>
    <xf borderId="12" fillId="14" fontId="9" numFmtId="3" xfId="0" applyAlignment="1" applyBorder="1" applyFont="1" applyNumberFormat="1">
      <alignment horizontal="center" vertical="center"/>
    </xf>
    <xf borderId="12" fillId="14" fontId="13" numFmtId="165" xfId="0" applyAlignment="1" applyBorder="1" applyFont="1" applyNumberFormat="1">
      <alignment shrinkToFit="0" vertical="center" wrapText="1"/>
    </xf>
    <xf borderId="12" fillId="14" fontId="9" numFmtId="164" xfId="0" applyAlignment="1" applyBorder="1" applyFont="1" applyNumberFormat="1">
      <alignment readingOrder="0" vertical="center"/>
    </xf>
    <xf borderId="12" fillId="14" fontId="13" numFmtId="3" xfId="0" applyAlignment="1" applyBorder="1" applyFont="1" applyNumberFormat="1">
      <alignment horizontal="center" readingOrder="0" shrinkToFit="0" vertical="center" wrapText="1"/>
    </xf>
    <xf borderId="12" fillId="14" fontId="9" numFmtId="164" xfId="0" applyAlignment="1" applyBorder="1" applyFont="1" applyNumberFormat="1">
      <alignment horizontal="center" readingOrder="0" vertical="center"/>
    </xf>
    <xf borderId="12" fillId="14" fontId="13" numFmtId="0" xfId="0" applyAlignment="1" applyBorder="1" applyFont="1">
      <alignment shrinkToFit="0" vertical="center" wrapText="1"/>
    </xf>
    <xf borderId="12" fillId="14" fontId="9" numFmtId="164" xfId="0" applyAlignment="1" applyBorder="1" applyFont="1" applyNumberFormat="1">
      <alignment readingOrder="0" shrinkToFit="0" vertical="center" wrapText="1"/>
    </xf>
    <xf borderId="12" fillId="14" fontId="9" numFmtId="164" xfId="0" applyAlignment="1" applyBorder="1" applyFont="1" applyNumberFormat="1">
      <alignment horizontal="center" vertical="center"/>
    </xf>
    <xf borderId="5" fillId="8" fontId="13" numFmtId="166" xfId="0" applyAlignment="1" applyBorder="1" applyFont="1" applyNumberFormat="1">
      <alignment readingOrder="0" shrinkToFit="0" vertical="center" wrapText="1"/>
    </xf>
    <xf borderId="12" fillId="0" fontId="9" numFmtId="166" xfId="0" applyAlignment="1" applyBorder="1" applyFont="1" applyNumberFormat="1">
      <alignment readingOrder="0" shrinkToFit="0" vertical="center" wrapText="1"/>
    </xf>
    <xf borderId="12" fillId="0" fontId="9" numFmtId="0" xfId="0" applyAlignment="1" applyBorder="1" applyFont="1">
      <alignment horizontal="center" readingOrder="0" shrinkToFit="0" vertical="center" wrapText="1"/>
    </xf>
    <xf borderId="0" fillId="13" fontId="9" numFmtId="0" xfId="0" applyAlignment="1" applyFont="1">
      <alignment horizontal="left" readingOrder="0" shrinkToFit="0" wrapText="1"/>
    </xf>
    <xf borderId="12" fillId="0" fontId="9" numFmtId="3" xfId="0" applyAlignment="1" applyBorder="1" applyFont="1" applyNumberFormat="1">
      <alignment horizontal="center" readingOrder="0" shrinkToFit="0" vertical="center" wrapText="1"/>
    </xf>
    <xf borderId="5" fillId="0" fontId="9" numFmtId="0" xfId="0" applyAlignment="1" applyBorder="1" applyFont="1">
      <alignment readingOrder="0" shrinkToFit="0" vertical="bottom" wrapText="1"/>
    </xf>
    <xf borderId="5" fillId="8" fontId="9" numFmtId="0" xfId="0" applyAlignment="1" applyBorder="1" applyFont="1">
      <alignment horizontal="center" readingOrder="0" vertical="center"/>
    </xf>
    <xf quotePrefix="1" borderId="5" fillId="8" fontId="9" numFmtId="0" xfId="0" applyAlignment="1" applyBorder="1" applyFont="1">
      <alignment horizontal="center" readingOrder="0" vertical="center"/>
    </xf>
    <xf borderId="5" fillId="8" fontId="9" numFmtId="0" xfId="0" applyAlignment="1" applyBorder="1" applyFont="1">
      <alignment readingOrder="0" shrinkToFit="0" vertical="center" wrapText="1"/>
    </xf>
    <xf borderId="5" fillId="8" fontId="9" numFmtId="4" xfId="0" applyAlignment="1" applyBorder="1" applyFont="1" applyNumberFormat="1">
      <alignment readingOrder="0" shrinkToFit="0" vertical="center" wrapText="1"/>
    </xf>
    <xf borderId="0" fillId="0" fontId="15" numFmtId="0" xfId="0" applyAlignment="1" applyFont="1">
      <alignment readingOrder="0"/>
    </xf>
    <xf borderId="0" fillId="13" fontId="13" numFmtId="0" xfId="0" applyAlignment="1" applyFont="1">
      <alignment horizontal="center" readingOrder="0"/>
    </xf>
    <xf borderId="16" fillId="13" fontId="38" numFmtId="0" xfId="0" applyAlignment="1" applyBorder="1" applyFont="1">
      <alignment horizontal="center" readingOrder="0" vertical="center"/>
    </xf>
    <xf borderId="17" fillId="0" fontId="9" numFmtId="0" xfId="0" applyAlignment="1" applyBorder="1" applyFont="1">
      <alignment horizontal="center" readingOrder="0" vertical="center"/>
    </xf>
    <xf borderId="16" fillId="0" fontId="9" numFmtId="0" xfId="0" applyAlignment="1" applyBorder="1" applyFont="1">
      <alignment horizontal="center" readingOrder="0" vertical="center"/>
    </xf>
    <xf borderId="0" fillId="8" fontId="9" numFmtId="164" xfId="0" applyAlignment="1" applyFont="1" applyNumberFormat="1">
      <alignment horizontal="center" shrinkToFit="0" vertical="center" wrapText="1"/>
    </xf>
    <xf borderId="0" fillId="8" fontId="23" numFmtId="0" xfId="0" applyAlignment="1" applyFont="1">
      <alignment vertical="center"/>
    </xf>
    <xf borderId="0" fillId="8" fontId="28" numFmtId="164" xfId="0" applyAlignment="1" applyFont="1" applyNumberFormat="1">
      <alignment vertical="center"/>
    </xf>
    <xf borderId="0" fillId="8" fontId="25" numFmtId="164" xfId="0" applyAlignment="1" applyFont="1" applyNumberFormat="1">
      <alignment horizontal="center" vertical="center"/>
    </xf>
    <xf borderId="0" fillId="13" fontId="9" numFmtId="1" xfId="0" applyAlignment="1" applyFont="1" applyNumberFormat="1">
      <alignment horizontal="left" readingOrder="0" shrinkToFit="0" wrapText="1"/>
    </xf>
    <xf borderId="13" fillId="8" fontId="14" numFmtId="3" xfId="0" applyAlignment="1" applyBorder="1" applyFont="1" applyNumberFormat="1">
      <alignment horizontal="center" readingOrder="0" shrinkToFit="0" vertical="center" wrapText="1"/>
    </xf>
    <xf borderId="5" fillId="8" fontId="9" numFmtId="0" xfId="0" applyAlignment="1" applyBorder="1" applyFont="1">
      <alignment horizontal="left" readingOrder="0" vertical="center"/>
    </xf>
    <xf borderId="47" fillId="8" fontId="13" numFmtId="1" xfId="0" applyAlignment="1" applyBorder="1" applyFont="1" applyNumberFormat="1">
      <alignment horizontal="center" readingOrder="0" shrinkToFit="0" vertical="center" wrapText="1"/>
    </xf>
    <xf borderId="47" fillId="8" fontId="14" numFmtId="0" xfId="0" applyAlignment="1" applyBorder="1" applyFont="1">
      <alignment horizontal="center" readingOrder="0" shrinkToFit="0" vertical="center" wrapText="1"/>
    </xf>
    <xf borderId="12" fillId="24" fontId="13" numFmtId="164" xfId="0" applyAlignment="1" applyBorder="1" applyFont="1" applyNumberFormat="1">
      <alignment horizontal="center" vertical="center"/>
    </xf>
    <xf borderId="0" fillId="8" fontId="13" numFmtId="0" xfId="0" applyAlignment="1" applyFont="1">
      <alignment horizontal="left" readingOrder="0"/>
    </xf>
    <xf borderId="5" fillId="32" fontId="12" numFmtId="164" xfId="0" applyAlignment="1" applyBorder="1" applyFill="1" applyFont="1" applyNumberFormat="1">
      <alignment horizontal="center" readingOrder="0" shrinkToFit="0" vertical="center" wrapText="1"/>
    </xf>
    <xf borderId="5" fillId="8" fontId="13" numFmtId="164" xfId="0" applyAlignment="1" applyBorder="1" applyFont="1" applyNumberFormat="1">
      <alignment horizontal="left" readingOrder="0" vertical="center"/>
    </xf>
    <xf quotePrefix="1" borderId="5" fillId="13" fontId="13" numFmtId="0" xfId="0" applyAlignment="1" applyBorder="1" applyFont="1">
      <alignment readingOrder="0" shrinkToFit="0" vertical="center" wrapText="1"/>
    </xf>
    <xf borderId="5" fillId="10" fontId="9" numFmtId="164" xfId="0" applyAlignment="1" applyBorder="1" applyFont="1" applyNumberFormat="1">
      <alignment horizontal="center" readingOrder="0" vertical="center"/>
    </xf>
    <xf borderId="5" fillId="33" fontId="9" numFmtId="164" xfId="0" applyAlignment="1" applyBorder="1" applyFill="1" applyFont="1" applyNumberFormat="1">
      <alignment horizontal="left" readingOrder="0" vertical="center"/>
    </xf>
    <xf quotePrefix="1" borderId="5" fillId="8" fontId="13" numFmtId="0" xfId="0" applyAlignment="1" applyBorder="1" applyFont="1">
      <alignment horizontal="left" readingOrder="0" shrinkToFit="0" vertical="center" wrapText="1"/>
    </xf>
    <xf borderId="5" fillId="33" fontId="13" numFmtId="0" xfId="0" applyAlignment="1" applyBorder="1" applyFont="1">
      <alignment horizontal="center" readingOrder="0" shrinkToFit="0" vertical="center" wrapText="1"/>
    </xf>
    <xf quotePrefix="1" borderId="5" fillId="0" fontId="21" numFmtId="0" xfId="0" applyAlignment="1" applyBorder="1" applyFont="1">
      <alignment readingOrder="0" vertical="center"/>
    </xf>
    <xf borderId="12" fillId="10" fontId="9" numFmtId="164" xfId="0" applyAlignment="1" applyBorder="1" applyFont="1" applyNumberFormat="1">
      <alignment horizontal="center" readingOrder="0" vertical="center"/>
    </xf>
    <xf borderId="12" fillId="0" fontId="23" numFmtId="0" xfId="0" applyAlignment="1" applyBorder="1" applyFont="1">
      <alignment horizontal="center" readingOrder="0" vertical="center"/>
    </xf>
    <xf borderId="12" fillId="33" fontId="9" numFmtId="0" xfId="0" applyAlignment="1" applyBorder="1" applyFont="1">
      <alignment horizontal="center" readingOrder="0" vertical="center"/>
    </xf>
    <xf quotePrefix="1" borderId="5" fillId="0" fontId="9" numFmtId="0" xfId="0" applyAlignment="1" applyBorder="1" applyFont="1">
      <alignment readingOrder="0" vertical="center"/>
    </xf>
    <xf borderId="5" fillId="0" fontId="23" numFmtId="0" xfId="0" applyAlignment="1" applyBorder="1" applyFont="1">
      <alignment horizontal="center" readingOrder="0" vertical="center"/>
    </xf>
    <xf borderId="5" fillId="33" fontId="23" numFmtId="0" xfId="0" applyAlignment="1" applyBorder="1" applyFont="1">
      <alignment horizontal="center" readingOrder="0" vertical="center"/>
    </xf>
    <xf borderId="12" fillId="0" fontId="9" numFmtId="168" xfId="0" applyAlignment="1" applyBorder="1" applyFont="1" applyNumberFormat="1">
      <alignment readingOrder="0" vertical="center"/>
    </xf>
    <xf borderId="12" fillId="0" fontId="9" numFmtId="0" xfId="0" applyAlignment="1" applyBorder="1" applyFont="1">
      <alignment horizontal="left" readingOrder="0"/>
    </xf>
    <xf borderId="12" fillId="0" fontId="9" numFmtId="3" xfId="0" applyAlignment="1" applyBorder="1" applyFont="1" applyNumberFormat="1">
      <alignment readingOrder="0" vertical="center"/>
    </xf>
    <xf borderId="12" fillId="5" fontId="9" numFmtId="3" xfId="0" applyAlignment="1" applyBorder="1" applyFont="1" applyNumberFormat="1">
      <alignment readingOrder="0" vertical="center"/>
    </xf>
    <xf borderId="12" fillId="33" fontId="23" numFmtId="0" xfId="0" applyAlignment="1" applyBorder="1" applyFont="1">
      <alignment horizontal="center" readingOrder="0" vertical="center"/>
    </xf>
    <xf borderId="5" fillId="0" fontId="9" numFmtId="168" xfId="0" applyAlignment="1" applyBorder="1" applyFont="1" applyNumberFormat="1">
      <alignment readingOrder="0" vertical="center"/>
    </xf>
    <xf borderId="12" fillId="8" fontId="48" numFmtId="0" xfId="0" applyAlignment="1" applyBorder="1" applyFont="1">
      <alignment horizontal="left" readingOrder="0" shrinkToFit="0" vertical="center" wrapText="1"/>
    </xf>
    <xf borderId="12" fillId="7" fontId="13" numFmtId="164" xfId="0" applyAlignment="1" applyBorder="1" applyFont="1" applyNumberFormat="1">
      <alignment horizontal="left" readingOrder="0"/>
    </xf>
    <xf borderId="12" fillId="20" fontId="13" numFmtId="0" xfId="0" applyAlignment="1" applyBorder="1" applyFont="1">
      <alignment horizontal="left" readingOrder="0" shrinkToFit="0" vertical="center" wrapText="1"/>
    </xf>
    <xf borderId="12" fillId="20" fontId="13" numFmtId="0" xfId="0" applyAlignment="1" applyBorder="1" applyFont="1">
      <alignment horizontal="center" readingOrder="0" shrinkToFit="0" vertical="center" wrapText="1"/>
    </xf>
    <xf borderId="22" fillId="20" fontId="9" numFmtId="164" xfId="0" applyAlignment="1" applyBorder="1" applyFont="1" applyNumberFormat="1">
      <alignment horizontal="center" readingOrder="0" vertical="center"/>
    </xf>
    <xf borderId="6" fillId="20" fontId="9" numFmtId="164" xfId="0" applyAlignment="1" applyBorder="1" applyFont="1" applyNumberFormat="1">
      <alignment horizontal="center" vertical="center"/>
    </xf>
    <xf borderId="4" fillId="8" fontId="8" numFmtId="0" xfId="0" applyAlignment="1" applyBorder="1" applyFont="1">
      <alignment vertical="center"/>
    </xf>
    <xf borderId="5" fillId="0" fontId="9" numFmtId="0" xfId="0" applyAlignment="1" applyBorder="1" applyFont="1">
      <alignment horizontal="center" readingOrder="0" vertical="bottom"/>
    </xf>
    <xf borderId="5" fillId="0" fontId="9" numFmtId="168" xfId="0" applyAlignment="1" applyBorder="1" applyFont="1" applyNumberFormat="1">
      <alignment readingOrder="0" vertical="bottom"/>
    </xf>
    <xf borderId="16" fillId="8" fontId="9" numFmtId="0" xfId="0" applyAlignment="1" applyBorder="1" applyFont="1">
      <alignment horizontal="center" readingOrder="0"/>
    </xf>
    <xf borderId="5" fillId="0" fontId="13" numFmtId="0" xfId="0" applyAlignment="1" applyBorder="1" applyFont="1">
      <alignment horizontal="left" readingOrder="0" shrinkToFit="0" vertical="bottom" wrapText="1"/>
    </xf>
    <xf quotePrefix="1" borderId="5" fillId="0" fontId="13" numFmtId="0" xfId="0" applyAlignment="1" applyBorder="1" applyFont="1">
      <alignment horizontal="left" readingOrder="0" shrinkToFit="0" vertical="bottom" wrapText="1"/>
    </xf>
    <xf borderId="16" fillId="13" fontId="38" numFmtId="0" xfId="0" applyAlignment="1" applyBorder="1" applyFont="1">
      <alignment horizontal="left" readingOrder="0"/>
    </xf>
    <xf borderId="12" fillId="7" fontId="9" numFmtId="164" xfId="0" applyAlignment="1" applyBorder="1" applyFont="1" applyNumberFormat="1">
      <alignment horizontal="center" readingOrder="0" vertical="center"/>
    </xf>
    <xf borderId="0" fillId="7" fontId="13" numFmtId="164" xfId="0" applyFont="1" applyNumberFormat="1"/>
    <xf borderId="12" fillId="33" fontId="9" numFmtId="0" xfId="0" applyAlignment="1" applyBorder="1" applyFont="1">
      <alignment readingOrder="0" vertical="center"/>
    </xf>
    <xf borderId="5" fillId="33" fontId="9" numFmtId="0" xfId="0" applyAlignment="1" applyBorder="1" applyFont="1">
      <alignment readingOrder="0" vertical="center"/>
    </xf>
    <xf borderId="5" fillId="0" fontId="13" numFmtId="0" xfId="0" applyAlignment="1" applyBorder="1" applyFont="1">
      <alignment horizontal="center" readingOrder="0" shrinkToFit="0" vertical="bottom" wrapText="1"/>
    </xf>
    <xf borderId="16" fillId="13" fontId="13" numFmtId="0" xfId="0" applyAlignment="1" applyBorder="1" applyFont="1">
      <alignment horizontal="center" readingOrder="0"/>
    </xf>
    <xf borderId="5" fillId="0" fontId="9" numFmtId="0" xfId="0" applyAlignment="1" applyBorder="1" applyFont="1">
      <alignment readingOrder="0" vertical="bottom"/>
    </xf>
    <xf quotePrefix="1" borderId="5" fillId="0" fontId="9" numFmtId="0" xfId="0" applyAlignment="1" applyBorder="1" applyFont="1">
      <alignment readingOrder="0" vertical="bottom"/>
    </xf>
    <xf borderId="5" fillId="33" fontId="9" numFmtId="0" xfId="0" applyAlignment="1" applyBorder="1" applyFont="1">
      <alignment horizontal="center" readingOrder="0" vertical="center"/>
    </xf>
    <xf borderId="0" fillId="0" fontId="51" numFmtId="0" xfId="0" applyAlignment="1" applyFont="1">
      <alignment readingOrder="0" shrinkToFit="0" wrapText="1"/>
    </xf>
    <xf borderId="0" fillId="0" fontId="53" numFmtId="0" xfId="0" applyAlignment="1" applyFont="1">
      <alignment readingOrder="0"/>
    </xf>
    <xf borderId="8" fillId="7" fontId="9" numFmtId="164" xfId="0" applyAlignment="1" applyBorder="1" applyFont="1" applyNumberFormat="1">
      <alignment horizontal="center" readingOrder="0" vertical="center"/>
    </xf>
    <xf borderId="0" fillId="8" fontId="6" numFmtId="165" xfId="0" applyAlignment="1" applyFont="1" applyNumberFormat="1">
      <alignment vertical="center"/>
    </xf>
    <xf borderId="12" fillId="4" fontId="9" numFmtId="0" xfId="0" applyAlignment="1" applyBorder="1" applyFont="1">
      <alignment horizontal="center" readingOrder="0" vertical="center"/>
    </xf>
    <xf borderId="12" fillId="4" fontId="9" numFmtId="168" xfId="0" applyAlignment="1" applyBorder="1" applyFont="1" applyNumberFormat="1">
      <alignment horizontal="center" readingOrder="0" vertical="center"/>
    </xf>
    <xf borderId="17" fillId="4" fontId="9" numFmtId="0" xfId="0" applyAlignment="1" applyBorder="1" applyFont="1">
      <alignment horizontal="center" readingOrder="0" vertical="center"/>
    </xf>
    <xf borderId="12" fillId="4" fontId="9" numFmtId="0" xfId="0" applyAlignment="1" applyBorder="1" applyFont="1">
      <alignment readingOrder="0" vertical="center"/>
    </xf>
    <xf quotePrefix="1" borderId="12" fillId="4" fontId="9" numFmtId="0" xfId="0" applyAlignment="1" applyBorder="1" applyFont="1">
      <alignment readingOrder="0" vertical="center"/>
    </xf>
    <xf borderId="12" fillId="4" fontId="9" numFmtId="0" xfId="0" applyAlignment="1" applyBorder="1" applyFont="1">
      <alignment readingOrder="0" shrinkToFit="0" vertical="center" wrapText="1"/>
    </xf>
    <xf borderId="12" fillId="4" fontId="9" numFmtId="0" xfId="0" applyAlignment="1" applyBorder="1" applyFont="1">
      <alignment horizontal="left" readingOrder="0" shrinkToFit="0" vertical="center" wrapText="1"/>
    </xf>
    <xf borderId="12" fillId="4" fontId="9" numFmtId="0" xfId="0" applyAlignment="1" applyBorder="1" applyFont="1">
      <alignment horizontal="center" readingOrder="0" shrinkToFit="0" vertical="center" wrapText="1"/>
    </xf>
    <xf borderId="8" fillId="4" fontId="9" numFmtId="164" xfId="0" applyAlignment="1" applyBorder="1" applyFont="1" applyNumberFormat="1">
      <alignment horizontal="center" readingOrder="0" vertical="center"/>
    </xf>
    <xf borderId="48" fillId="4" fontId="9" numFmtId="164" xfId="0" applyAlignment="1" applyBorder="1" applyFont="1" applyNumberFormat="1">
      <alignment horizontal="center" vertical="center"/>
    </xf>
    <xf borderId="12" fillId="4" fontId="9" numFmtId="165" xfId="0" applyAlignment="1" applyBorder="1" applyFont="1" applyNumberFormat="1">
      <alignment shrinkToFit="0" vertical="center" wrapText="1"/>
    </xf>
    <xf borderId="15" fillId="4" fontId="23" numFmtId="0" xfId="0" applyAlignment="1" applyBorder="1" applyFont="1">
      <alignment vertical="center"/>
    </xf>
    <xf borderId="15" fillId="4" fontId="9" numFmtId="3" xfId="0" applyAlignment="1" applyBorder="1" applyFont="1" applyNumberFormat="1">
      <alignment vertical="center"/>
    </xf>
    <xf borderId="15" fillId="4" fontId="9" numFmtId="165" xfId="0" applyAlignment="1" applyBorder="1" applyFont="1" applyNumberFormat="1">
      <alignment shrinkToFit="0" vertical="center" wrapText="1"/>
    </xf>
    <xf borderId="15" fillId="4" fontId="9" numFmtId="164" xfId="0" applyAlignment="1" applyBorder="1" applyFont="1" applyNumberFormat="1">
      <alignment horizontal="center" readingOrder="0" vertical="center"/>
    </xf>
    <xf borderId="15" fillId="4" fontId="9" numFmtId="3" xfId="0" applyAlignment="1" applyBorder="1" applyFont="1" applyNumberFormat="1">
      <alignment horizontal="center" readingOrder="0" vertical="center"/>
    </xf>
    <xf borderId="15" fillId="4" fontId="9" numFmtId="164" xfId="0" applyAlignment="1" applyBorder="1" applyFont="1" applyNumberFormat="1">
      <alignment readingOrder="0" vertical="center"/>
    </xf>
    <xf borderId="15" fillId="4" fontId="9" numFmtId="0" xfId="0" applyAlignment="1" applyBorder="1" applyFont="1">
      <alignment readingOrder="0" vertical="center"/>
    </xf>
    <xf borderId="15" fillId="4" fontId="9" numFmtId="0" xfId="0" applyAlignment="1" applyBorder="1" applyFont="1">
      <alignment horizontal="center" readingOrder="0" vertical="center"/>
    </xf>
    <xf borderId="0" fillId="8" fontId="23" numFmtId="165" xfId="0" applyAlignment="1" applyFont="1" applyNumberFormat="1">
      <alignment vertical="center"/>
    </xf>
    <xf borderId="48" fillId="8" fontId="9" numFmtId="164" xfId="0" applyAlignment="1" applyBorder="1" applyFont="1" applyNumberFormat="1">
      <alignment horizontal="center" vertical="center"/>
    </xf>
    <xf borderId="14" fillId="0" fontId="23" numFmtId="0" xfId="0" applyAlignment="1" applyBorder="1" applyFont="1">
      <alignment vertical="center"/>
    </xf>
    <xf borderId="14" fillId="5" fontId="9" numFmtId="3" xfId="0" applyAlignment="1" applyBorder="1" applyFont="1" applyNumberFormat="1">
      <alignment vertical="center"/>
    </xf>
    <xf borderId="14" fillId="8" fontId="13" numFmtId="165" xfId="0" applyAlignment="1" applyBorder="1" applyFont="1" applyNumberFormat="1">
      <alignment shrinkToFit="0" vertical="center" wrapText="1"/>
    </xf>
    <xf borderId="14" fillId="10" fontId="9" numFmtId="164" xfId="0" applyAlignment="1" applyBorder="1" applyFont="1" applyNumberFormat="1">
      <alignment horizontal="center" readingOrder="0" vertical="center"/>
    </xf>
    <xf borderId="14" fillId="0" fontId="9" numFmtId="3" xfId="0" applyAlignment="1" applyBorder="1" applyFont="1" applyNumberFormat="1">
      <alignment horizontal="center" readingOrder="0" vertical="center"/>
    </xf>
    <xf borderId="14" fillId="12" fontId="9" numFmtId="164" xfId="0" applyAlignment="1" applyBorder="1" applyFont="1" applyNumberFormat="1">
      <alignment readingOrder="0" vertical="center"/>
    </xf>
    <xf borderId="14" fillId="12" fontId="9" numFmtId="164" xfId="0" applyAlignment="1" applyBorder="1" applyFont="1" applyNumberFormat="1">
      <alignment horizontal="center" readingOrder="0" vertical="center"/>
    </xf>
    <xf borderId="14" fillId="0" fontId="9" numFmtId="0" xfId="0" applyAlignment="1" applyBorder="1" applyFont="1">
      <alignment readingOrder="0" vertical="center"/>
    </xf>
    <xf borderId="14" fillId="33" fontId="9" numFmtId="0" xfId="0" applyAlignment="1" applyBorder="1" applyFont="1">
      <alignment readingOrder="0" vertical="center"/>
    </xf>
    <xf borderId="15" fillId="0" fontId="23" numFmtId="0" xfId="0" applyAlignment="1" applyBorder="1" applyFont="1">
      <alignment vertical="center"/>
    </xf>
    <xf borderId="15" fillId="5" fontId="9" numFmtId="3" xfId="0" applyAlignment="1" applyBorder="1" applyFont="1" applyNumberFormat="1">
      <alignment vertical="center"/>
    </xf>
    <xf borderId="15" fillId="10" fontId="9" numFmtId="164" xfId="0" applyAlignment="1" applyBorder="1" applyFont="1" applyNumberFormat="1">
      <alignment horizontal="center" readingOrder="0" vertical="center"/>
    </xf>
    <xf borderId="15" fillId="0" fontId="9" numFmtId="3" xfId="0" applyAlignment="1" applyBorder="1" applyFont="1" applyNumberFormat="1">
      <alignment horizontal="center" readingOrder="0" vertical="center"/>
    </xf>
    <xf borderId="15" fillId="12" fontId="9" numFmtId="164" xfId="0" applyAlignment="1" applyBorder="1" applyFont="1" applyNumberFormat="1">
      <alignment readingOrder="0" vertical="center"/>
    </xf>
    <xf borderId="15" fillId="12" fontId="9" numFmtId="164" xfId="0" applyAlignment="1" applyBorder="1" applyFont="1" applyNumberFormat="1">
      <alignment horizontal="center" readingOrder="0" vertical="center"/>
    </xf>
    <xf borderId="15" fillId="0" fontId="9" numFmtId="0" xfId="0" applyAlignment="1" applyBorder="1" applyFont="1">
      <alignment readingOrder="0" vertical="center"/>
    </xf>
    <xf borderId="15" fillId="33" fontId="9" numFmtId="0" xfId="0" applyAlignment="1" applyBorder="1" applyFont="1">
      <alignment readingOrder="0" vertical="center"/>
    </xf>
    <xf borderId="14" fillId="33" fontId="9" numFmtId="0" xfId="0" applyAlignment="1" applyBorder="1" applyFont="1">
      <alignment horizontal="center" readingOrder="0" vertical="center"/>
    </xf>
    <xf borderId="12" fillId="0" fontId="48" numFmtId="0" xfId="0" applyAlignment="1" applyBorder="1" applyFont="1">
      <alignment horizontal="center" readingOrder="0" shrinkToFit="0" vertical="center" wrapText="1"/>
    </xf>
    <xf quotePrefix="1" borderId="12" fillId="0" fontId="9" numFmtId="0" xfId="0" applyAlignment="1" applyBorder="1" applyFont="1">
      <alignment readingOrder="0" shrinkToFit="0" vertical="center" wrapText="1"/>
    </xf>
    <xf borderId="15" fillId="33" fontId="9" numFmtId="0" xfId="0" applyAlignment="1" applyBorder="1" applyFont="1">
      <alignment horizontal="center" readingOrder="0" vertical="center"/>
    </xf>
    <xf quotePrefix="1" borderId="5" fillId="0" fontId="9" numFmtId="0" xfId="0" applyAlignment="1" applyBorder="1" applyFont="1">
      <alignment readingOrder="0" shrinkToFit="0" vertical="center" wrapText="1"/>
    </xf>
    <xf borderId="5" fillId="4" fontId="9" numFmtId="0" xfId="0" applyAlignment="1" applyBorder="1" applyFont="1">
      <alignment horizontal="center" readingOrder="0" vertical="center"/>
    </xf>
    <xf borderId="5" fillId="4" fontId="9" numFmtId="168" xfId="0" applyAlignment="1" applyBorder="1" applyFont="1" applyNumberFormat="1">
      <alignment horizontal="center" readingOrder="0" vertical="center"/>
    </xf>
    <xf borderId="16" fillId="4" fontId="9" numFmtId="0" xfId="0" applyAlignment="1" applyBorder="1" applyFont="1">
      <alignment horizontal="center" readingOrder="0" vertical="center"/>
    </xf>
    <xf borderId="5" fillId="4" fontId="9" numFmtId="0" xfId="0" applyAlignment="1" applyBorder="1" applyFont="1">
      <alignment readingOrder="0" vertical="center"/>
    </xf>
    <xf quotePrefix="1" borderId="5" fillId="4" fontId="9" numFmtId="0" xfId="0" applyAlignment="1" applyBorder="1" applyFont="1">
      <alignment readingOrder="0" vertical="center"/>
    </xf>
    <xf borderId="5" fillId="4" fontId="9" numFmtId="0" xfId="0" applyAlignment="1" applyBorder="1" applyFont="1">
      <alignment readingOrder="0" shrinkToFit="0" vertical="center" wrapText="1"/>
    </xf>
    <xf borderId="12" fillId="4" fontId="13" numFmtId="0" xfId="0" applyAlignment="1" applyBorder="1" applyFont="1">
      <alignment horizontal="left" readingOrder="0" shrinkToFit="0" vertical="center" wrapText="1"/>
    </xf>
    <xf borderId="5" fillId="4" fontId="13" numFmtId="0" xfId="0" applyAlignment="1" applyBorder="1" applyFont="1">
      <alignment horizontal="center" readingOrder="0" shrinkToFit="0" vertical="center" wrapText="1"/>
    </xf>
    <xf borderId="23" fillId="4" fontId="9" numFmtId="164" xfId="0" applyAlignment="1" applyBorder="1" applyFont="1" applyNumberFormat="1">
      <alignment horizontal="center" readingOrder="0" vertical="center"/>
    </xf>
    <xf borderId="0" fillId="4" fontId="9" numFmtId="164" xfId="0" applyAlignment="1" applyFont="1" applyNumberFormat="1">
      <alignment horizontal="center" vertical="center"/>
    </xf>
    <xf borderId="5" fillId="4" fontId="9" numFmtId="165" xfId="0" applyAlignment="1" applyBorder="1" applyFont="1" applyNumberFormat="1">
      <alignment shrinkToFit="0" vertical="center" wrapText="1"/>
    </xf>
    <xf borderId="14" fillId="4" fontId="23" numFmtId="0" xfId="0" applyAlignment="1" applyBorder="1" applyFont="1">
      <alignment vertical="center"/>
    </xf>
    <xf borderId="14" fillId="4" fontId="9" numFmtId="3" xfId="0" applyAlignment="1" applyBorder="1" applyFont="1" applyNumberFormat="1">
      <alignment vertical="center"/>
    </xf>
    <xf borderId="5" fillId="4" fontId="13" numFmtId="165" xfId="0" applyAlignment="1" applyBorder="1" applyFont="1" applyNumberFormat="1">
      <alignment shrinkToFit="0" vertical="center" wrapText="1"/>
    </xf>
    <xf borderId="14" fillId="4" fontId="9" numFmtId="164" xfId="0" applyAlignment="1" applyBorder="1" applyFont="1" applyNumberFormat="1">
      <alignment horizontal="center" readingOrder="0" vertical="center"/>
    </xf>
    <xf borderId="5" fillId="4" fontId="9" numFmtId="164" xfId="0" applyAlignment="1" applyBorder="1" applyFont="1" applyNumberFormat="1">
      <alignment horizontal="center" readingOrder="0" vertical="center"/>
    </xf>
    <xf borderId="14" fillId="4" fontId="9" numFmtId="3" xfId="0" applyAlignment="1" applyBorder="1" applyFont="1" applyNumberFormat="1">
      <alignment horizontal="center" readingOrder="0" vertical="center"/>
    </xf>
    <xf borderId="14" fillId="4" fontId="9" numFmtId="164" xfId="0" applyAlignment="1" applyBorder="1" applyFont="1" applyNumberFormat="1">
      <alignment readingOrder="0" vertical="center"/>
    </xf>
    <xf borderId="14" fillId="4" fontId="9" numFmtId="0" xfId="0" applyAlignment="1" applyBorder="1" applyFont="1">
      <alignment readingOrder="0" vertical="center"/>
    </xf>
    <xf borderId="14" fillId="4" fontId="9" numFmtId="0" xfId="0" applyAlignment="1" applyBorder="1" applyFont="1">
      <alignment horizontal="center" readingOrder="0" vertical="center"/>
    </xf>
    <xf borderId="0" fillId="4" fontId="8" numFmtId="0" xfId="0" applyAlignment="1" applyFont="1">
      <alignment vertical="center"/>
    </xf>
    <xf borderId="0" fillId="4" fontId="6" numFmtId="0" xfId="0" applyAlignment="1" applyFont="1">
      <alignment vertical="center"/>
    </xf>
    <xf borderId="0" fillId="4" fontId="6" numFmtId="165" xfId="0" applyAlignment="1" applyFont="1" applyNumberFormat="1">
      <alignment vertical="center"/>
    </xf>
    <xf borderId="0" fillId="4" fontId="10" numFmtId="0" xfId="0" applyAlignment="1" applyFont="1">
      <alignment vertical="center"/>
    </xf>
    <xf borderId="12" fillId="4" fontId="9" numFmtId="164" xfId="0" applyAlignment="1" applyBorder="1" applyFont="1" applyNumberFormat="1">
      <alignment horizontal="left" readingOrder="0" vertical="center"/>
    </xf>
    <xf borderId="48" fillId="0" fontId="2" numFmtId="0" xfId="0" applyBorder="1" applyFont="1"/>
    <xf borderId="12" fillId="0" fontId="9" numFmtId="0" xfId="0" applyAlignment="1" applyBorder="1" applyFont="1">
      <alignment horizontal="center" readingOrder="0" vertical="bottom"/>
    </xf>
    <xf borderId="12" fillId="0" fontId="9" numFmtId="168" xfId="0" applyAlignment="1" applyBorder="1" applyFont="1" applyNumberFormat="1">
      <alignment horizontal="center" readingOrder="0" vertical="bottom"/>
    </xf>
    <xf borderId="12" fillId="8" fontId="9" numFmtId="1" xfId="0" applyAlignment="1" applyBorder="1" applyFont="1" applyNumberFormat="1">
      <alignment horizontal="left" readingOrder="0"/>
    </xf>
    <xf quotePrefix="1" borderId="12" fillId="0" fontId="9" numFmtId="0" xfId="0" applyAlignment="1" applyBorder="1" applyFont="1">
      <alignment horizontal="left" readingOrder="0" vertical="center"/>
    </xf>
    <xf borderId="12" fillId="0" fontId="9" numFmtId="0" xfId="0" applyAlignment="1" applyBorder="1" applyFont="1">
      <alignment readingOrder="0" shrinkToFit="0" vertical="bottom" wrapText="1"/>
    </xf>
    <xf borderId="48" fillId="0" fontId="9" numFmtId="164" xfId="0" applyAlignment="1" applyBorder="1" applyFont="1" applyNumberFormat="1">
      <alignment horizontal="center" shrinkToFit="0" vertical="center" wrapText="1"/>
    </xf>
    <xf borderId="15" fillId="0" fontId="9" numFmtId="164" xfId="0" applyAlignment="1" applyBorder="1" applyFont="1" applyNumberFormat="1">
      <alignment horizontal="center" shrinkToFit="0" vertical="center" wrapText="1"/>
    </xf>
    <xf borderId="15" fillId="0" fontId="9" numFmtId="164" xfId="0" applyAlignment="1" applyBorder="1" applyFont="1" applyNumberFormat="1">
      <alignment horizontal="center" readingOrder="0" shrinkToFit="0" vertical="center" wrapText="1"/>
    </xf>
    <xf borderId="5" fillId="0" fontId="9" numFmtId="168" xfId="0" applyAlignment="1" applyBorder="1" applyFont="1" applyNumberFormat="1">
      <alignment horizontal="center" readingOrder="0" vertical="bottom"/>
    </xf>
    <xf borderId="5" fillId="8" fontId="9" numFmtId="1" xfId="0" applyAlignment="1" applyBorder="1" applyFont="1" applyNumberFormat="1">
      <alignment horizontal="left" readingOrder="0"/>
    </xf>
    <xf quotePrefix="1" borderId="5" fillId="0" fontId="9" numFmtId="0" xfId="0" applyAlignment="1" applyBorder="1" applyFont="1">
      <alignment horizontal="left" readingOrder="0" vertical="center"/>
    </xf>
    <xf borderId="14" fillId="0" fontId="9" numFmtId="164" xfId="0" applyAlignment="1" applyBorder="1" applyFont="1" applyNumberFormat="1">
      <alignment horizontal="center" shrinkToFit="0" vertical="center" wrapText="1"/>
    </xf>
    <xf borderId="14" fillId="0" fontId="9" numFmtId="164" xfId="0" applyAlignment="1" applyBorder="1" applyFont="1" applyNumberFormat="1">
      <alignment horizontal="center" readingOrder="0" shrinkToFit="0" vertical="center" wrapText="1"/>
    </xf>
    <xf borderId="5" fillId="8" fontId="9" numFmtId="164" xfId="0" applyAlignment="1" applyBorder="1" applyFont="1" applyNumberFormat="1">
      <alignment readingOrder="0" vertical="center"/>
    </xf>
    <xf borderId="12" fillId="4" fontId="9" numFmtId="1" xfId="0" applyAlignment="1" applyBorder="1" applyFont="1" applyNumberFormat="1">
      <alignment horizontal="left" readingOrder="0" vertical="center"/>
    </xf>
    <xf quotePrefix="1" borderId="12" fillId="4" fontId="9" numFmtId="0" xfId="0" applyAlignment="1" applyBorder="1" applyFont="1">
      <alignment horizontal="left" readingOrder="0" vertical="center"/>
    </xf>
    <xf borderId="12" fillId="4" fontId="9" numFmtId="164" xfId="0" applyAlignment="1" applyBorder="1" applyFont="1" applyNumberFormat="1">
      <alignment horizontal="center" readingOrder="0" vertical="center"/>
    </xf>
    <xf borderId="48" fillId="4" fontId="7" numFmtId="164" xfId="0" applyAlignment="1" applyBorder="1" applyFont="1" applyNumberFormat="1">
      <alignment horizontal="center" shrinkToFit="0" vertical="center" wrapText="1"/>
    </xf>
    <xf borderId="15" fillId="4" fontId="7" numFmtId="164" xfId="0" applyAlignment="1" applyBorder="1" applyFont="1" applyNumberFormat="1">
      <alignment horizontal="center" shrinkToFit="0" vertical="center" wrapText="1"/>
    </xf>
    <xf borderId="15" fillId="4" fontId="9" numFmtId="3" xfId="0" applyAlignment="1" applyBorder="1" applyFont="1" applyNumberFormat="1">
      <alignment horizontal="right" readingOrder="0" shrinkToFit="0" vertical="center" wrapText="1"/>
    </xf>
    <xf borderId="12" fillId="4" fontId="9" numFmtId="164" xfId="0" applyAlignment="1" applyBorder="1" applyFont="1" applyNumberFormat="1">
      <alignment readingOrder="0" vertical="center"/>
    </xf>
    <xf borderId="15" fillId="4" fontId="9" numFmtId="164" xfId="0" applyAlignment="1" applyBorder="1" applyFont="1" applyNumberFormat="1">
      <alignment horizontal="center" readingOrder="0" shrinkToFit="0" vertical="center" wrapText="1"/>
    </xf>
    <xf borderId="5" fillId="0" fontId="9" numFmtId="1" xfId="0" applyAlignment="1" applyBorder="1" applyFont="1" applyNumberFormat="1">
      <alignment horizontal="left" readingOrder="0" vertical="center"/>
    </xf>
    <xf borderId="14" fillId="11" fontId="9" numFmtId="164" xfId="0" applyAlignment="1" applyBorder="1" applyFont="1" applyNumberFormat="1">
      <alignment horizontal="center" shrinkToFit="0" vertical="center" wrapText="1"/>
    </xf>
    <xf borderId="12" fillId="8" fontId="13" numFmtId="1" xfId="0" applyAlignment="1" applyBorder="1" applyFont="1" applyNumberFormat="1">
      <alignment horizontal="left" readingOrder="0"/>
    </xf>
    <xf borderId="15" fillId="0" fontId="9" numFmtId="164" xfId="0" applyAlignment="1" applyBorder="1" applyFont="1" applyNumberFormat="1">
      <alignment horizontal="left" readingOrder="0" shrinkToFit="0" vertical="center" wrapText="1"/>
    </xf>
    <xf borderId="12" fillId="11" fontId="9" numFmtId="164" xfId="0" applyAlignment="1" applyBorder="1" applyFont="1" applyNumberFormat="1">
      <alignment horizontal="center" shrinkToFit="0" vertical="center" wrapText="1"/>
    </xf>
    <xf borderId="12" fillId="8" fontId="9" numFmtId="164" xfId="0" applyAlignment="1" applyBorder="1" applyFont="1" applyNumberFormat="1">
      <alignment horizontal="left" readingOrder="0" vertical="center"/>
    </xf>
    <xf borderId="15" fillId="0" fontId="9" numFmtId="164" xfId="0" applyAlignment="1" applyBorder="1" applyFont="1" applyNumberFormat="1">
      <alignment horizontal="left" shrinkToFit="0" vertical="center" wrapText="1"/>
    </xf>
    <xf borderId="0" fillId="0" fontId="6" numFmtId="165" xfId="0" applyAlignment="1" applyFont="1" applyNumberFormat="1">
      <alignment horizontal="left" vertical="center"/>
    </xf>
    <xf borderId="0" fillId="0" fontId="19" numFmtId="0" xfId="0" applyAlignment="1" applyFont="1">
      <alignment horizontal="left" vertical="center"/>
    </xf>
    <xf borderId="12" fillId="13" fontId="9" numFmtId="1" xfId="0" applyAlignment="1" applyBorder="1" applyFont="1" applyNumberFormat="1">
      <alignment horizontal="left" readingOrder="0"/>
    </xf>
    <xf borderId="12" fillId="0" fontId="9" numFmtId="1" xfId="0" applyAlignment="1" applyBorder="1" applyFont="1" applyNumberFormat="1">
      <alignment horizontal="left" readingOrder="0" vertical="center"/>
    </xf>
    <xf quotePrefix="1" borderId="12" fillId="0" fontId="9" numFmtId="0" xfId="0" applyAlignment="1" applyBorder="1" applyFont="1">
      <alignment horizontal="left" readingOrder="0" shrinkToFit="0" vertical="center" wrapText="1"/>
    </xf>
    <xf borderId="8" fillId="7" fontId="9" numFmtId="164" xfId="0" applyAlignment="1" applyBorder="1" applyFont="1" applyNumberFormat="1">
      <alignment horizontal="left" readingOrder="0" vertical="center"/>
    </xf>
    <xf borderId="48" fillId="0" fontId="9" numFmtId="164" xfId="0" applyAlignment="1" applyBorder="1" applyFont="1" applyNumberFormat="1">
      <alignment horizontal="left" shrinkToFit="0" vertical="center" wrapText="1"/>
    </xf>
    <xf borderId="12" fillId="11" fontId="9" numFmtId="164" xfId="0" applyAlignment="1" applyBorder="1" applyFont="1" applyNumberFormat="1">
      <alignment horizontal="left" shrinkToFit="0" vertical="center" wrapText="1"/>
    </xf>
    <xf borderId="0" fillId="0" fontId="23" numFmtId="165" xfId="0" applyAlignment="1" applyFont="1" applyNumberFormat="1">
      <alignment horizontal="left" vertical="center"/>
    </xf>
    <xf borderId="5" fillId="0" fontId="9" numFmtId="168" xfId="0" applyAlignment="1" applyBorder="1" applyFont="1" applyNumberFormat="1">
      <alignment horizontal="left" readingOrder="0" vertical="center"/>
    </xf>
    <xf borderId="5" fillId="0" fontId="9" numFmtId="1" xfId="0" applyAlignment="1" applyBorder="1" applyFont="1" applyNumberFormat="1">
      <alignment horizontal="left" readingOrder="0" vertical="center"/>
    </xf>
    <xf borderId="8" fillId="0" fontId="9" numFmtId="164" xfId="0" applyAlignment="1" applyBorder="1" applyFont="1" applyNumberFormat="1">
      <alignment horizontal="left" readingOrder="0" vertical="center"/>
    </xf>
    <xf borderId="14" fillId="0" fontId="9" numFmtId="164" xfId="0" applyAlignment="1" applyBorder="1" applyFont="1" applyNumberFormat="1">
      <alignment horizontal="left" shrinkToFit="0" vertical="center" wrapText="1"/>
    </xf>
    <xf borderId="5" fillId="11" fontId="9" numFmtId="164" xfId="0" applyAlignment="1" applyBorder="1" applyFont="1" applyNumberFormat="1">
      <alignment horizontal="left" shrinkToFit="0" vertical="center" wrapText="1"/>
    </xf>
    <xf borderId="5" fillId="8" fontId="9" numFmtId="164" xfId="0" applyAlignment="1" applyBorder="1" applyFont="1" applyNumberFormat="1">
      <alignment horizontal="left" readingOrder="0" vertical="center"/>
    </xf>
    <xf borderId="14" fillId="0" fontId="9" numFmtId="164" xfId="0" applyAlignment="1" applyBorder="1" applyFont="1" applyNumberFormat="1">
      <alignment horizontal="left" readingOrder="0" shrinkToFit="0" vertical="center" wrapText="1"/>
    </xf>
    <xf borderId="0" fillId="0" fontId="9" numFmtId="165" xfId="0" applyAlignment="1" applyFont="1" applyNumberFormat="1">
      <alignment horizontal="left" vertical="center"/>
    </xf>
    <xf borderId="12" fillId="0" fontId="9" numFmtId="168" xfId="0" applyAlignment="1" applyBorder="1" applyFont="1" applyNumberFormat="1">
      <alignment horizontal="left" readingOrder="0" vertical="center"/>
    </xf>
    <xf borderId="0" fillId="8" fontId="13" numFmtId="1" xfId="0" applyAlignment="1" applyFont="1" applyNumberFormat="1">
      <alignment horizontal="left" readingOrder="0"/>
    </xf>
    <xf borderId="8" fillId="0" fontId="17" numFmtId="164" xfId="0" applyAlignment="1" applyBorder="1" applyFont="1" applyNumberFormat="1">
      <alignment horizontal="center" vertical="center"/>
    </xf>
    <xf borderId="48" fillId="0" fontId="17" numFmtId="164" xfId="0" applyAlignment="1" applyBorder="1" applyFont="1" applyNumberFormat="1">
      <alignment horizontal="center" shrinkToFit="0" vertical="center" wrapText="1"/>
    </xf>
    <xf borderId="7" fillId="0" fontId="17" numFmtId="164" xfId="0" applyAlignment="1" applyBorder="1" applyFont="1" applyNumberFormat="1">
      <alignment horizontal="center" vertical="center"/>
    </xf>
    <xf borderId="12" fillId="0" fontId="7" numFmtId="164" xfId="0" applyAlignment="1" applyBorder="1" applyFont="1" applyNumberFormat="1">
      <alignment horizontal="center" shrinkToFit="0" vertical="center" wrapText="1"/>
    </xf>
    <xf borderId="0" fillId="13" fontId="9" numFmtId="165" xfId="0" applyAlignment="1" applyFont="1" applyNumberFormat="1">
      <alignment shrinkToFit="0" vertical="center" wrapText="1"/>
    </xf>
    <xf borderId="12" fillId="16" fontId="17" numFmtId="164" xfId="0" applyAlignment="1" applyBorder="1" applyFont="1" applyNumberFormat="1">
      <alignment horizontal="center" shrinkToFit="0" vertical="center" wrapText="1"/>
    </xf>
    <xf borderId="0" fillId="0" fontId="7" numFmtId="164" xfId="0" applyAlignment="1" applyFont="1" applyNumberFormat="1">
      <alignment readingOrder="0" shrinkToFit="0" vertical="center" wrapText="1"/>
    </xf>
    <xf borderId="12" fillId="0" fontId="22" numFmtId="164" xfId="0" applyAlignment="1" applyBorder="1" applyFont="1" applyNumberFormat="1">
      <alignment horizontal="center" shrinkToFit="0" vertical="center" wrapText="1"/>
    </xf>
    <xf borderId="22" fillId="18" fontId="7" numFmtId="165" xfId="0" applyAlignment="1" applyBorder="1" applyFont="1" applyNumberFormat="1">
      <alignment horizontal="center" readingOrder="0" vertical="center"/>
    </xf>
    <xf borderId="12" fillId="18" fontId="7" numFmtId="165" xfId="0" applyAlignment="1" applyBorder="1" applyFont="1" applyNumberFormat="1">
      <alignment horizontal="center" readingOrder="0" shrinkToFit="0" vertical="center" wrapText="1"/>
    </xf>
    <xf borderId="5" fillId="0" fontId="7" numFmtId="0" xfId="0" applyAlignment="1" applyBorder="1" applyFont="1">
      <alignment horizontal="center" readingOrder="0" shrinkToFit="0" vertical="center" wrapText="1"/>
    </xf>
    <xf borderId="6" fillId="21" fontId="7" numFmtId="0" xfId="0" applyAlignment="1" applyBorder="1" applyFont="1">
      <alignment horizontal="center" readingOrder="0" vertical="center"/>
    </xf>
    <xf borderId="6" fillId="31" fontId="7" numFmtId="14" xfId="0" applyAlignment="1" applyBorder="1" applyFont="1" applyNumberFormat="1">
      <alignment horizontal="center" vertical="center"/>
    </xf>
    <xf borderId="6" fillId="31" fontId="12" numFmtId="0" xfId="0" applyAlignment="1" applyBorder="1" applyFont="1">
      <alignment horizontal="center" readingOrder="0" vertical="center"/>
    </xf>
    <xf borderId="22" fillId="31" fontId="13" numFmtId="164" xfId="0" applyAlignment="1" applyBorder="1" applyFont="1" applyNumberFormat="1">
      <alignment vertical="center"/>
    </xf>
    <xf quotePrefix="1" borderId="12" fillId="0" fontId="13" numFmtId="0" xfId="0" applyAlignment="1" applyBorder="1" applyFont="1">
      <alignment horizontal="left" readingOrder="0" shrinkToFit="0" vertical="center" wrapText="1"/>
    </xf>
    <xf borderId="12" fillId="13" fontId="9" numFmtId="1" xfId="0" applyAlignment="1" applyBorder="1" applyFont="1" applyNumberFormat="1">
      <alignment horizontal="center" readingOrder="0" vertical="center"/>
    </xf>
    <xf quotePrefix="1" borderId="12" fillId="8" fontId="13" numFmtId="0" xfId="0" applyAlignment="1" applyBorder="1" applyFont="1">
      <alignment horizontal="left" readingOrder="0" shrinkToFit="0" vertical="center" wrapText="1"/>
    </xf>
    <xf borderId="47" fillId="8" fontId="14" numFmtId="168" xfId="0" applyAlignment="1" applyBorder="1" applyFont="1" applyNumberFormat="1">
      <alignment horizontal="center" readingOrder="0" shrinkToFit="0" vertical="center" wrapText="1"/>
    </xf>
    <xf borderId="0" fillId="13" fontId="9" numFmtId="1" xfId="0" applyAlignment="1" applyFont="1" applyNumberFormat="1">
      <alignment horizontal="center" readingOrder="0" vertical="center"/>
    </xf>
    <xf quotePrefix="1" borderId="47" fillId="8" fontId="13" numFmtId="0" xfId="0" applyAlignment="1" applyBorder="1" applyFont="1">
      <alignment horizontal="left" readingOrder="0" shrinkToFit="0" vertical="center" wrapText="1"/>
    </xf>
    <xf borderId="47" fillId="8" fontId="13" numFmtId="1" xfId="0" applyAlignment="1" applyBorder="1" applyFont="1" applyNumberFormat="1">
      <alignment horizontal="left" readingOrder="0" shrinkToFit="0" vertical="center" wrapText="1"/>
    </xf>
    <xf borderId="11" fillId="8" fontId="14" numFmtId="3" xfId="0" applyAlignment="1" applyBorder="1" applyFont="1" applyNumberFormat="1">
      <alignment horizontal="center" readingOrder="0" shrinkToFit="0" vertical="center" wrapText="1"/>
    </xf>
    <xf borderId="18" fillId="24" fontId="36" numFmtId="0" xfId="0" applyAlignment="1" applyBorder="1" applyFont="1">
      <alignment horizontal="center" vertical="center"/>
    </xf>
    <xf borderId="49" fillId="0" fontId="2" numFmtId="0" xfId="0" applyBorder="1" applyFont="1"/>
    <xf borderId="0" fillId="0" fontId="11" numFmtId="0" xfId="0" applyAlignment="1" applyFont="1">
      <alignment readingOrder="0" vertical="center"/>
    </xf>
    <xf borderId="8" fillId="3" fontId="18" numFmtId="164" xfId="0" applyAlignment="1" applyBorder="1" applyFont="1" applyNumberFormat="1">
      <alignment horizontal="center" vertical="center"/>
    </xf>
    <xf borderId="0" fillId="8" fontId="9" numFmtId="0" xfId="0" applyAlignment="1" applyFont="1">
      <alignment horizontal="left" readingOrder="0" vertical="center"/>
    </xf>
    <xf borderId="8" fillId="8" fontId="13" numFmtId="164" xfId="0" applyAlignment="1" applyBorder="1" applyFont="1" applyNumberFormat="1">
      <alignment horizontal="center" readingOrder="0" shrinkToFit="0" vertical="center" wrapText="1"/>
    </xf>
    <xf quotePrefix="1" borderId="5" fillId="0" fontId="13" numFmtId="0" xfId="0" applyAlignment="1" applyBorder="1" applyFont="1">
      <alignment horizontal="left" readingOrder="0" shrinkToFit="0" vertical="center" wrapText="1"/>
    </xf>
    <xf borderId="12" fillId="8" fontId="13" numFmtId="1" xfId="0" applyAlignment="1" applyBorder="1" applyFont="1" applyNumberFormat="1">
      <alignment horizontal="left" readingOrder="0" shrinkToFit="0" vertical="center" wrapText="1"/>
    </xf>
    <xf borderId="5" fillId="8" fontId="13" numFmtId="164" xfId="0" applyAlignment="1" applyBorder="1" applyFont="1" applyNumberFormat="1">
      <alignment horizontal="center" readingOrder="0" shrinkToFit="0" vertical="center" wrapText="1"/>
    </xf>
    <xf borderId="0" fillId="0" fontId="54" numFmtId="0" xfId="0" applyAlignment="1" applyFont="1">
      <alignment vertical="center"/>
    </xf>
    <xf borderId="4" fillId="13" fontId="54" numFmtId="164" xfId="0" applyAlignment="1" applyBorder="1" applyFont="1" applyNumberFormat="1">
      <alignment horizontal="center" vertical="center"/>
    </xf>
    <xf borderId="12" fillId="0" fontId="9" numFmtId="14" xfId="0" applyAlignment="1" applyBorder="1" applyFont="1" applyNumberFormat="1">
      <alignment horizontal="center" vertical="center"/>
    </xf>
    <xf borderId="12" fillId="8" fontId="14" numFmtId="164" xfId="0" applyAlignment="1" applyBorder="1" applyFont="1" applyNumberFormat="1">
      <alignment vertical="center"/>
    </xf>
    <xf borderId="12" fillId="13" fontId="13" numFmtId="0" xfId="0" applyAlignment="1" applyBorder="1" applyFont="1">
      <alignment horizontal="center" shrinkToFit="0" vertical="center" wrapText="1"/>
    </xf>
    <xf borderId="15" fillId="10" fontId="9" numFmtId="164" xfId="0" applyAlignment="1" applyBorder="1" applyFont="1" applyNumberFormat="1">
      <alignment readingOrder="0" vertical="center"/>
    </xf>
    <xf borderId="12" fillId="8" fontId="13" numFmtId="14" xfId="0" applyAlignment="1" applyBorder="1" applyFont="1" applyNumberFormat="1">
      <alignment horizontal="center" shrinkToFit="0" vertical="center" wrapText="1"/>
    </xf>
    <xf borderId="12" fillId="0" fontId="48" numFmtId="0" xfId="0" applyAlignment="1" applyBorder="1" applyFont="1">
      <alignment horizontal="left" shrinkToFit="0" vertical="center" wrapText="1"/>
    </xf>
    <xf borderId="12" fillId="0" fontId="13" numFmtId="14" xfId="0" applyAlignment="1" applyBorder="1" applyFont="1" applyNumberFormat="1">
      <alignment horizontal="center" shrinkToFit="0" vertical="center" wrapText="1"/>
    </xf>
    <xf borderId="12" fillId="8" fontId="13" numFmtId="164" xfId="0" applyAlignment="1" applyBorder="1" applyFont="1" applyNumberFormat="1">
      <alignment horizontal="left" readingOrder="0" vertical="center"/>
    </xf>
    <xf quotePrefix="1" borderId="12" fillId="13" fontId="13" numFmtId="0" xfId="0" applyAlignment="1" applyBorder="1" applyFont="1">
      <alignment readingOrder="0" shrinkToFit="0" vertical="center" wrapText="1"/>
    </xf>
    <xf borderId="12" fillId="0" fontId="21" numFmtId="3" xfId="0" applyAlignment="1" applyBorder="1" applyFont="1" applyNumberFormat="1">
      <alignment horizontal="center" readingOrder="0" vertical="center"/>
    </xf>
    <xf borderId="12" fillId="0" fontId="14" numFmtId="3" xfId="0" applyAlignment="1" applyBorder="1" applyFont="1" applyNumberFormat="1">
      <alignment horizontal="center" readingOrder="0" shrinkToFit="0" vertical="center" wrapText="1"/>
    </xf>
    <xf borderId="5" fillId="0" fontId="14" numFmtId="3" xfId="0" applyAlignment="1" applyBorder="1" applyFont="1" applyNumberFormat="1">
      <alignment horizontal="center" readingOrder="0" shrinkToFit="0" vertical="center" wrapText="1"/>
    </xf>
    <xf borderId="12" fillId="0" fontId="21" numFmtId="0" xfId="0" applyAlignment="1" applyBorder="1" applyFont="1">
      <alignment horizontal="center" readingOrder="0" vertical="center"/>
    </xf>
    <xf borderId="12" fillId="0" fontId="21" numFmtId="0" xfId="0" applyAlignment="1" applyBorder="1" applyFont="1">
      <alignment readingOrder="0" vertical="center"/>
    </xf>
    <xf quotePrefix="1" borderId="12" fillId="0" fontId="21" numFmtId="0" xfId="0" applyAlignment="1" applyBorder="1" applyFont="1">
      <alignment readingOrder="0" vertical="center"/>
    </xf>
    <xf borderId="12" fillId="10" fontId="9" numFmtId="164" xfId="0" applyAlignment="1" applyBorder="1" applyFont="1" applyNumberFormat="1">
      <alignment horizontal="center" vertical="center"/>
    </xf>
    <xf borderId="12" fillId="14" fontId="48" numFmtId="0" xfId="0" applyAlignment="1" applyBorder="1" applyFont="1">
      <alignment horizontal="left" readingOrder="0" shrinkToFit="0" vertical="center" wrapText="1"/>
    </xf>
    <xf borderId="4" fillId="8" fontId="8" numFmtId="0" xfId="0" applyAlignment="1" applyBorder="1" applyFont="1">
      <alignment readingOrder="0" vertical="center"/>
    </xf>
    <xf borderId="0" fillId="13" fontId="55" numFmtId="0" xfId="0" applyAlignment="1" applyFont="1">
      <alignment horizontal="left" readingOrder="0"/>
    </xf>
    <xf quotePrefix="1" borderId="12" fillId="8" fontId="13" numFmtId="0" xfId="0" applyAlignment="1" applyBorder="1" applyFont="1">
      <alignment readingOrder="0" shrinkToFit="0" vertical="center" wrapText="1"/>
    </xf>
    <xf borderId="12" fillId="8" fontId="13" numFmtId="0" xfId="0" applyAlignment="1" applyBorder="1" applyFont="1">
      <alignment readingOrder="0" shrinkToFit="0" vertical="center" wrapText="1"/>
    </xf>
    <xf borderId="12" fillId="8" fontId="9" numFmtId="3" xfId="0" applyAlignment="1" applyBorder="1" applyFont="1" applyNumberFormat="1">
      <alignment readingOrder="0" shrinkToFit="0" vertical="center" wrapText="1"/>
    </xf>
    <xf borderId="12" fillId="0" fontId="13" numFmtId="168" xfId="0" applyAlignment="1" applyBorder="1" applyFont="1" applyNumberFormat="1">
      <alignment horizontal="center" readingOrder="0" shrinkToFit="0" vertical="center" wrapText="1"/>
    </xf>
    <xf borderId="12" fillId="10" fontId="30" numFmtId="164" xfId="0" applyAlignment="1" applyBorder="1" applyFont="1" applyNumberFormat="1">
      <alignment horizontal="center" readingOrder="0" vertical="center"/>
    </xf>
    <xf borderId="50" fillId="12" fontId="9" numFmtId="164" xfId="0" applyAlignment="1" applyBorder="1" applyFont="1" applyNumberFormat="1">
      <alignment horizontal="center" readingOrder="0" vertical="center"/>
    </xf>
    <xf borderId="15" fillId="0" fontId="13" numFmtId="0" xfId="0" applyAlignment="1" applyBorder="1" applyFont="1">
      <alignment horizontal="center" readingOrder="0" shrinkToFit="0" vertical="center" wrapText="1"/>
    </xf>
    <xf borderId="14" fillId="0" fontId="13" numFmtId="0" xfId="0" applyAlignment="1" applyBorder="1" applyFont="1">
      <alignment horizontal="center" readingOrder="0" shrinkToFit="0" vertical="center" wrapText="1"/>
    </xf>
    <xf borderId="14" fillId="0" fontId="13" numFmtId="0" xfId="0" applyAlignment="1" applyBorder="1" applyFont="1">
      <alignment horizontal="center" readingOrder="0" shrinkToFit="0" vertical="center" wrapText="1"/>
    </xf>
    <xf borderId="14" fillId="0" fontId="13" numFmtId="0" xfId="0" applyAlignment="1" applyBorder="1" applyFont="1">
      <alignment horizontal="left" readingOrder="0" shrinkToFit="0" vertical="center" wrapText="1"/>
    </xf>
    <xf quotePrefix="1" borderId="14" fillId="0" fontId="13" numFmtId="0" xfId="0" applyAlignment="1" applyBorder="1" applyFont="1">
      <alignment horizontal="left" readingOrder="0" shrinkToFit="0" vertical="center" wrapText="1"/>
    </xf>
    <xf borderId="14" fillId="0" fontId="13" numFmtId="0" xfId="0" applyAlignment="1" applyBorder="1" applyFont="1">
      <alignment horizontal="left" readingOrder="0" shrinkToFit="0" vertical="center" wrapText="1"/>
    </xf>
    <xf borderId="41" fillId="12" fontId="9" numFmtId="164" xfId="0" applyAlignment="1" applyBorder="1" applyFont="1" applyNumberFormat="1">
      <alignment horizontal="center" readingOrder="0" vertical="center"/>
    </xf>
    <xf quotePrefix="1" borderId="0" fillId="0" fontId="15" numFmtId="0" xfId="0" applyAlignment="1" applyFont="1">
      <alignment readingOrder="0"/>
    </xf>
    <xf borderId="17" fillId="10" fontId="9" numFmtId="164" xfId="0" applyAlignment="1" applyBorder="1" applyFont="1" applyNumberFormat="1">
      <alignment horizontal="center" readingOrder="0" vertical="center"/>
    </xf>
    <xf borderId="15" fillId="10" fontId="9" numFmtId="164" xfId="0" applyAlignment="1" applyBorder="1" applyFont="1" applyNumberFormat="1">
      <alignment horizontal="center" vertical="center"/>
    </xf>
    <xf borderId="15" fillId="0" fontId="13" numFmtId="3" xfId="0" applyAlignment="1" applyBorder="1" applyFont="1" applyNumberFormat="1">
      <alignment horizontal="center" readingOrder="0" shrinkToFit="0" vertical="center" wrapText="1"/>
    </xf>
    <xf borderId="8" fillId="12" fontId="9" numFmtId="164" xfId="0" applyAlignment="1" applyBorder="1" applyFont="1" applyNumberFormat="1">
      <alignment horizontal="center" readingOrder="0" vertical="center"/>
    </xf>
    <xf borderId="17" fillId="10" fontId="9" numFmtId="164" xfId="0" applyAlignment="1" applyBorder="1" applyFont="1" applyNumberFormat="1">
      <alignment horizontal="center" vertical="center"/>
    </xf>
    <xf borderId="15" fillId="0" fontId="13" numFmtId="3" xfId="0" applyAlignment="1" applyBorder="1" applyFont="1" applyNumberFormat="1">
      <alignment horizontal="center" shrinkToFit="0" vertical="center" wrapText="1"/>
    </xf>
    <xf borderId="15" fillId="12" fontId="9" numFmtId="164" xfId="0" applyAlignment="1" applyBorder="1" applyFont="1" applyNumberFormat="1">
      <alignment horizontal="center" vertical="center"/>
    </xf>
    <xf borderId="8" fillId="12" fontId="9" numFmtId="164" xfId="0" applyAlignment="1" applyBorder="1" applyFont="1" applyNumberFormat="1">
      <alignment horizontal="center" vertical="center"/>
    </xf>
    <xf borderId="16" fillId="10" fontId="9" numFmtId="164" xfId="0" applyAlignment="1" applyBorder="1" applyFont="1" applyNumberFormat="1">
      <alignment horizontal="center" readingOrder="0" vertical="center"/>
    </xf>
    <xf borderId="14" fillId="0" fontId="13" numFmtId="3" xfId="0" applyAlignment="1" applyBorder="1" applyFont="1" applyNumberFormat="1">
      <alignment horizontal="center" readingOrder="0" shrinkToFit="0" vertical="center" wrapText="1"/>
    </xf>
    <xf borderId="23" fillId="12" fontId="9" numFmtId="164" xfId="0" applyAlignment="1" applyBorder="1" applyFont="1" applyNumberFormat="1">
      <alignment horizontal="center" readingOrder="0" vertical="center"/>
    </xf>
    <xf borderId="5" fillId="26" fontId="13" numFmtId="0" xfId="0" applyAlignment="1" applyBorder="1" applyFont="1">
      <alignment horizontal="left" readingOrder="0" shrinkToFit="0" vertical="center" wrapText="1"/>
    </xf>
    <xf borderId="12" fillId="0" fontId="13" numFmtId="169" xfId="0" applyAlignment="1" applyBorder="1" applyFont="1" applyNumberFormat="1">
      <alignment horizontal="center" readingOrder="0" shrinkToFit="0" vertical="center" wrapText="1"/>
    </xf>
    <xf borderId="0" fillId="13" fontId="13" numFmtId="0" xfId="0" applyAlignment="1" applyFont="1">
      <alignment horizontal="left" readingOrder="0" shrinkToFit="0" wrapText="1"/>
    </xf>
    <xf borderId="11" fillId="10" fontId="7" numFmtId="0" xfId="0" applyAlignment="1" applyBorder="1" applyFont="1">
      <alignment horizontal="center" shrinkToFit="0" vertical="center" wrapText="1"/>
    </xf>
    <xf borderId="11" fillId="18" fontId="7" numFmtId="0" xfId="0" applyAlignment="1" applyBorder="1" applyFont="1">
      <alignment horizontal="center" shrinkToFit="0" vertical="center" wrapText="1"/>
    </xf>
    <xf borderId="12" fillId="0" fontId="52" numFmtId="0" xfId="0" applyBorder="1" applyFont="1"/>
    <xf borderId="6" fillId="22" fontId="7" numFmtId="14" xfId="0" applyAlignment="1" applyBorder="1" applyFont="1" applyNumberFormat="1">
      <alignment horizontal="center" vertical="center"/>
    </xf>
    <xf borderId="0" fillId="0" fontId="6" numFmtId="0" xfId="0" applyAlignment="1" applyFont="1">
      <alignment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customschemas.google.com/relationships/workbookmetadata" Target="metadata"/><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4.0" topLeftCell="E1" activePane="topRight" state="frozen"/>
      <selection activeCell="F2" sqref="F2" pane="topRight"/>
    </sheetView>
  </sheetViews>
  <sheetFormatPr customHeight="1" defaultColWidth="12.63" defaultRowHeight="15.0"/>
  <cols>
    <col customWidth="1" min="1" max="1" width="8.75"/>
    <col customWidth="1" min="2" max="2" width="14.75"/>
    <col customWidth="1" min="3" max="3" width="25.13"/>
    <col customWidth="1" min="4" max="4" width="30.63"/>
    <col customWidth="1" min="5" max="5" width="19.13"/>
    <col customWidth="1" min="6" max="6" width="57.13"/>
    <col customWidth="1" min="7" max="7" width="21.38"/>
    <col customWidth="1" min="8" max="8" width="15.13"/>
    <col customWidth="1" min="9" max="9" width="17.38"/>
    <col customWidth="1" min="10" max="10" width="16.88"/>
    <col customWidth="1" min="11" max="11" width="16.13"/>
    <col customWidth="1" min="12" max="13" width="18.75"/>
    <col customWidth="1" min="14" max="14" width="19.13"/>
    <col customWidth="1" min="15" max="15" width="20.38"/>
    <col customWidth="1" min="16" max="16" width="19.13"/>
    <col customWidth="1" min="17" max="17" width="17.88"/>
    <col customWidth="1" min="18" max="18" width="19.38"/>
    <col customWidth="1" min="19" max="19" width="21.75"/>
    <col customWidth="1" min="20" max="20" width="20.38"/>
    <col customWidth="1" min="21" max="21" width="17.38"/>
    <col customWidth="1" min="22" max="22" width="32.75"/>
    <col customWidth="1" min="23" max="23" width="8.63"/>
    <col customWidth="1" min="24" max="24" width="21.13"/>
    <col customWidth="1" min="25" max="25" width="16.63"/>
    <col customWidth="1" min="26" max="29" width="12.63"/>
  </cols>
  <sheetData>
    <row r="1" ht="28.5" customHeight="1">
      <c r="A1" s="1" t="s">
        <v>0</v>
      </c>
      <c r="B1" s="2"/>
      <c r="C1" s="2"/>
      <c r="D1" s="2"/>
      <c r="E1" s="2"/>
      <c r="F1" s="2"/>
      <c r="G1" s="3"/>
      <c r="H1" s="4"/>
      <c r="I1" s="4"/>
      <c r="J1" s="4"/>
      <c r="K1" s="4"/>
      <c r="L1" s="4"/>
      <c r="M1" s="5"/>
      <c r="N1" s="4"/>
      <c r="O1" s="4"/>
      <c r="P1" s="4"/>
      <c r="Q1" s="4"/>
      <c r="R1" s="4"/>
      <c r="S1" s="5"/>
      <c r="T1" s="5"/>
      <c r="U1" s="5"/>
      <c r="V1" s="4"/>
      <c r="W1" s="6"/>
      <c r="X1" s="6"/>
      <c r="Y1" s="7"/>
      <c r="Z1" s="8"/>
      <c r="AA1" s="8"/>
      <c r="AB1" s="8"/>
      <c r="AC1" s="9"/>
    </row>
    <row r="2" ht="40.5" customHeight="1">
      <c r="A2" s="10" t="s">
        <v>1</v>
      </c>
      <c r="B2" s="11" t="s">
        <v>2</v>
      </c>
      <c r="C2" s="12" t="s">
        <v>3</v>
      </c>
      <c r="D2" s="13" t="s">
        <v>4</v>
      </c>
      <c r="E2" s="14" t="s">
        <v>5</v>
      </c>
      <c r="F2" s="13" t="s">
        <v>6</v>
      </c>
      <c r="G2" s="15" t="s">
        <v>7</v>
      </c>
      <c r="H2" s="16"/>
      <c r="I2" s="16"/>
      <c r="J2" s="17"/>
      <c r="K2" s="18" t="s">
        <v>8</v>
      </c>
      <c r="L2" s="16"/>
      <c r="M2" s="16"/>
      <c r="N2" s="16"/>
      <c r="O2" s="16"/>
      <c r="P2" s="17"/>
      <c r="Q2" s="19" t="s">
        <v>9</v>
      </c>
      <c r="R2" s="16"/>
      <c r="S2" s="17"/>
      <c r="T2" s="20" t="s">
        <v>10</v>
      </c>
      <c r="U2" s="17"/>
      <c r="V2" s="21" t="s">
        <v>11</v>
      </c>
      <c r="W2" s="22"/>
      <c r="X2" s="23"/>
      <c r="Y2" s="24"/>
      <c r="Z2" s="25"/>
      <c r="AA2" s="25"/>
      <c r="AB2" s="25"/>
      <c r="AC2" s="22"/>
    </row>
    <row r="3" ht="57.75" customHeight="1">
      <c r="A3" s="26"/>
      <c r="B3" s="26"/>
      <c r="C3" s="26"/>
      <c r="D3" s="26"/>
      <c r="E3" s="26"/>
      <c r="F3" s="26"/>
      <c r="G3" s="27" t="s">
        <v>12</v>
      </c>
      <c r="H3" s="27" t="s">
        <v>13</v>
      </c>
      <c r="I3" s="28" t="s">
        <v>14</v>
      </c>
      <c r="J3" s="29" t="s">
        <v>15</v>
      </c>
      <c r="K3" s="30" t="s">
        <v>16</v>
      </c>
      <c r="L3" s="31" t="s">
        <v>17</v>
      </c>
      <c r="M3" s="32" t="s">
        <v>18</v>
      </c>
      <c r="N3" s="33" t="s">
        <v>19</v>
      </c>
      <c r="O3" s="34" t="s">
        <v>20</v>
      </c>
      <c r="P3" s="35" t="s">
        <v>21</v>
      </c>
      <c r="Q3" s="36" t="s">
        <v>22</v>
      </c>
      <c r="R3" s="37" t="s">
        <v>23</v>
      </c>
      <c r="S3" s="37" t="s">
        <v>24</v>
      </c>
      <c r="T3" s="38" t="s">
        <v>25</v>
      </c>
      <c r="U3" s="38" t="s">
        <v>26</v>
      </c>
      <c r="V3" s="26"/>
      <c r="W3" s="22"/>
      <c r="X3" s="23"/>
      <c r="Y3" s="24"/>
      <c r="Z3" s="25"/>
      <c r="AA3" s="25"/>
      <c r="AB3" s="25"/>
      <c r="AC3" s="22"/>
    </row>
    <row r="4" ht="30.0" customHeight="1">
      <c r="A4" s="39">
        <v>1.0</v>
      </c>
      <c r="B4" s="40">
        <v>45257.0</v>
      </c>
      <c r="C4" s="41">
        <v>1.703427793787E12</v>
      </c>
      <c r="D4" s="42" t="s">
        <v>27</v>
      </c>
      <c r="E4" s="43" t="s">
        <v>28</v>
      </c>
      <c r="F4" s="44" t="s">
        <v>29</v>
      </c>
      <c r="G4" s="45" t="s">
        <v>30</v>
      </c>
      <c r="H4" s="46">
        <v>3.0</v>
      </c>
      <c r="I4" s="47">
        <f t="shared" ref="I4:I6" si="1">VLOOKUP(G4,$X$4:$Y$45,2,0)</f>
        <v>220000</v>
      </c>
      <c r="J4" s="48">
        <f t="shared" ref="J4:J50" si="2">I4*H4</f>
        <v>660000</v>
      </c>
      <c r="K4" s="49">
        <f>SUM(J4:J6)</f>
        <v>1760000</v>
      </c>
      <c r="L4" s="50"/>
      <c r="M4" s="51"/>
      <c r="N4" s="52"/>
      <c r="O4" s="53">
        <f>K4+L4-M4-N4</f>
        <v>1760000</v>
      </c>
      <c r="P4" s="54" t="s">
        <v>31</v>
      </c>
      <c r="Q4" s="55">
        <v>71004.0</v>
      </c>
      <c r="R4" s="56" t="s">
        <v>32</v>
      </c>
      <c r="S4" s="57" t="s">
        <v>33</v>
      </c>
      <c r="T4" s="58"/>
      <c r="U4" s="58"/>
      <c r="V4" s="59"/>
      <c r="W4" s="22"/>
      <c r="X4" s="60" t="s">
        <v>34</v>
      </c>
      <c r="Y4" s="61">
        <v>65000.0</v>
      </c>
      <c r="Z4" s="25"/>
      <c r="AA4" s="25"/>
      <c r="AB4" s="25"/>
      <c r="AC4" s="22"/>
    </row>
    <row r="5" ht="30.0" customHeight="1">
      <c r="A5" s="62"/>
      <c r="B5" s="62"/>
      <c r="C5" s="62"/>
      <c r="D5" s="62"/>
      <c r="E5" s="62"/>
      <c r="F5" s="62"/>
      <c r="G5" s="63" t="s">
        <v>35</v>
      </c>
      <c r="H5" s="64">
        <v>3.0</v>
      </c>
      <c r="I5" s="47">
        <f t="shared" si="1"/>
        <v>220000</v>
      </c>
      <c r="J5" s="48">
        <f t="shared" si="2"/>
        <v>660000</v>
      </c>
      <c r="K5" s="62"/>
      <c r="L5" s="62"/>
      <c r="M5" s="62"/>
      <c r="N5" s="62"/>
      <c r="O5" s="62"/>
      <c r="P5" s="62"/>
      <c r="Q5" s="62"/>
      <c r="R5" s="62"/>
      <c r="S5" s="62"/>
      <c r="T5" s="62"/>
      <c r="U5" s="62"/>
      <c r="V5" s="62"/>
      <c r="W5" s="22"/>
      <c r="X5" s="65" t="s">
        <v>36</v>
      </c>
      <c r="Y5" s="66">
        <v>180000.0</v>
      </c>
      <c r="Z5" s="25"/>
      <c r="AA5" s="25"/>
      <c r="AB5" s="25"/>
      <c r="AC5" s="22"/>
    </row>
    <row r="6" ht="30.0" customHeight="1">
      <c r="A6" s="67"/>
      <c r="B6" s="67"/>
      <c r="C6" s="67"/>
      <c r="D6" s="67"/>
      <c r="E6" s="67"/>
      <c r="F6" s="67"/>
      <c r="G6" s="68" t="s">
        <v>37</v>
      </c>
      <c r="H6" s="69">
        <v>2.0</v>
      </c>
      <c r="I6" s="47">
        <f t="shared" si="1"/>
        <v>220000</v>
      </c>
      <c r="J6" s="48">
        <f t="shared" si="2"/>
        <v>440000</v>
      </c>
      <c r="K6" s="67"/>
      <c r="L6" s="67"/>
      <c r="M6" s="67"/>
      <c r="N6" s="67"/>
      <c r="O6" s="67"/>
      <c r="P6" s="67"/>
      <c r="Q6" s="67"/>
      <c r="R6" s="67"/>
      <c r="S6" s="67"/>
      <c r="T6" s="67"/>
      <c r="U6" s="67"/>
      <c r="V6" s="67"/>
      <c r="W6" s="22"/>
      <c r="X6" s="65" t="s">
        <v>38</v>
      </c>
      <c r="Y6" s="66">
        <v>160000.0</v>
      </c>
      <c r="Z6" s="25"/>
      <c r="AA6" s="25"/>
      <c r="AB6" s="25"/>
      <c r="AC6" s="22"/>
    </row>
    <row r="7" ht="36.75" customHeight="1">
      <c r="A7" s="69">
        <v>2.0</v>
      </c>
      <c r="B7" s="70">
        <v>45257.0</v>
      </c>
      <c r="C7" s="69">
        <v>1.703483736199E12</v>
      </c>
      <c r="D7" s="68" t="s">
        <v>39</v>
      </c>
      <c r="E7" s="71" t="s">
        <v>40</v>
      </c>
      <c r="F7" s="68" t="s">
        <v>41</v>
      </c>
      <c r="G7" s="72" t="s">
        <v>42</v>
      </c>
      <c r="H7" s="73">
        <v>12.0</v>
      </c>
      <c r="I7" s="74">
        <f t="shared" ref="I7:I61" si="3">VLOOKUP(G7,$X$4:$Y$153,2,0)</f>
        <v>75000</v>
      </c>
      <c r="J7" s="75">
        <f t="shared" si="2"/>
        <v>900000</v>
      </c>
      <c r="K7" s="76">
        <f t="shared" ref="K7:K9" si="4">SUM(J7)</f>
        <v>900000</v>
      </c>
      <c r="L7" s="77"/>
      <c r="M7" s="78"/>
      <c r="N7" s="79"/>
      <c r="O7" s="80">
        <f t="shared" ref="O7:O10" si="5">K7+L7-M7-N7</f>
        <v>900000</v>
      </c>
      <c r="P7" s="81" t="s">
        <v>31</v>
      </c>
      <c r="Q7" s="82">
        <v>23501.0</v>
      </c>
      <c r="R7" s="83" t="s">
        <v>32</v>
      </c>
      <c r="S7" s="84" t="s">
        <v>33</v>
      </c>
      <c r="T7" s="85"/>
      <c r="U7" s="85"/>
      <c r="V7" s="86"/>
      <c r="W7" s="22"/>
      <c r="X7" s="65" t="s">
        <v>43</v>
      </c>
      <c r="Y7" s="87">
        <v>65000.0</v>
      </c>
      <c r="Z7" s="25"/>
      <c r="AA7" s="25"/>
      <c r="AB7" s="25"/>
      <c r="AC7" s="22"/>
    </row>
    <row r="8" ht="36.75" customHeight="1">
      <c r="A8" s="69">
        <v>3.0</v>
      </c>
      <c r="B8" s="70">
        <v>45257.0</v>
      </c>
      <c r="C8" s="69">
        <v>1.703611460393E12</v>
      </c>
      <c r="D8" s="68" t="s">
        <v>44</v>
      </c>
      <c r="E8" s="71" t="s">
        <v>45</v>
      </c>
      <c r="F8" s="68" t="s">
        <v>46</v>
      </c>
      <c r="G8" s="68" t="s">
        <v>47</v>
      </c>
      <c r="H8" s="69">
        <v>15.0</v>
      </c>
      <c r="I8" s="47">
        <f t="shared" si="3"/>
        <v>220000</v>
      </c>
      <c r="J8" s="48">
        <f t="shared" si="2"/>
        <v>3300000</v>
      </c>
      <c r="K8" s="76">
        <f t="shared" si="4"/>
        <v>3300000</v>
      </c>
      <c r="L8" s="77"/>
      <c r="M8" s="78"/>
      <c r="N8" s="79"/>
      <c r="O8" s="80">
        <f t="shared" si="5"/>
        <v>3300000</v>
      </c>
      <c r="P8" s="81" t="s">
        <v>31</v>
      </c>
      <c r="Q8" s="82">
        <v>118900.0</v>
      </c>
      <c r="R8" s="83" t="s">
        <v>32</v>
      </c>
      <c r="S8" s="84" t="s">
        <v>33</v>
      </c>
      <c r="T8" s="85"/>
      <c r="U8" s="85"/>
      <c r="V8" s="86"/>
      <c r="W8" s="22"/>
      <c r="X8" s="65" t="s">
        <v>48</v>
      </c>
      <c r="Y8" s="66">
        <v>55000.0</v>
      </c>
      <c r="Z8" s="25"/>
      <c r="AA8" s="25"/>
      <c r="AB8" s="25"/>
      <c r="AC8" s="22"/>
    </row>
    <row r="9" ht="30.0" customHeight="1">
      <c r="A9" s="69">
        <v>4.0</v>
      </c>
      <c r="B9" s="70">
        <v>45257.0</v>
      </c>
      <c r="C9" s="69" t="s">
        <v>49</v>
      </c>
      <c r="D9" s="88" t="s">
        <v>50</v>
      </c>
      <c r="E9" s="71" t="s">
        <v>51</v>
      </c>
      <c r="F9" s="88" t="s">
        <v>52</v>
      </c>
      <c r="G9" s="68" t="s">
        <v>30</v>
      </c>
      <c r="H9" s="69">
        <v>1.0</v>
      </c>
      <c r="I9" s="47">
        <f t="shared" si="3"/>
        <v>220000</v>
      </c>
      <c r="J9" s="48">
        <f t="shared" si="2"/>
        <v>220000</v>
      </c>
      <c r="K9" s="76">
        <f t="shared" si="4"/>
        <v>220000</v>
      </c>
      <c r="L9" s="89"/>
      <c r="M9" s="78">
        <f>29600</f>
        <v>29600</v>
      </c>
      <c r="N9" s="79"/>
      <c r="O9" s="80">
        <f t="shared" si="5"/>
        <v>190400</v>
      </c>
      <c r="P9" s="81" t="s">
        <v>31</v>
      </c>
      <c r="Q9" s="90"/>
      <c r="R9" s="91"/>
      <c r="S9" s="84" t="s">
        <v>33</v>
      </c>
      <c r="T9" s="85"/>
      <c r="U9" s="85"/>
      <c r="V9" s="92" t="s">
        <v>53</v>
      </c>
      <c r="W9" s="22"/>
      <c r="X9" s="93" t="s">
        <v>54</v>
      </c>
      <c r="Y9" s="87">
        <v>40000.0</v>
      </c>
      <c r="Z9" s="25"/>
      <c r="AA9" s="25"/>
      <c r="AB9" s="25"/>
      <c r="AC9" s="22"/>
    </row>
    <row r="10" ht="30.0" customHeight="1">
      <c r="A10" s="94">
        <v>5.0</v>
      </c>
      <c r="B10" s="95">
        <v>45257.0</v>
      </c>
      <c r="C10" s="94">
        <v>1.70738333577E12</v>
      </c>
      <c r="D10" s="96" t="s">
        <v>55</v>
      </c>
      <c r="E10" s="97" t="s">
        <v>56</v>
      </c>
      <c r="F10" s="98" t="s">
        <v>57</v>
      </c>
      <c r="G10" s="68" t="s">
        <v>58</v>
      </c>
      <c r="H10" s="69">
        <v>5.0</v>
      </c>
      <c r="I10" s="47">
        <f t="shared" si="3"/>
        <v>220000</v>
      </c>
      <c r="J10" s="48">
        <f t="shared" si="2"/>
        <v>1100000</v>
      </c>
      <c r="K10" s="49">
        <f>sum(J10:J11)</f>
        <v>1550000</v>
      </c>
      <c r="L10" s="50"/>
      <c r="M10" s="51"/>
      <c r="N10" s="52"/>
      <c r="O10" s="53">
        <f t="shared" si="5"/>
        <v>1550000</v>
      </c>
      <c r="P10" s="99" t="s">
        <v>31</v>
      </c>
      <c r="Q10" s="55">
        <v>67544.0</v>
      </c>
      <c r="R10" s="56" t="s">
        <v>32</v>
      </c>
      <c r="S10" s="57" t="s">
        <v>33</v>
      </c>
      <c r="T10" s="100"/>
      <c r="U10" s="100"/>
      <c r="V10" s="101" t="s">
        <v>59</v>
      </c>
      <c r="W10" s="22"/>
      <c r="X10" s="65" t="s">
        <v>60</v>
      </c>
      <c r="Y10" s="66">
        <v>45000.0</v>
      </c>
      <c r="Z10" s="25"/>
      <c r="AA10" s="25"/>
      <c r="AB10" s="25"/>
      <c r="AC10" s="22"/>
    </row>
    <row r="11" ht="30.0" customHeight="1">
      <c r="A11" s="67"/>
      <c r="B11" s="67"/>
      <c r="C11" s="67"/>
      <c r="D11" s="67"/>
      <c r="E11" s="67"/>
      <c r="F11" s="102"/>
      <c r="G11" s="72" t="s">
        <v>61</v>
      </c>
      <c r="H11" s="73">
        <v>5.0</v>
      </c>
      <c r="I11" s="74">
        <f t="shared" si="3"/>
        <v>90000</v>
      </c>
      <c r="J11" s="75">
        <f t="shared" si="2"/>
        <v>450000</v>
      </c>
      <c r="K11" s="67"/>
      <c r="L11" s="67"/>
      <c r="M11" s="67"/>
      <c r="N11" s="67"/>
      <c r="O11" s="67"/>
      <c r="P11" s="67"/>
      <c r="Q11" s="67"/>
      <c r="R11" s="67"/>
      <c r="S11" s="67"/>
      <c r="T11" s="67"/>
      <c r="U11" s="67"/>
      <c r="V11" s="67"/>
      <c r="W11" s="22"/>
      <c r="X11" s="93" t="s">
        <v>62</v>
      </c>
      <c r="Y11" s="87">
        <v>55000.0</v>
      </c>
      <c r="Z11" s="25"/>
      <c r="AA11" s="25"/>
      <c r="AB11" s="25"/>
      <c r="AC11" s="22"/>
    </row>
    <row r="12" ht="30.0" customHeight="1">
      <c r="A12" s="93">
        <v>6.0</v>
      </c>
      <c r="B12" s="103">
        <v>45258.0</v>
      </c>
      <c r="C12" s="104" t="s">
        <v>63</v>
      </c>
      <c r="D12" s="88" t="s">
        <v>50</v>
      </c>
      <c r="E12" s="105" t="s">
        <v>64</v>
      </c>
      <c r="F12" s="92" t="s">
        <v>65</v>
      </c>
      <c r="G12" s="63" t="s">
        <v>30</v>
      </c>
      <c r="H12" s="64">
        <v>1.0</v>
      </c>
      <c r="I12" s="47">
        <f t="shared" si="3"/>
        <v>220000</v>
      </c>
      <c r="J12" s="48">
        <f t="shared" si="2"/>
        <v>220000</v>
      </c>
      <c r="K12" s="76">
        <f t="shared" ref="K12:K15" si="6">SUM(J12)</f>
        <v>220000</v>
      </c>
      <c r="L12" s="65"/>
      <c r="M12" s="78">
        <f>14412</f>
        <v>14412</v>
      </c>
      <c r="N12" s="79"/>
      <c r="O12" s="80">
        <f t="shared" ref="O12:O16" si="7">K12+L12-M12-N12</f>
        <v>205588</v>
      </c>
      <c r="P12" s="81" t="s">
        <v>31</v>
      </c>
      <c r="Q12" s="65"/>
      <c r="R12" s="91"/>
      <c r="S12" s="84" t="s">
        <v>33</v>
      </c>
      <c r="T12" s="65"/>
      <c r="U12" s="65"/>
      <c r="V12" s="92" t="s">
        <v>53</v>
      </c>
      <c r="W12" s="106"/>
      <c r="X12" s="65" t="s">
        <v>66</v>
      </c>
      <c r="Y12" s="66">
        <v>205000.0</v>
      </c>
      <c r="Z12" s="107"/>
      <c r="AA12" s="107"/>
      <c r="AB12" s="107"/>
      <c r="AC12" s="106"/>
    </row>
    <row r="13" ht="42.75" customHeight="1">
      <c r="A13" s="93">
        <v>7.0</v>
      </c>
      <c r="B13" s="103">
        <v>45259.0</v>
      </c>
      <c r="C13" s="104">
        <v>1.72341540647E12</v>
      </c>
      <c r="D13" s="68" t="s">
        <v>44</v>
      </c>
      <c r="E13" s="71" t="s">
        <v>45</v>
      </c>
      <c r="F13" s="68" t="s">
        <v>46</v>
      </c>
      <c r="G13" s="63" t="s">
        <v>30</v>
      </c>
      <c r="H13" s="64">
        <v>10.0</v>
      </c>
      <c r="I13" s="47">
        <f t="shared" si="3"/>
        <v>220000</v>
      </c>
      <c r="J13" s="48">
        <f t="shared" si="2"/>
        <v>2200000</v>
      </c>
      <c r="K13" s="76">
        <f t="shared" si="6"/>
        <v>2200000</v>
      </c>
      <c r="L13" s="65"/>
      <c r="M13" s="78"/>
      <c r="N13" s="79"/>
      <c r="O13" s="80">
        <f t="shared" si="7"/>
        <v>2200000</v>
      </c>
      <c r="P13" s="81" t="s">
        <v>31</v>
      </c>
      <c r="Q13" s="108">
        <v>78004.0</v>
      </c>
      <c r="R13" s="83" t="s">
        <v>32</v>
      </c>
      <c r="S13" s="84" t="s">
        <v>33</v>
      </c>
      <c r="T13" s="65"/>
      <c r="U13" s="65"/>
      <c r="V13" s="92"/>
      <c r="W13" s="106"/>
      <c r="X13" s="93" t="s">
        <v>67</v>
      </c>
      <c r="Y13" s="87">
        <v>45000.0</v>
      </c>
      <c r="Z13" s="107"/>
      <c r="AA13" s="107"/>
      <c r="AB13" s="107"/>
      <c r="AC13" s="106"/>
    </row>
    <row r="14" ht="36.0" customHeight="1">
      <c r="A14" s="93">
        <v>8.0</v>
      </c>
      <c r="B14" s="103">
        <v>45259.0</v>
      </c>
      <c r="C14" s="104" t="s">
        <v>68</v>
      </c>
      <c r="D14" s="88" t="s">
        <v>50</v>
      </c>
      <c r="E14" s="105" t="s">
        <v>69</v>
      </c>
      <c r="F14" s="92" t="s">
        <v>70</v>
      </c>
      <c r="G14" s="63" t="s">
        <v>30</v>
      </c>
      <c r="H14" s="64">
        <v>1.0</v>
      </c>
      <c r="I14" s="47">
        <f t="shared" si="3"/>
        <v>220000</v>
      </c>
      <c r="J14" s="48">
        <f t="shared" si="2"/>
        <v>220000</v>
      </c>
      <c r="K14" s="76">
        <f t="shared" si="6"/>
        <v>220000</v>
      </c>
      <c r="L14" s="65"/>
      <c r="M14" s="78">
        <f>14892</f>
        <v>14892</v>
      </c>
      <c r="N14" s="79"/>
      <c r="O14" s="80">
        <f t="shared" si="7"/>
        <v>205108</v>
      </c>
      <c r="P14" s="81" t="s">
        <v>31</v>
      </c>
      <c r="Q14" s="109"/>
      <c r="R14" s="91"/>
      <c r="S14" s="84" t="s">
        <v>33</v>
      </c>
      <c r="T14" s="65"/>
      <c r="U14" s="65"/>
      <c r="V14" s="92" t="s">
        <v>53</v>
      </c>
      <c r="W14" s="106"/>
      <c r="X14" s="110" t="s">
        <v>71</v>
      </c>
      <c r="Y14" s="66">
        <v>85000.0</v>
      </c>
      <c r="Z14" s="107"/>
      <c r="AA14" s="107"/>
      <c r="AB14" s="107"/>
      <c r="AC14" s="106"/>
    </row>
    <row r="15" ht="36.0" customHeight="1">
      <c r="A15" s="93">
        <v>9.0</v>
      </c>
      <c r="B15" s="103">
        <v>45259.0</v>
      </c>
      <c r="C15" s="104" t="s">
        <v>72</v>
      </c>
      <c r="D15" s="88" t="s">
        <v>50</v>
      </c>
      <c r="E15" s="105" t="s">
        <v>73</v>
      </c>
      <c r="F15" s="92" t="s">
        <v>74</v>
      </c>
      <c r="G15" s="63" t="s">
        <v>75</v>
      </c>
      <c r="H15" s="64">
        <v>1.0</v>
      </c>
      <c r="I15" s="47">
        <f t="shared" si="3"/>
        <v>45000</v>
      </c>
      <c r="J15" s="48">
        <f t="shared" si="2"/>
        <v>45000</v>
      </c>
      <c r="K15" s="76">
        <f t="shared" si="6"/>
        <v>45000</v>
      </c>
      <c r="L15" s="65"/>
      <c r="M15" s="78">
        <f>4228</f>
        <v>4228</v>
      </c>
      <c r="N15" s="79"/>
      <c r="O15" s="80">
        <f t="shared" si="7"/>
        <v>40772</v>
      </c>
      <c r="P15" s="81" t="s">
        <v>31</v>
      </c>
      <c r="Q15" s="109"/>
      <c r="R15" s="91"/>
      <c r="S15" s="84" t="s">
        <v>33</v>
      </c>
      <c r="T15" s="65"/>
      <c r="U15" s="65"/>
      <c r="V15" s="92" t="s">
        <v>53</v>
      </c>
      <c r="W15" s="106"/>
      <c r="X15" s="65" t="s">
        <v>76</v>
      </c>
      <c r="Y15" s="66">
        <v>90000.0</v>
      </c>
      <c r="Z15" s="107"/>
      <c r="AA15" s="107"/>
      <c r="AB15" s="107"/>
      <c r="AC15" s="106"/>
    </row>
    <row r="16" ht="36.0" customHeight="1">
      <c r="A16" s="111">
        <v>10.0</v>
      </c>
      <c r="B16" s="112">
        <v>45260.0</v>
      </c>
      <c r="C16" s="94">
        <v>1.724207588466E12</v>
      </c>
      <c r="D16" s="96" t="s">
        <v>77</v>
      </c>
      <c r="E16" s="97" t="s">
        <v>78</v>
      </c>
      <c r="F16" s="96" t="s">
        <v>79</v>
      </c>
      <c r="G16" s="68" t="s">
        <v>30</v>
      </c>
      <c r="H16" s="69">
        <v>1.0</v>
      </c>
      <c r="I16" s="47">
        <f t="shared" si="3"/>
        <v>220000</v>
      </c>
      <c r="J16" s="48">
        <f t="shared" si="2"/>
        <v>220000</v>
      </c>
      <c r="K16" s="49">
        <f>SUM(J16:J17)</f>
        <v>660000</v>
      </c>
      <c r="L16" s="50"/>
      <c r="M16" s="51"/>
      <c r="N16" s="52"/>
      <c r="O16" s="53">
        <f t="shared" si="7"/>
        <v>660000</v>
      </c>
      <c r="P16" s="99" t="s">
        <v>31</v>
      </c>
      <c r="Q16" s="55">
        <v>42001.0</v>
      </c>
      <c r="R16" s="56" t="s">
        <v>32</v>
      </c>
      <c r="S16" s="57" t="s">
        <v>33</v>
      </c>
      <c r="T16" s="100"/>
      <c r="U16" s="100"/>
      <c r="V16" s="113"/>
      <c r="W16" s="106"/>
      <c r="X16" s="65" t="s">
        <v>80</v>
      </c>
      <c r="Y16" s="66">
        <v>85000.0</v>
      </c>
      <c r="Z16" s="107"/>
      <c r="AA16" s="107"/>
      <c r="AB16" s="107"/>
      <c r="AC16" s="106"/>
    </row>
    <row r="17" ht="36.0" customHeight="1">
      <c r="A17" s="67"/>
      <c r="B17" s="67"/>
      <c r="C17" s="67"/>
      <c r="D17" s="67"/>
      <c r="E17" s="67"/>
      <c r="F17" s="67"/>
      <c r="G17" s="68" t="s">
        <v>35</v>
      </c>
      <c r="H17" s="69">
        <v>2.0</v>
      </c>
      <c r="I17" s="47">
        <f t="shared" si="3"/>
        <v>220000</v>
      </c>
      <c r="J17" s="48">
        <f t="shared" si="2"/>
        <v>440000</v>
      </c>
      <c r="K17" s="67"/>
      <c r="L17" s="67"/>
      <c r="M17" s="67"/>
      <c r="N17" s="67"/>
      <c r="O17" s="67"/>
      <c r="P17" s="67"/>
      <c r="Q17" s="67"/>
      <c r="R17" s="67"/>
      <c r="S17" s="67"/>
      <c r="T17" s="67"/>
      <c r="U17" s="67"/>
      <c r="V17" s="67"/>
      <c r="W17" s="106"/>
      <c r="X17" s="65" t="s">
        <v>81</v>
      </c>
      <c r="Y17" s="66">
        <v>150000.0</v>
      </c>
      <c r="Z17" s="107"/>
      <c r="AA17" s="107"/>
      <c r="AB17" s="107"/>
      <c r="AC17" s="106"/>
    </row>
    <row r="18" ht="36.0" customHeight="1">
      <c r="A18" s="69">
        <v>11.0</v>
      </c>
      <c r="B18" s="70">
        <v>45260.0</v>
      </c>
      <c r="C18" s="69" t="s">
        <v>82</v>
      </c>
      <c r="D18" s="88" t="s">
        <v>50</v>
      </c>
      <c r="E18" s="71" t="s">
        <v>83</v>
      </c>
      <c r="F18" s="68" t="s">
        <v>84</v>
      </c>
      <c r="G18" s="63" t="s">
        <v>30</v>
      </c>
      <c r="H18" s="64">
        <v>2.0</v>
      </c>
      <c r="I18" s="47">
        <f t="shared" si="3"/>
        <v>220000</v>
      </c>
      <c r="J18" s="48">
        <f t="shared" si="2"/>
        <v>440000</v>
      </c>
      <c r="K18" s="76">
        <f t="shared" ref="K18:K19" si="8">SUM(J18)</f>
        <v>440000</v>
      </c>
      <c r="L18" s="77"/>
      <c r="M18" s="78">
        <f>26568</f>
        <v>26568</v>
      </c>
      <c r="N18" s="79"/>
      <c r="O18" s="80">
        <f t="shared" ref="O18:O20" si="9">K18+L18-M18-N18</f>
        <v>413432</v>
      </c>
      <c r="P18" s="81" t="s">
        <v>31</v>
      </c>
      <c r="Q18" s="90"/>
      <c r="R18" s="91"/>
      <c r="S18" s="84" t="s">
        <v>33</v>
      </c>
      <c r="T18" s="85"/>
      <c r="U18" s="85"/>
      <c r="V18" s="92" t="s">
        <v>53</v>
      </c>
      <c r="W18" s="106"/>
      <c r="X18" s="65" t="s">
        <v>85</v>
      </c>
      <c r="Y18" s="66">
        <v>125000.0</v>
      </c>
      <c r="Z18" s="107"/>
      <c r="AA18" s="107"/>
      <c r="AB18" s="107"/>
      <c r="AC18" s="106"/>
    </row>
    <row r="19" ht="36.0" customHeight="1">
      <c r="A19" s="69">
        <v>12.0</v>
      </c>
      <c r="B19" s="70">
        <v>45260.0</v>
      </c>
      <c r="C19" s="69">
        <v>1.724207588466E12</v>
      </c>
      <c r="D19" s="68" t="s">
        <v>86</v>
      </c>
      <c r="E19" s="71" t="s">
        <v>87</v>
      </c>
      <c r="F19" s="68" t="s">
        <v>88</v>
      </c>
      <c r="G19" s="63" t="s">
        <v>30</v>
      </c>
      <c r="H19" s="64">
        <v>2.0</v>
      </c>
      <c r="I19" s="47">
        <f t="shared" si="3"/>
        <v>220000</v>
      </c>
      <c r="J19" s="48">
        <f t="shared" si="2"/>
        <v>440000</v>
      </c>
      <c r="K19" s="76">
        <f t="shared" si="8"/>
        <v>440000</v>
      </c>
      <c r="L19" s="114">
        <v>43001.0</v>
      </c>
      <c r="M19" s="78"/>
      <c r="N19" s="115">
        <v>13001.0</v>
      </c>
      <c r="O19" s="80">
        <f t="shared" si="9"/>
        <v>470000</v>
      </c>
      <c r="P19" s="81" t="s">
        <v>31</v>
      </c>
      <c r="Q19" s="90"/>
      <c r="R19" s="91"/>
      <c r="S19" s="84" t="s">
        <v>33</v>
      </c>
      <c r="T19" s="85"/>
      <c r="U19" s="85"/>
      <c r="V19" s="86"/>
      <c r="W19" s="106"/>
      <c r="X19" s="65" t="s">
        <v>89</v>
      </c>
      <c r="Y19" s="66">
        <v>35000.0</v>
      </c>
      <c r="Z19" s="107"/>
      <c r="AA19" s="107"/>
      <c r="AB19" s="107"/>
      <c r="AC19" s="106"/>
    </row>
    <row r="20" ht="36.0" customHeight="1">
      <c r="A20" s="94">
        <v>13.0</v>
      </c>
      <c r="B20" s="95">
        <v>45260.0</v>
      </c>
      <c r="C20" s="94">
        <v>1.724286923152E12</v>
      </c>
      <c r="D20" s="96" t="s">
        <v>90</v>
      </c>
      <c r="E20" s="97" t="s">
        <v>91</v>
      </c>
      <c r="F20" s="96" t="s">
        <v>92</v>
      </c>
      <c r="G20" s="63" t="s">
        <v>58</v>
      </c>
      <c r="H20" s="64">
        <v>1.0</v>
      </c>
      <c r="I20" s="47">
        <f t="shared" si="3"/>
        <v>220000</v>
      </c>
      <c r="J20" s="48">
        <f t="shared" si="2"/>
        <v>220000</v>
      </c>
      <c r="K20" s="49">
        <f>sum(J20:J21)</f>
        <v>295000</v>
      </c>
      <c r="L20" s="116">
        <v>37001.0</v>
      </c>
      <c r="M20" s="51"/>
      <c r="N20" s="117">
        <v>17001.0</v>
      </c>
      <c r="O20" s="53">
        <f t="shared" si="9"/>
        <v>315000</v>
      </c>
      <c r="P20" s="99" t="s">
        <v>31</v>
      </c>
      <c r="Q20" s="118"/>
      <c r="R20" s="119"/>
      <c r="S20" s="57" t="s">
        <v>33</v>
      </c>
      <c r="T20" s="100"/>
      <c r="U20" s="100"/>
      <c r="V20" s="113"/>
      <c r="W20" s="106"/>
      <c r="X20" s="65" t="s">
        <v>93</v>
      </c>
      <c r="Y20" s="66">
        <v>90000.0</v>
      </c>
      <c r="Z20" s="107"/>
      <c r="AA20" s="107"/>
      <c r="AB20" s="107"/>
      <c r="AC20" s="106"/>
    </row>
    <row r="21" ht="36.0" customHeight="1">
      <c r="A21" s="67"/>
      <c r="B21" s="67"/>
      <c r="C21" s="67"/>
      <c r="D21" s="67"/>
      <c r="E21" s="67"/>
      <c r="F21" s="67"/>
      <c r="G21" s="72" t="s">
        <v>42</v>
      </c>
      <c r="H21" s="73">
        <v>1.0</v>
      </c>
      <c r="I21" s="74">
        <f t="shared" si="3"/>
        <v>75000</v>
      </c>
      <c r="J21" s="75">
        <f t="shared" si="2"/>
        <v>75000</v>
      </c>
      <c r="K21" s="67"/>
      <c r="L21" s="67"/>
      <c r="M21" s="67"/>
      <c r="N21" s="67"/>
      <c r="O21" s="67"/>
      <c r="P21" s="67"/>
      <c r="Q21" s="67"/>
      <c r="R21" s="67"/>
      <c r="S21" s="67"/>
      <c r="T21" s="67"/>
      <c r="U21" s="67"/>
      <c r="V21" s="67"/>
      <c r="W21" s="106"/>
      <c r="X21" s="65" t="s">
        <v>94</v>
      </c>
      <c r="Y21" s="66">
        <v>140000.0</v>
      </c>
      <c r="Z21" s="107"/>
      <c r="AA21" s="107"/>
      <c r="AB21" s="107"/>
      <c r="AC21" s="106"/>
    </row>
    <row r="22" ht="36.0" customHeight="1">
      <c r="A22" s="93">
        <v>14.0</v>
      </c>
      <c r="B22" s="120">
        <v>45261.0</v>
      </c>
      <c r="C22" s="104" t="s">
        <v>95</v>
      </c>
      <c r="D22" s="92" t="s">
        <v>50</v>
      </c>
      <c r="E22" s="105" t="s">
        <v>96</v>
      </c>
      <c r="F22" s="92" t="s">
        <v>74</v>
      </c>
      <c r="G22" s="63" t="s">
        <v>30</v>
      </c>
      <c r="H22" s="64">
        <v>1.0</v>
      </c>
      <c r="I22" s="47">
        <f t="shared" si="3"/>
        <v>220000</v>
      </c>
      <c r="J22" s="48">
        <f t="shared" si="2"/>
        <v>220000</v>
      </c>
      <c r="K22" s="76">
        <f t="shared" ref="K22:K28" si="10">SUM(J22)</f>
        <v>220000</v>
      </c>
      <c r="L22" s="65"/>
      <c r="M22" s="78">
        <f>11800</f>
        <v>11800</v>
      </c>
      <c r="N22" s="79"/>
      <c r="O22" s="80">
        <f t="shared" ref="O22:O29" si="11">K22+L22-M22-N22</f>
        <v>208200</v>
      </c>
      <c r="P22" s="81" t="s">
        <v>31</v>
      </c>
      <c r="Q22" s="109"/>
      <c r="R22" s="91"/>
      <c r="S22" s="84" t="s">
        <v>33</v>
      </c>
      <c r="T22" s="65"/>
      <c r="U22" s="65"/>
      <c r="V22" s="92" t="s">
        <v>53</v>
      </c>
      <c r="W22" s="106"/>
      <c r="X22" s="65" t="s">
        <v>97</v>
      </c>
      <c r="Y22" s="66">
        <v>95000.0</v>
      </c>
      <c r="Z22" s="107"/>
      <c r="AA22" s="107"/>
      <c r="AB22" s="107"/>
      <c r="AC22" s="106"/>
    </row>
    <row r="23" ht="36.0" customHeight="1">
      <c r="A23" s="93">
        <v>15.0</v>
      </c>
      <c r="B23" s="120">
        <v>45261.0</v>
      </c>
      <c r="C23" s="104" t="s">
        <v>98</v>
      </c>
      <c r="D23" s="92" t="s">
        <v>50</v>
      </c>
      <c r="E23" s="105" t="s">
        <v>96</v>
      </c>
      <c r="F23" s="92" t="s">
        <v>74</v>
      </c>
      <c r="G23" s="63" t="s">
        <v>37</v>
      </c>
      <c r="H23" s="64">
        <v>1.0</v>
      </c>
      <c r="I23" s="47">
        <f t="shared" si="3"/>
        <v>220000</v>
      </c>
      <c r="J23" s="48">
        <f t="shared" si="2"/>
        <v>220000</v>
      </c>
      <c r="K23" s="76">
        <f t="shared" si="10"/>
        <v>220000</v>
      </c>
      <c r="L23" s="65"/>
      <c r="M23" s="78">
        <f>12600</f>
        <v>12600</v>
      </c>
      <c r="N23" s="79"/>
      <c r="O23" s="80">
        <f t="shared" si="11"/>
        <v>207400</v>
      </c>
      <c r="P23" s="81" t="s">
        <v>31</v>
      </c>
      <c r="Q23" s="109"/>
      <c r="R23" s="91"/>
      <c r="S23" s="84" t="s">
        <v>33</v>
      </c>
      <c r="T23" s="65"/>
      <c r="U23" s="65"/>
      <c r="V23" s="92" t="s">
        <v>53</v>
      </c>
      <c r="W23" s="106"/>
      <c r="X23" s="65" t="s">
        <v>99</v>
      </c>
      <c r="Y23" s="66">
        <v>140000.0</v>
      </c>
      <c r="Z23" s="107"/>
      <c r="AA23" s="107"/>
      <c r="AB23" s="107"/>
      <c r="AC23" s="106"/>
    </row>
    <row r="24" ht="30.0" customHeight="1">
      <c r="A24" s="93">
        <v>16.0</v>
      </c>
      <c r="B24" s="120">
        <v>45261.0</v>
      </c>
      <c r="C24" s="104" t="s">
        <v>100</v>
      </c>
      <c r="D24" s="92" t="s">
        <v>50</v>
      </c>
      <c r="E24" s="105" t="s">
        <v>96</v>
      </c>
      <c r="F24" s="92" t="s">
        <v>74</v>
      </c>
      <c r="G24" s="63" t="s">
        <v>35</v>
      </c>
      <c r="H24" s="64">
        <v>2.0</v>
      </c>
      <c r="I24" s="47">
        <f t="shared" si="3"/>
        <v>220000</v>
      </c>
      <c r="J24" s="48">
        <f t="shared" si="2"/>
        <v>440000</v>
      </c>
      <c r="K24" s="76">
        <f t="shared" si="10"/>
        <v>440000</v>
      </c>
      <c r="L24" s="65"/>
      <c r="M24" s="78">
        <f>25200</f>
        <v>25200</v>
      </c>
      <c r="N24" s="79"/>
      <c r="O24" s="80">
        <f t="shared" si="11"/>
        <v>414800</v>
      </c>
      <c r="P24" s="81" t="s">
        <v>31</v>
      </c>
      <c r="Q24" s="109"/>
      <c r="R24" s="91"/>
      <c r="S24" s="84" t="s">
        <v>33</v>
      </c>
      <c r="T24" s="65"/>
      <c r="U24" s="65"/>
      <c r="V24" s="92" t="s">
        <v>53</v>
      </c>
      <c r="W24" s="106"/>
      <c r="X24" s="65" t="s">
        <v>101</v>
      </c>
      <c r="Y24" s="66">
        <v>150000.0</v>
      </c>
      <c r="Z24" s="107"/>
      <c r="AA24" s="107"/>
      <c r="AB24" s="107"/>
      <c r="AC24" s="106"/>
    </row>
    <row r="25" ht="31.5" customHeight="1">
      <c r="A25" s="93">
        <v>17.0</v>
      </c>
      <c r="B25" s="120">
        <v>45261.0</v>
      </c>
      <c r="C25" s="104" t="s">
        <v>102</v>
      </c>
      <c r="D25" s="92" t="s">
        <v>50</v>
      </c>
      <c r="E25" s="105" t="s">
        <v>103</v>
      </c>
      <c r="F25" s="121" t="s">
        <v>104</v>
      </c>
      <c r="G25" s="68" t="s">
        <v>30</v>
      </c>
      <c r="H25" s="69">
        <v>3.0</v>
      </c>
      <c r="I25" s="47">
        <f t="shared" si="3"/>
        <v>220000</v>
      </c>
      <c r="J25" s="48">
        <f t="shared" si="2"/>
        <v>660000</v>
      </c>
      <c r="K25" s="76">
        <f t="shared" si="10"/>
        <v>660000</v>
      </c>
      <c r="L25" s="65"/>
      <c r="M25" s="78">
        <f>39404</f>
        <v>39404</v>
      </c>
      <c r="N25" s="79"/>
      <c r="O25" s="80">
        <f t="shared" si="11"/>
        <v>620596</v>
      </c>
      <c r="P25" s="81" t="s">
        <v>31</v>
      </c>
      <c r="Q25" s="108"/>
      <c r="R25" s="83"/>
      <c r="S25" s="84" t="s">
        <v>33</v>
      </c>
      <c r="T25" s="65"/>
      <c r="U25" s="65"/>
      <c r="V25" s="122"/>
      <c r="W25" s="123"/>
      <c r="X25" s="93" t="s">
        <v>105</v>
      </c>
      <c r="Y25" s="87">
        <v>160000.0</v>
      </c>
      <c r="Z25" s="107"/>
      <c r="AA25" s="107"/>
      <c r="AB25" s="107"/>
      <c r="AC25" s="106"/>
    </row>
    <row r="26" ht="31.5" customHeight="1">
      <c r="A26" s="93">
        <v>18.0</v>
      </c>
      <c r="B26" s="120">
        <v>45261.0</v>
      </c>
      <c r="C26" s="93">
        <v>1.711023861292E12</v>
      </c>
      <c r="D26" s="92" t="s">
        <v>106</v>
      </c>
      <c r="E26" s="105" t="s">
        <v>107</v>
      </c>
      <c r="F26" s="121" t="s">
        <v>108</v>
      </c>
      <c r="G26" s="68" t="s">
        <v>30</v>
      </c>
      <c r="H26" s="69">
        <v>3.0</v>
      </c>
      <c r="I26" s="47">
        <f t="shared" si="3"/>
        <v>220000</v>
      </c>
      <c r="J26" s="48">
        <f t="shared" si="2"/>
        <v>660000</v>
      </c>
      <c r="K26" s="76">
        <f t="shared" si="10"/>
        <v>660000</v>
      </c>
      <c r="L26" s="65"/>
      <c r="M26" s="78"/>
      <c r="N26" s="79"/>
      <c r="O26" s="80">
        <f t="shared" si="11"/>
        <v>660000</v>
      </c>
      <c r="P26" s="81" t="s">
        <v>31</v>
      </c>
      <c r="Q26" s="108">
        <v>49002.0</v>
      </c>
      <c r="R26" s="83" t="s">
        <v>32</v>
      </c>
      <c r="S26" s="84" t="s">
        <v>33</v>
      </c>
      <c r="T26" s="65"/>
      <c r="U26" s="65"/>
      <c r="V26" s="122"/>
      <c r="W26" s="124"/>
      <c r="X26" s="65" t="s">
        <v>109</v>
      </c>
      <c r="Y26" s="66">
        <v>125000.0</v>
      </c>
      <c r="Z26" s="107"/>
      <c r="AA26" s="107"/>
      <c r="AB26" s="107"/>
      <c r="AC26" s="106"/>
    </row>
    <row r="27" ht="39.75" customHeight="1">
      <c r="A27" s="93">
        <v>19.0</v>
      </c>
      <c r="B27" s="120">
        <v>45261.0</v>
      </c>
      <c r="C27" s="93">
        <v>1.726526357541E12</v>
      </c>
      <c r="D27" s="92" t="s">
        <v>110</v>
      </c>
      <c r="E27" s="105" t="s">
        <v>111</v>
      </c>
      <c r="F27" s="68" t="s">
        <v>46</v>
      </c>
      <c r="G27" s="68" t="s">
        <v>112</v>
      </c>
      <c r="H27" s="69">
        <v>16.0</v>
      </c>
      <c r="I27" s="47">
        <f t="shared" si="3"/>
        <v>160000</v>
      </c>
      <c r="J27" s="48">
        <f t="shared" si="2"/>
        <v>2560000</v>
      </c>
      <c r="K27" s="76">
        <f t="shared" si="10"/>
        <v>2560000</v>
      </c>
      <c r="L27" s="65"/>
      <c r="M27" s="78"/>
      <c r="N27" s="79"/>
      <c r="O27" s="80">
        <f t="shared" si="11"/>
        <v>2560000</v>
      </c>
      <c r="P27" s="81" t="s">
        <v>31</v>
      </c>
      <c r="Q27" s="108">
        <v>249004.0</v>
      </c>
      <c r="R27" s="83" t="s">
        <v>32</v>
      </c>
      <c r="S27" s="84" t="s">
        <v>33</v>
      </c>
      <c r="T27" s="65"/>
      <c r="U27" s="65"/>
      <c r="V27" s="122"/>
      <c r="W27" s="124"/>
      <c r="X27" s="65" t="s">
        <v>113</v>
      </c>
      <c r="Y27" s="66">
        <v>75000.0</v>
      </c>
      <c r="Z27" s="107"/>
      <c r="AA27" s="107"/>
      <c r="AB27" s="107"/>
      <c r="AC27" s="106"/>
    </row>
    <row r="28" ht="34.5" customHeight="1">
      <c r="A28" s="93">
        <v>20.0</v>
      </c>
      <c r="B28" s="120">
        <v>45261.0</v>
      </c>
      <c r="C28" s="93">
        <v>1.726443232864E12</v>
      </c>
      <c r="D28" s="92" t="s">
        <v>114</v>
      </c>
      <c r="E28" s="105" t="s">
        <v>115</v>
      </c>
      <c r="F28" s="68" t="s">
        <v>46</v>
      </c>
      <c r="G28" s="68" t="s">
        <v>112</v>
      </c>
      <c r="H28" s="69">
        <v>5.0</v>
      </c>
      <c r="I28" s="47">
        <f t="shared" si="3"/>
        <v>160000</v>
      </c>
      <c r="J28" s="48">
        <f t="shared" si="2"/>
        <v>800000</v>
      </c>
      <c r="K28" s="76">
        <f t="shared" si="10"/>
        <v>800000</v>
      </c>
      <c r="L28" s="65"/>
      <c r="M28" s="78"/>
      <c r="N28" s="79"/>
      <c r="O28" s="80">
        <f t="shared" si="11"/>
        <v>800000</v>
      </c>
      <c r="P28" s="81" t="s">
        <v>31</v>
      </c>
      <c r="Q28" s="108">
        <v>99006.0</v>
      </c>
      <c r="R28" s="83" t="s">
        <v>32</v>
      </c>
      <c r="S28" s="84" t="s">
        <v>33</v>
      </c>
      <c r="T28" s="65"/>
      <c r="U28" s="65"/>
      <c r="V28" s="122"/>
      <c r="W28" s="106"/>
      <c r="X28" s="65" t="s">
        <v>116</v>
      </c>
      <c r="Y28" s="66">
        <v>475000.0</v>
      </c>
      <c r="Z28" s="107"/>
      <c r="AA28" s="107"/>
      <c r="AB28" s="107"/>
      <c r="AC28" s="106"/>
    </row>
    <row r="29" ht="31.5" customHeight="1">
      <c r="A29" s="39">
        <v>21.0</v>
      </c>
      <c r="B29" s="125">
        <v>45261.0</v>
      </c>
      <c r="C29" s="94" t="s">
        <v>117</v>
      </c>
      <c r="D29" s="126" t="s">
        <v>118</v>
      </c>
      <c r="E29" s="100"/>
      <c r="F29" s="126" t="s">
        <v>119</v>
      </c>
      <c r="G29" s="63" t="s">
        <v>30</v>
      </c>
      <c r="H29" s="64">
        <v>1.0</v>
      </c>
      <c r="I29" s="47">
        <f t="shared" si="3"/>
        <v>220000</v>
      </c>
      <c r="J29" s="48">
        <f t="shared" si="2"/>
        <v>220000</v>
      </c>
      <c r="K29" s="49">
        <f>SUM(J29:J32)</f>
        <v>880000</v>
      </c>
      <c r="L29" s="127"/>
      <c r="M29" s="51">
        <f>70400+56506-450</f>
        <v>126456</v>
      </c>
      <c r="N29" s="52"/>
      <c r="O29" s="53">
        <f t="shared" si="11"/>
        <v>753544</v>
      </c>
      <c r="P29" s="99" t="s">
        <v>31</v>
      </c>
      <c r="Q29" s="118"/>
      <c r="R29" s="119"/>
      <c r="S29" s="57" t="s">
        <v>33</v>
      </c>
      <c r="T29" s="100"/>
      <c r="U29" s="100"/>
      <c r="V29" s="126" t="s">
        <v>120</v>
      </c>
      <c r="W29" s="106"/>
      <c r="X29" s="85" t="s">
        <v>121</v>
      </c>
      <c r="Y29" s="128">
        <v>220000.0</v>
      </c>
      <c r="Z29" s="107"/>
      <c r="AA29" s="107"/>
      <c r="AB29" s="107"/>
      <c r="AC29" s="106"/>
    </row>
    <row r="30" ht="31.5" customHeight="1">
      <c r="A30" s="62"/>
      <c r="B30" s="62"/>
      <c r="C30" s="62"/>
      <c r="D30" s="62"/>
      <c r="E30" s="62"/>
      <c r="F30" s="62"/>
      <c r="G30" s="63" t="s">
        <v>122</v>
      </c>
      <c r="H30" s="64">
        <v>1.0</v>
      </c>
      <c r="I30" s="47">
        <f t="shared" si="3"/>
        <v>220000</v>
      </c>
      <c r="J30" s="48">
        <f t="shared" si="2"/>
        <v>220000</v>
      </c>
      <c r="K30" s="62"/>
      <c r="L30" s="62"/>
      <c r="M30" s="62"/>
      <c r="N30" s="62"/>
      <c r="O30" s="62"/>
      <c r="P30" s="62"/>
      <c r="Q30" s="62"/>
      <c r="R30" s="62"/>
      <c r="S30" s="62"/>
      <c r="T30" s="62"/>
      <c r="U30" s="62"/>
      <c r="V30" s="62"/>
      <c r="W30" s="106"/>
      <c r="X30" s="85" t="s">
        <v>123</v>
      </c>
      <c r="Y30" s="128">
        <v>220000.0</v>
      </c>
      <c r="Z30" s="107"/>
      <c r="AA30" s="107"/>
      <c r="AB30" s="107"/>
      <c r="AC30" s="106"/>
    </row>
    <row r="31" ht="33.0" customHeight="1">
      <c r="A31" s="62"/>
      <c r="B31" s="62"/>
      <c r="C31" s="62"/>
      <c r="D31" s="62"/>
      <c r="E31" s="62"/>
      <c r="F31" s="62"/>
      <c r="G31" s="63" t="s">
        <v>37</v>
      </c>
      <c r="H31" s="64">
        <v>1.0</v>
      </c>
      <c r="I31" s="47">
        <f t="shared" si="3"/>
        <v>220000</v>
      </c>
      <c r="J31" s="48">
        <f t="shared" si="2"/>
        <v>220000</v>
      </c>
      <c r="K31" s="62"/>
      <c r="L31" s="62"/>
      <c r="M31" s="62"/>
      <c r="N31" s="62"/>
      <c r="O31" s="62"/>
      <c r="P31" s="62"/>
      <c r="Q31" s="62"/>
      <c r="R31" s="62"/>
      <c r="S31" s="62"/>
      <c r="T31" s="62"/>
      <c r="U31" s="62"/>
      <c r="V31" s="62"/>
      <c r="W31" s="106"/>
      <c r="X31" s="85" t="s">
        <v>124</v>
      </c>
      <c r="Y31" s="128">
        <v>220000.0</v>
      </c>
      <c r="Z31" s="107"/>
      <c r="AA31" s="107"/>
      <c r="AB31" s="107"/>
      <c r="AC31" s="106"/>
    </row>
    <row r="32" ht="31.5" customHeight="1">
      <c r="A32" s="67"/>
      <c r="B32" s="67"/>
      <c r="C32" s="67"/>
      <c r="D32" s="67"/>
      <c r="E32" s="67"/>
      <c r="F32" s="67"/>
      <c r="G32" s="63" t="s">
        <v>35</v>
      </c>
      <c r="H32" s="64">
        <v>1.0</v>
      </c>
      <c r="I32" s="47">
        <f t="shared" si="3"/>
        <v>220000</v>
      </c>
      <c r="J32" s="48">
        <f t="shared" si="2"/>
        <v>220000</v>
      </c>
      <c r="K32" s="67"/>
      <c r="L32" s="67"/>
      <c r="M32" s="67"/>
      <c r="N32" s="67"/>
      <c r="O32" s="67"/>
      <c r="P32" s="67"/>
      <c r="Q32" s="67"/>
      <c r="R32" s="67"/>
      <c r="S32" s="67"/>
      <c r="T32" s="67"/>
      <c r="U32" s="67"/>
      <c r="V32" s="67"/>
      <c r="W32" s="106"/>
      <c r="X32" s="129" t="s">
        <v>125</v>
      </c>
      <c r="Y32" s="80">
        <v>220000.0</v>
      </c>
      <c r="Z32" s="107"/>
      <c r="AA32" s="107"/>
      <c r="AB32" s="107"/>
      <c r="AC32" s="106"/>
    </row>
    <row r="33" ht="43.5" customHeight="1">
      <c r="A33" s="93">
        <v>22.0</v>
      </c>
      <c r="B33" s="120">
        <v>45262.0</v>
      </c>
      <c r="C33" s="93">
        <v>1.720061117533E12</v>
      </c>
      <c r="D33" s="92" t="s">
        <v>126</v>
      </c>
      <c r="E33" s="105" t="s">
        <v>127</v>
      </c>
      <c r="F33" s="121" t="s">
        <v>128</v>
      </c>
      <c r="G33" s="63" t="s">
        <v>30</v>
      </c>
      <c r="H33" s="64">
        <v>2.0</v>
      </c>
      <c r="I33" s="47">
        <f t="shared" si="3"/>
        <v>220000</v>
      </c>
      <c r="J33" s="48">
        <f t="shared" si="2"/>
        <v>440000</v>
      </c>
      <c r="K33" s="76">
        <f t="shared" ref="K33:K44" si="12">SUM(J33)</f>
        <v>440000</v>
      </c>
      <c r="L33" s="108">
        <v>36001.0</v>
      </c>
      <c r="M33" s="78"/>
      <c r="N33" s="115">
        <v>6001.0</v>
      </c>
      <c r="O33" s="80">
        <f t="shared" ref="O33:O45" si="13">K33+L33-M33-N33</f>
        <v>470000</v>
      </c>
      <c r="P33" s="81" t="s">
        <v>31</v>
      </c>
      <c r="Q33" s="130"/>
      <c r="R33" s="91"/>
      <c r="S33" s="84" t="s">
        <v>33</v>
      </c>
      <c r="T33" s="65"/>
      <c r="U33" s="65"/>
      <c r="V33" s="122"/>
      <c r="W33" s="106"/>
      <c r="X33" s="129" t="s">
        <v>129</v>
      </c>
      <c r="Y33" s="80">
        <v>220000.0</v>
      </c>
      <c r="Z33" s="107"/>
      <c r="AA33" s="107"/>
      <c r="AB33" s="107"/>
      <c r="AC33" s="106"/>
    </row>
    <row r="34" ht="33.75" customHeight="1">
      <c r="A34" s="64">
        <v>23.0</v>
      </c>
      <c r="B34" s="120">
        <v>45262.0</v>
      </c>
      <c r="C34" s="69" t="s">
        <v>130</v>
      </c>
      <c r="D34" s="63" t="s">
        <v>50</v>
      </c>
      <c r="E34" s="131" t="s">
        <v>131</v>
      </c>
      <c r="F34" s="63" t="s">
        <v>132</v>
      </c>
      <c r="G34" s="63" t="s">
        <v>30</v>
      </c>
      <c r="H34" s="64">
        <v>1.0</v>
      </c>
      <c r="I34" s="47">
        <f t="shared" si="3"/>
        <v>220000</v>
      </c>
      <c r="J34" s="48">
        <f t="shared" si="2"/>
        <v>220000</v>
      </c>
      <c r="K34" s="76">
        <f t="shared" si="12"/>
        <v>220000</v>
      </c>
      <c r="L34" s="77"/>
      <c r="M34" s="78">
        <f>36892</f>
        <v>36892</v>
      </c>
      <c r="N34" s="79"/>
      <c r="O34" s="80">
        <f t="shared" si="13"/>
        <v>183108</v>
      </c>
      <c r="P34" s="81" t="s">
        <v>31</v>
      </c>
      <c r="Q34" s="90"/>
      <c r="R34" s="91"/>
      <c r="S34" s="84" t="s">
        <v>33</v>
      </c>
      <c r="T34" s="85"/>
      <c r="U34" s="85"/>
      <c r="V34" s="92" t="s">
        <v>53</v>
      </c>
      <c r="W34" s="106"/>
      <c r="X34" s="85" t="s">
        <v>133</v>
      </c>
      <c r="Y34" s="128">
        <v>220000.0</v>
      </c>
      <c r="Z34" s="107"/>
      <c r="AA34" s="107"/>
      <c r="AB34" s="107"/>
      <c r="AC34" s="106"/>
    </row>
    <row r="35" ht="33.75" customHeight="1">
      <c r="A35" s="93">
        <v>24.0</v>
      </c>
      <c r="B35" s="132">
        <v>45264.0</v>
      </c>
      <c r="C35" s="64">
        <v>1.724486648257E12</v>
      </c>
      <c r="D35" s="63" t="s">
        <v>114</v>
      </c>
      <c r="E35" s="131" t="s">
        <v>107</v>
      </c>
      <c r="F35" s="63" t="s">
        <v>134</v>
      </c>
      <c r="G35" s="63" t="s">
        <v>30</v>
      </c>
      <c r="H35" s="64">
        <v>5.0</v>
      </c>
      <c r="I35" s="47">
        <f t="shared" si="3"/>
        <v>220000</v>
      </c>
      <c r="J35" s="48">
        <f t="shared" si="2"/>
        <v>1100000</v>
      </c>
      <c r="K35" s="76">
        <f t="shared" si="12"/>
        <v>1100000</v>
      </c>
      <c r="L35" s="77"/>
      <c r="M35" s="78"/>
      <c r="N35" s="79"/>
      <c r="O35" s="80">
        <f t="shared" si="13"/>
        <v>1100000</v>
      </c>
      <c r="P35" s="81" t="s">
        <v>31</v>
      </c>
      <c r="Q35" s="82">
        <v>55002.0</v>
      </c>
      <c r="R35" s="83" t="s">
        <v>32</v>
      </c>
      <c r="S35" s="84" t="s">
        <v>33</v>
      </c>
      <c r="T35" s="85"/>
      <c r="U35" s="85"/>
      <c r="V35" s="86"/>
      <c r="W35" s="106"/>
      <c r="X35" s="85" t="s">
        <v>135</v>
      </c>
      <c r="Y35" s="128">
        <v>220000.0</v>
      </c>
      <c r="Z35" s="107"/>
      <c r="AA35" s="107"/>
      <c r="AB35" s="107"/>
      <c r="AC35" s="106"/>
    </row>
    <row r="36" ht="33.75" customHeight="1">
      <c r="A36" s="64">
        <v>25.0</v>
      </c>
      <c r="B36" s="132">
        <v>45264.0</v>
      </c>
      <c r="C36" s="64">
        <v>1.724543466766E12</v>
      </c>
      <c r="D36" s="63" t="s">
        <v>136</v>
      </c>
      <c r="E36" s="131" t="s">
        <v>137</v>
      </c>
      <c r="F36" s="63" t="s">
        <v>138</v>
      </c>
      <c r="G36" s="63" t="s">
        <v>30</v>
      </c>
      <c r="H36" s="64">
        <v>4.0</v>
      </c>
      <c r="I36" s="47">
        <f t="shared" si="3"/>
        <v>220000</v>
      </c>
      <c r="J36" s="48">
        <f t="shared" si="2"/>
        <v>880000</v>
      </c>
      <c r="K36" s="76">
        <f t="shared" si="12"/>
        <v>880000</v>
      </c>
      <c r="L36" s="77"/>
      <c r="M36" s="78"/>
      <c r="N36" s="79"/>
      <c r="O36" s="80">
        <f t="shared" si="13"/>
        <v>880000</v>
      </c>
      <c r="P36" s="81" t="s">
        <v>31</v>
      </c>
      <c r="Q36" s="82">
        <v>16500.0</v>
      </c>
      <c r="R36" s="83" t="s">
        <v>32</v>
      </c>
      <c r="S36" s="84" t="s">
        <v>33</v>
      </c>
      <c r="T36" s="85"/>
      <c r="U36" s="85"/>
      <c r="V36" s="86"/>
      <c r="W36" s="106"/>
      <c r="X36" s="85" t="s">
        <v>139</v>
      </c>
      <c r="Y36" s="128">
        <v>80000.0</v>
      </c>
      <c r="Z36" s="107"/>
      <c r="AA36" s="107"/>
      <c r="AB36" s="107"/>
      <c r="AC36" s="106"/>
    </row>
    <row r="37" ht="33.75" customHeight="1">
      <c r="A37" s="93">
        <v>26.0</v>
      </c>
      <c r="B37" s="132">
        <v>45264.0</v>
      </c>
      <c r="C37" s="69" t="s">
        <v>140</v>
      </c>
      <c r="D37" s="92" t="s">
        <v>118</v>
      </c>
      <c r="E37" s="85"/>
      <c r="F37" s="133" t="s">
        <v>141</v>
      </c>
      <c r="G37" s="63" t="s">
        <v>30</v>
      </c>
      <c r="H37" s="64">
        <v>1.0</v>
      </c>
      <c r="I37" s="47">
        <f t="shared" si="3"/>
        <v>220000</v>
      </c>
      <c r="J37" s="48">
        <f t="shared" si="2"/>
        <v>220000</v>
      </c>
      <c r="K37" s="76">
        <f t="shared" si="12"/>
        <v>220000</v>
      </c>
      <c r="L37" s="77"/>
      <c r="M37" s="78">
        <f>16904</f>
        <v>16904</v>
      </c>
      <c r="N37" s="79"/>
      <c r="O37" s="80">
        <f t="shared" si="13"/>
        <v>203096</v>
      </c>
      <c r="P37" s="81" t="s">
        <v>31</v>
      </c>
      <c r="Q37" s="134"/>
      <c r="R37" s="91"/>
      <c r="S37" s="84" t="s">
        <v>33</v>
      </c>
      <c r="T37" s="85"/>
      <c r="U37" s="85"/>
      <c r="V37" s="135" t="s">
        <v>120</v>
      </c>
      <c r="W37" s="106"/>
      <c r="X37" s="85" t="s">
        <v>142</v>
      </c>
      <c r="Y37" s="128">
        <v>220000.0</v>
      </c>
      <c r="Z37" s="107"/>
      <c r="AA37" s="107"/>
      <c r="AB37" s="107"/>
      <c r="AC37" s="106"/>
    </row>
    <row r="38" ht="33.75" customHeight="1">
      <c r="A38" s="64">
        <v>27.0</v>
      </c>
      <c r="B38" s="132">
        <v>45264.0</v>
      </c>
      <c r="C38" s="69" t="s">
        <v>143</v>
      </c>
      <c r="D38" s="92" t="s">
        <v>118</v>
      </c>
      <c r="E38" s="65"/>
      <c r="F38" s="133" t="s">
        <v>141</v>
      </c>
      <c r="G38" s="63" t="s">
        <v>144</v>
      </c>
      <c r="H38" s="64">
        <v>1.0</v>
      </c>
      <c r="I38" s="47">
        <f t="shared" si="3"/>
        <v>220000</v>
      </c>
      <c r="J38" s="48">
        <f t="shared" si="2"/>
        <v>220000</v>
      </c>
      <c r="K38" s="76">
        <f t="shared" si="12"/>
        <v>220000</v>
      </c>
      <c r="L38" s="122"/>
      <c r="M38" s="78">
        <f>22000+15364</f>
        <v>37364</v>
      </c>
      <c r="N38" s="136"/>
      <c r="O38" s="80">
        <f t="shared" si="13"/>
        <v>182636</v>
      </c>
      <c r="P38" s="81" t="s">
        <v>31</v>
      </c>
      <c r="Q38" s="130"/>
      <c r="R38" s="91"/>
      <c r="S38" s="84" t="s">
        <v>33</v>
      </c>
      <c r="T38" s="65"/>
      <c r="U38" s="65"/>
      <c r="V38" s="135" t="s">
        <v>120</v>
      </c>
      <c r="W38" s="106"/>
      <c r="X38" s="85" t="s">
        <v>145</v>
      </c>
      <c r="Y38" s="128">
        <v>220000.0</v>
      </c>
      <c r="Z38" s="107"/>
      <c r="AA38" s="107"/>
      <c r="AB38" s="107"/>
      <c r="AC38" s="106"/>
    </row>
    <row r="39" ht="33.75" customHeight="1">
      <c r="A39" s="93">
        <v>28.0</v>
      </c>
      <c r="B39" s="132">
        <v>45264.0</v>
      </c>
      <c r="C39" s="104" t="s">
        <v>146</v>
      </c>
      <c r="D39" s="92" t="s">
        <v>118</v>
      </c>
      <c r="E39" s="65"/>
      <c r="F39" s="133" t="s">
        <v>141</v>
      </c>
      <c r="G39" s="63" t="s">
        <v>147</v>
      </c>
      <c r="H39" s="64">
        <v>1.0</v>
      </c>
      <c r="I39" s="47">
        <f t="shared" si="3"/>
        <v>80000</v>
      </c>
      <c r="J39" s="48">
        <f t="shared" si="2"/>
        <v>80000</v>
      </c>
      <c r="K39" s="76">
        <f t="shared" si="12"/>
        <v>80000</v>
      </c>
      <c r="L39" s="122"/>
      <c r="M39" s="78">
        <f>6912+11000</f>
        <v>17912</v>
      </c>
      <c r="N39" s="136"/>
      <c r="O39" s="80">
        <f t="shared" si="13"/>
        <v>62088</v>
      </c>
      <c r="P39" s="81" t="s">
        <v>31</v>
      </c>
      <c r="Q39" s="122"/>
      <c r="R39" s="91"/>
      <c r="S39" s="84" t="s">
        <v>33</v>
      </c>
      <c r="T39" s="65"/>
      <c r="U39" s="65"/>
      <c r="V39" s="135" t="s">
        <v>120</v>
      </c>
      <c r="W39" s="106"/>
      <c r="X39" s="64" t="s">
        <v>148</v>
      </c>
      <c r="Y39" s="137">
        <v>220000.0</v>
      </c>
      <c r="Z39" s="107"/>
      <c r="AA39" s="107"/>
      <c r="AB39" s="107"/>
      <c r="AC39" s="106"/>
    </row>
    <row r="40" ht="33.75" customHeight="1">
      <c r="A40" s="64">
        <v>29.0</v>
      </c>
      <c r="B40" s="132">
        <v>45264.0</v>
      </c>
      <c r="C40" s="69" t="s">
        <v>149</v>
      </c>
      <c r="D40" s="133" t="s">
        <v>50</v>
      </c>
      <c r="E40" s="131" t="s">
        <v>150</v>
      </c>
      <c r="F40" s="92" t="s">
        <v>119</v>
      </c>
      <c r="G40" s="63" t="s">
        <v>35</v>
      </c>
      <c r="H40" s="64">
        <v>5.0</v>
      </c>
      <c r="I40" s="47">
        <f t="shared" si="3"/>
        <v>220000</v>
      </c>
      <c r="J40" s="48">
        <f t="shared" si="2"/>
        <v>1100000</v>
      </c>
      <c r="K40" s="76">
        <f t="shared" si="12"/>
        <v>1100000</v>
      </c>
      <c r="L40" s="138"/>
      <c r="M40" s="78">
        <f>178268</f>
        <v>178268</v>
      </c>
      <c r="N40" s="136"/>
      <c r="O40" s="80">
        <f t="shared" si="13"/>
        <v>921732</v>
      </c>
      <c r="P40" s="81" t="s">
        <v>31</v>
      </c>
      <c r="Q40" s="134"/>
      <c r="R40" s="91"/>
      <c r="S40" s="84" t="s">
        <v>33</v>
      </c>
      <c r="T40" s="85"/>
      <c r="U40" s="85"/>
      <c r="V40" s="92" t="s">
        <v>53</v>
      </c>
      <c r="W40" s="106"/>
      <c r="X40" s="139" t="s">
        <v>151</v>
      </c>
      <c r="Y40" s="140">
        <v>220000.0</v>
      </c>
      <c r="Z40" s="107"/>
      <c r="AA40" s="107"/>
      <c r="AB40" s="107"/>
      <c r="AC40" s="106"/>
    </row>
    <row r="41" ht="33.75" customHeight="1">
      <c r="A41" s="93">
        <v>30.0</v>
      </c>
      <c r="B41" s="132">
        <v>45264.0</v>
      </c>
      <c r="C41" s="141" t="s">
        <v>152</v>
      </c>
      <c r="D41" s="133" t="s">
        <v>50</v>
      </c>
      <c r="E41" s="131" t="s">
        <v>150</v>
      </c>
      <c r="F41" s="92" t="s">
        <v>119</v>
      </c>
      <c r="G41" s="63" t="s">
        <v>30</v>
      </c>
      <c r="H41" s="64">
        <v>3.0</v>
      </c>
      <c r="I41" s="47">
        <f t="shared" si="3"/>
        <v>220000</v>
      </c>
      <c r="J41" s="48">
        <f t="shared" si="2"/>
        <v>660000</v>
      </c>
      <c r="K41" s="76">
        <f t="shared" si="12"/>
        <v>660000</v>
      </c>
      <c r="L41" s="122"/>
      <c r="M41" s="78">
        <f>107604</f>
        <v>107604</v>
      </c>
      <c r="N41" s="136"/>
      <c r="O41" s="80">
        <f t="shared" si="13"/>
        <v>552396</v>
      </c>
      <c r="P41" s="81" t="s">
        <v>31</v>
      </c>
      <c r="Q41" s="122"/>
      <c r="R41" s="91"/>
      <c r="S41" s="84" t="s">
        <v>33</v>
      </c>
      <c r="T41" s="65"/>
      <c r="U41" s="65"/>
      <c r="V41" s="92" t="s">
        <v>53</v>
      </c>
      <c r="W41" s="106"/>
      <c r="X41" s="85" t="s">
        <v>153</v>
      </c>
      <c r="Y41" s="87">
        <v>45000.0</v>
      </c>
      <c r="Z41" s="107"/>
      <c r="AA41" s="107"/>
      <c r="AB41" s="107"/>
      <c r="AC41" s="106"/>
    </row>
    <row r="42" ht="30.75" customHeight="1">
      <c r="A42" s="64">
        <v>31.0</v>
      </c>
      <c r="B42" s="132">
        <v>45264.0</v>
      </c>
      <c r="C42" s="104" t="s">
        <v>154</v>
      </c>
      <c r="D42" s="133" t="s">
        <v>50</v>
      </c>
      <c r="E42" s="105" t="s">
        <v>155</v>
      </c>
      <c r="F42" s="92" t="s">
        <v>156</v>
      </c>
      <c r="G42" s="63" t="s">
        <v>30</v>
      </c>
      <c r="H42" s="64">
        <v>3.0</v>
      </c>
      <c r="I42" s="47">
        <f t="shared" si="3"/>
        <v>220000</v>
      </c>
      <c r="J42" s="48">
        <f t="shared" si="2"/>
        <v>660000</v>
      </c>
      <c r="K42" s="76">
        <f t="shared" si="12"/>
        <v>660000</v>
      </c>
      <c r="L42" s="122"/>
      <c r="M42" s="78">
        <f>41103</f>
        <v>41103</v>
      </c>
      <c r="N42" s="136"/>
      <c r="O42" s="80">
        <f t="shared" si="13"/>
        <v>618897</v>
      </c>
      <c r="P42" s="81" t="s">
        <v>31</v>
      </c>
      <c r="Q42" s="122"/>
      <c r="R42" s="91"/>
      <c r="S42" s="84" t="s">
        <v>33</v>
      </c>
      <c r="T42" s="65"/>
      <c r="U42" s="65"/>
      <c r="V42" s="92" t="s">
        <v>53</v>
      </c>
      <c r="W42" s="106"/>
      <c r="X42" s="93" t="s">
        <v>157</v>
      </c>
      <c r="Y42" s="87">
        <v>45000.0</v>
      </c>
      <c r="Z42" s="107"/>
      <c r="AA42" s="107"/>
      <c r="AB42" s="107"/>
      <c r="AC42" s="106"/>
    </row>
    <row r="43" ht="33.75" customHeight="1">
      <c r="A43" s="93">
        <v>32.0</v>
      </c>
      <c r="B43" s="132">
        <v>45264.0</v>
      </c>
      <c r="C43" s="93">
        <v>1.724622392906E12</v>
      </c>
      <c r="D43" s="92" t="s">
        <v>158</v>
      </c>
      <c r="E43" s="105" t="s">
        <v>159</v>
      </c>
      <c r="F43" s="121" t="s">
        <v>160</v>
      </c>
      <c r="G43" s="63" t="s">
        <v>30</v>
      </c>
      <c r="H43" s="64">
        <v>1.0</v>
      </c>
      <c r="I43" s="47">
        <f t="shared" si="3"/>
        <v>220000</v>
      </c>
      <c r="J43" s="48">
        <f t="shared" si="2"/>
        <v>220000</v>
      </c>
      <c r="K43" s="76">
        <f t="shared" si="12"/>
        <v>220000</v>
      </c>
      <c r="L43" s="108">
        <v>40001.0</v>
      </c>
      <c r="M43" s="78"/>
      <c r="N43" s="115">
        <v>20001.0</v>
      </c>
      <c r="O43" s="80">
        <f t="shared" si="13"/>
        <v>240000</v>
      </c>
      <c r="P43" s="81" t="s">
        <v>31</v>
      </c>
      <c r="Q43" s="122"/>
      <c r="R43" s="91"/>
      <c r="S43" s="84" t="s">
        <v>33</v>
      </c>
      <c r="T43" s="65"/>
      <c r="U43" s="65"/>
      <c r="V43" s="122"/>
      <c r="W43" s="106"/>
      <c r="X43" s="93" t="s">
        <v>161</v>
      </c>
      <c r="Y43" s="87">
        <v>220000.0</v>
      </c>
      <c r="Z43" s="107"/>
      <c r="AA43" s="107"/>
      <c r="AB43" s="107"/>
      <c r="AC43" s="106"/>
    </row>
    <row r="44" ht="30.75" customHeight="1">
      <c r="A44" s="64">
        <v>33.0</v>
      </c>
      <c r="B44" s="132">
        <v>45265.0</v>
      </c>
      <c r="C44" s="93">
        <v>1.7204487613E12</v>
      </c>
      <c r="D44" s="92" t="s">
        <v>162</v>
      </c>
      <c r="E44" s="105" t="s">
        <v>163</v>
      </c>
      <c r="F44" s="92" t="s">
        <v>164</v>
      </c>
      <c r="G44" s="63" t="s">
        <v>165</v>
      </c>
      <c r="H44" s="64">
        <v>1.0</v>
      </c>
      <c r="I44" s="47">
        <f t="shared" si="3"/>
        <v>220000</v>
      </c>
      <c r="J44" s="48">
        <f t="shared" si="2"/>
        <v>220000</v>
      </c>
      <c r="K44" s="76">
        <f t="shared" si="12"/>
        <v>220000</v>
      </c>
      <c r="L44" s="108">
        <v>40001.0</v>
      </c>
      <c r="M44" s="78"/>
      <c r="N44" s="115">
        <v>20001.0</v>
      </c>
      <c r="O44" s="80">
        <f t="shared" si="13"/>
        <v>240000</v>
      </c>
      <c r="P44" s="81" t="s">
        <v>31</v>
      </c>
      <c r="Q44" s="109"/>
      <c r="R44" s="91"/>
      <c r="S44" s="84" t="s">
        <v>33</v>
      </c>
      <c r="T44" s="65"/>
      <c r="U44" s="65"/>
      <c r="V44" s="122"/>
      <c r="W44" s="106"/>
      <c r="X44" s="93" t="s">
        <v>166</v>
      </c>
      <c r="Y44" s="87">
        <v>160000.0</v>
      </c>
      <c r="Z44" s="107"/>
      <c r="AA44" s="107"/>
      <c r="AB44" s="107"/>
      <c r="AC44" s="106"/>
    </row>
    <row r="45" ht="30.75" customHeight="1">
      <c r="A45" s="111">
        <v>34.0</v>
      </c>
      <c r="B45" s="125">
        <v>45265.0</v>
      </c>
      <c r="C45" s="111">
        <v>1.725512085678E12</v>
      </c>
      <c r="D45" s="142" t="s">
        <v>167</v>
      </c>
      <c r="E45" s="143" t="s">
        <v>168</v>
      </c>
      <c r="F45" s="142" t="s">
        <v>169</v>
      </c>
      <c r="G45" s="63" t="s">
        <v>30</v>
      </c>
      <c r="H45" s="64">
        <v>6.0</v>
      </c>
      <c r="I45" s="47">
        <f t="shared" si="3"/>
        <v>220000</v>
      </c>
      <c r="J45" s="48">
        <f t="shared" si="2"/>
        <v>1320000</v>
      </c>
      <c r="K45" s="49">
        <f>sum(J45:J46)</f>
        <v>1540000</v>
      </c>
      <c r="L45" s="144"/>
      <c r="M45" s="51"/>
      <c r="N45" s="52"/>
      <c r="O45" s="53">
        <f t="shared" si="13"/>
        <v>1540000</v>
      </c>
      <c r="P45" s="99" t="s">
        <v>31</v>
      </c>
      <c r="Q45" s="145">
        <v>74504.0</v>
      </c>
      <c r="R45" s="56" t="s">
        <v>32</v>
      </c>
      <c r="S45" s="57" t="s">
        <v>33</v>
      </c>
      <c r="T45" s="146"/>
      <c r="U45" s="146"/>
      <c r="V45" s="147"/>
      <c r="W45" s="106"/>
      <c r="X45" s="93" t="s">
        <v>170</v>
      </c>
      <c r="Y45" s="87">
        <v>220000.0</v>
      </c>
      <c r="Z45" s="107"/>
      <c r="AA45" s="107"/>
      <c r="AB45" s="107"/>
      <c r="AC45" s="106"/>
    </row>
    <row r="46" ht="30.75" customHeight="1">
      <c r="A46" s="67"/>
      <c r="B46" s="67"/>
      <c r="C46" s="67"/>
      <c r="D46" s="67"/>
      <c r="E46" s="67"/>
      <c r="F46" s="67"/>
      <c r="G46" s="63" t="s">
        <v>47</v>
      </c>
      <c r="H46" s="64">
        <v>1.0</v>
      </c>
      <c r="I46" s="47">
        <f t="shared" si="3"/>
        <v>220000</v>
      </c>
      <c r="J46" s="48">
        <f t="shared" si="2"/>
        <v>220000</v>
      </c>
      <c r="K46" s="67"/>
      <c r="L46" s="67"/>
      <c r="M46" s="67"/>
      <c r="N46" s="67"/>
      <c r="O46" s="67"/>
      <c r="P46" s="67"/>
      <c r="Q46" s="67"/>
      <c r="R46" s="67"/>
      <c r="S46" s="67"/>
      <c r="T46" s="67"/>
      <c r="U46" s="67"/>
      <c r="V46" s="67"/>
      <c r="W46" s="22"/>
      <c r="X46" s="93" t="s">
        <v>42</v>
      </c>
      <c r="Y46" s="87">
        <v>75000.0</v>
      </c>
      <c r="Z46" s="25"/>
      <c r="AA46" s="25"/>
      <c r="AB46" s="25"/>
      <c r="AC46" s="22"/>
    </row>
    <row r="47" ht="30.75" customHeight="1">
      <c r="A47" s="111">
        <v>35.0</v>
      </c>
      <c r="B47" s="125">
        <v>45265.0</v>
      </c>
      <c r="C47" s="111">
        <v>1.725703806852E12</v>
      </c>
      <c r="D47" s="148" t="s">
        <v>171</v>
      </c>
      <c r="E47" s="143" t="s">
        <v>172</v>
      </c>
      <c r="F47" s="149" t="s">
        <v>173</v>
      </c>
      <c r="G47" s="63" t="s">
        <v>30</v>
      </c>
      <c r="H47" s="64">
        <v>2.0</v>
      </c>
      <c r="I47" s="47">
        <f t="shared" si="3"/>
        <v>220000</v>
      </c>
      <c r="J47" s="48">
        <f t="shared" si="2"/>
        <v>440000</v>
      </c>
      <c r="K47" s="49">
        <f>sum(J47:J48)</f>
        <v>660000</v>
      </c>
      <c r="L47" s="144"/>
      <c r="M47" s="51"/>
      <c r="N47" s="52"/>
      <c r="O47" s="53">
        <f>K47+L47-M47-N47</f>
        <v>660000</v>
      </c>
      <c r="P47" s="99" t="s">
        <v>31</v>
      </c>
      <c r="Q47" s="145">
        <v>49002.0</v>
      </c>
      <c r="R47" s="56" t="s">
        <v>32</v>
      </c>
      <c r="S47" s="57" t="s">
        <v>33</v>
      </c>
      <c r="T47" s="146"/>
      <c r="U47" s="146"/>
      <c r="V47" s="147"/>
      <c r="W47" s="106"/>
      <c r="X47" s="93" t="s">
        <v>174</v>
      </c>
      <c r="Y47" s="87">
        <v>160000.0</v>
      </c>
      <c r="Z47" s="107"/>
      <c r="AA47" s="107"/>
      <c r="AB47" s="107"/>
      <c r="AC47" s="106"/>
    </row>
    <row r="48" ht="30.75" customHeight="1">
      <c r="A48" s="67"/>
      <c r="B48" s="67"/>
      <c r="C48" s="67"/>
      <c r="D48" s="67"/>
      <c r="E48" s="67"/>
      <c r="F48" s="67"/>
      <c r="G48" s="63" t="s">
        <v>165</v>
      </c>
      <c r="H48" s="64">
        <v>1.0</v>
      </c>
      <c r="I48" s="47">
        <f t="shared" si="3"/>
        <v>220000</v>
      </c>
      <c r="J48" s="48">
        <f t="shared" si="2"/>
        <v>220000</v>
      </c>
      <c r="K48" s="67"/>
      <c r="L48" s="67"/>
      <c r="M48" s="67"/>
      <c r="N48" s="67"/>
      <c r="O48" s="67"/>
      <c r="P48" s="67"/>
      <c r="Q48" s="67"/>
      <c r="R48" s="67"/>
      <c r="S48" s="67"/>
      <c r="T48" s="67"/>
      <c r="U48" s="67"/>
      <c r="V48" s="67"/>
      <c r="W48" s="106"/>
      <c r="X48" s="150"/>
      <c r="Y48" s="151"/>
      <c r="Z48" s="107"/>
      <c r="AA48" s="107"/>
      <c r="AB48" s="107"/>
      <c r="AC48" s="106"/>
    </row>
    <row r="49" ht="30.75" customHeight="1">
      <c r="A49" s="93">
        <v>36.0</v>
      </c>
      <c r="B49" s="132">
        <v>45265.0</v>
      </c>
      <c r="C49" s="93">
        <v>1.725955937419E12</v>
      </c>
      <c r="D49" s="92" t="s">
        <v>175</v>
      </c>
      <c r="E49" s="105" t="s">
        <v>176</v>
      </c>
      <c r="F49" s="92" t="s">
        <v>177</v>
      </c>
      <c r="G49" s="63" t="s">
        <v>30</v>
      </c>
      <c r="H49" s="64">
        <v>1.0</v>
      </c>
      <c r="I49" s="47">
        <f t="shared" si="3"/>
        <v>220000</v>
      </c>
      <c r="J49" s="48">
        <f t="shared" si="2"/>
        <v>220000</v>
      </c>
      <c r="K49" s="76">
        <f t="shared" ref="K49:K51" si="14">SUM(J49)</f>
        <v>220000</v>
      </c>
      <c r="L49" s="108">
        <v>33000.0</v>
      </c>
      <c r="M49" s="78"/>
      <c r="N49" s="115">
        <v>13000.0</v>
      </c>
      <c r="O49" s="80">
        <f t="shared" ref="O49:O51" si="15">K49+L49-M49-N49</f>
        <v>240000</v>
      </c>
      <c r="P49" s="81" t="s">
        <v>31</v>
      </c>
      <c r="Q49" s="109"/>
      <c r="R49" s="91"/>
      <c r="S49" s="84" t="s">
        <v>33</v>
      </c>
      <c r="T49" s="65"/>
      <c r="U49" s="65"/>
      <c r="V49" s="122"/>
      <c r="W49" s="106"/>
      <c r="X49" s="150"/>
      <c r="Y49" s="151"/>
      <c r="Z49" s="107"/>
      <c r="AA49" s="107"/>
      <c r="AB49" s="107"/>
      <c r="AC49" s="106"/>
    </row>
    <row r="50" ht="30.75" customHeight="1">
      <c r="A50" s="93">
        <v>37.0</v>
      </c>
      <c r="B50" s="132">
        <v>45265.0</v>
      </c>
      <c r="C50" s="93" t="s">
        <v>178</v>
      </c>
      <c r="D50" s="92" t="s">
        <v>179</v>
      </c>
      <c r="E50" s="65"/>
      <c r="F50" s="92" t="s">
        <v>180</v>
      </c>
      <c r="G50" s="63" t="s">
        <v>112</v>
      </c>
      <c r="H50" s="64">
        <v>4.0</v>
      </c>
      <c r="I50" s="47">
        <f t="shared" si="3"/>
        <v>160000</v>
      </c>
      <c r="J50" s="48">
        <f t="shared" si="2"/>
        <v>640000</v>
      </c>
      <c r="K50" s="76">
        <f t="shared" si="14"/>
        <v>640000</v>
      </c>
      <c r="L50" s="109"/>
      <c r="M50" s="78">
        <f>132632</f>
        <v>132632</v>
      </c>
      <c r="N50" s="79"/>
      <c r="O50" s="80">
        <f t="shared" si="15"/>
        <v>507368</v>
      </c>
      <c r="P50" s="81" t="s">
        <v>31</v>
      </c>
      <c r="Q50" s="109"/>
      <c r="R50" s="91"/>
      <c r="S50" s="84" t="s">
        <v>33</v>
      </c>
      <c r="T50" s="65"/>
      <c r="U50" s="65"/>
      <c r="V50" s="122"/>
      <c r="W50" s="106"/>
      <c r="X50" s="150"/>
      <c r="Y50" s="151"/>
      <c r="Z50" s="107"/>
      <c r="AA50" s="107"/>
      <c r="AB50" s="107"/>
      <c r="AC50" s="106"/>
    </row>
    <row r="51" ht="30.75" customHeight="1">
      <c r="A51" s="111">
        <v>38.0</v>
      </c>
      <c r="B51" s="125">
        <v>45265.0</v>
      </c>
      <c r="C51" s="152" t="s">
        <v>181</v>
      </c>
      <c r="D51" s="142" t="s">
        <v>50</v>
      </c>
      <c r="E51" s="143" t="s">
        <v>182</v>
      </c>
      <c r="F51" s="142" t="s">
        <v>119</v>
      </c>
      <c r="G51" s="63" t="s">
        <v>30</v>
      </c>
      <c r="H51" s="64">
        <v>1.0</v>
      </c>
      <c r="I51" s="47">
        <f t="shared" si="3"/>
        <v>220000</v>
      </c>
      <c r="J51" s="153">
        <f>sum(I51:I52)</f>
        <v>440000</v>
      </c>
      <c r="K51" s="49">
        <f t="shared" si="14"/>
        <v>440000</v>
      </c>
      <c r="L51" s="144"/>
      <c r="M51" s="51">
        <f>27240</f>
        <v>27240</v>
      </c>
      <c r="N51" s="52"/>
      <c r="O51" s="53">
        <f t="shared" si="15"/>
        <v>412760</v>
      </c>
      <c r="P51" s="99" t="s">
        <v>31</v>
      </c>
      <c r="Q51" s="144"/>
      <c r="R51" s="119"/>
      <c r="S51" s="57" t="s">
        <v>33</v>
      </c>
      <c r="T51" s="146"/>
      <c r="U51" s="146"/>
      <c r="V51" s="142" t="s">
        <v>53</v>
      </c>
      <c r="W51" s="106"/>
      <c r="X51" s="150"/>
      <c r="Y51" s="151"/>
      <c r="Z51" s="107"/>
      <c r="AA51" s="107"/>
      <c r="AB51" s="107"/>
      <c r="AC51" s="106"/>
    </row>
    <row r="52" ht="30.75" customHeight="1">
      <c r="A52" s="67"/>
      <c r="B52" s="67"/>
      <c r="C52" s="67"/>
      <c r="D52" s="67"/>
      <c r="E52" s="67"/>
      <c r="F52" s="67"/>
      <c r="G52" s="63" t="s">
        <v>35</v>
      </c>
      <c r="H52" s="64">
        <v>1.0</v>
      </c>
      <c r="I52" s="47">
        <f t="shared" si="3"/>
        <v>220000</v>
      </c>
      <c r="J52" s="154"/>
      <c r="K52" s="67"/>
      <c r="L52" s="67"/>
      <c r="M52" s="67"/>
      <c r="N52" s="67"/>
      <c r="O52" s="67"/>
      <c r="P52" s="67"/>
      <c r="Q52" s="67"/>
      <c r="R52" s="67"/>
      <c r="S52" s="67"/>
      <c r="T52" s="67"/>
      <c r="U52" s="67"/>
      <c r="V52" s="67"/>
      <c r="W52" s="106"/>
      <c r="X52" s="150"/>
      <c r="Y52" s="151"/>
      <c r="Z52" s="107"/>
      <c r="AA52" s="107"/>
      <c r="AB52" s="107"/>
      <c r="AC52" s="106"/>
    </row>
    <row r="53" ht="30.75" customHeight="1">
      <c r="A53" s="93">
        <v>39.0</v>
      </c>
      <c r="B53" s="132">
        <v>45265.0</v>
      </c>
      <c r="C53" s="104" t="s">
        <v>183</v>
      </c>
      <c r="D53" s="92" t="s">
        <v>50</v>
      </c>
      <c r="E53" s="105" t="s">
        <v>184</v>
      </c>
      <c r="F53" s="92" t="s">
        <v>185</v>
      </c>
      <c r="G53" s="63" t="s">
        <v>30</v>
      </c>
      <c r="H53" s="64">
        <v>1.0</v>
      </c>
      <c r="I53" s="47">
        <f t="shared" si="3"/>
        <v>220000</v>
      </c>
      <c r="J53" s="48">
        <f t="shared" ref="J53:J75" si="16">I53*H53</f>
        <v>220000</v>
      </c>
      <c r="K53" s="76">
        <f>SUM(J53)</f>
        <v>220000</v>
      </c>
      <c r="L53" s="109"/>
      <c r="M53" s="78">
        <f>14876</f>
        <v>14876</v>
      </c>
      <c r="N53" s="79"/>
      <c r="O53" s="80">
        <f t="shared" ref="O53:O54" si="17">K53+L53-M53-N53</f>
        <v>205124</v>
      </c>
      <c r="P53" s="81" t="s">
        <v>31</v>
      </c>
      <c r="Q53" s="109"/>
      <c r="R53" s="91"/>
      <c r="S53" s="84" t="s">
        <v>33</v>
      </c>
      <c r="T53" s="65"/>
      <c r="U53" s="65"/>
      <c r="V53" s="92" t="s">
        <v>53</v>
      </c>
      <c r="W53" s="106"/>
      <c r="X53" s="150"/>
      <c r="Y53" s="151"/>
      <c r="Z53" s="107"/>
      <c r="AA53" s="107"/>
      <c r="AB53" s="107"/>
      <c r="AC53" s="106"/>
    </row>
    <row r="54" ht="30.75" customHeight="1">
      <c r="A54" s="111">
        <v>40.0</v>
      </c>
      <c r="B54" s="125">
        <v>45266.0</v>
      </c>
      <c r="C54" s="111">
        <v>1.724514004532E12</v>
      </c>
      <c r="D54" s="148" t="s">
        <v>186</v>
      </c>
      <c r="E54" s="143" t="s">
        <v>187</v>
      </c>
      <c r="F54" s="148" t="s">
        <v>188</v>
      </c>
      <c r="G54" s="63" t="s">
        <v>165</v>
      </c>
      <c r="H54" s="64">
        <v>1.0</v>
      </c>
      <c r="I54" s="47">
        <f t="shared" si="3"/>
        <v>220000</v>
      </c>
      <c r="J54" s="48">
        <f t="shared" si="16"/>
        <v>220000</v>
      </c>
      <c r="K54" s="49">
        <f>SUM(J54:J55)</f>
        <v>660000</v>
      </c>
      <c r="L54" s="144"/>
      <c r="M54" s="51"/>
      <c r="N54" s="52"/>
      <c r="O54" s="53">
        <f t="shared" si="17"/>
        <v>660000</v>
      </c>
      <c r="P54" s="99" t="s">
        <v>31</v>
      </c>
      <c r="Q54" s="145">
        <v>42001.0</v>
      </c>
      <c r="R54" s="56" t="s">
        <v>32</v>
      </c>
      <c r="S54" s="57" t="s">
        <v>33</v>
      </c>
      <c r="T54" s="146"/>
      <c r="U54" s="146"/>
      <c r="V54" s="147"/>
      <c r="W54" s="106"/>
      <c r="X54" s="150"/>
      <c r="Y54" s="151"/>
      <c r="Z54" s="107"/>
      <c r="AA54" s="107"/>
      <c r="AB54" s="107"/>
      <c r="AC54" s="106"/>
    </row>
    <row r="55" ht="30.75" customHeight="1">
      <c r="A55" s="67"/>
      <c r="B55" s="67"/>
      <c r="C55" s="67"/>
      <c r="D55" s="67"/>
      <c r="E55" s="67"/>
      <c r="F55" s="67"/>
      <c r="G55" s="63" t="s">
        <v>30</v>
      </c>
      <c r="H55" s="64">
        <v>2.0</v>
      </c>
      <c r="I55" s="47">
        <f t="shared" si="3"/>
        <v>220000</v>
      </c>
      <c r="J55" s="48">
        <f t="shared" si="16"/>
        <v>440000</v>
      </c>
      <c r="K55" s="67"/>
      <c r="L55" s="67"/>
      <c r="M55" s="67"/>
      <c r="N55" s="67"/>
      <c r="O55" s="67"/>
      <c r="P55" s="67"/>
      <c r="Q55" s="67"/>
      <c r="R55" s="67"/>
      <c r="S55" s="67"/>
      <c r="T55" s="67"/>
      <c r="U55" s="67"/>
      <c r="V55" s="67"/>
      <c r="W55" s="106"/>
      <c r="X55" s="150"/>
      <c r="Y55" s="151"/>
      <c r="Z55" s="107"/>
      <c r="AA55" s="107"/>
      <c r="AB55" s="107"/>
      <c r="AC55" s="106"/>
    </row>
    <row r="56" ht="30.75" customHeight="1">
      <c r="A56" s="111">
        <v>41.0</v>
      </c>
      <c r="B56" s="40">
        <v>45266.0</v>
      </c>
      <c r="C56" s="111">
        <v>1.724563624866E12</v>
      </c>
      <c r="D56" s="148" t="s">
        <v>189</v>
      </c>
      <c r="E56" s="143" t="s">
        <v>96</v>
      </c>
      <c r="F56" s="148" t="s">
        <v>190</v>
      </c>
      <c r="G56" s="63" t="s">
        <v>165</v>
      </c>
      <c r="H56" s="64">
        <v>1.0</v>
      </c>
      <c r="I56" s="47">
        <f t="shared" si="3"/>
        <v>220000</v>
      </c>
      <c r="J56" s="48">
        <f t="shared" si="16"/>
        <v>220000</v>
      </c>
      <c r="K56" s="49">
        <f>SUM(J56:J58)</f>
        <v>660000</v>
      </c>
      <c r="L56" s="144"/>
      <c r="M56" s="51"/>
      <c r="N56" s="52"/>
      <c r="O56" s="53">
        <f>K56+L56-M56-N56</f>
        <v>660000</v>
      </c>
      <c r="P56" s="99" t="s">
        <v>31</v>
      </c>
      <c r="Q56" s="145">
        <v>49002.0</v>
      </c>
      <c r="R56" s="56" t="s">
        <v>32</v>
      </c>
      <c r="S56" s="57" t="s">
        <v>33</v>
      </c>
      <c r="T56" s="146"/>
      <c r="U56" s="146"/>
      <c r="V56" s="147"/>
      <c r="W56" s="106"/>
      <c r="X56" s="150"/>
      <c r="Y56" s="151"/>
      <c r="Z56" s="107"/>
      <c r="AA56" s="107"/>
      <c r="AB56" s="107"/>
      <c r="AC56" s="106"/>
    </row>
    <row r="57" ht="30.75" customHeight="1">
      <c r="A57" s="62"/>
      <c r="B57" s="62"/>
      <c r="C57" s="62"/>
      <c r="D57" s="62"/>
      <c r="E57" s="62"/>
      <c r="F57" s="62"/>
      <c r="G57" s="63" t="s">
        <v>122</v>
      </c>
      <c r="H57" s="64">
        <v>1.0</v>
      </c>
      <c r="I57" s="47">
        <f t="shared" si="3"/>
        <v>220000</v>
      </c>
      <c r="J57" s="48">
        <f t="shared" si="16"/>
        <v>220000</v>
      </c>
      <c r="K57" s="62"/>
      <c r="L57" s="62"/>
      <c r="M57" s="62"/>
      <c r="N57" s="62"/>
      <c r="O57" s="62"/>
      <c r="P57" s="62"/>
      <c r="Q57" s="62"/>
      <c r="R57" s="62"/>
      <c r="S57" s="62"/>
      <c r="T57" s="62"/>
      <c r="U57" s="62"/>
      <c r="V57" s="62"/>
      <c r="W57" s="106"/>
      <c r="X57" s="150"/>
      <c r="Y57" s="151"/>
      <c r="Z57" s="107"/>
      <c r="AA57" s="107"/>
      <c r="AB57" s="107"/>
      <c r="AC57" s="106"/>
    </row>
    <row r="58" ht="30.75" customHeight="1">
      <c r="A58" s="67"/>
      <c r="B58" s="67"/>
      <c r="C58" s="67"/>
      <c r="D58" s="67"/>
      <c r="E58" s="67"/>
      <c r="F58" s="67"/>
      <c r="G58" s="63" t="s">
        <v>35</v>
      </c>
      <c r="H58" s="64">
        <v>1.0</v>
      </c>
      <c r="I58" s="47">
        <f t="shared" si="3"/>
        <v>220000</v>
      </c>
      <c r="J58" s="48">
        <f t="shared" si="16"/>
        <v>220000</v>
      </c>
      <c r="K58" s="67"/>
      <c r="L58" s="67"/>
      <c r="M58" s="67"/>
      <c r="N58" s="67"/>
      <c r="O58" s="67"/>
      <c r="P58" s="67"/>
      <c r="Q58" s="67"/>
      <c r="R58" s="67"/>
      <c r="S58" s="67"/>
      <c r="T58" s="67"/>
      <c r="U58" s="67"/>
      <c r="V58" s="67"/>
      <c r="W58" s="106"/>
      <c r="X58" s="150"/>
      <c r="Y58" s="151"/>
      <c r="Z58" s="107"/>
      <c r="AA58" s="107"/>
      <c r="AB58" s="107"/>
      <c r="AC58" s="106"/>
    </row>
    <row r="59" ht="30.75" customHeight="1">
      <c r="A59" s="64">
        <v>42.0</v>
      </c>
      <c r="B59" s="120">
        <v>45266.0</v>
      </c>
      <c r="C59" s="104" t="s">
        <v>191</v>
      </c>
      <c r="D59" s="92" t="s">
        <v>50</v>
      </c>
      <c r="E59" s="105" t="s">
        <v>192</v>
      </c>
      <c r="F59" s="155" t="s">
        <v>193</v>
      </c>
      <c r="G59" s="63" t="s">
        <v>30</v>
      </c>
      <c r="H59" s="64">
        <v>1.0</v>
      </c>
      <c r="I59" s="47">
        <f t="shared" si="3"/>
        <v>220000</v>
      </c>
      <c r="J59" s="48">
        <f t="shared" si="16"/>
        <v>220000</v>
      </c>
      <c r="K59" s="76">
        <f t="shared" ref="K59:K69" si="18">SUM(J59)</f>
        <v>220000</v>
      </c>
      <c r="L59" s="109"/>
      <c r="M59" s="78">
        <f>14892</f>
        <v>14892</v>
      </c>
      <c r="N59" s="79"/>
      <c r="O59" s="80">
        <f t="shared" ref="O59:O70" si="19">K59+L59-M59-N59</f>
        <v>205108</v>
      </c>
      <c r="P59" s="81" t="s">
        <v>31</v>
      </c>
      <c r="Q59" s="109"/>
      <c r="R59" s="91"/>
      <c r="S59" s="84" t="s">
        <v>33</v>
      </c>
      <c r="T59" s="65"/>
      <c r="U59" s="65"/>
      <c r="V59" s="92" t="s">
        <v>53</v>
      </c>
      <c r="W59" s="106"/>
      <c r="X59" s="150"/>
      <c r="Y59" s="151"/>
      <c r="Z59" s="107"/>
      <c r="AA59" s="107"/>
      <c r="AB59" s="107"/>
      <c r="AC59" s="106"/>
    </row>
    <row r="60" ht="30.75" customHeight="1">
      <c r="A60" s="64">
        <v>43.0</v>
      </c>
      <c r="B60" s="120">
        <v>45267.0</v>
      </c>
      <c r="C60" s="93">
        <v>1.715234031251E12</v>
      </c>
      <c r="D60" s="155" t="s">
        <v>194</v>
      </c>
      <c r="E60" s="105" t="s">
        <v>195</v>
      </c>
      <c r="F60" s="156" t="s">
        <v>196</v>
      </c>
      <c r="G60" s="63" t="s">
        <v>112</v>
      </c>
      <c r="H60" s="64">
        <v>3.0</v>
      </c>
      <c r="I60" s="47">
        <f t="shared" si="3"/>
        <v>160000</v>
      </c>
      <c r="J60" s="48">
        <f t="shared" si="16"/>
        <v>480000</v>
      </c>
      <c r="K60" s="76">
        <f t="shared" si="18"/>
        <v>480000</v>
      </c>
      <c r="L60" s="108">
        <v>61003.0</v>
      </c>
      <c r="M60" s="78"/>
      <c r="N60" s="115">
        <v>31003.0</v>
      </c>
      <c r="O60" s="80">
        <f t="shared" si="19"/>
        <v>510000</v>
      </c>
      <c r="P60" s="81" t="s">
        <v>31</v>
      </c>
      <c r="Q60" s="108"/>
      <c r="R60" s="91"/>
      <c r="S60" s="84" t="s">
        <v>33</v>
      </c>
      <c r="T60" s="65"/>
      <c r="U60" s="65"/>
      <c r="V60" s="122"/>
      <c r="W60" s="106"/>
      <c r="X60" s="150"/>
      <c r="Y60" s="151"/>
      <c r="Z60" s="107"/>
      <c r="AA60" s="107"/>
      <c r="AB60" s="107"/>
      <c r="AC60" s="106"/>
    </row>
    <row r="61" ht="30.75" customHeight="1">
      <c r="A61" s="64">
        <v>44.0</v>
      </c>
      <c r="B61" s="120">
        <v>45267.0</v>
      </c>
      <c r="C61" s="104" t="s">
        <v>197</v>
      </c>
      <c r="D61" s="92" t="s">
        <v>50</v>
      </c>
      <c r="E61" s="105" t="s">
        <v>198</v>
      </c>
      <c r="F61" s="155" t="s">
        <v>74</v>
      </c>
      <c r="G61" s="63" t="s">
        <v>30</v>
      </c>
      <c r="H61" s="64">
        <v>1.0</v>
      </c>
      <c r="I61" s="47">
        <f t="shared" si="3"/>
        <v>220000</v>
      </c>
      <c r="J61" s="48">
        <f t="shared" si="16"/>
        <v>220000</v>
      </c>
      <c r="K61" s="76">
        <f t="shared" si="18"/>
        <v>220000</v>
      </c>
      <c r="L61" s="109"/>
      <c r="M61" s="157">
        <v>15284.0</v>
      </c>
      <c r="N61" s="79"/>
      <c r="O61" s="80">
        <f t="shared" si="19"/>
        <v>204716</v>
      </c>
      <c r="P61" s="81" t="s">
        <v>31</v>
      </c>
      <c r="Q61" s="109"/>
      <c r="R61" s="91"/>
      <c r="S61" s="84" t="s">
        <v>33</v>
      </c>
      <c r="T61" s="65"/>
      <c r="U61" s="65"/>
      <c r="V61" s="92" t="s">
        <v>53</v>
      </c>
      <c r="W61" s="106"/>
      <c r="X61" s="150"/>
      <c r="Y61" s="151"/>
      <c r="Z61" s="107"/>
      <c r="AA61" s="107"/>
      <c r="AB61" s="107"/>
      <c r="AC61" s="106"/>
    </row>
    <row r="62" ht="30.75" customHeight="1">
      <c r="A62" s="158">
        <v>45.0</v>
      </c>
      <c r="B62" s="159">
        <v>45267.0</v>
      </c>
      <c r="C62" s="160" t="s">
        <v>199</v>
      </c>
      <c r="D62" s="161" t="s">
        <v>50</v>
      </c>
      <c r="E62" s="162" t="s">
        <v>200</v>
      </c>
      <c r="F62" s="163" t="s">
        <v>70</v>
      </c>
      <c r="G62" s="164" t="s">
        <v>30</v>
      </c>
      <c r="H62" s="158">
        <v>1.0</v>
      </c>
      <c r="I62" s="165"/>
      <c r="J62" s="166">
        <f t="shared" si="16"/>
        <v>0</v>
      </c>
      <c r="K62" s="167">
        <f t="shared" si="18"/>
        <v>0</v>
      </c>
      <c r="L62" s="168"/>
      <c r="M62" s="168"/>
      <c r="N62" s="168"/>
      <c r="O62" s="169">
        <f t="shared" si="19"/>
        <v>0</v>
      </c>
      <c r="P62" s="170"/>
      <c r="Q62" s="168"/>
      <c r="R62" s="170"/>
      <c r="S62" s="171"/>
      <c r="T62" s="172"/>
      <c r="U62" s="172"/>
      <c r="V62" s="161" t="s">
        <v>201</v>
      </c>
      <c r="W62" s="106"/>
      <c r="X62" s="150"/>
      <c r="Y62" s="151"/>
      <c r="Z62" s="107"/>
      <c r="AA62" s="107"/>
      <c r="AB62" s="107"/>
      <c r="AC62" s="106"/>
    </row>
    <row r="63" ht="30.75" customHeight="1">
      <c r="A63" s="64">
        <v>46.0</v>
      </c>
      <c r="B63" s="120">
        <v>45267.0</v>
      </c>
      <c r="C63" s="104" t="s">
        <v>202</v>
      </c>
      <c r="D63" s="92" t="s">
        <v>50</v>
      </c>
      <c r="E63" s="105" t="s">
        <v>203</v>
      </c>
      <c r="F63" s="155" t="s">
        <v>74</v>
      </c>
      <c r="G63" s="63" t="s">
        <v>30</v>
      </c>
      <c r="H63" s="64">
        <v>4.0</v>
      </c>
      <c r="I63" s="47">
        <f t="shared" ref="I63:I75" si="20">VLOOKUP(G63,$X$4:$Y$153,2,0)</f>
        <v>220000</v>
      </c>
      <c r="J63" s="48">
        <f t="shared" si="16"/>
        <v>880000</v>
      </c>
      <c r="K63" s="76">
        <f t="shared" si="18"/>
        <v>880000</v>
      </c>
      <c r="L63" s="109"/>
      <c r="M63" s="78">
        <f>54876</f>
        <v>54876</v>
      </c>
      <c r="N63" s="79"/>
      <c r="O63" s="80">
        <f t="shared" si="19"/>
        <v>825124</v>
      </c>
      <c r="P63" s="81" t="s">
        <v>31</v>
      </c>
      <c r="Q63" s="109"/>
      <c r="R63" s="91"/>
      <c r="S63" s="84" t="s">
        <v>33</v>
      </c>
      <c r="T63" s="65"/>
      <c r="U63" s="65"/>
      <c r="V63" s="92" t="s">
        <v>53</v>
      </c>
      <c r="W63" s="106"/>
      <c r="X63" s="150"/>
      <c r="Y63" s="151"/>
      <c r="Z63" s="107"/>
      <c r="AA63" s="107"/>
      <c r="AB63" s="107"/>
      <c r="AC63" s="106"/>
    </row>
    <row r="64" ht="30.75" customHeight="1">
      <c r="A64" s="64">
        <v>47.0</v>
      </c>
      <c r="B64" s="120">
        <v>45267.0</v>
      </c>
      <c r="C64" s="104" t="s">
        <v>204</v>
      </c>
      <c r="D64" s="92" t="s">
        <v>50</v>
      </c>
      <c r="E64" s="105" t="s">
        <v>205</v>
      </c>
      <c r="F64" s="155" t="s">
        <v>180</v>
      </c>
      <c r="G64" s="63" t="s">
        <v>30</v>
      </c>
      <c r="H64" s="64">
        <v>1.0</v>
      </c>
      <c r="I64" s="47">
        <f t="shared" si="20"/>
        <v>220000</v>
      </c>
      <c r="J64" s="48">
        <f t="shared" si="16"/>
        <v>220000</v>
      </c>
      <c r="K64" s="76">
        <f t="shared" si="18"/>
        <v>220000</v>
      </c>
      <c r="L64" s="109"/>
      <c r="M64" s="78">
        <f>14412</f>
        <v>14412</v>
      </c>
      <c r="N64" s="79"/>
      <c r="O64" s="80">
        <f t="shared" si="19"/>
        <v>205588</v>
      </c>
      <c r="P64" s="81" t="s">
        <v>31</v>
      </c>
      <c r="Q64" s="109"/>
      <c r="R64" s="91"/>
      <c r="S64" s="84" t="s">
        <v>33</v>
      </c>
      <c r="T64" s="65"/>
      <c r="U64" s="65"/>
      <c r="V64" s="92" t="s">
        <v>53</v>
      </c>
      <c r="W64" s="106"/>
      <c r="X64" s="150"/>
      <c r="Y64" s="151"/>
      <c r="Z64" s="107"/>
      <c r="AA64" s="107"/>
      <c r="AB64" s="107"/>
      <c r="AC64" s="106"/>
    </row>
    <row r="65" ht="30.75" customHeight="1">
      <c r="A65" s="64">
        <v>48.0</v>
      </c>
      <c r="B65" s="120">
        <v>45268.0</v>
      </c>
      <c r="C65" s="93">
        <v>1.724931893443E12</v>
      </c>
      <c r="D65" s="92" t="s">
        <v>206</v>
      </c>
      <c r="E65" s="105" t="s">
        <v>207</v>
      </c>
      <c r="F65" s="155" t="s">
        <v>208</v>
      </c>
      <c r="G65" s="72" t="s">
        <v>105</v>
      </c>
      <c r="H65" s="173">
        <v>10.0</v>
      </c>
      <c r="I65" s="74">
        <f t="shared" si="20"/>
        <v>160000</v>
      </c>
      <c r="J65" s="75">
        <f t="shared" si="16"/>
        <v>1600000</v>
      </c>
      <c r="K65" s="76">
        <f t="shared" si="18"/>
        <v>1600000</v>
      </c>
      <c r="L65" s="109"/>
      <c r="M65" s="78"/>
      <c r="N65" s="79"/>
      <c r="O65" s="80">
        <f t="shared" si="19"/>
        <v>1600000</v>
      </c>
      <c r="P65" s="81" t="s">
        <v>31</v>
      </c>
      <c r="Q65" s="108">
        <v>55002.0</v>
      </c>
      <c r="R65" s="83" t="s">
        <v>32</v>
      </c>
      <c r="S65" s="84" t="s">
        <v>33</v>
      </c>
      <c r="T65" s="65"/>
      <c r="U65" s="65"/>
      <c r="V65" s="92"/>
      <c r="W65" s="106"/>
      <c r="X65" s="150"/>
      <c r="Y65" s="151"/>
      <c r="Z65" s="107"/>
      <c r="AA65" s="107"/>
      <c r="AB65" s="107"/>
      <c r="AC65" s="106"/>
    </row>
    <row r="66" ht="42.75" customHeight="1">
      <c r="A66" s="64">
        <v>49.0</v>
      </c>
      <c r="B66" s="120">
        <v>45268.0</v>
      </c>
      <c r="C66" s="93">
        <v>1.724972647903E12</v>
      </c>
      <c r="D66" s="155" t="s">
        <v>209</v>
      </c>
      <c r="E66" s="105" t="s">
        <v>210</v>
      </c>
      <c r="F66" s="156" t="s">
        <v>211</v>
      </c>
      <c r="G66" s="63" t="s">
        <v>30</v>
      </c>
      <c r="H66" s="64">
        <v>5.0</v>
      </c>
      <c r="I66" s="47">
        <f t="shared" si="20"/>
        <v>220000</v>
      </c>
      <c r="J66" s="48">
        <f t="shared" si="16"/>
        <v>1100000</v>
      </c>
      <c r="K66" s="76">
        <f t="shared" si="18"/>
        <v>1100000</v>
      </c>
      <c r="L66" s="109"/>
      <c r="M66" s="78"/>
      <c r="N66" s="79"/>
      <c r="O66" s="80">
        <f t="shared" si="19"/>
        <v>1100000</v>
      </c>
      <c r="P66" s="81" t="s">
        <v>31</v>
      </c>
      <c r="Q66" s="108">
        <v>48002.0</v>
      </c>
      <c r="R66" s="83" t="s">
        <v>32</v>
      </c>
      <c r="S66" s="84" t="s">
        <v>33</v>
      </c>
      <c r="T66" s="65"/>
      <c r="U66" s="65"/>
      <c r="V66" s="92"/>
      <c r="W66" s="106"/>
      <c r="X66" s="150"/>
      <c r="Y66" s="151"/>
      <c r="Z66" s="107"/>
      <c r="AA66" s="107"/>
      <c r="AB66" s="107"/>
      <c r="AC66" s="106"/>
    </row>
    <row r="67" ht="30.75" customHeight="1">
      <c r="A67" s="39">
        <v>50.0</v>
      </c>
      <c r="B67" s="40">
        <v>45268.0</v>
      </c>
      <c r="C67" s="152" t="s">
        <v>212</v>
      </c>
      <c r="D67" s="148" t="s">
        <v>213</v>
      </c>
      <c r="E67" s="143" t="s">
        <v>214</v>
      </c>
      <c r="F67" s="148" t="s">
        <v>119</v>
      </c>
      <c r="G67" s="63" t="s">
        <v>30</v>
      </c>
      <c r="H67" s="64">
        <v>1.0</v>
      </c>
      <c r="I67" s="47">
        <f t="shared" si="20"/>
        <v>220000</v>
      </c>
      <c r="J67" s="48">
        <f t="shared" si="16"/>
        <v>220000</v>
      </c>
      <c r="K67" s="76">
        <f t="shared" si="18"/>
        <v>220000</v>
      </c>
      <c r="L67" s="109"/>
      <c r="M67" s="78">
        <f>14876</f>
        <v>14876</v>
      </c>
      <c r="N67" s="79"/>
      <c r="O67" s="80">
        <f t="shared" si="19"/>
        <v>205124</v>
      </c>
      <c r="P67" s="81" t="s">
        <v>31</v>
      </c>
      <c r="Q67" s="144"/>
      <c r="R67" s="119"/>
      <c r="S67" s="57" t="s">
        <v>33</v>
      </c>
      <c r="T67" s="146"/>
      <c r="U67" s="146"/>
      <c r="V67" s="142" t="s">
        <v>215</v>
      </c>
      <c r="W67" s="106"/>
      <c r="X67" s="150"/>
      <c r="Y67" s="151"/>
      <c r="Z67" s="107"/>
      <c r="AA67" s="107"/>
      <c r="AB67" s="107"/>
      <c r="AC67" s="106"/>
    </row>
    <row r="68" ht="30.75" customHeight="1">
      <c r="A68" s="67"/>
      <c r="B68" s="67"/>
      <c r="C68" s="67"/>
      <c r="D68" s="67"/>
      <c r="E68" s="67"/>
      <c r="F68" s="67"/>
      <c r="G68" s="72" t="s">
        <v>42</v>
      </c>
      <c r="H68" s="73">
        <v>2.0</v>
      </c>
      <c r="I68" s="74">
        <f t="shared" si="20"/>
        <v>75000</v>
      </c>
      <c r="J68" s="75">
        <f t="shared" si="16"/>
        <v>150000</v>
      </c>
      <c r="K68" s="76">
        <f t="shared" si="18"/>
        <v>150000</v>
      </c>
      <c r="L68" s="109"/>
      <c r="M68" s="78"/>
      <c r="N68" s="79"/>
      <c r="O68" s="80">
        <f t="shared" si="19"/>
        <v>150000</v>
      </c>
      <c r="P68" s="81" t="s">
        <v>31</v>
      </c>
      <c r="Q68" s="67"/>
      <c r="R68" s="67"/>
      <c r="S68" s="67"/>
      <c r="T68" s="67"/>
      <c r="U68" s="67"/>
      <c r="V68" s="67"/>
      <c r="W68" s="106"/>
      <c r="X68" s="150"/>
      <c r="Y68" s="151"/>
      <c r="Z68" s="107"/>
      <c r="AA68" s="107"/>
      <c r="AB68" s="107"/>
      <c r="AC68" s="106"/>
    </row>
    <row r="69" ht="30.75" customHeight="1">
      <c r="A69" s="64">
        <v>51.0</v>
      </c>
      <c r="B69" s="103">
        <v>45269.0</v>
      </c>
      <c r="C69" s="174">
        <v>1.723756666361E12</v>
      </c>
      <c r="D69" s="155" t="s">
        <v>216</v>
      </c>
      <c r="E69" s="105" t="s">
        <v>217</v>
      </c>
      <c r="F69" s="156" t="s">
        <v>218</v>
      </c>
      <c r="G69" s="63" t="s">
        <v>30</v>
      </c>
      <c r="H69" s="64">
        <v>7.0</v>
      </c>
      <c r="I69" s="47">
        <f t="shared" si="20"/>
        <v>220000</v>
      </c>
      <c r="J69" s="48">
        <f t="shared" si="16"/>
        <v>1540000</v>
      </c>
      <c r="K69" s="76">
        <f t="shared" si="18"/>
        <v>1540000</v>
      </c>
      <c r="L69" s="109"/>
      <c r="M69" s="78"/>
      <c r="N69" s="79"/>
      <c r="O69" s="80">
        <f t="shared" si="19"/>
        <v>1540000</v>
      </c>
      <c r="P69" s="81" t="s">
        <v>31</v>
      </c>
      <c r="Q69" s="108">
        <v>64003.0</v>
      </c>
      <c r="R69" s="83" t="s">
        <v>32</v>
      </c>
      <c r="S69" s="84" t="s">
        <v>33</v>
      </c>
      <c r="T69" s="65"/>
      <c r="U69" s="65"/>
      <c r="V69" s="122"/>
      <c r="W69" s="106"/>
      <c r="X69" s="150"/>
      <c r="Y69" s="151"/>
      <c r="Z69" s="107"/>
      <c r="AA69" s="107"/>
      <c r="AB69" s="107"/>
      <c r="AC69" s="106"/>
    </row>
    <row r="70" ht="30.75" customHeight="1">
      <c r="A70" s="39">
        <v>52.0</v>
      </c>
      <c r="B70" s="112">
        <v>45269.0</v>
      </c>
      <c r="C70" s="94">
        <v>1.723866853994E12</v>
      </c>
      <c r="D70" s="126" t="s">
        <v>219</v>
      </c>
      <c r="E70" s="175" t="s">
        <v>220</v>
      </c>
      <c r="F70" s="126" t="s">
        <v>221</v>
      </c>
      <c r="G70" s="63" t="s">
        <v>30</v>
      </c>
      <c r="H70" s="64">
        <v>2.0</v>
      </c>
      <c r="I70" s="47">
        <f t="shared" si="20"/>
        <v>220000</v>
      </c>
      <c r="J70" s="48">
        <f t="shared" si="16"/>
        <v>440000</v>
      </c>
      <c r="K70" s="49">
        <f>SUM(J70:J71)</f>
        <v>815000</v>
      </c>
      <c r="L70" s="145">
        <v>43001.0</v>
      </c>
      <c r="M70" s="51"/>
      <c r="N70" s="117">
        <v>13001.0</v>
      </c>
      <c r="O70" s="53">
        <f t="shared" si="19"/>
        <v>845000</v>
      </c>
      <c r="P70" s="99" t="s">
        <v>31</v>
      </c>
      <c r="Q70" s="144"/>
      <c r="R70" s="119"/>
      <c r="S70" s="57" t="s">
        <v>33</v>
      </c>
      <c r="T70" s="146"/>
      <c r="U70" s="146"/>
      <c r="V70" s="147"/>
      <c r="W70" s="106"/>
      <c r="X70" s="150"/>
      <c r="Y70" s="151"/>
      <c r="Z70" s="107"/>
      <c r="AA70" s="107"/>
      <c r="AB70" s="107"/>
      <c r="AC70" s="106"/>
    </row>
    <row r="71" ht="30.75" customHeight="1">
      <c r="A71" s="67"/>
      <c r="B71" s="67"/>
      <c r="C71" s="67"/>
      <c r="D71" s="67"/>
      <c r="E71" s="67"/>
      <c r="F71" s="67"/>
      <c r="G71" s="72" t="s">
        <v>42</v>
      </c>
      <c r="H71" s="73">
        <v>5.0</v>
      </c>
      <c r="I71" s="74">
        <f t="shared" si="20"/>
        <v>75000</v>
      </c>
      <c r="J71" s="75">
        <f t="shared" si="16"/>
        <v>375000</v>
      </c>
      <c r="K71" s="67"/>
      <c r="L71" s="67"/>
      <c r="M71" s="67"/>
      <c r="N71" s="67"/>
      <c r="O71" s="67"/>
      <c r="P71" s="67"/>
      <c r="Q71" s="67"/>
      <c r="R71" s="67"/>
      <c r="S71" s="67"/>
      <c r="T71" s="67"/>
      <c r="U71" s="67"/>
      <c r="V71" s="67"/>
      <c r="W71" s="106"/>
      <c r="X71" s="150"/>
      <c r="Y71" s="151"/>
      <c r="Z71" s="107"/>
      <c r="AA71" s="107"/>
      <c r="AB71" s="107"/>
      <c r="AC71" s="106"/>
    </row>
    <row r="72" ht="30.75" customHeight="1">
      <c r="A72" s="64">
        <v>53.0</v>
      </c>
      <c r="B72" s="103">
        <v>45269.0</v>
      </c>
      <c r="C72" s="104" t="s">
        <v>222</v>
      </c>
      <c r="D72" s="155" t="s">
        <v>50</v>
      </c>
      <c r="E72" s="105" t="s">
        <v>223</v>
      </c>
      <c r="F72" s="155" t="s">
        <v>70</v>
      </c>
      <c r="G72" s="63" t="s">
        <v>30</v>
      </c>
      <c r="H72" s="64">
        <v>1.0</v>
      </c>
      <c r="I72" s="47">
        <f t="shared" si="20"/>
        <v>220000</v>
      </c>
      <c r="J72" s="48">
        <f t="shared" si="16"/>
        <v>220000</v>
      </c>
      <c r="K72" s="76">
        <f t="shared" ref="K72:K73" si="21">SUM(J72)</f>
        <v>220000</v>
      </c>
      <c r="L72" s="109"/>
      <c r="M72" s="78">
        <f>14892</f>
        <v>14892</v>
      </c>
      <c r="N72" s="79"/>
      <c r="O72" s="80">
        <f t="shared" ref="O72:O74" si="22">K72+L72-M72-N72</f>
        <v>205108</v>
      </c>
      <c r="P72" s="81" t="s">
        <v>31</v>
      </c>
      <c r="Q72" s="109"/>
      <c r="R72" s="91"/>
      <c r="S72" s="84" t="s">
        <v>33</v>
      </c>
      <c r="T72" s="65"/>
      <c r="U72" s="65"/>
      <c r="V72" s="122"/>
      <c r="W72" s="106"/>
      <c r="X72" s="150"/>
      <c r="Y72" s="151"/>
      <c r="Z72" s="107"/>
      <c r="AA72" s="107"/>
      <c r="AB72" s="107"/>
      <c r="AC72" s="106"/>
    </row>
    <row r="73" ht="30.75" customHeight="1">
      <c r="A73" s="64">
        <v>54.0</v>
      </c>
      <c r="B73" s="103">
        <v>45271.0</v>
      </c>
      <c r="C73" s="93">
        <v>1.715002045649E12</v>
      </c>
      <c r="D73" s="155" t="s">
        <v>110</v>
      </c>
      <c r="E73" s="105" t="s">
        <v>224</v>
      </c>
      <c r="F73" s="155" t="s">
        <v>225</v>
      </c>
      <c r="G73" s="63" t="s">
        <v>47</v>
      </c>
      <c r="H73" s="64">
        <v>1.0</v>
      </c>
      <c r="I73" s="47">
        <f t="shared" si="20"/>
        <v>220000</v>
      </c>
      <c r="J73" s="48">
        <f t="shared" si="16"/>
        <v>220000</v>
      </c>
      <c r="K73" s="76">
        <f t="shared" si="21"/>
        <v>220000</v>
      </c>
      <c r="L73" s="108">
        <v>40001.0</v>
      </c>
      <c r="M73" s="78"/>
      <c r="N73" s="115">
        <v>20001.0</v>
      </c>
      <c r="O73" s="80">
        <f t="shared" si="22"/>
        <v>240000</v>
      </c>
      <c r="P73" s="81" t="s">
        <v>31</v>
      </c>
      <c r="Q73" s="109"/>
      <c r="R73" s="91"/>
      <c r="S73" s="84" t="s">
        <v>33</v>
      </c>
      <c r="T73" s="65"/>
      <c r="U73" s="65"/>
      <c r="V73" s="122"/>
      <c r="W73" s="106"/>
      <c r="X73" s="150"/>
      <c r="Y73" s="151"/>
      <c r="Z73" s="107"/>
      <c r="AA73" s="107"/>
      <c r="AB73" s="107"/>
      <c r="AC73" s="106"/>
    </row>
    <row r="74" ht="30.75" customHeight="1">
      <c r="A74" s="39">
        <v>55.0</v>
      </c>
      <c r="B74" s="125">
        <v>45271.0</v>
      </c>
      <c r="C74" s="39">
        <v>1.71512093E12</v>
      </c>
      <c r="D74" s="126" t="s">
        <v>226</v>
      </c>
      <c r="E74" s="175" t="s">
        <v>227</v>
      </c>
      <c r="F74" s="126" t="s">
        <v>228</v>
      </c>
      <c r="G74" s="63" t="s">
        <v>112</v>
      </c>
      <c r="H74" s="64">
        <v>7.0</v>
      </c>
      <c r="I74" s="47">
        <f t="shared" si="20"/>
        <v>160000</v>
      </c>
      <c r="J74" s="48">
        <f t="shared" si="16"/>
        <v>1120000</v>
      </c>
      <c r="K74" s="49">
        <f>sum(J74:J75)</f>
        <v>1360000</v>
      </c>
      <c r="L74" s="144"/>
      <c r="M74" s="51"/>
      <c r="N74" s="52"/>
      <c r="O74" s="53">
        <f t="shared" si="22"/>
        <v>1360000</v>
      </c>
      <c r="P74" s="99" t="s">
        <v>31</v>
      </c>
      <c r="Q74" s="145">
        <v>134009.0</v>
      </c>
      <c r="R74" s="56" t="s">
        <v>32</v>
      </c>
      <c r="S74" s="57" t="s">
        <v>33</v>
      </c>
      <c r="T74" s="146"/>
      <c r="U74" s="146"/>
      <c r="V74" s="147"/>
      <c r="W74" s="106"/>
      <c r="X74" s="150"/>
      <c r="Y74" s="151"/>
      <c r="Z74" s="107"/>
      <c r="AA74" s="107"/>
      <c r="AB74" s="107"/>
      <c r="AC74" s="106"/>
    </row>
    <row r="75" ht="30.75" customHeight="1">
      <c r="A75" s="67"/>
      <c r="B75" s="67"/>
      <c r="C75" s="67"/>
      <c r="D75" s="67"/>
      <c r="E75" s="67"/>
      <c r="F75" s="67"/>
      <c r="G75" s="63" t="s">
        <v>147</v>
      </c>
      <c r="H75" s="64">
        <v>3.0</v>
      </c>
      <c r="I75" s="47">
        <f t="shared" si="20"/>
        <v>80000</v>
      </c>
      <c r="J75" s="48">
        <f t="shared" si="16"/>
        <v>240000</v>
      </c>
      <c r="K75" s="67"/>
      <c r="L75" s="67"/>
      <c r="M75" s="67"/>
      <c r="N75" s="67"/>
      <c r="O75" s="67"/>
      <c r="P75" s="67"/>
      <c r="Q75" s="67"/>
      <c r="R75" s="67"/>
      <c r="S75" s="67"/>
      <c r="T75" s="67"/>
      <c r="U75" s="67"/>
      <c r="V75" s="67"/>
      <c r="X75" s="150"/>
      <c r="Y75" s="151"/>
      <c r="Z75" s="107"/>
      <c r="AA75" s="107"/>
      <c r="AB75" s="107"/>
      <c r="AC75" s="106"/>
    </row>
    <row r="76" ht="30.75" customHeight="1">
      <c r="A76" s="64">
        <v>56.0</v>
      </c>
      <c r="B76" s="103">
        <v>45271.0</v>
      </c>
      <c r="C76" s="93">
        <v>1.715219086994E12</v>
      </c>
      <c r="D76" s="155" t="s">
        <v>39</v>
      </c>
      <c r="E76" s="105" t="s">
        <v>40</v>
      </c>
      <c r="F76" s="156" t="s">
        <v>41</v>
      </c>
      <c r="G76" s="63" t="s">
        <v>30</v>
      </c>
      <c r="H76" s="64">
        <v>12.0</v>
      </c>
      <c r="I76" s="47"/>
      <c r="J76" s="48"/>
      <c r="K76" s="76"/>
      <c r="L76" s="109"/>
      <c r="M76" s="78"/>
      <c r="N76" s="79"/>
      <c r="O76" s="80">
        <f t="shared" ref="O76:O85" si="23">K76+L76-M76-N76</f>
        <v>0</v>
      </c>
      <c r="P76" s="176"/>
      <c r="Q76" s="108">
        <v>77003.0</v>
      </c>
      <c r="R76" s="83" t="s">
        <v>32</v>
      </c>
      <c r="S76" s="84" t="s">
        <v>33</v>
      </c>
      <c r="T76" s="65"/>
      <c r="U76" s="65"/>
      <c r="V76" s="121" t="s">
        <v>229</v>
      </c>
      <c r="W76" s="106"/>
      <c r="X76" s="150"/>
      <c r="Y76" s="151"/>
      <c r="Z76" s="107"/>
      <c r="AA76" s="107"/>
      <c r="AB76" s="107"/>
      <c r="AC76" s="106"/>
    </row>
    <row r="77" ht="30.75" customHeight="1">
      <c r="A77" s="158">
        <v>57.0</v>
      </c>
      <c r="B77" s="177">
        <v>45271.0</v>
      </c>
      <c r="C77" s="160" t="s">
        <v>230</v>
      </c>
      <c r="D77" s="163" t="s">
        <v>50</v>
      </c>
      <c r="E77" s="162" t="s">
        <v>231</v>
      </c>
      <c r="F77" s="163" t="s">
        <v>232</v>
      </c>
      <c r="G77" s="164" t="s">
        <v>30</v>
      </c>
      <c r="H77" s="158">
        <v>1.0</v>
      </c>
      <c r="I77" s="165"/>
      <c r="J77" s="166">
        <f t="shared" ref="J77:J153" si="24">H77*I77</f>
        <v>0</v>
      </c>
      <c r="K77" s="167">
        <f t="shared" ref="K77:K84" si="25">SUM(J77)</f>
        <v>0</v>
      </c>
      <c r="L77" s="168"/>
      <c r="M77" s="168"/>
      <c r="N77" s="168"/>
      <c r="O77" s="169">
        <f t="shared" si="23"/>
        <v>0</v>
      </c>
      <c r="P77" s="170"/>
      <c r="Q77" s="168"/>
      <c r="R77" s="170"/>
      <c r="S77" s="171"/>
      <c r="T77" s="172"/>
      <c r="U77" s="172"/>
      <c r="V77" s="161" t="s">
        <v>201</v>
      </c>
      <c r="W77" s="106"/>
      <c r="X77" s="150"/>
      <c r="Y77" s="151"/>
      <c r="Z77" s="107"/>
      <c r="AA77" s="107"/>
      <c r="AB77" s="107"/>
      <c r="AC77" s="106"/>
    </row>
    <row r="78" ht="30.75" customHeight="1">
      <c r="A78" s="64">
        <v>58.0</v>
      </c>
      <c r="B78" s="103">
        <v>45271.0</v>
      </c>
      <c r="C78" s="104" t="s">
        <v>233</v>
      </c>
      <c r="D78" s="155" t="s">
        <v>50</v>
      </c>
      <c r="E78" s="105" t="s">
        <v>234</v>
      </c>
      <c r="F78" s="155" t="s">
        <v>119</v>
      </c>
      <c r="G78" s="63" t="s">
        <v>30</v>
      </c>
      <c r="H78" s="64">
        <v>1.0</v>
      </c>
      <c r="I78" s="47">
        <f t="shared" ref="I78:I114" si="26">VLOOKUP(G78,$X$4:$Y$153,2,0)</f>
        <v>220000</v>
      </c>
      <c r="J78" s="48">
        <f t="shared" si="24"/>
        <v>220000</v>
      </c>
      <c r="K78" s="76">
        <f t="shared" si="25"/>
        <v>220000</v>
      </c>
      <c r="L78" s="109"/>
      <c r="M78" s="78">
        <f>14876</f>
        <v>14876</v>
      </c>
      <c r="N78" s="79"/>
      <c r="O78" s="80">
        <f t="shared" si="23"/>
        <v>205124</v>
      </c>
      <c r="P78" s="81" t="s">
        <v>31</v>
      </c>
      <c r="Q78" s="109"/>
      <c r="R78" s="91"/>
      <c r="S78" s="84" t="s">
        <v>33</v>
      </c>
      <c r="T78" s="65"/>
      <c r="U78" s="65"/>
      <c r="V78" s="92" t="s">
        <v>53</v>
      </c>
      <c r="W78" s="106"/>
      <c r="X78" s="150"/>
      <c r="Y78" s="151"/>
      <c r="Z78" s="107"/>
      <c r="AA78" s="107"/>
      <c r="AB78" s="107"/>
      <c r="AC78" s="106"/>
    </row>
    <row r="79" ht="30.75" customHeight="1">
      <c r="A79" s="64">
        <v>59.0</v>
      </c>
      <c r="B79" s="103">
        <v>45271.0</v>
      </c>
      <c r="C79" s="104" t="s">
        <v>235</v>
      </c>
      <c r="D79" s="155" t="s">
        <v>50</v>
      </c>
      <c r="E79" s="105" t="s">
        <v>236</v>
      </c>
      <c r="F79" s="155" t="s">
        <v>65</v>
      </c>
      <c r="G79" s="63" t="s">
        <v>30</v>
      </c>
      <c r="H79" s="64">
        <v>1.0</v>
      </c>
      <c r="I79" s="47">
        <f t="shared" si="26"/>
        <v>220000</v>
      </c>
      <c r="J79" s="48">
        <f t="shared" si="24"/>
        <v>220000</v>
      </c>
      <c r="K79" s="76">
        <f t="shared" si="25"/>
        <v>220000</v>
      </c>
      <c r="L79" s="109"/>
      <c r="M79" s="78">
        <f>34736</f>
        <v>34736</v>
      </c>
      <c r="N79" s="79"/>
      <c r="O79" s="80">
        <f t="shared" si="23"/>
        <v>185264</v>
      </c>
      <c r="P79" s="81" t="s">
        <v>31</v>
      </c>
      <c r="Q79" s="109"/>
      <c r="R79" s="91"/>
      <c r="S79" s="84" t="s">
        <v>33</v>
      </c>
      <c r="T79" s="65"/>
      <c r="U79" s="65"/>
      <c r="V79" s="92" t="s">
        <v>53</v>
      </c>
      <c r="W79" s="106"/>
      <c r="X79" s="150"/>
      <c r="Y79" s="151"/>
      <c r="Z79" s="107"/>
      <c r="AA79" s="107"/>
      <c r="AB79" s="107"/>
      <c r="AC79" s="106"/>
    </row>
    <row r="80" ht="30.75" customHeight="1">
      <c r="A80" s="64">
        <v>60.0</v>
      </c>
      <c r="B80" s="103">
        <v>45271.0</v>
      </c>
      <c r="C80" s="104" t="s">
        <v>237</v>
      </c>
      <c r="D80" s="155" t="s">
        <v>50</v>
      </c>
      <c r="E80" s="105" t="s">
        <v>238</v>
      </c>
      <c r="F80" s="155" t="s">
        <v>70</v>
      </c>
      <c r="G80" s="63" t="s">
        <v>30</v>
      </c>
      <c r="H80" s="64">
        <v>1.0</v>
      </c>
      <c r="I80" s="47">
        <f t="shared" si="26"/>
        <v>220000</v>
      </c>
      <c r="J80" s="48">
        <f t="shared" si="24"/>
        <v>220000</v>
      </c>
      <c r="K80" s="76">
        <f t="shared" si="25"/>
        <v>220000</v>
      </c>
      <c r="L80" s="109"/>
      <c r="M80" s="78">
        <f t="shared" ref="M80:M81" si="27">14892</f>
        <v>14892</v>
      </c>
      <c r="N80" s="79"/>
      <c r="O80" s="80">
        <f t="shared" si="23"/>
        <v>205108</v>
      </c>
      <c r="P80" s="81" t="s">
        <v>31</v>
      </c>
      <c r="Q80" s="109"/>
      <c r="R80" s="91"/>
      <c r="S80" s="84" t="s">
        <v>33</v>
      </c>
      <c r="T80" s="65"/>
      <c r="U80" s="65"/>
      <c r="V80" s="92" t="s">
        <v>53</v>
      </c>
      <c r="W80" s="106"/>
      <c r="X80" s="150"/>
      <c r="Y80" s="151"/>
      <c r="Z80" s="107"/>
      <c r="AA80" s="107"/>
      <c r="AB80" s="107"/>
      <c r="AC80" s="106"/>
    </row>
    <row r="81" ht="30.75" customHeight="1">
      <c r="A81" s="64">
        <v>61.0</v>
      </c>
      <c r="B81" s="103">
        <v>45271.0</v>
      </c>
      <c r="C81" s="104" t="s">
        <v>239</v>
      </c>
      <c r="D81" s="155" t="s">
        <v>50</v>
      </c>
      <c r="E81" s="105" t="s">
        <v>238</v>
      </c>
      <c r="F81" s="155" t="s">
        <v>70</v>
      </c>
      <c r="G81" s="63" t="s">
        <v>30</v>
      </c>
      <c r="H81" s="64">
        <v>1.0</v>
      </c>
      <c r="I81" s="47">
        <f t="shared" si="26"/>
        <v>220000</v>
      </c>
      <c r="J81" s="48">
        <f t="shared" si="24"/>
        <v>220000</v>
      </c>
      <c r="K81" s="76">
        <f t="shared" si="25"/>
        <v>220000</v>
      </c>
      <c r="L81" s="109"/>
      <c r="M81" s="78">
        <f t="shared" si="27"/>
        <v>14892</v>
      </c>
      <c r="N81" s="79"/>
      <c r="O81" s="80">
        <f t="shared" si="23"/>
        <v>205108</v>
      </c>
      <c r="P81" s="81" t="s">
        <v>31</v>
      </c>
      <c r="Q81" s="109"/>
      <c r="R81" s="91"/>
      <c r="S81" s="84" t="s">
        <v>33</v>
      </c>
      <c r="T81" s="65"/>
      <c r="U81" s="65"/>
      <c r="V81" s="92" t="s">
        <v>53</v>
      </c>
      <c r="W81" s="106"/>
      <c r="X81" s="150"/>
      <c r="Y81" s="151"/>
      <c r="Z81" s="107"/>
      <c r="AA81" s="107"/>
      <c r="AB81" s="107"/>
      <c r="AC81" s="106"/>
    </row>
    <row r="82" ht="30.75" customHeight="1">
      <c r="A82" s="64">
        <v>62.0</v>
      </c>
      <c r="B82" s="103">
        <v>45271.0</v>
      </c>
      <c r="C82" s="104" t="s">
        <v>240</v>
      </c>
      <c r="D82" s="155" t="s">
        <v>118</v>
      </c>
      <c r="E82" s="65"/>
      <c r="F82" s="155" t="s">
        <v>70</v>
      </c>
      <c r="G82" s="63" t="s">
        <v>75</v>
      </c>
      <c r="H82" s="64">
        <v>1.0</v>
      </c>
      <c r="I82" s="47">
        <f t="shared" si="26"/>
        <v>45000</v>
      </c>
      <c r="J82" s="48">
        <f t="shared" si="24"/>
        <v>45000</v>
      </c>
      <c r="K82" s="76">
        <f t="shared" si="25"/>
        <v>45000</v>
      </c>
      <c r="L82" s="109"/>
      <c r="M82" s="78">
        <f>3906</f>
        <v>3906</v>
      </c>
      <c r="N82" s="79"/>
      <c r="O82" s="80">
        <f t="shared" si="23"/>
        <v>41094</v>
      </c>
      <c r="P82" s="81" t="s">
        <v>31</v>
      </c>
      <c r="Q82" s="109"/>
      <c r="R82" s="91"/>
      <c r="S82" s="84" t="s">
        <v>33</v>
      </c>
      <c r="T82" s="65"/>
      <c r="U82" s="65"/>
      <c r="V82" s="92" t="s">
        <v>241</v>
      </c>
      <c r="W82" s="106"/>
      <c r="X82" s="150"/>
      <c r="Y82" s="151"/>
      <c r="Z82" s="107"/>
      <c r="AA82" s="107"/>
      <c r="AB82" s="107"/>
      <c r="AC82" s="106"/>
    </row>
    <row r="83" ht="30.75" customHeight="1">
      <c r="A83" s="64">
        <v>63.0</v>
      </c>
      <c r="B83" s="103">
        <v>45271.0</v>
      </c>
      <c r="C83" s="93">
        <v>1.727683639575E12</v>
      </c>
      <c r="D83" s="155" t="s">
        <v>242</v>
      </c>
      <c r="E83" s="105" t="s">
        <v>243</v>
      </c>
      <c r="F83" s="155" t="s">
        <v>244</v>
      </c>
      <c r="G83" s="63" t="s">
        <v>30</v>
      </c>
      <c r="H83" s="64">
        <v>10.0</v>
      </c>
      <c r="I83" s="47">
        <f t="shared" si="26"/>
        <v>220000</v>
      </c>
      <c r="J83" s="48">
        <f t="shared" si="24"/>
        <v>2200000</v>
      </c>
      <c r="K83" s="76">
        <f t="shared" si="25"/>
        <v>2200000</v>
      </c>
      <c r="L83" s="93"/>
      <c r="M83" s="78"/>
      <c r="N83" s="79"/>
      <c r="O83" s="80">
        <f t="shared" si="23"/>
        <v>2200000</v>
      </c>
      <c r="P83" s="81" t="s">
        <v>31</v>
      </c>
      <c r="Q83" s="108">
        <v>96992.0</v>
      </c>
      <c r="R83" s="83" t="s">
        <v>32</v>
      </c>
      <c r="S83" s="84" t="s">
        <v>33</v>
      </c>
      <c r="T83" s="65"/>
      <c r="U83" s="65"/>
      <c r="V83" s="122"/>
      <c r="W83" s="106"/>
      <c r="X83" s="150"/>
      <c r="Y83" s="151"/>
      <c r="Z83" s="107"/>
      <c r="AA83" s="107"/>
      <c r="AB83" s="107"/>
      <c r="AC83" s="106"/>
    </row>
    <row r="84" ht="34.5" customHeight="1">
      <c r="A84" s="64">
        <v>64.0</v>
      </c>
      <c r="B84" s="103">
        <v>45271.0</v>
      </c>
      <c r="C84" s="93">
        <v>1.72787014105E12</v>
      </c>
      <c r="D84" s="156" t="s">
        <v>245</v>
      </c>
      <c r="E84" s="105" t="s">
        <v>243</v>
      </c>
      <c r="F84" s="156" t="s">
        <v>246</v>
      </c>
      <c r="G84" s="63" t="s">
        <v>112</v>
      </c>
      <c r="H84" s="64">
        <v>63.0</v>
      </c>
      <c r="I84" s="47">
        <f t="shared" si="26"/>
        <v>160000</v>
      </c>
      <c r="J84" s="48">
        <f t="shared" si="24"/>
        <v>10080000</v>
      </c>
      <c r="K84" s="76">
        <f t="shared" si="25"/>
        <v>10080000</v>
      </c>
      <c r="L84" s="109"/>
      <c r="M84" s="78"/>
      <c r="N84" s="79"/>
      <c r="O84" s="80">
        <f t="shared" si="23"/>
        <v>10080000</v>
      </c>
      <c r="P84" s="81" t="s">
        <v>31</v>
      </c>
      <c r="Q84" s="108">
        <v>754118.0</v>
      </c>
      <c r="R84" s="83" t="s">
        <v>32</v>
      </c>
      <c r="S84" s="84" t="s">
        <v>33</v>
      </c>
      <c r="T84" s="65"/>
      <c r="U84" s="65"/>
      <c r="V84" s="122"/>
      <c r="W84" s="106"/>
      <c r="X84" s="150"/>
      <c r="Y84" s="151"/>
      <c r="Z84" s="107"/>
      <c r="AA84" s="107"/>
      <c r="AB84" s="107"/>
      <c r="AC84" s="106"/>
    </row>
    <row r="85" ht="30.75" customHeight="1">
      <c r="A85" s="39">
        <v>65.0</v>
      </c>
      <c r="B85" s="178">
        <v>45272.0</v>
      </c>
      <c r="C85" s="39">
        <v>1.728023522012E12</v>
      </c>
      <c r="D85" s="126" t="s">
        <v>247</v>
      </c>
      <c r="E85" s="175" t="s">
        <v>248</v>
      </c>
      <c r="F85" s="126" t="s">
        <v>249</v>
      </c>
      <c r="G85" s="63" t="s">
        <v>112</v>
      </c>
      <c r="H85" s="64">
        <v>2.0</v>
      </c>
      <c r="I85" s="47">
        <f t="shared" si="26"/>
        <v>160000</v>
      </c>
      <c r="J85" s="48">
        <f t="shared" si="24"/>
        <v>320000</v>
      </c>
      <c r="K85" s="49">
        <f>sum(J85:J86)</f>
        <v>540000</v>
      </c>
      <c r="L85" s="145">
        <v>64003.0</v>
      </c>
      <c r="M85" s="51"/>
      <c r="N85" s="117">
        <v>34003.0</v>
      </c>
      <c r="O85" s="53">
        <f t="shared" si="23"/>
        <v>570000</v>
      </c>
      <c r="P85" s="99" t="s">
        <v>31</v>
      </c>
      <c r="Q85" s="144"/>
      <c r="R85" s="119"/>
      <c r="S85" s="57" t="s">
        <v>33</v>
      </c>
      <c r="T85" s="146"/>
      <c r="U85" s="146"/>
      <c r="V85" s="147"/>
      <c r="W85" s="106"/>
      <c r="X85" s="150"/>
      <c r="Y85" s="151"/>
      <c r="Z85" s="107"/>
      <c r="AA85" s="107"/>
      <c r="AB85" s="107"/>
      <c r="AC85" s="106"/>
    </row>
    <row r="86" ht="30.75" customHeight="1">
      <c r="A86" s="67"/>
      <c r="B86" s="67"/>
      <c r="C86" s="67"/>
      <c r="D86" s="67"/>
      <c r="E86" s="67"/>
      <c r="F86" s="67"/>
      <c r="G86" s="63" t="s">
        <v>250</v>
      </c>
      <c r="H86" s="64">
        <v>1.0</v>
      </c>
      <c r="I86" s="47">
        <f t="shared" si="26"/>
        <v>220000</v>
      </c>
      <c r="J86" s="48">
        <f t="shared" si="24"/>
        <v>220000</v>
      </c>
      <c r="K86" s="67"/>
      <c r="L86" s="67"/>
      <c r="M86" s="67"/>
      <c r="N86" s="67"/>
      <c r="O86" s="67"/>
      <c r="P86" s="67"/>
      <c r="Q86" s="67"/>
      <c r="R86" s="67"/>
      <c r="S86" s="67"/>
      <c r="T86" s="67"/>
      <c r="U86" s="67"/>
      <c r="V86" s="67"/>
      <c r="W86" s="106"/>
      <c r="X86" s="150"/>
      <c r="Y86" s="151"/>
      <c r="Z86" s="107"/>
      <c r="AA86" s="107"/>
      <c r="AB86" s="107"/>
      <c r="AC86" s="106"/>
    </row>
    <row r="87" ht="30.75" customHeight="1">
      <c r="A87" s="64">
        <v>66.0</v>
      </c>
      <c r="B87" s="103">
        <v>45272.0</v>
      </c>
      <c r="C87" s="93">
        <v>1.725659046165E12</v>
      </c>
      <c r="D87" s="155" t="s">
        <v>251</v>
      </c>
      <c r="E87" s="105" t="s">
        <v>252</v>
      </c>
      <c r="F87" s="155" t="s">
        <v>253</v>
      </c>
      <c r="G87" s="63" t="s">
        <v>112</v>
      </c>
      <c r="H87" s="64">
        <v>3.0</v>
      </c>
      <c r="I87" s="47">
        <f t="shared" si="26"/>
        <v>160000</v>
      </c>
      <c r="J87" s="48">
        <f t="shared" si="24"/>
        <v>480000</v>
      </c>
      <c r="K87" s="76">
        <f t="shared" ref="K87:K92" si="28">SUM(J87)</f>
        <v>480000</v>
      </c>
      <c r="L87" s="108">
        <v>71004.0</v>
      </c>
      <c r="M87" s="78"/>
      <c r="N87" s="115">
        <v>41004.0</v>
      </c>
      <c r="O87" s="80">
        <f t="shared" ref="O87:O93" si="29">K87+L87-M87-N87</f>
        <v>510000</v>
      </c>
      <c r="P87" s="81" t="s">
        <v>31</v>
      </c>
      <c r="Q87" s="109"/>
      <c r="R87" s="91"/>
      <c r="S87" s="84" t="s">
        <v>33</v>
      </c>
      <c r="T87" s="65"/>
      <c r="U87" s="65"/>
      <c r="V87" s="122"/>
      <c r="W87" s="106"/>
      <c r="X87" s="150"/>
      <c r="Y87" s="151"/>
      <c r="Z87" s="107"/>
      <c r="AA87" s="107"/>
      <c r="AB87" s="107"/>
      <c r="AC87" s="106"/>
    </row>
    <row r="88" ht="33.75" customHeight="1">
      <c r="A88" s="64">
        <v>67.0</v>
      </c>
      <c r="B88" s="103">
        <v>45272.0</v>
      </c>
      <c r="C88" s="93">
        <v>1.725742507062E12</v>
      </c>
      <c r="D88" s="155" t="s">
        <v>254</v>
      </c>
      <c r="E88" s="105" t="s">
        <v>255</v>
      </c>
      <c r="F88" s="156" t="s">
        <v>256</v>
      </c>
      <c r="G88" s="63" t="s">
        <v>112</v>
      </c>
      <c r="H88" s="64">
        <v>4.0</v>
      </c>
      <c r="I88" s="47">
        <f t="shared" si="26"/>
        <v>160000</v>
      </c>
      <c r="J88" s="48">
        <f t="shared" si="24"/>
        <v>640000</v>
      </c>
      <c r="K88" s="76">
        <f t="shared" si="28"/>
        <v>640000</v>
      </c>
      <c r="L88" s="108">
        <v>85005.0</v>
      </c>
      <c r="M88" s="78"/>
      <c r="N88" s="115">
        <v>65005.0</v>
      </c>
      <c r="O88" s="80">
        <f t="shared" si="29"/>
        <v>660000</v>
      </c>
      <c r="P88" s="81" t="s">
        <v>31</v>
      </c>
      <c r="Q88" s="109"/>
      <c r="R88" s="91"/>
      <c r="S88" s="84" t="s">
        <v>33</v>
      </c>
      <c r="T88" s="65"/>
      <c r="U88" s="65"/>
      <c r="V88" s="122"/>
      <c r="W88" s="106"/>
      <c r="X88" s="150"/>
      <c r="Y88" s="151"/>
      <c r="Z88" s="107"/>
      <c r="AA88" s="107"/>
      <c r="AB88" s="107"/>
      <c r="AC88" s="106"/>
    </row>
    <row r="89" ht="30.75" customHeight="1">
      <c r="A89" s="64">
        <v>68.0</v>
      </c>
      <c r="B89" s="103">
        <v>45272.0</v>
      </c>
      <c r="C89" s="93" t="s">
        <v>257</v>
      </c>
      <c r="D89" s="155" t="s">
        <v>50</v>
      </c>
      <c r="E89" s="105" t="s">
        <v>258</v>
      </c>
      <c r="F89" s="155" t="s">
        <v>70</v>
      </c>
      <c r="G89" s="63" t="s">
        <v>35</v>
      </c>
      <c r="H89" s="64">
        <v>2.0</v>
      </c>
      <c r="I89" s="47">
        <f t="shared" si="26"/>
        <v>220000</v>
      </c>
      <c r="J89" s="48">
        <f t="shared" si="24"/>
        <v>440000</v>
      </c>
      <c r="K89" s="76">
        <f t="shared" si="28"/>
        <v>440000</v>
      </c>
      <c r="L89" s="109"/>
      <c r="M89" s="78">
        <f>26860</f>
        <v>26860</v>
      </c>
      <c r="N89" s="79"/>
      <c r="O89" s="80">
        <f t="shared" si="29"/>
        <v>413140</v>
      </c>
      <c r="P89" s="81" t="s">
        <v>31</v>
      </c>
      <c r="Q89" s="109"/>
      <c r="R89" s="91"/>
      <c r="S89" s="84" t="s">
        <v>33</v>
      </c>
      <c r="T89" s="65"/>
      <c r="U89" s="65"/>
      <c r="V89" s="92" t="s">
        <v>53</v>
      </c>
      <c r="W89" s="106"/>
      <c r="X89" s="150"/>
      <c r="Y89" s="151"/>
      <c r="Z89" s="107"/>
      <c r="AA89" s="107"/>
      <c r="AB89" s="107"/>
      <c r="AC89" s="106"/>
    </row>
    <row r="90" ht="30.75" customHeight="1">
      <c r="A90" s="64">
        <v>69.0</v>
      </c>
      <c r="B90" s="103">
        <v>45272.0</v>
      </c>
      <c r="C90" s="104" t="s">
        <v>259</v>
      </c>
      <c r="D90" s="155" t="s">
        <v>50</v>
      </c>
      <c r="E90" s="105" t="s">
        <v>260</v>
      </c>
      <c r="F90" s="155" t="s">
        <v>70</v>
      </c>
      <c r="G90" s="63" t="s">
        <v>30</v>
      </c>
      <c r="H90" s="64">
        <v>1.0</v>
      </c>
      <c r="I90" s="47">
        <f t="shared" si="26"/>
        <v>220000</v>
      </c>
      <c r="J90" s="48">
        <f t="shared" si="24"/>
        <v>220000</v>
      </c>
      <c r="K90" s="76">
        <f t="shared" si="28"/>
        <v>220000</v>
      </c>
      <c r="L90" s="109"/>
      <c r="M90" s="78">
        <f>36892</f>
        <v>36892</v>
      </c>
      <c r="N90" s="79"/>
      <c r="O90" s="80">
        <f t="shared" si="29"/>
        <v>183108</v>
      </c>
      <c r="P90" s="81" t="s">
        <v>31</v>
      </c>
      <c r="Q90" s="109"/>
      <c r="R90" s="91"/>
      <c r="S90" s="84" t="s">
        <v>33</v>
      </c>
      <c r="T90" s="65"/>
      <c r="U90" s="65"/>
      <c r="V90" s="92" t="s">
        <v>53</v>
      </c>
      <c r="W90" s="106"/>
      <c r="X90" s="150"/>
      <c r="Y90" s="151"/>
      <c r="Z90" s="107"/>
      <c r="AA90" s="107"/>
      <c r="AB90" s="107"/>
      <c r="AC90" s="106"/>
    </row>
    <row r="91" ht="30.75" customHeight="1">
      <c r="A91" s="64">
        <v>70.0</v>
      </c>
      <c r="B91" s="103">
        <v>45273.0</v>
      </c>
      <c r="C91" s="93">
        <v>1.718208261177E12</v>
      </c>
      <c r="D91" s="155" t="s">
        <v>261</v>
      </c>
      <c r="E91" s="105" t="s">
        <v>262</v>
      </c>
      <c r="F91" s="156" t="s">
        <v>263</v>
      </c>
      <c r="G91" s="63" t="s">
        <v>112</v>
      </c>
      <c r="H91" s="64">
        <v>18.0</v>
      </c>
      <c r="I91" s="47">
        <f t="shared" si="26"/>
        <v>160000</v>
      </c>
      <c r="J91" s="48">
        <f t="shared" si="24"/>
        <v>2880000</v>
      </c>
      <c r="K91" s="76">
        <f t="shared" si="28"/>
        <v>2880000</v>
      </c>
      <c r="L91" s="109"/>
      <c r="M91" s="78"/>
      <c r="N91" s="79"/>
      <c r="O91" s="80">
        <f t="shared" si="29"/>
        <v>2880000</v>
      </c>
      <c r="P91" s="81" t="s">
        <v>31</v>
      </c>
      <c r="Q91" s="108">
        <v>269005.0</v>
      </c>
      <c r="R91" s="83" t="s">
        <v>32</v>
      </c>
      <c r="S91" s="84" t="s">
        <v>33</v>
      </c>
      <c r="T91" s="65"/>
      <c r="U91" s="65"/>
      <c r="V91" s="122"/>
      <c r="W91" s="106"/>
      <c r="X91" s="150"/>
      <c r="Y91" s="151"/>
      <c r="Z91" s="107"/>
      <c r="AA91" s="107"/>
      <c r="AB91" s="107"/>
      <c r="AC91" s="106"/>
    </row>
    <row r="92" ht="30.75" customHeight="1">
      <c r="A92" s="64">
        <v>71.0</v>
      </c>
      <c r="B92" s="103">
        <v>45273.0</v>
      </c>
      <c r="C92" s="93" t="s">
        <v>264</v>
      </c>
      <c r="D92" s="155" t="s">
        <v>179</v>
      </c>
      <c r="E92" s="105" t="s">
        <v>265</v>
      </c>
      <c r="F92" s="155" t="s">
        <v>74</v>
      </c>
      <c r="G92" s="63" t="s">
        <v>30</v>
      </c>
      <c r="H92" s="64">
        <v>1.0</v>
      </c>
      <c r="I92" s="47">
        <f t="shared" si="26"/>
        <v>220000</v>
      </c>
      <c r="J92" s="48">
        <f t="shared" si="24"/>
        <v>220000</v>
      </c>
      <c r="K92" s="76">
        <f t="shared" si="28"/>
        <v>220000</v>
      </c>
      <c r="L92" s="109"/>
      <c r="M92" s="78">
        <f>69020</f>
        <v>69020</v>
      </c>
      <c r="N92" s="79"/>
      <c r="O92" s="80">
        <f t="shared" si="29"/>
        <v>150980</v>
      </c>
      <c r="P92" s="81" t="s">
        <v>31</v>
      </c>
      <c r="Q92" s="109"/>
      <c r="R92" s="91"/>
      <c r="S92" s="84" t="s">
        <v>33</v>
      </c>
      <c r="T92" s="65"/>
      <c r="U92" s="65"/>
      <c r="V92" s="92" t="s">
        <v>266</v>
      </c>
      <c r="W92" s="106"/>
      <c r="X92" s="150"/>
      <c r="Y92" s="151"/>
      <c r="Z92" s="107"/>
      <c r="AA92" s="107"/>
      <c r="AB92" s="107"/>
      <c r="AC92" s="106"/>
    </row>
    <row r="93" ht="30.75" customHeight="1">
      <c r="A93" s="39">
        <v>72.0</v>
      </c>
      <c r="B93" s="178">
        <v>45274.0</v>
      </c>
      <c r="C93" s="39">
        <v>1.725135707604E12</v>
      </c>
      <c r="D93" s="148" t="s">
        <v>267</v>
      </c>
      <c r="E93" s="143" t="s">
        <v>268</v>
      </c>
      <c r="F93" s="148" t="s">
        <v>269</v>
      </c>
      <c r="G93" s="63" t="s">
        <v>30</v>
      </c>
      <c r="H93" s="64">
        <v>1.0</v>
      </c>
      <c r="I93" s="47">
        <f t="shared" si="26"/>
        <v>220000</v>
      </c>
      <c r="J93" s="48">
        <f t="shared" si="24"/>
        <v>220000</v>
      </c>
      <c r="K93" s="49">
        <f>SUM(J93:J95)</f>
        <v>520000</v>
      </c>
      <c r="L93" s="145">
        <v>43001.0</v>
      </c>
      <c r="M93" s="51"/>
      <c r="N93" s="117">
        <v>13001.0</v>
      </c>
      <c r="O93" s="53">
        <f t="shared" si="29"/>
        <v>550000</v>
      </c>
      <c r="P93" s="99" t="s">
        <v>31</v>
      </c>
      <c r="Q93" s="144"/>
      <c r="R93" s="119"/>
      <c r="S93" s="57" t="s">
        <v>33</v>
      </c>
      <c r="T93" s="146"/>
      <c r="U93" s="146"/>
      <c r="V93" s="147"/>
      <c r="W93" s="106"/>
      <c r="X93" s="150"/>
      <c r="Y93" s="151"/>
      <c r="Z93" s="107"/>
      <c r="AA93" s="107"/>
      <c r="AB93" s="107"/>
      <c r="AC93" s="106"/>
    </row>
    <row r="94" ht="30.75" customHeight="1">
      <c r="A94" s="62"/>
      <c r="B94" s="62"/>
      <c r="C94" s="62"/>
      <c r="D94" s="62"/>
      <c r="E94" s="62"/>
      <c r="F94" s="62"/>
      <c r="G94" s="63" t="s">
        <v>35</v>
      </c>
      <c r="H94" s="64">
        <v>1.0</v>
      </c>
      <c r="I94" s="47">
        <f t="shared" si="26"/>
        <v>220000</v>
      </c>
      <c r="J94" s="48">
        <f t="shared" si="24"/>
        <v>220000</v>
      </c>
      <c r="K94" s="62"/>
      <c r="L94" s="62"/>
      <c r="M94" s="62"/>
      <c r="N94" s="62"/>
      <c r="O94" s="62"/>
      <c r="P94" s="62"/>
      <c r="Q94" s="62"/>
      <c r="R94" s="62"/>
      <c r="S94" s="62"/>
      <c r="T94" s="62"/>
      <c r="U94" s="62"/>
      <c r="V94" s="62"/>
      <c r="W94" s="106"/>
      <c r="X94" s="150"/>
      <c r="Y94" s="151"/>
      <c r="Z94" s="107"/>
      <c r="AA94" s="107"/>
      <c r="AB94" s="107"/>
      <c r="AC94" s="106"/>
    </row>
    <row r="95" ht="30.75" customHeight="1">
      <c r="A95" s="67"/>
      <c r="B95" s="67"/>
      <c r="C95" s="67"/>
      <c r="D95" s="67"/>
      <c r="E95" s="67"/>
      <c r="F95" s="67"/>
      <c r="G95" s="63" t="s">
        <v>147</v>
      </c>
      <c r="H95" s="64">
        <v>1.0</v>
      </c>
      <c r="I95" s="47">
        <f t="shared" si="26"/>
        <v>80000</v>
      </c>
      <c r="J95" s="48">
        <f t="shared" si="24"/>
        <v>80000</v>
      </c>
      <c r="K95" s="67"/>
      <c r="L95" s="67"/>
      <c r="M95" s="67"/>
      <c r="N95" s="67"/>
      <c r="O95" s="67"/>
      <c r="P95" s="67"/>
      <c r="Q95" s="67"/>
      <c r="R95" s="67"/>
      <c r="S95" s="67"/>
      <c r="T95" s="67"/>
      <c r="U95" s="67"/>
      <c r="V95" s="67"/>
      <c r="W95" s="106"/>
      <c r="X95" s="150"/>
      <c r="Y95" s="151"/>
      <c r="Z95" s="107"/>
      <c r="AA95" s="107"/>
      <c r="AB95" s="107"/>
      <c r="AC95" s="106"/>
    </row>
    <row r="96" ht="30.75" customHeight="1">
      <c r="A96" s="39">
        <v>73.0</v>
      </c>
      <c r="B96" s="178">
        <v>45274.0</v>
      </c>
      <c r="C96" s="94" t="s">
        <v>270</v>
      </c>
      <c r="D96" s="148" t="s">
        <v>118</v>
      </c>
      <c r="E96" s="146"/>
      <c r="F96" s="148" t="s">
        <v>271</v>
      </c>
      <c r="G96" s="63" t="s">
        <v>37</v>
      </c>
      <c r="H96" s="64">
        <v>1.0</v>
      </c>
      <c r="I96" s="47">
        <f t="shared" si="26"/>
        <v>220000</v>
      </c>
      <c r="J96" s="48">
        <f t="shared" si="24"/>
        <v>220000</v>
      </c>
      <c r="K96" s="49">
        <f>sum(J96:J98)</f>
        <v>660000</v>
      </c>
      <c r="L96" s="144"/>
      <c r="M96" s="51">
        <f>46200+11000</f>
        <v>57200</v>
      </c>
      <c r="N96" s="52"/>
      <c r="O96" s="53">
        <f>K96+L96-M96-N96</f>
        <v>602800</v>
      </c>
      <c r="P96" s="99" t="s">
        <v>31</v>
      </c>
      <c r="Q96" s="144"/>
      <c r="R96" s="119"/>
      <c r="S96" s="57" t="s">
        <v>33</v>
      </c>
      <c r="T96" s="146"/>
      <c r="U96" s="146"/>
      <c r="V96" s="142" t="s">
        <v>120</v>
      </c>
      <c r="W96" s="106"/>
      <c r="X96" s="150"/>
      <c r="Y96" s="151"/>
      <c r="Z96" s="107"/>
      <c r="AA96" s="107"/>
      <c r="AB96" s="107"/>
      <c r="AC96" s="106"/>
    </row>
    <row r="97" ht="30.75" customHeight="1">
      <c r="A97" s="62"/>
      <c r="B97" s="62"/>
      <c r="C97" s="62"/>
      <c r="D97" s="62"/>
      <c r="E97" s="62"/>
      <c r="F97" s="62"/>
      <c r="G97" s="63" t="s">
        <v>165</v>
      </c>
      <c r="H97" s="64">
        <v>1.0</v>
      </c>
      <c r="I97" s="47">
        <f t="shared" si="26"/>
        <v>220000</v>
      </c>
      <c r="J97" s="48">
        <f t="shared" si="24"/>
        <v>220000</v>
      </c>
      <c r="K97" s="62"/>
      <c r="L97" s="62"/>
      <c r="M97" s="62"/>
      <c r="N97" s="62"/>
      <c r="O97" s="62"/>
      <c r="P97" s="62"/>
      <c r="Q97" s="62"/>
      <c r="R97" s="62"/>
      <c r="S97" s="62"/>
      <c r="T97" s="62"/>
      <c r="U97" s="62"/>
      <c r="V97" s="62"/>
      <c r="W97" s="106"/>
      <c r="X97" s="150"/>
      <c r="Y97" s="151"/>
      <c r="Z97" s="107"/>
      <c r="AA97" s="107"/>
      <c r="AB97" s="107"/>
      <c r="AC97" s="106"/>
    </row>
    <row r="98" ht="30.75" customHeight="1">
      <c r="A98" s="67"/>
      <c r="B98" s="67"/>
      <c r="C98" s="67"/>
      <c r="D98" s="67"/>
      <c r="E98" s="67"/>
      <c r="F98" s="67"/>
      <c r="G98" s="63" t="s">
        <v>122</v>
      </c>
      <c r="H98" s="64">
        <v>1.0</v>
      </c>
      <c r="I98" s="47">
        <f t="shared" si="26"/>
        <v>220000</v>
      </c>
      <c r="J98" s="48">
        <f t="shared" si="24"/>
        <v>220000</v>
      </c>
      <c r="K98" s="67"/>
      <c r="L98" s="67"/>
      <c r="M98" s="67"/>
      <c r="N98" s="67"/>
      <c r="O98" s="67"/>
      <c r="P98" s="67"/>
      <c r="Q98" s="67"/>
      <c r="R98" s="67"/>
      <c r="S98" s="67"/>
      <c r="T98" s="67"/>
      <c r="U98" s="67"/>
      <c r="V98" s="67"/>
      <c r="W98" s="106"/>
      <c r="X98" s="150"/>
      <c r="Y98" s="151"/>
      <c r="Z98" s="107"/>
      <c r="AA98" s="107"/>
      <c r="AB98" s="107"/>
      <c r="AC98" s="106"/>
    </row>
    <row r="99" ht="30.75" customHeight="1">
      <c r="A99" s="64">
        <v>74.0</v>
      </c>
      <c r="B99" s="103">
        <v>45274.0</v>
      </c>
      <c r="C99" s="93" t="s">
        <v>272</v>
      </c>
      <c r="D99" s="155" t="s">
        <v>273</v>
      </c>
      <c r="E99" s="105" t="s">
        <v>274</v>
      </c>
      <c r="F99" s="155" t="s">
        <v>119</v>
      </c>
      <c r="G99" s="63" t="s">
        <v>30</v>
      </c>
      <c r="H99" s="64">
        <v>1.0</v>
      </c>
      <c r="I99" s="47">
        <f t="shared" si="26"/>
        <v>220000</v>
      </c>
      <c r="J99" s="48">
        <f t="shared" si="24"/>
        <v>220000</v>
      </c>
      <c r="K99" s="76">
        <f t="shared" ref="K99:K100" si="30">SUM(J99)</f>
        <v>220000</v>
      </c>
      <c r="L99" s="109"/>
      <c r="M99" s="78">
        <f>14876</f>
        <v>14876</v>
      </c>
      <c r="N99" s="79"/>
      <c r="O99" s="80">
        <f t="shared" ref="O99:O101" si="31">K99+L99-M99-N99</f>
        <v>205124</v>
      </c>
      <c r="P99" s="81" t="s">
        <v>31</v>
      </c>
      <c r="Q99" s="109"/>
      <c r="R99" s="91"/>
      <c r="S99" s="84" t="s">
        <v>33</v>
      </c>
      <c r="T99" s="65"/>
      <c r="U99" s="65"/>
      <c r="V99" s="92" t="s">
        <v>53</v>
      </c>
      <c r="W99" s="106"/>
      <c r="X99" s="150"/>
      <c r="Y99" s="151"/>
      <c r="Z99" s="107"/>
      <c r="AA99" s="107"/>
      <c r="AB99" s="107"/>
      <c r="AC99" s="106"/>
    </row>
    <row r="100" ht="30.75" customHeight="1">
      <c r="A100" s="64">
        <v>75.0</v>
      </c>
      <c r="B100" s="103">
        <v>45275.0</v>
      </c>
      <c r="C100" s="93">
        <v>1.721752362478E12</v>
      </c>
      <c r="D100" s="155" t="s">
        <v>275</v>
      </c>
      <c r="E100" s="105" t="s">
        <v>276</v>
      </c>
      <c r="F100" s="155" t="s">
        <v>277</v>
      </c>
      <c r="G100" s="63" t="s">
        <v>112</v>
      </c>
      <c r="H100" s="64">
        <v>10.0</v>
      </c>
      <c r="I100" s="47">
        <f t="shared" si="26"/>
        <v>160000</v>
      </c>
      <c r="J100" s="48">
        <f t="shared" si="24"/>
        <v>1600000</v>
      </c>
      <c r="K100" s="76">
        <f t="shared" si="30"/>
        <v>1600000</v>
      </c>
      <c r="L100" s="109"/>
      <c r="M100" s="78"/>
      <c r="N100" s="79"/>
      <c r="O100" s="80">
        <f t="shared" si="31"/>
        <v>1600000</v>
      </c>
      <c r="P100" s="81" t="s">
        <v>31</v>
      </c>
      <c r="Q100" s="108">
        <v>169011.0</v>
      </c>
      <c r="R100" s="83" t="s">
        <v>32</v>
      </c>
      <c r="S100" s="84" t="s">
        <v>33</v>
      </c>
      <c r="T100" s="65"/>
      <c r="U100" s="65"/>
      <c r="V100" s="122"/>
      <c r="W100" s="106"/>
      <c r="X100" s="150"/>
      <c r="Y100" s="151"/>
      <c r="Z100" s="107"/>
      <c r="AA100" s="107"/>
      <c r="AB100" s="107"/>
      <c r="AC100" s="106"/>
    </row>
    <row r="101" ht="30.75" customHeight="1">
      <c r="A101" s="39">
        <v>76.0</v>
      </c>
      <c r="B101" s="112">
        <v>45275.0</v>
      </c>
      <c r="C101" s="94" t="s">
        <v>278</v>
      </c>
      <c r="D101" s="126" t="s">
        <v>273</v>
      </c>
      <c r="E101" s="175" t="s">
        <v>279</v>
      </c>
      <c r="F101" s="126" t="s">
        <v>132</v>
      </c>
      <c r="G101" s="63" t="s">
        <v>30</v>
      </c>
      <c r="H101" s="64">
        <v>1.0</v>
      </c>
      <c r="I101" s="47">
        <f t="shared" si="26"/>
        <v>220000</v>
      </c>
      <c r="J101" s="48">
        <f t="shared" si="24"/>
        <v>220000</v>
      </c>
      <c r="K101" s="49">
        <f>sum(J101:J102)</f>
        <v>440000</v>
      </c>
      <c r="L101" s="144"/>
      <c r="M101" s="51">
        <f>27260</f>
        <v>27260</v>
      </c>
      <c r="N101" s="52"/>
      <c r="O101" s="53">
        <f t="shared" si="31"/>
        <v>412740</v>
      </c>
      <c r="P101" s="99" t="s">
        <v>31</v>
      </c>
      <c r="Q101" s="144"/>
      <c r="R101" s="119"/>
      <c r="S101" s="57" t="s">
        <v>33</v>
      </c>
      <c r="T101" s="146"/>
      <c r="U101" s="146"/>
      <c r="V101" s="142" t="s">
        <v>53</v>
      </c>
      <c r="W101" s="106"/>
      <c r="X101" s="150"/>
      <c r="Y101" s="151"/>
      <c r="Z101" s="107"/>
      <c r="AA101" s="107"/>
      <c r="AB101" s="107"/>
      <c r="AC101" s="106"/>
    </row>
    <row r="102" ht="30.75" customHeight="1">
      <c r="A102" s="67"/>
      <c r="B102" s="67"/>
      <c r="C102" s="67"/>
      <c r="D102" s="67"/>
      <c r="E102" s="67"/>
      <c r="F102" s="67"/>
      <c r="G102" s="63" t="s">
        <v>35</v>
      </c>
      <c r="H102" s="64">
        <v>1.0</v>
      </c>
      <c r="I102" s="47">
        <f t="shared" si="26"/>
        <v>220000</v>
      </c>
      <c r="J102" s="48">
        <f t="shared" si="24"/>
        <v>220000</v>
      </c>
      <c r="K102" s="67"/>
      <c r="L102" s="67"/>
      <c r="M102" s="67"/>
      <c r="N102" s="67"/>
      <c r="O102" s="67"/>
      <c r="P102" s="67"/>
      <c r="Q102" s="67"/>
      <c r="R102" s="67"/>
      <c r="S102" s="67"/>
      <c r="T102" s="67"/>
      <c r="U102" s="67"/>
      <c r="V102" s="67"/>
      <c r="W102" s="106"/>
      <c r="X102" s="150"/>
      <c r="Y102" s="151"/>
      <c r="Z102" s="107"/>
      <c r="AA102" s="107"/>
      <c r="AB102" s="107"/>
      <c r="AC102" s="106"/>
    </row>
    <row r="103" ht="30.75" customHeight="1">
      <c r="A103" s="39">
        <v>77.0</v>
      </c>
      <c r="B103" s="112">
        <v>45275.0</v>
      </c>
      <c r="C103" s="94" t="s">
        <v>280</v>
      </c>
      <c r="D103" s="148" t="s">
        <v>118</v>
      </c>
      <c r="E103" s="146"/>
      <c r="F103" s="148" t="s">
        <v>281</v>
      </c>
      <c r="G103" s="63" t="s">
        <v>147</v>
      </c>
      <c r="H103" s="64">
        <v>2.0</v>
      </c>
      <c r="I103" s="47">
        <f t="shared" si="26"/>
        <v>80000</v>
      </c>
      <c r="J103" s="48">
        <f t="shared" si="24"/>
        <v>160000</v>
      </c>
      <c r="K103" s="49">
        <f>sum(J103:J104)</f>
        <v>380000</v>
      </c>
      <c r="L103" s="144"/>
      <c r="M103" s="51">
        <f>38000+23255</f>
        <v>61255</v>
      </c>
      <c r="N103" s="52"/>
      <c r="O103" s="53">
        <f>K103+L103-M103-N103</f>
        <v>318745</v>
      </c>
      <c r="P103" s="99" t="s">
        <v>31</v>
      </c>
      <c r="Q103" s="144"/>
      <c r="R103" s="119"/>
      <c r="S103" s="57" t="s">
        <v>33</v>
      </c>
      <c r="T103" s="146"/>
      <c r="U103" s="146"/>
      <c r="V103" s="142" t="s">
        <v>120</v>
      </c>
      <c r="W103" s="106"/>
      <c r="X103" s="150"/>
      <c r="Y103" s="151"/>
      <c r="Z103" s="107"/>
      <c r="AA103" s="107"/>
      <c r="AB103" s="107"/>
      <c r="AC103" s="106"/>
    </row>
    <row r="104" ht="30.75" customHeight="1">
      <c r="A104" s="67"/>
      <c r="B104" s="67"/>
      <c r="C104" s="67"/>
      <c r="D104" s="67"/>
      <c r="E104" s="67"/>
      <c r="F104" s="67"/>
      <c r="G104" s="63" t="s">
        <v>30</v>
      </c>
      <c r="H104" s="64">
        <v>1.0</v>
      </c>
      <c r="I104" s="47">
        <f t="shared" si="26"/>
        <v>220000</v>
      </c>
      <c r="J104" s="48">
        <f t="shared" si="24"/>
        <v>220000</v>
      </c>
      <c r="K104" s="67"/>
      <c r="L104" s="67"/>
      <c r="M104" s="67"/>
      <c r="N104" s="67"/>
      <c r="O104" s="67"/>
      <c r="P104" s="67"/>
      <c r="Q104" s="67"/>
      <c r="R104" s="67"/>
      <c r="S104" s="67"/>
      <c r="T104" s="67"/>
      <c r="U104" s="67"/>
      <c r="V104" s="67"/>
      <c r="W104" s="106"/>
      <c r="X104" s="150"/>
      <c r="Y104" s="151"/>
      <c r="Z104" s="107"/>
      <c r="AA104" s="107"/>
      <c r="AB104" s="107"/>
      <c r="AC104" s="106"/>
    </row>
    <row r="105" ht="30.75" customHeight="1">
      <c r="A105" s="64">
        <v>78.0</v>
      </c>
      <c r="B105" s="103">
        <v>45275.0</v>
      </c>
      <c r="C105" s="93" t="s">
        <v>282</v>
      </c>
      <c r="D105" s="155" t="s">
        <v>179</v>
      </c>
      <c r="E105" s="105" t="s">
        <v>283</v>
      </c>
      <c r="F105" s="155" t="s">
        <v>193</v>
      </c>
      <c r="G105" s="63" t="s">
        <v>30</v>
      </c>
      <c r="H105" s="64">
        <v>2.0</v>
      </c>
      <c r="I105" s="47">
        <f t="shared" si="26"/>
        <v>220000</v>
      </c>
      <c r="J105" s="48">
        <f t="shared" si="24"/>
        <v>440000</v>
      </c>
      <c r="K105" s="76">
        <f t="shared" ref="K105:K107" si="32">SUM(J105)</f>
        <v>440000</v>
      </c>
      <c r="L105" s="109"/>
      <c r="M105" s="78">
        <f>155222</f>
        <v>155222</v>
      </c>
      <c r="N105" s="79"/>
      <c r="O105" s="80">
        <f t="shared" ref="O105:O108" si="33">K105+L105-M105-N105</f>
        <v>284778</v>
      </c>
      <c r="P105" s="81" t="s">
        <v>31</v>
      </c>
      <c r="Q105" s="109"/>
      <c r="R105" s="91"/>
      <c r="S105" s="84" t="s">
        <v>33</v>
      </c>
      <c r="T105" s="65"/>
      <c r="U105" s="65"/>
      <c r="V105" s="92" t="s">
        <v>266</v>
      </c>
      <c r="W105" s="106"/>
      <c r="X105" s="150"/>
      <c r="Y105" s="151"/>
      <c r="Z105" s="107"/>
      <c r="AA105" s="107"/>
      <c r="AB105" s="107"/>
      <c r="AC105" s="106"/>
    </row>
    <row r="106" ht="30.75" customHeight="1">
      <c r="A106" s="64">
        <v>79.0</v>
      </c>
      <c r="B106" s="103">
        <v>45276.0</v>
      </c>
      <c r="C106" s="93">
        <v>1.718009539131E12</v>
      </c>
      <c r="D106" s="155" t="s">
        <v>284</v>
      </c>
      <c r="E106" s="105" t="s">
        <v>285</v>
      </c>
      <c r="F106" s="155" t="s">
        <v>286</v>
      </c>
      <c r="G106" s="63" t="s">
        <v>30</v>
      </c>
      <c r="H106" s="64">
        <v>1.0</v>
      </c>
      <c r="I106" s="47">
        <f t="shared" si="26"/>
        <v>220000</v>
      </c>
      <c r="J106" s="48">
        <f t="shared" si="24"/>
        <v>220000</v>
      </c>
      <c r="K106" s="76">
        <f t="shared" si="32"/>
        <v>220000</v>
      </c>
      <c r="L106" s="108">
        <v>33000.0</v>
      </c>
      <c r="M106" s="78"/>
      <c r="N106" s="115">
        <v>13000.0</v>
      </c>
      <c r="O106" s="80">
        <f t="shared" si="33"/>
        <v>240000</v>
      </c>
      <c r="P106" s="81" t="s">
        <v>31</v>
      </c>
      <c r="Q106" s="109"/>
      <c r="R106" s="91"/>
      <c r="S106" s="84" t="s">
        <v>33</v>
      </c>
      <c r="T106" s="65"/>
      <c r="U106" s="65"/>
      <c r="V106" s="122"/>
      <c r="W106" s="106"/>
      <c r="X106" s="150"/>
      <c r="Y106" s="151"/>
      <c r="Z106" s="107"/>
      <c r="AA106" s="107"/>
      <c r="AB106" s="107"/>
      <c r="AC106" s="106"/>
    </row>
    <row r="107" ht="36.75" customHeight="1">
      <c r="A107" s="64">
        <v>80.0</v>
      </c>
      <c r="B107" s="103">
        <v>45276.0</v>
      </c>
      <c r="C107" s="93">
        <v>1.718083205929E12</v>
      </c>
      <c r="D107" s="155" t="s">
        <v>287</v>
      </c>
      <c r="E107" s="105" t="s">
        <v>288</v>
      </c>
      <c r="F107" s="156" t="s">
        <v>289</v>
      </c>
      <c r="G107" s="63" t="s">
        <v>290</v>
      </c>
      <c r="H107" s="64">
        <v>1.0</v>
      </c>
      <c r="I107" s="47">
        <f t="shared" si="26"/>
        <v>220000</v>
      </c>
      <c r="J107" s="48">
        <f t="shared" si="24"/>
        <v>220000</v>
      </c>
      <c r="K107" s="76">
        <f t="shared" si="32"/>
        <v>220000</v>
      </c>
      <c r="L107" s="108">
        <v>44000.0</v>
      </c>
      <c r="M107" s="78"/>
      <c r="N107" s="115">
        <v>24000.0</v>
      </c>
      <c r="O107" s="80">
        <f t="shared" si="33"/>
        <v>240000</v>
      </c>
      <c r="P107" s="81" t="s">
        <v>31</v>
      </c>
      <c r="Q107" s="109"/>
      <c r="R107" s="91"/>
      <c r="S107" s="84" t="s">
        <v>33</v>
      </c>
      <c r="T107" s="65"/>
      <c r="U107" s="65"/>
      <c r="V107" s="122"/>
      <c r="W107" s="106"/>
      <c r="X107" s="150"/>
      <c r="Y107" s="151"/>
      <c r="Z107" s="107"/>
      <c r="AA107" s="107"/>
      <c r="AB107" s="107"/>
      <c r="AC107" s="106"/>
    </row>
    <row r="108" ht="30.75" customHeight="1">
      <c r="A108" s="39">
        <v>81.0</v>
      </c>
      <c r="B108" s="112">
        <v>45276.0</v>
      </c>
      <c r="C108" s="39">
        <v>1.718260110605E12</v>
      </c>
      <c r="D108" s="148" t="s">
        <v>27</v>
      </c>
      <c r="E108" s="143" t="s">
        <v>28</v>
      </c>
      <c r="F108" s="149" t="s">
        <v>291</v>
      </c>
      <c r="G108" s="63" t="s">
        <v>122</v>
      </c>
      <c r="H108" s="64">
        <v>1.0</v>
      </c>
      <c r="I108" s="47">
        <f t="shared" si="26"/>
        <v>220000</v>
      </c>
      <c r="J108" s="48">
        <f t="shared" si="24"/>
        <v>220000</v>
      </c>
      <c r="K108" s="49">
        <f>sum(J108:J109)</f>
        <v>660000</v>
      </c>
      <c r="L108" s="144"/>
      <c r="M108" s="51"/>
      <c r="N108" s="52"/>
      <c r="O108" s="53">
        <f t="shared" si="33"/>
        <v>660000</v>
      </c>
      <c r="P108" s="99" t="s">
        <v>31</v>
      </c>
      <c r="Q108" s="145">
        <v>49002.0</v>
      </c>
      <c r="R108" s="56" t="s">
        <v>32</v>
      </c>
      <c r="S108" s="57" t="s">
        <v>33</v>
      </c>
      <c r="T108" s="146"/>
      <c r="U108" s="146"/>
      <c r="V108" s="147"/>
      <c r="W108" s="106"/>
      <c r="X108" s="150"/>
      <c r="Y108" s="151"/>
      <c r="Z108" s="107"/>
      <c r="AA108" s="107"/>
      <c r="AB108" s="107"/>
      <c r="AC108" s="106"/>
    </row>
    <row r="109" ht="30.75" customHeight="1">
      <c r="A109" s="67"/>
      <c r="B109" s="67"/>
      <c r="C109" s="67"/>
      <c r="D109" s="67"/>
      <c r="E109" s="67"/>
      <c r="F109" s="67"/>
      <c r="G109" s="63" t="s">
        <v>165</v>
      </c>
      <c r="H109" s="64">
        <v>2.0</v>
      </c>
      <c r="I109" s="47">
        <f t="shared" si="26"/>
        <v>220000</v>
      </c>
      <c r="J109" s="48">
        <f t="shared" si="24"/>
        <v>440000</v>
      </c>
      <c r="K109" s="67"/>
      <c r="L109" s="67"/>
      <c r="M109" s="67"/>
      <c r="N109" s="67"/>
      <c r="O109" s="67"/>
      <c r="P109" s="67"/>
      <c r="Q109" s="67"/>
      <c r="R109" s="67"/>
      <c r="S109" s="67"/>
      <c r="T109" s="67"/>
      <c r="U109" s="67"/>
      <c r="V109" s="67"/>
      <c r="W109" s="106"/>
      <c r="X109" s="150"/>
      <c r="Y109" s="151"/>
      <c r="Z109" s="107"/>
      <c r="AA109" s="107"/>
      <c r="AB109" s="107"/>
      <c r="AC109" s="106"/>
    </row>
    <row r="110" ht="30.75" customHeight="1">
      <c r="A110" s="64">
        <v>82.0</v>
      </c>
      <c r="B110" s="103">
        <v>45276.0</v>
      </c>
      <c r="C110" s="93">
        <v>1.718313274395E12</v>
      </c>
      <c r="D110" s="155" t="s">
        <v>114</v>
      </c>
      <c r="E110" s="105" t="s">
        <v>107</v>
      </c>
      <c r="F110" s="179" t="s">
        <v>292</v>
      </c>
      <c r="G110" s="63" t="s">
        <v>30</v>
      </c>
      <c r="H110" s="64">
        <v>4.0</v>
      </c>
      <c r="I110" s="47">
        <f t="shared" si="26"/>
        <v>220000</v>
      </c>
      <c r="J110" s="48">
        <f t="shared" si="24"/>
        <v>880000</v>
      </c>
      <c r="K110" s="76">
        <f t="shared" ref="K110:K123" si="34">SUM(J110)</f>
        <v>880000</v>
      </c>
      <c r="L110" s="109"/>
      <c r="M110" s="78"/>
      <c r="N110" s="79"/>
      <c r="O110" s="80">
        <f t="shared" ref="O110:O114" si="35">K110+L110-M110-N110</f>
        <v>880000</v>
      </c>
      <c r="P110" s="81" t="s">
        <v>31</v>
      </c>
      <c r="Q110" s="108">
        <v>52002.0</v>
      </c>
      <c r="R110" s="83" t="s">
        <v>32</v>
      </c>
      <c r="S110" s="84" t="s">
        <v>33</v>
      </c>
      <c r="T110" s="65"/>
      <c r="U110" s="65"/>
      <c r="V110" s="122"/>
      <c r="W110" s="106"/>
      <c r="X110" s="150"/>
      <c r="Y110" s="151"/>
      <c r="Z110" s="107"/>
      <c r="AA110" s="107"/>
      <c r="AB110" s="107"/>
      <c r="AC110" s="106"/>
    </row>
    <row r="111" ht="30.75" customHeight="1">
      <c r="A111" s="64">
        <v>83.0</v>
      </c>
      <c r="B111" s="180">
        <v>45276.0</v>
      </c>
      <c r="C111" s="181" t="s">
        <v>293</v>
      </c>
      <c r="D111" s="182" t="s">
        <v>118</v>
      </c>
      <c r="E111" s="65"/>
      <c r="F111" s="155" t="s">
        <v>74</v>
      </c>
      <c r="G111" s="63" t="s">
        <v>30</v>
      </c>
      <c r="H111" s="64">
        <v>1.0</v>
      </c>
      <c r="I111" s="47">
        <f t="shared" si="26"/>
        <v>220000</v>
      </c>
      <c r="J111" s="48">
        <f t="shared" si="24"/>
        <v>220000</v>
      </c>
      <c r="K111" s="76">
        <f t="shared" si="34"/>
        <v>220000</v>
      </c>
      <c r="L111" s="109"/>
      <c r="M111" s="78"/>
      <c r="N111" s="79"/>
      <c r="O111" s="80">
        <f t="shared" si="35"/>
        <v>220000</v>
      </c>
      <c r="P111" s="176"/>
      <c r="Q111" s="109"/>
      <c r="R111" s="91"/>
      <c r="S111" s="183"/>
      <c r="T111" s="65"/>
      <c r="U111" s="65"/>
      <c r="V111" s="92" t="s">
        <v>120</v>
      </c>
      <c r="W111" s="106"/>
      <c r="X111" s="150"/>
      <c r="Y111" s="151"/>
      <c r="Z111" s="107"/>
      <c r="AA111" s="107"/>
      <c r="AB111" s="107"/>
      <c r="AC111" s="106"/>
    </row>
    <row r="112" ht="30.75" customHeight="1">
      <c r="A112" s="64">
        <v>84.0</v>
      </c>
      <c r="B112" s="103">
        <v>45278.0</v>
      </c>
      <c r="C112" s="93">
        <v>1.71621812966E12</v>
      </c>
      <c r="D112" s="155" t="s">
        <v>294</v>
      </c>
      <c r="E112" s="105" t="s">
        <v>295</v>
      </c>
      <c r="F112" s="155" t="s">
        <v>296</v>
      </c>
      <c r="G112" s="63" t="s">
        <v>35</v>
      </c>
      <c r="H112" s="64">
        <v>10.0</v>
      </c>
      <c r="I112" s="47">
        <f t="shared" si="26"/>
        <v>220000</v>
      </c>
      <c r="J112" s="48">
        <f t="shared" si="24"/>
        <v>2200000</v>
      </c>
      <c r="K112" s="76">
        <f t="shared" si="34"/>
        <v>2200000</v>
      </c>
      <c r="L112" s="109"/>
      <c r="M112" s="78"/>
      <c r="N112" s="79"/>
      <c r="O112" s="80">
        <f t="shared" si="35"/>
        <v>2200000</v>
      </c>
      <c r="P112" s="81" t="s">
        <v>31</v>
      </c>
      <c r="Q112" s="108">
        <v>78004.0</v>
      </c>
      <c r="R112" s="83" t="s">
        <v>32</v>
      </c>
      <c r="S112" s="84" t="s">
        <v>33</v>
      </c>
      <c r="T112" s="65"/>
      <c r="U112" s="65"/>
      <c r="V112" s="122"/>
      <c r="W112" s="106"/>
      <c r="X112" s="150"/>
      <c r="Y112" s="151"/>
      <c r="Z112" s="107"/>
      <c r="AA112" s="107"/>
      <c r="AB112" s="107"/>
      <c r="AC112" s="106"/>
    </row>
    <row r="113" ht="30.75" customHeight="1">
      <c r="A113" s="64">
        <v>85.0</v>
      </c>
      <c r="B113" s="103">
        <v>45278.0</v>
      </c>
      <c r="C113" s="93">
        <v>1.716264054091E12</v>
      </c>
      <c r="D113" s="184" t="s">
        <v>297</v>
      </c>
      <c r="E113" s="105" t="s">
        <v>298</v>
      </c>
      <c r="F113" s="155" t="s">
        <v>299</v>
      </c>
      <c r="G113" s="63" t="s">
        <v>30</v>
      </c>
      <c r="H113" s="64">
        <v>1.0</v>
      </c>
      <c r="I113" s="47">
        <f t="shared" si="26"/>
        <v>220000</v>
      </c>
      <c r="J113" s="48">
        <f t="shared" si="24"/>
        <v>220000</v>
      </c>
      <c r="K113" s="76">
        <f t="shared" si="34"/>
        <v>220000</v>
      </c>
      <c r="L113" s="108">
        <v>40001.0</v>
      </c>
      <c r="M113" s="78"/>
      <c r="N113" s="115">
        <v>20001.0</v>
      </c>
      <c r="O113" s="80">
        <f t="shared" si="35"/>
        <v>240000</v>
      </c>
      <c r="P113" s="81" t="s">
        <v>31</v>
      </c>
      <c r="Q113" s="109"/>
      <c r="R113" s="91"/>
      <c r="S113" s="84" t="s">
        <v>33</v>
      </c>
      <c r="T113" s="65"/>
      <c r="U113" s="65"/>
      <c r="V113" s="122"/>
      <c r="W113" s="106"/>
      <c r="X113" s="150"/>
      <c r="Y113" s="151"/>
      <c r="Z113" s="107"/>
      <c r="AA113" s="107"/>
      <c r="AB113" s="107"/>
      <c r="AC113" s="106"/>
    </row>
    <row r="114" ht="30.75" customHeight="1">
      <c r="A114" s="64">
        <v>86.0</v>
      </c>
      <c r="B114" s="103">
        <v>45278.0</v>
      </c>
      <c r="C114" s="93">
        <v>1.716300664516E12</v>
      </c>
      <c r="D114" s="155" t="s">
        <v>300</v>
      </c>
      <c r="E114" s="105" t="s">
        <v>301</v>
      </c>
      <c r="F114" s="155" t="s">
        <v>302</v>
      </c>
      <c r="G114" s="63" t="s">
        <v>30</v>
      </c>
      <c r="H114" s="64">
        <v>1.0</v>
      </c>
      <c r="I114" s="47">
        <f t="shared" si="26"/>
        <v>220000</v>
      </c>
      <c r="J114" s="48">
        <f t="shared" si="24"/>
        <v>220000</v>
      </c>
      <c r="K114" s="76">
        <f t="shared" si="34"/>
        <v>220000</v>
      </c>
      <c r="L114" s="108">
        <v>40001.0</v>
      </c>
      <c r="M114" s="78"/>
      <c r="N114" s="115">
        <v>20001.0</v>
      </c>
      <c r="O114" s="80">
        <f t="shared" si="35"/>
        <v>240000</v>
      </c>
      <c r="P114" s="81" t="s">
        <v>31</v>
      </c>
      <c r="Q114" s="109"/>
      <c r="R114" s="91"/>
      <c r="S114" s="84" t="s">
        <v>33</v>
      </c>
      <c r="T114" s="65"/>
      <c r="U114" s="65"/>
      <c r="V114" s="122"/>
      <c r="W114" s="106"/>
      <c r="X114" s="150"/>
      <c r="Y114" s="151"/>
      <c r="Z114" s="107"/>
      <c r="AA114" s="107"/>
      <c r="AB114" s="107"/>
      <c r="AC114" s="106"/>
    </row>
    <row r="115" ht="30.75" customHeight="1">
      <c r="A115" s="158">
        <v>87.0</v>
      </c>
      <c r="B115" s="177">
        <v>45278.0</v>
      </c>
      <c r="C115" s="160">
        <v>1.716355353957E12</v>
      </c>
      <c r="D115" s="163" t="s">
        <v>303</v>
      </c>
      <c r="E115" s="162" t="s">
        <v>304</v>
      </c>
      <c r="F115" s="163" t="s">
        <v>305</v>
      </c>
      <c r="G115" s="164" t="s">
        <v>35</v>
      </c>
      <c r="H115" s="158">
        <v>2.0</v>
      </c>
      <c r="I115" s="165"/>
      <c r="J115" s="166">
        <f t="shared" si="24"/>
        <v>0</v>
      </c>
      <c r="K115" s="167">
        <f t="shared" si="34"/>
        <v>0</v>
      </c>
      <c r="L115" s="185">
        <v>43001.0</v>
      </c>
      <c r="M115" s="168"/>
      <c r="N115" s="185"/>
      <c r="O115" s="169"/>
      <c r="P115" s="186"/>
      <c r="Q115" s="168"/>
      <c r="R115" s="170"/>
      <c r="S115" s="187"/>
      <c r="T115" s="172"/>
      <c r="U115" s="172"/>
      <c r="V115" s="161" t="s">
        <v>201</v>
      </c>
      <c r="W115" s="106"/>
      <c r="X115" s="150"/>
      <c r="Y115" s="151"/>
      <c r="Z115" s="107"/>
      <c r="AA115" s="107"/>
      <c r="AB115" s="107"/>
      <c r="AC115" s="106"/>
    </row>
    <row r="116" ht="39.0" customHeight="1">
      <c r="A116" s="64">
        <v>88.0</v>
      </c>
      <c r="B116" s="103">
        <v>45278.0</v>
      </c>
      <c r="C116" s="93">
        <v>1.716488769827E12</v>
      </c>
      <c r="D116" s="155" t="s">
        <v>306</v>
      </c>
      <c r="E116" s="105" t="s">
        <v>307</v>
      </c>
      <c r="F116" s="156" t="s">
        <v>308</v>
      </c>
      <c r="G116" s="63" t="s">
        <v>30</v>
      </c>
      <c r="H116" s="64">
        <v>2.0</v>
      </c>
      <c r="I116" s="47">
        <f t="shared" ref="I116:I153" si="36">VLOOKUP(G116,$X$4:$Y$153,2,0)</f>
        <v>220000</v>
      </c>
      <c r="J116" s="48">
        <f t="shared" si="24"/>
        <v>440000</v>
      </c>
      <c r="K116" s="76">
        <f t="shared" si="34"/>
        <v>440000</v>
      </c>
      <c r="L116" s="108">
        <v>43001.0</v>
      </c>
      <c r="M116" s="78"/>
      <c r="N116" s="115">
        <v>13001.0</v>
      </c>
      <c r="O116" s="80">
        <f t="shared" ref="O116:O124" si="37">K116+L116-M116-N116</f>
        <v>470000</v>
      </c>
      <c r="P116" s="81" t="s">
        <v>31</v>
      </c>
      <c r="Q116" s="109"/>
      <c r="R116" s="91"/>
      <c r="S116" s="84" t="s">
        <v>33</v>
      </c>
      <c r="T116" s="65"/>
      <c r="U116" s="65"/>
      <c r="V116" s="122"/>
      <c r="W116" s="106"/>
      <c r="X116" s="150"/>
      <c r="Y116" s="151"/>
      <c r="Z116" s="107"/>
      <c r="AA116" s="107"/>
      <c r="AB116" s="107"/>
      <c r="AC116" s="106"/>
    </row>
    <row r="117" ht="42.75" customHeight="1">
      <c r="A117" s="64">
        <v>89.0</v>
      </c>
      <c r="B117" s="103">
        <v>45278.0</v>
      </c>
      <c r="C117" s="93">
        <v>1.716538618349E12</v>
      </c>
      <c r="D117" s="155" t="s">
        <v>309</v>
      </c>
      <c r="E117" s="105" t="s">
        <v>310</v>
      </c>
      <c r="F117" s="156" t="s">
        <v>311</v>
      </c>
      <c r="G117" s="63" t="s">
        <v>30</v>
      </c>
      <c r="H117" s="64">
        <v>5.0</v>
      </c>
      <c r="I117" s="47">
        <f t="shared" si="36"/>
        <v>220000</v>
      </c>
      <c r="J117" s="48">
        <f t="shared" si="24"/>
        <v>1100000</v>
      </c>
      <c r="K117" s="76">
        <f t="shared" si="34"/>
        <v>1100000</v>
      </c>
      <c r="L117" s="109"/>
      <c r="M117" s="78"/>
      <c r="N117" s="79"/>
      <c r="O117" s="80">
        <f t="shared" si="37"/>
        <v>1100000</v>
      </c>
      <c r="P117" s="81" t="s">
        <v>31</v>
      </c>
      <c r="Q117" s="108">
        <v>48002.0</v>
      </c>
      <c r="R117" s="83" t="s">
        <v>32</v>
      </c>
      <c r="S117" s="84" t="s">
        <v>33</v>
      </c>
      <c r="T117" s="65"/>
      <c r="U117" s="65"/>
      <c r="V117" s="92"/>
      <c r="W117" s="106"/>
      <c r="X117" s="150"/>
      <c r="Y117" s="151"/>
      <c r="Z117" s="107"/>
      <c r="AA117" s="107"/>
      <c r="AB117" s="107"/>
      <c r="AC117" s="106"/>
    </row>
    <row r="118" ht="30.75" customHeight="1">
      <c r="A118" s="64">
        <v>90.0</v>
      </c>
      <c r="B118" s="103">
        <v>45278.0</v>
      </c>
      <c r="C118" s="93">
        <v>1.716594201647E12</v>
      </c>
      <c r="D118" s="155" t="s">
        <v>312</v>
      </c>
      <c r="E118" s="105" t="s">
        <v>313</v>
      </c>
      <c r="F118" s="155" t="s">
        <v>314</v>
      </c>
      <c r="G118" s="63" t="s">
        <v>30</v>
      </c>
      <c r="H118" s="64">
        <v>4.0</v>
      </c>
      <c r="I118" s="47">
        <f t="shared" si="36"/>
        <v>220000</v>
      </c>
      <c r="J118" s="48">
        <f t="shared" si="24"/>
        <v>880000</v>
      </c>
      <c r="K118" s="76">
        <f t="shared" si="34"/>
        <v>880000</v>
      </c>
      <c r="L118" s="109"/>
      <c r="M118" s="78"/>
      <c r="N118" s="79"/>
      <c r="O118" s="80">
        <f t="shared" si="37"/>
        <v>880000</v>
      </c>
      <c r="P118" s="81" t="s">
        <v>31</v>
      </c>
      <c r="Q118" s="108">
        <v>52002.0</v>
      </c>
      <c r="R118" s="83" t="s">
        <v>32</v>
      </c>
      <c r="S118" s="84" t="s">
        <v>33</v>
      </c>
      <c r="T118" s="65"/>
      <c r="U118" s="65"/>
      <c r="V118" s="92"/>
      <c r="W118" s="106"/>
      <c r="X118" s="150"/>
      <c r="Y118" s="151"/>
      <c r="Z118" s="107"/>
      <c r="AA118" s="107"/>
      <c r="AB118" s="107"/>
      <c r="AC118" s="106"/>
    </row>
    <row r="119" ht="36.75" customHeight="1">
      <c r="A119" s="64">
        <v>91.0</v>
      </c>
      <c r="B119" s="103">
        <v>45278.0</v>
      </c>
      <c r="C119" s="93">
        <v>1.716641847069E12</v>
      </c>
      <c r="D119" s="155" t="s">
        <v>315</v>
      </c>
      <c r="E119" s="105" t="s">
        <v>316</v>
      </c>
      <c r="F119" s="156" t="s">
        <v>317</v>
      </c>
      <c r="G119" s="63" t="s">
        <v>30</v>
      </c>
      <c r="H119" s="64">
        <v>8.0</v>
      </c>
      <c r="I119" s="47">
        <f t="shared" si="36"/>
        <v>220000</v>
      </c>
      <c r="J119" s="48">
        <f t="shared" si="24"/>
        <v>1760000</v>
      </c>
      <c r="K119" s="76">
        <f t="shared" si="34"/>
        <v>1760000</v>
      </c>
      <c r="L119" s="109"/>
      <c r="M119" s="78"/>
      <c r="N119" s="79"/>
      <c r="O119" s="80">
        <f t="shared" si="37"/>
        <v>1760000</v>
      </c>
      <c r="P119" s="81" t="s">
        <v>31</v>
      </c>
      <c r="Q119" s="108">
        <v>71004.0</v>
      </c>
      <c r="R119" s="83" t="s">
        <v>32</v>
      </c>
      <c r="S119" s="84" t="s">
        <v>33</v>
      </c>
      <c r="T119" s="65"/>
      <c r="U119" s="65"/>
      <c r="V119" s="92"/>
      <c r="W119" s="106"/>
      <c r="X119" s="150"/>
      <c r="Y119" s="151"/>
      <c r="Z119" s="107"/>
      <c r="AA119" s="107"/>
      <c r="AB119" s="107"/>
      <c r="AC119" s="106"/>
    </row>
    <row r="120" ht="30.75" customHeight="1">
      <c r="A120" s="69">
        <v>92.0</v>
      </c>
      <c r="B120" s="177">
        <v>45278.0</v>
      </c>
      <c r="C120" s="160" t="s">
        <v>318</v>
      </c>
      <c r="D120" s="163" t="s">
        <v>273</v>
      </c>
      <c r="E120" s="105" t="s">
        <v>319</v>
      </c>
      <c r="F120" s="155" t="s">
        <v>74</v>
      </c>
      <c r="G120" s="63" t="s">
        <v>30</v>
      </c>
      <c r="H120" s="64">
        <v>1.0</v>
      </c>
      <c r="I120" s="47">
        <f t="shared" si="36"/>
        <v>220000</v>
      </c>
      <c r="J120" s="48">
        <f t="shared" si="24"/>
        <v>220000</v>
      </c>
      <c r="K120" s="76">
        <f t="shared" si="34"/>
        <v>220000</v>
      </c>
      <c r="L120" s="109"/>
      <c r="M120" s="78">
        <f t="shared" ref="M120:M122" si="38">K120*5%</f>
        <v>11000</v>
      </c>
      <c r="N120" s="79"/>
      <c r="O120" s="80">
        <f t="shared" si="37"/>
        <v>209000</v>
      </c>
      <c r="P120" s="176"/>
      <c r="Q120" s="109"/>
      <c r="R120" s="91"/>
      <c r="S120" s="183"/>
      <c r="T120" s="65"/>
      <c r="U120" s="65"/>
      <c r="V120" s="92" t="s">
        <v>53</v>
      </c>
      <c r="W120" s="106"/>
      <c r="X120" s="150"/>
      <c r="Y120" s="151"/>
      <c r="Z120" s="107"/>
      <c r="AA120" s="107"/>
      <c r="AB120" s="107"/>
      <c r="AC120" s="106"/>
    </row>
    <row r="121" ht="30.75" customHeight="1">
      <c r="A121" s="69">
        <v>93.0</v>
      </c>
      <c r="B121" s="177">
        <v>45278.0</v>
      </c>
      <c r="C121" s="160" t="s">
        <v>320</v>
      </c>
      <c r="D121" s="163" t="s">
        <v>273</v>
      </c>
      <c r="E121" s="105" t="s">
        <v>321</v>
      </c>
      <c r="F121" s="155" t="s">
        <v>74</v>
      </c>
      <c r="G121" s="63" t="s">
        <v>30</v>
      </c>
      <c r="H121" s="64">
        <v>1.0</v>
      </c>
      <c r="I121" s="47">
        <f t="shared" si="36"/>
        <v>220000</v>
      </c>
      <c r="J121" s="48">
        <f t="shared" si="24"/>
        <v>220000</v>
      </c>
      <c r="K121" s="76">
        <f t="shared" si="34"/>
        <v>220000</v>
      </c>
      <c r="L121" s="109"/>
      <c r="M121" s="78">
        <f t="shared" si="38"/>
        <v>11000</v>
      </c>
      <c r="N121" s="79"/>
      <c r="O121" s="80">
        <f t="shared" si="37"/>
        <v>209000</v>
      </c>
      <c r="P121" s="176"/>
      <c r="Q121" s="109"/>
      <c r="R121" s="91"/>
      <c r="S121" s="183"/>
      <c r="T121" s="65"/>
      <c r="U121" s="65"/>
      <c r="V121" s="92" t="s">
        <v>53</v>
      </c>
      <c r="W121" s="106"/>
      <c r="X121" s="150"/>
      <c r="Y121" s="151"/>
      <c r="Z121" s="107"/>
      <c r="AA121" s="107"/>
      <c r="AB121" s="107"/>
      <c r="AC121" s="106"/>
    </row>
    <row r="122" ht="30.75" customHeight="1">
      <c r="A122" s="69">
        <v>94.0</v>
      </c>
      <c r="B122" s="177">
        <v>45278.0</v>
      </c>
      <c r="C122" s="160" t="s">
        <v>322</v>
      </c>
      <c r="D122" s="163" t="s">
        <v>273</v>
      </c>
      <c r="E122" s="105" t="s">
        <v>323</v>
      </c>
      <c r="F122" s="155" t="s">
        <v>84</v>
      </c>
      <c r="G122" s="63" t="s">
        <v>30</v>
      </c>
      <c r="H122" s="64">
        <v>1.0</v>
      </c>
      <c r="I122" s="47">
        <f t="shared" si="36"/>
        <v>220000</v>
      </c>
      <c r="J122" s="48">
        <f t="shared" si="24"/>
        <v>220000</v>
      </c>
      <c r="K122" s="76">
        <f t="shared" si="34"/>
        <v>220000</v>
      </c>
      <c r="L122" s="109"/>
      <c r="M122" s="78">
        <f t="shared" si="38"/>
        <v>11000</v>
      </c>
      <c r="N122" s="79"/>
      <c r="O122" s="80">
        <f t="shared" si="37"/>
        <v>209000</v>
      </c>
      <c r="P122" s="176"/>
      <c r="Q122" s="109"/>
      <c r="R122" s="91"/>
      <c r="S122" s="183"/>
      <c r="T122" s="65"/>
      <c r="U122" s="65"/>
      <c r="V122" s="92" t="s">
        <v>53</v>
      </c>
      <c r="W122" s="106"/>
      <c r="X122" s="150"/>
      <c r="Y122" s="151"/>
      <c r="Z122" s="107"/>
      <c r="AA122" s="107"/>
      <c r="AB122" s="107"/>
      <c r="AC122" s="106"/>
    </row>
    <row r="123" ht="30.75" customHeight="1">
      <c r="A123" s="69">
        <v>95.0</v>
      </c>
      <c r="B123" s="188">
        <v>45278.0</v>
      </c>
      <c r="C123" s="104">
        <v>1.73469030438E12</v>
      </c>
      <c r="D123" s="189" t="s">
        <v>44</v>
      </c>
      <c r="E123" s="105" t="s">
        <v>45</v>
      </c>
      <c r="F123" s="155" t="s">
        <v>324</v>
      </c>
      <c r="G123" s="63" t="s">
        <v>325</v>
      </c>
      <c r="H123" s="64">
        <v>10.0</v>
      </c>
      <c r="I123" s="47">
        <f t="shared" si="36"/>
        <v>160000</v>
      </c>
      <c r="J123" s="48">
        <f t="shared" si="24"/>
        <v>1600000</v>
      </c>
      <c r="K123" s="76">
        <f t="shared" si="34"/>
        <v>1600000</v>
      </c>
      <c r="L123" s="109"/>
      <c r="M123" s="78"/>
      <c r="N123" s="79"/>
      <c r="O123" s="80">
        <f t="shared" si="37"/>
        <v>1600000</v>
      </c>
      <c r="P123" s="81" t="s">
        <v>31</v>
      </c>
      <c r="Q123" s="108">
        <v>169001.0</v>
      </c>
      <c r="R123" s="83" t="s">
        <v>32</v>
      </c>
      <c r="S123" s="84" t="s">
        <v>33</v>
      </c>
      <c r="T123" s="65"/>
      <c r="U123" s="65"/>
      <c r="V123" s="122"/>
      <c r="W123" s="106"/>
      <c r="X123" s="150"/>
      <c r="Y123" s="151"/>
      <c r="Z123" s="107"/>
      <c r="AA123" s="107"/>
      <c r="AB123" s="107"/>
      <c r="AC123" s="106"/>
    </row>
    <row r="124" ht="30.75" customHeight="1">
      <c r="A124" s="94">
        <v>96.0</v>
      </c>
      <c r="B124" s="190">
        <v>45279.0</v>
      </c>
      <c r="C124" s="152">
        <v>1.725574338782E12</v>
      </c>
      <c r="D124" s="191" t="s">
        <v>326</v>
      </c>
      <c r="E124" s="143" t="s">
        <v>327</v>
      </c>
      <c r="F124" s="149" t="s">
        <v>328</v>
      </c>
      <c r="G124" s="63" t="s">
        <v>30</v>
      </c>
      <c r="H124" s="64">
        <v>1.0</v>
      </c>
      <c r="I124" s="47">
        <f t="shared" si="36"/>
        <v>220000</v>
      </c>
      <c r="J124" s="48">
        <f t="shared" si="24"/>
        <v>220000</v>
      </c>
      <c r="K124" s="49">
        <f>SUM(J124:J126)</f>
        <v>520000</v>
      </c>
      <c r="L124" s="145">
        <v>43001.0</v>
      </c>
      <c r="M124" s="51"/>
      <c r="N124" s="117">
        <v>13001.0</v>
      </c>
      <c r="O124" s="53">
        <f t="shared" si="37"/>
        <v>550000</v>
      </c>
      <c r="P124" s="99" t="s">
        <v>31</v>
      </c>
      <c r="Q124" s="144"/>
      <c r="R124" s="119"/>
      <c r="S124" s="57" t="s">
        <v>33</v>
      </c>
      <c r="T124" s="146"/>
      <c r="U124" s="146"/>
      <c r="V124" s="147"/>
      <c r="W124" s="106"/>
      <c r="X124" s="150"/>
      <c r="Y124" s="151"/>
      <c r="Z124" s="107"/>
      <c r="AA124" s="107"/>
      <c r="AB124" s="107"/>
      <c r="AC124" s="106"/>
    </row>
    <row r="125" ht="30.75" customHeight="1">
      <c r="A125" s="62"/>
      <c r="B125" s="62"/>
      <c r="C125" s="62"/>
      <c r="D125" s="62"/>
      <c r="E125" s="62"/>
      <c r="F125" s="62"/>
      <c r="G125" s="63" t="s">
        <v>35</v>
      </c>
      <c r="H125" s="64">
        <v>1.0</v>
      </c>
      <c r="I125" s="47">
        <f t="shared" si="36"/>
        <v>220000</v>
      </c>
      <c r="J125" s="48">
        <f t="shared" si="24"/>
        <v>220000</v>
      </c>
      <c r="K125" s="62"/>
      <c r="L125" s="62"/>
      <c r="M125" s="62"/>
      <c r="N125" s="62"/>
      <c r="O125" s="62"/>
      <c r="P125" s="62"/>
      <c r="Q125" s="62"/>
      <c r="R125" s="62"/>
      <c r="S125" s="62"/>
      <c r="T125" s="62"/>
      <c r="U125" s="62"/>
      <c r="V125" s="62"/>
      <c r="W125" s="106"/>
      <c r="X125" s="150"/>
      <c r="Y125" s="151"/>
      <c r="Z125" s="107"/>
      <c r="AA125" s="107"/>
      <c r="AB125" s="107"/>
      <c r="AC125" s="106"/>
    </row>
    <row r="126" ht="30.75" customHeight="1">
      <c r="A126" s="67"/>
      <c r="B126" s="67"/>
      <c r="C126" s="67"/>
      <c r="D126" s="67"/>
      <c r="E126" s="67"/>
      <c r="F126" s="67"/>
      <c r="G126" s="63" t="s">
        <v>147</v>
      </c>
      <c r="H126" s="64">
        <v>1.0</v>
      </c>
      <c r="I126" s="47">
        <f t="shared" si="36"/>
        <v>80000</v>
      </c>
      <c r="J126" s="48">
        <f t="shared" si="24"/>
        <v>80000</v>
      </c>
      <c r="K126" s="67"/>
      <c r="L126" s="67"/>
      <c r="M126" s="67"/>
      <c r="N126" s="67"/>
      <c r="O126" s="67"/>
      <c r="P126" s="67"/>
      <c r="Q126" s="67"/>
      <c r="R126" s="67"/>
      <c r="S126" s="67"/>
      <c r="T126" s="67"/>
      <c r="U126" s="67"/>
      <c r="V126" s="67"/>
      <c r="W126" s="106"/>
      <c r="X126" s="150"/>
      <c r="Y126" s="151"/>
      <c r="Z126" s="107"/>
      <c r="AA126" s="107"/>
      <c r="AB126" s="107"/>
      <c r="AC126" s="106"/>
    </row>
    <row r="127" ht="30.75" customHeight="1">
      <c r="A127" s="69">
        <v>97.0</v>
      </c>
      <c r="B127" s="177">
        <v>45279.0</v>
      </c>
      <c r="C127" s="160" t="s">
        <v>329</v>
      </c>
      <c r="D127" s="163" t="s">
        <v>273</v>
      </c>
      <c r="E127" s="105" t="s">
        <v>330</v>
      </c>
      <c r="F127" s="155" t="s">
        <v>271</v>
      </c>
      <c r="G127" s="63" t="s">
        <v>35</v>
      </c>
      <c r="H127" s="64">
        <v>1.0</v>
      </c>
      <c r="I127" s="47">
        <f t="shared" si="36"/>
        <v>220000</v>
      </c>
      <c r="J127" s="48">
        <f t="shared" si="24"/>
        <v>220000</v>
      </c>
      <c r="K127" s="76">
        <f t="shared" ref="K127:K136" si="39">SUM(J127)</f>
        <v>220000</v>
      </c>
      <c r="L127" s="109"/>
      <c r="M127" s="78">
        <f t="shared" ref="M127:M130" si="40">K127*5%</f>
        <v>11000</v>
      </c>
      <c r="N127" s="79"/>
      <c r="O127" s="80">
        <f t="shared" ref="O127:O137" si="41">K127+L127-M127-N127</f>
        <v>209000</v>
      </c>
      <c r="P127" s="176"/>
      <c r="Q127" s="109"/>
      <c r="R127" s="91"/>
      <c r="S127" s="183"/>
      <c r="T127" s="65"/>
      <c r="U127" s="65"/>
      <c r="V127" s="92" t="s">
        <v>53</v>
      </c>
      <c r="W127" s="106"/>
      <c r="X127" s="150"/>
      <c r="Y127" s="151"/>
      <c r="Z127" s="107"/>
      <c r="AA127" s="107"/>
      <c r="AB127" s="107"/>
      <c r="AC127" s="106"/>
    </row>
    <row r="128" ht="30.75" customHeight="1">
      <c r="A128" s="69">
        <v>98.0</v>
      </c>
      <c r="B128" s="177">
        <v>45279.0</v>
      </c>
      <c r="C128" s="160" t="s">
        <v>331</v>
      </c>
      <c r="D128" s="163" t="s">
        <v>273</v>
      </c>
      <c r="E128" s="105" t="s">
        <v>332</v>
      </c>
      <c r="F128" s="155" t="s">
        <v>119</v>
      </c>
      <c r="G128" s="63" t="s">
        <v>30</v>
      </c>
      <c r="H128" s="64">
        <v>1.0</v>
      </c>
      <c r="I128" s="47">
        <f t="shared" si="36"/>
        <v>220000</v>
      </c>
      <c r="J128" s="48">
        <f t="shared" si="24"/>
        <v>220000</v>
      </c>
      <c r="K128" s="76">
        <f t="shared" si="39"/>
        <v>220000</v>
      </c>
      <c r="L128" s="109"/>
      <c r="M128" s="78">
        <f t="shared" si="40"/>
        <v>11000</v>
      </c>
      <c r="N128" s="79"/>
      <c r="O128" s="80">
        <f t="shared" si="41"/>
        <v>209000</v>
      </c>
      <c r="P128" s="176"/>
      <c r="Q128" s="109"/>
      <c r="R128" s="91"/>
      <c r="S128" s="183"/>
      <c r="T128" s="65"/>
      <c r="U128" s="65"/>
      <c r="V128" s="92" t="s">
        <v>53</v>
      </c>
      <c r="W128" s="106"/>
      <c r="X128" s="150"/>
      <c r="Y128" s="151"/>
      <c r="Z128" s="107"/>
      <c r="AA128" s="107"/>
      <c r="AB128" s="107"/>
      <c r="AC128" s="106"/>
    </row>
    <row r="129" ht="30.75" customHeight="1">
      <c r="A129" s="69">
        <v>99.0</v>
      </c>
      <c r="B129" s="177">
        <v>45279.0</v>
      </c>
      <c r="C129" s="160" t="s">
        <v>333</v>
      </c>
      <c r="D129" s="163" t="s">
        <v>273</v>
      </c>
      <c r="E129" s="105" t="s">
        <v>334</v>
      </c>
      <c r="F129" s="92" t="s">
        <v>104</v>
      </c>
      <c r="G129" s="63" t="s">
        <v>30</v>
      </c>
      <c r="H129" s="64">
        <v>2.0</v>
      </c>
      <c r="I129" s="47">
        <f t="shared" si="36"/>
        <v>220000</v>
      </c>
      <c r="J129" s="48">
        <f t="shared" si="24"/>
        <v>440000</v>
      </c>
      <c r="K129" s="76">
        <f t="shared" si="39"/>
        <v>440000</v>
      </c>
      <c r="L129" s="109"/>
      <c r="M129" s="78">
        <f t="shared" si="40"/>
        <v>22000</v>
      </c>
      <c r="N129" s="79"/>
      <c r="O129" s="80">
        <f t="shared" si="41"/>
        <v>418000</v>
      </c>
      <c r="P129" s="176"/>
      <c r="Q129" s="109"/>
      <c r="R129" s="91"/>
      <c r="S129" s="183"/>
      <c r="T129" s="65"/>
      <c r="U129" s="65"/>
      <c r="V129" s="92" t="s">
        <v>53</v>
      </c>
      <c r="W129" s="106"/>
      <c r="X129" s="150"/>
      <c r="Y129" s="151"/>
      <c r="Z129" s="107"/>
      <c r="AA129" s="107"/>
      <c r="AB129" s="107"/>
      <c r="AC129" s="106"/>
    </row>
    <row r="130" ht="30.75" customHeight="1">
      <c r="A130" s="69">
        <v>100.0</v>
      </c>
      <c r="B130" s="177">
        <v>45279.0</v>
      </c>
      <c r="C130" s="160" t="s">
        <v>335</v>
      </c>
      <c r="D130" s="163" t="s">
        <v>273</v>
      </c>
      <c r="E130" s="105" t="s">
        <v>336</v>
      </c>
      <c r="F130" s="155" t="s">
        <v>65</v>
      </c>
      <c r="G130" s="63" t="s">
        <v>30</v>
      </c>
      <c r="H130" s="64">
        <v>1.0</v>
      </c>
      <c r="I130" s="47">
        <f t="shared" si="36"/>
        <v>220000</v>
      </c>
      <c r="J130" s="48">
        <f t="shared" si="24"/>
        <v>220000</v>
      </c>
      <c r="K130" s="76">
        <f t="shared" si="39"/>
        <v>220000</v>
      </c>
      <c r="L130" s="109"/>
      <c r="M130" s="78">
        <f t="shared" si="40"/>
        <v>11000</v>
      </c>
      <c r="N130" s="79"/>
      <c r="O130" s="80">
        <f t="shared" si="41"/>
        <v>209000</v>
      </c>
      <c r="P130" s="176"/>
      <c r="Q130" s="109"/>
      <c r="R130" s="91"/>
      <c r="S130" s="183"/>
      <c r="T130" s="65"/>
      <c r="U130" s="65"/>
      <c r="V130" s="92" t="s">
        <v>53</v>
      </c>
      <c r="W130" s="106"/>
      <c r="X130" s="150"/>
      <c r="Y130" s="151"/>
      <c r="Z130" s="107"/>
      <c r="AA130" s="107"/>
      <c r="AB130" s="107"/>
      <c r="AC130" s="106"/>
    </row>
    <row r="131" ht="30.75" customHeight="1">
      <c r="A131" s="69">
        <v>101.0</v>
      </c>
      <c r="B131" s="188">
        <v>45280.0</v>
      </c>
      <c r="C131" s="104">
        <v>1.726730996913E12</v>
      </c>
      <c r="D131" s="189" t="s">
        <v>337</v>
      </c>
      <c r="E131" s="105" t="s">
        <v>338</v>
      </c>
      <c r="F131" s="92" t="s">
        <v>339</v>
      </c>
      <c r="G131" s="63" t="s">
        <v>325</v>
      </c>
      <c r="H131" s="64">
        <v>1.0</v>
      </c>
      <c r="I131" s="47">
        <f t="shared" si="36"/>
        <v>160000</v>
      </c>
      <c r="J131" s="48">
        <f t="shared" si="24"/>
        <v>160000</v>
      </c>
      <c r="K131" s="76">
        <f t="shared" si="39"/>
        <v>160000</v>
      </c>
      <c r="L131" s="108">
        <v>39001.0</v>
      </c>
      <c r="M131" s="78"/>
      <c r="N131" s="115">
        <v>19001.0</v>
      </c>
      <c r="O131" s="80">
        <f t="shared" si="41"/>
        <v>180000</v>
      </c>
      <c r="P131" s="81" t="s">
        <v>31</v>
      </c>
      <c r="Q131" s="109"/>
      <c r="R131" s="91"/>
      <c r="S131" s="84" t="s">
        <v>33</v>
      </c>
      <c r="T131" s="65"/>
      <c r="U131" s="65"/>
      <c r="V131" s="122"/>
      <c r="W131" s="106"/>
      <c r="X131" s="150"/>
      <c r="Y131" s="151"/>
      <c r="Z131" s="107"/>
      <c r="AA131" s="107"/>
      <c r="AB131" s="107"/>
      <c r="AC131" s="106"/>
    </row>
    <row r="132" ht="30.75" customHeight="1">
      <c r="A132" s="69">
        <v>102.0</v>
      </c>
      <c r="B132" s="177">
        <v>45281.0</v>
      </c>
      <c r="C132" s="160" t="s">
        <v>340</v>
      </c>
      <c r="D132" s="163" t="s">
        <v>50</v>
      </c>
      <c r="E132" s="105" t="s">
        <v>341</v>
      </c>
      <c r="F132" s="92" t="s">
        <v>74</v>
      </c>
      <c r="G132" s="63" t="s">
        <v>35</v>
      </c>
      <c r="H132" s="64">
        <v>2.0</v>
      </c>
      <c r="I132" s="47">
        <f t="shared" si="36"/>
        <v>220000</v>
      </c>
      <c r="J132" s="48">
        <f t="shared" si="24"/>
        <v>440000</v>
      </c>
      <c r="K132" s="76">
        <f t="shared" si="39"/>
        <v>440000</v>
      </c>
      <c r="L132" s="109"/>
      <c r="M132" s="78">
        <f>K132*5%</f>
        <v>22000</v>
      </c>
      <c r="N132" s="79"/>
      <c r="O132" s="80">
        <f t="shared" si="41"/>
        <v>418000</v>
      </c>
      <c r="P132" s="176"/>
      <c r="Q132" s="109"/>
      <c r="R132" s="91"/>
      <c r="S132" s="183"/>
      <c r="T132" s="65"/>
      <c r="U132" s="65"/>
      <c r="V132" s="92" t="s">
        <v>53</v>
      </c>
      <c r="W132" s="106"/>
      <c r="X132" s="150"/>
      <c r="Y132" s="151"/>
      <c r="Z132" s="107"/>
      <c r="AA132" s="107"/>
      <c r="AB132" s="107"/>
      <c r="AC132" s="106"/>
    </row>
    <row r="133" ht="30.75" customHeight="1">
      <c r="A133" s="69">
        <v>103.0</v>
      </c>
      <c r="B133" s="188">
        <v>45281.0</v>
      </c>
      <c r="C133" s="104">
        <v>1.725778197943E12</v>
      </c>
      <c r="D133" s="189" t="s">
        <v>275</v>
      </c>
      <c r="E133" s="105" t="s">
        <v>276</v>
      </c>
      <c r="F133" s="92" t="s">
        <v>342</v>
      </c>
      <c r="G133" s="63" t="s">
        <v>325</v>
      </c>
      <c r="H133" s="64">
        <v>10.0</v>
      </c>
      <c r="I133" s="47">
        <f t="shared" si="36"/>
        <v>160000</v>
      </c>
      <c r="J133" s="48">
        <f t="shared" si="24"/>
        <v>1600000</v>
      </c>
      <c r="K133" s="76">
        <f t="shared" si="39"/>
        <v>1600000</v>
      </c>
      <c r="L133" s="109"/>
      <c r="M133" s="78"/>
      <c r="N133" s="79"/>
      <c r="O133" s="80">
        <f t="shared" si="41"/>
        <v>1600000</v>
      </c>
      <c r="P133" s="81" t="s">
        <v>31</v>
      </c>
      <c r="Q133" s="108">
        <v>169011.0</v>
      </c>
      <c r="R133" s="83" t="s">
        <v>32</v>
      </c>
      <c r="S133" s="84" t="s">
        <v>33</v>
      </c>
      <c r="T133" s="65"/>
      <c r="U133" s="65"/>
      <c r="V133" s="122"/>
      <c r="W133" s="106"/>
      <c r="X133" s="150"/>
      <c r="Y133" s="151"/>
      <c r="Z133" s="107"/>
      <c r="AA133" s="107"/>
      <c r="AB133" s="107"/>
      <c r="AC133" s="106"/>
    </row>
    <row r="134" ht="30.75" customHeight="1">
      <c r="A134" s="69">
        <v>104.0</v>
      </c>
      <c r="B134" s="177">
        <v>45282.0</v>
      </c>
      <c r="C134" s="160" t="s">
        <v>343</v>
      </c>
      <c r="D134" s="163" t="s">
        <v>50</v>
      </c>
      <c r="E134" s="105" t="s">
        <v>344</v>
      </c>
      <c r="F134" s="92" t="s">
        <v>84</v>
      </c>
      <c r="G134" s="63" t="s">
        <v>30</v>
      </c>
      <c r="H134" s="64">
        <v>1.0</v>
      </c>
      <c r="I134" s="47">
        <f t="shared" si="36"/>
        <v>220000</v>
      </c>
      <c r="J134" s="48">
        <f t="shared" si="24"/>
        <v>220000</v>
      </c>
      <c r="K134" s="76">
        <f t="shared" si="39"/>
        <v>220000</v>
      </c>
      <c r="L134" s="109"/>
      <c r="M134" s="78">
        <f>K134*5%</f>
        <v>11000</v>
      </c>
      <c r="N134" s="79"/>
      <c r="O134" s="80">
        <f t="shared" si="41"/>
        <v>209000</v>
      </c>
      <c r="P134" s="176"/>
      <c r="Q134" s="109"/>
      <c r="R134" s="91"/>
      <c r="S134" s="183"/>
      <c r="T134" s="65"/>
      <c r="U134" s="65"/>
      <c r="V134" s="92" t="s">
        <v>53</v>
      </c>
      <c r="W134" s="106"/>
      <c r="X134" s="150"/>
      <c r="Y134" s="151"/>
      <c r="Z134" s="107"/>
      <c r="AA134" s="107"/>
      <c r="AB134" s="107"/>
      <c r="AC134" s="106"/>
    </row>
    <row r="135" ht="30.75" customHeight="1">
      <c r="A135" s="64">
        <v>105.0</v>
      </c>
      <c r="B135" s="103">
        <v>45282.0</v>
      </c>
      <c r="C135" s="93">
        <v>1.725433825901E12</v>
      </c>
      <c r="D135" s="155" t="s">
        <v>345</v>
      </c>
      <c r="E135" s="105" t="s">
        <v>346</v>
      </c>
      <c r="F135" s="192" t="s">
        <v>347</v>
      </c>
      <c r="G135" s="63" t="s">
        <v>30</v>
      </c>
      <c r="H135" s="64">
        <v>10.0</v>
      </c>
      <c r="I135" s="47">
        <f t="shared" si="36"/>
        <v>220000</v>
      </c>
      <c r="J135" s="48">
        <f t="shared" si="24"/>
        <v>2200000</v>
      </c>
      <c r="K135" s="76">
        <f t="shared" si="39"/>
        <v>2200000</v>
      </c>
      <c r="L135" s="109"/>
      <c r="M135" s="78"/>
      <c r="N135" s="79"/>
      <c r="O135" s="80">
        <f t="shared" si="41"/>
        <v>2200000</v>
      </c>
      <c r="P135" s="176"/>
      <c r="Q135" s="108">
        <v>78004.0</v>
      </c>
      <c r="R135" s="83" t="s">
        <v>32</v>
      </c>
      <c r="S135" s="183"/>
      <c r="T135" s="65"/>
      <c r="U135" s="65"/>
      <c r="V135" s="122"/>
      <c r="W135" s="106"/>
      <c r="X135" s="150"/>
      <c r="Y135" s="151"/>
      <c r="Z135" s="107"/>
      <c r="AA135" s="107"/>
      <c r="AB135" s="107"/>
      <c r="AC135" s="106"/>
    </row>
    <row r="136" ht="30.75" customHeight="1">
      <c r="A136" s="64">
        <v>106.0</v>
      </c>
      <c r="B136" s="103">
        <v>45282.0</v>
      </c>
      <c r="C136" s="93">
        <v>1.725498901903E12</v>
      </c>
      <c r="D136" s="155" t="s">
        <v>348</v>
      </c>
      <c r="E136" s="105" t="s">
        <v>349</v>
      </c>
      <c r="F136" s="92" t="s">
        <v>350</v>
      </c>
      <c r="G136" s="63" t="s">
        <v>35</v>
      </c>
      <c r="H136" s="64">
        <v>10.0</v>
      </c>
      <c r="I136" s="47">
        <f t="shared" si="36"/>
        <v>220000</v>
      </c>
      <c r="J136" s="48">
        <f t="shared" si="24"/>
        <v>2200000</v>
      </c>
      <c r="K136" s="76">
        <f t="shared" si="39"/>
        <v>2200000</v>
      </c>
      <c r="L136" s="109"/>
      <c r="M136" s="78"/>
      <c r="N136" s="79"/>
      <c r="O136" s="80">
        <f t="shared" si="41"/>
        <v>2200000</v>
      </c>
      <c r="P136" s="176"/>
      <c r="Q136" s="108">
        <v>78004.0</v>
      </c>
      <c r="R136" s="83" t="s">
        <v>32</v>
      </c>
      <c r="S136" s="183"/>
      <c r="T136" s="65"/>
      <c r="U136" s="65"/>
      <c r="V136" s="122"/>
      <c r="W136" s="106"/>
      <c r="X136" s="150"/>
      <c r="Y136" s="151"/>
      <c r="Z136" s="107"/>
      <c r="AA136" s="107"/>
      <c r="AB136" s="107"/>
      <c r="AC136" s="106"/>
    </row>
    <row r="137" ht="30.75" customHeight="1">
      <c r="A137" s="39">
        <v>107.0</v>
      </c>
      <c r="B137" s="112">
        <v>45282.0</v>
      </c>
      <c r="C137" s="39">
        <v>1.725591615743E12</v>
      </c>
      <c r="D137" s="126" t="s">
        <v>351</v>
      </c>
      <c r="E137" s="143" t="s">
        <v>352</v>
      </c>
      <c r="F137" s="142" t="s">
        <v>353</v>
      </c>
      <c r="G137" s="63" t="s">
        <v>30</v>
      </c>
      <c r="H137" s="64">
        <v>5.0</v>
      </c>
      <c r="I137" s="47">
        <f t="shared" si="36"/>
        <v>220000</v>
      </c>
      <c r="J137" s="48">
        <f t="shared" si="24"/>
        <v>1100000</v>
      </c>
      <c r="K137" s="49">
        <f>sum(J137:J138)</f>
        <v>2200000</v>
      </c>
      <c r="L137" s="144"/>
      <c r="M137" s="51"/>
      <c r="N137" s="52"/>
      <c r="O137" s="53">
        <f t="shared" si="41"/>
        <v>2200000</v>
      </c>
      <c r="P137" s="99" t="s">
        <v>31</v>
      </c>
      <c r="Q137" s="145">
        <v>78004.0</v>
      </c>
      <c r="R137" s="56" t="s">
        <v>32</v>
      </c>
      <c r="S137" s="57" t="s">
        <v>33</v>
      </c>
      <c r="T137" s="146"/>
      <c r="U137" s="146"/>
      <c r="V137" s="147"/>
      <c r="W137" s="106"/>
      <c r="X137" s="150"/>
      <c r="Y137" s="151"/>
      <c r="Z137" s="107"/>
      <c r="AA137" s="107"/>
      <c r="AB137" s="107"/>
      <c r="AC137" s="106"/>
    </row>
    <row r="138" ht="30.75" customHeight="1">
      <c r="A138" s="67"/>
      <c r="B138" s="67"/>
      <c r="C138" s="67"/>
      <c r="D138" s="67"/>
      <c r="E138" s="67"/>
      <c r="F138" s="67"/>
      <c r="G138" s="63" t="s">
        <v>165</v>
      </c>
      <c r="H138" s="64">
        <v>5.0</v>
      </c>
      <c r="I138" s="47">
        <f t="shared" si="36"/>
        <v>220000</v>
      </c>
      <c r="J138" s="48">
        <f t="shared" si="24"/>
        <v>1100000</v>
      </c>
      <c r="K138" s="67"/>
      <c r="L138" s="67"/>
      <c r="M138" s="67"/>
      <c r="N138" s="67"/>
      <c r="O138" s="67"/>
      <c r="P138" s="67"/>
      <c r="Q138" s="67"/>
      <c r="R138" s="67"/>
      <c r="S138" s="67"/>
      <c r="T138" s="67"/>
      <c r="U138" s="67"/>
      <c r="V138" s="67"/>
      <c r="W138" s="106"/>
      <c r="X138" s="150"/>
      <c r="Y138" s="151"/>
      <c r="Z138" s="107"/>
      <c r="AA138" s="107"/>
      <c r="AB138" s="107"/>
      <c r="AC138" s="106"/>
    </row>
    <row r="139" ht="30.75" customHeight="1">
      <c r="A139" s="64">
        <v>108.0</v>
      </c>
      <c r="B139" s="103">
        <v>45282.0</v>
      </c>
      <c r="C139" s="181" t="s">
        <v>354</v>
      </c>
      <c r="D139" s="182" t="s">
        <v>355</v>
      </c>
      <c r="E139" s="105" t="s">
        <v>356</v>
      </c>
      <c r="F139" s="92" t="s">
        <v>119</v>
      </c>
      <c r="G139" s="63" t="s">
        <v>30</v>
      </c>
      <c r="H139" s="64">
        <v>2.0</v>
      </c>
      <c r="I139" s="47">
        <f t="shared" si="36"/>
        <v>220000</v>
      </c>
      <c r="J139" s="48">
        <f t="shared" si="24"/>
        <v>440000</v>
      </c>
      <c r="K139" s="76">
        <f t="shared" ref="K139:K144" si="42">SUM(J139)</f>
        <v>440000</v>
      </c>
      <c r="L139" s="109"/>
      <c r="M139" s="78"/>
      <c r="N139" s="79"/>
      <c r="O139" s="80">
        <f t="shared" ref="O139:O145" si="43">K139+L139-M139-N139</f>
        <v>440000</v>
      </c>
      <c r="P139" s="176"/>
      <c r="Q139" s="109"/>
      <c r="R139" s="91"/>
      <c r="S139" s="183"/>
      <c r="T139" s="65"/>
      <c r="U139" s="65"/>
      <c r="V139" s="92" t="s">
        <v>120</v>
      </c>
      <c r="W139" s="106"/>
      <c r="X139" s="150"/>
      <c r="Y139" s="151"/>
      <c r="Z139" s="107"/>
      <c r="AA139" s="107"/>
      <c r="AB139" s="107"/>
      <c r="AC139" s="106"/>
    </row>
    <row r="140" ht="42.75" customHeight="1">
      <c r="A140" s="64">
        <v>109.0</v>
      </c>
      <c r="B140" s="103">
        <v>45282.0</v>
      </c>
      <c r="C140" s="93">
        <v>1.725658767995E12</v>
      </c>
      <c r="D140" s="155" t="s">
        <v>357</v>
      </c>
      <c r="E140" s="105" t="s">
        <v>358</v>
      </c>
      <c r="F140" s="121" t="s">
        <v>359</v>
      </c>
      <c r="G140" s="72" t="s">
        <v>42</v>
      </c>
      <c r="H140" s="73">
        <v>2.0</v>
      </c>
      <c r="I140" s="74">
        <f t="shared" si="36"/>
        <v>75000</v>
      </c>
      <c r="J140" s="75">
        <f t="shared" si="24"/>
        <v>150000</v>
      </c>
      <c r="K140" s="76">
        <f t="shared" si="42"/>
        <v>150000</v>
      </c>
      <c r="L140" s="109"/>
      <c r="M140" s="78"/>
      <c r="N140" s="79"/>
      <c r="O140" s="80">
        <f t="shared" si="43"/>
        <v>150000</v>
      </c>
      <c r="P140" s="81" t="s">
        <v>31</v>
      </c>
      <c r="Q140" s="108">
        <v>52615.0</v>
      </c>
      <c r="R140" s="83" t="s">
        <v>32</v>
      </c>
      <c r="S140" s="183"/>
      <c r="T140" s="93" t="s">
        <v>174</v>
      </c>
      <c r="U140" s="93">
        <v>3.0</v>
      </c>
      <c r="V140" s="92" t="s">
        <v>360</v>
      </c>
      <c r="W140" s="106"/>
      <c r="X140" s="150"/>
      <c r="Y140" s="151"/>
      <c r="Z140" s="107"/>
      <c r="AA140" s="107"/>
      <c r="AB140" s="107"/>
      <c r="AC140" s="106"/>
    </row>
    <row r="141" ht="30.75" customHeight="1">
      <c r="A141" s="64">
        <v>110.0</v>
      </c>
      <c r="B141" s="103">
        <v>45282.0</v>
      </c>
      <c r="C141" s="105" t="s">
        <v>361</v>
      </c>
      <c r="D141" s="155" t="s">
        <v>242</v>
      </c>
      <c r="E141" s="105" t="s">
        <v>243</v>
      </c>
      <c r="F141" s="92" t="s">
        <v>362</v>
      </c>
      <c r="G141" s="63" t="s">
        <v>30</v>
      </c>
      <c r="H141" s="64">
        <v>15.0</v>
      </c>
      <c r="I141" s="47">
        <f t="shared" si="36"/>
        <v>220000</v>
      </c>
      <c r="J141" s="48">
        <f t="shared" si="24"/>
        <v>3300000</v>
      </c>
      <c r="K141" s="76">
        <f t="shared" si="42"/>
        <v>3300000</v>
      </c>
      <c r="L141" s="109"/>
      <c r="M141" s="78"/>
      <c r="N141" s="79"/>
      <c r="O141" s="80">
        <f t="shared" si="43"/>
        <v>3300000</v>
      </c>
      <c r="P141" s="176"/>
      <c r="Q141" s="108">
        <v>148381.0</v>
      </c>
      <c r="R141" s="83" t="s">
        <v>32</v>
      </c>
      <c r="S141" s="183"/>
      <c r="T141" s="65"/>
      <c r="U141" s="65"/>
      <c r="V141" s="122"/>
      <c r="W141" s="106"/>
      <c r="X141" s="150"/>
      <c r="Y141" s="151"/>
      <c r="Z141" s="107"/>
      <c r="AA141" s="107"/>
      <c r="AB141" s="107"/>
      <c r="AC141" s="106"/>
    </row>
    <row r="142" ht="36.75" customHeight="1">
      <c r="A142" s="64">
        <v>111.0</v>
      </c>
      <c r="B142" s="103">
        <v>45282.0</v>
      </c>
      <c r="C142" s="93">
        <v>1.737767996705E12</v>
      </c>
      <c r="D142" s="155" t="s">
        <v>363</v>
      </c>
      <c r="E142" s="105" t="s">
        <v>364</v>
      </c>
      <c r="F142" s="121" t="s">
        <v>365</v>
      </c>
      <c r="G142" s="63" t="s">
        <v>30</v>
      </c>
      <c r="H142" s="64">
        <v>90.0</v>
      </c>
      <c r="I142" s="47">
        <f t="shared" si="36"/>
        <v>220000</v>
      </c>
      <c r="J142" s="48">
        <f t="shared" si="24"/>
        <v>19800000</v>
      </c>
      <c r="K142" s="76">
        <f t="shared" si="42"/>
        <v>19800000</v>
      </c>
      <c r="L142" s="109"/>
      <c r="M142" s="78"/>
      <c r="N142" s="79"/>
      <c r="O142" s="80">
        <f t="shared" si="43"/>
        <v>19800000</v>
      </c>
      <c r="P142" s="81" t="s">
        <v>31</v>
      </c>
      <c r="Q142" s="108">
        <v>517384.0</v>
      </c>
      <c r="R142" s="83" t="s">
        <v>32</v>
      </c>
      <c r="S142" s="84" t="s">
        <v>33</v>
      </c>
      <c r="T142" s="65"/>
      <c r="U142" s="65"/>
      <c r="V142" s="122"/>
      <c r="W142" s="106"/>
      <c r="X142" s="150"/>
      <c r="Y142" s="151"/>
      <c r="Z142" s="107"/>
      <c r="AA142" s="107"/>
      <c r="AB142" s="107"/>
      <c r="AC142" s="106"/>
    </row>
    <row r="143" ht="52.5" customHeight="1">
      <c r="A143" s="64">
        <v>112.0</v>
      </c>
      <c r="B143" s="103">
        <v>45283.0</v>
      </c>
      <c r="C143" s="93">
        <v>1.724361255104E12</v>
      </c>
      <c r="D143" s="155" t="s">
        <v>366</v>
      </c>
      <c r="E143" s="105" t="s">
        <v>367</v>
      </c>
      <c r="F143" s="121" t="s">
        <v>368</v>
      </c>
      <c r="G143" s="63" t="s">
        <v>35</v>
      </c>
      <c r="H143" s="64">
        <v>1.0</v>
      </c>
      <c r="I143" s="47">
        <f t="shared" si="36"/>
        <v>220000</v>
      </c>
      <c r="J143" s="48">
        <f t="shared" si="24"/>
        <v>220000</v>
      </c>
      <c r="K143" s="76">
        <f t="shared" si="42"/>
        <v>220000</v>
      </c>
      <c r="L143" s="108">
        <v>33000.0</v>
      </c>
      <c r="M143" s="78"/>
      <c r="N143" s="79">
        <f>13000</f>
        <v>13000</v>
      </c>
      <c r="O143" s="80">
        <f t="shared" si="43"/>
        <v>240000</v>
      </c>
      <c r="P143" s="81" t="s">
        <v>31</v>
      </c>
      <c r="Q143" s="109"/>
      <c r="R143" s="91"/>
      <c r="S143" s="84" t="s">
        <v>33</v>
      </c>
      <c r="T143" s="65"/>
      <c r="U143" s="65"/>
      <c r="V143" s="122"/>
      <c r="W143" s="106"/>
      <c r="X143" s="150"/>
      <c r="Y143" s="151"/>
      <c r="Z143" s="107"/>
      <c r="AA143" s="107"/>
      <c r="AB143" s="107"/>
      <c r="AC143" s="106"/>
    </row>
    <row r="144" ht="34.5" customHeight="1">
      <c r="A144" s="64">
        <v>113.0</v>
      </c>
      <c r="B144" s="103">
        <v>45283.0</v>
      </c>
      <c r="C144" s="93">
        <v>1.724439938701E12</v>
      </c>
      <c r="D144" s="155" t="s">
        <v>369</v>
      </c>
      <c r="E144" s="105" t="s">
        <v>370</v>
      </c>
      <c r="F144" s="121" t="s">
        <v>371</v>
      </c>
      <c r="G144" s="63" t="s">
        <v>30</v>
      </c>
      <c r="H144" s="64">
        <v>1.0</v>
      </c>
      <c r="I144" s="47">
        <f t="shared" si="36"/>
        <v>220000</v>
      </c>
      <c r="J144" s="48">
        <f t="shared" si="24"/>
        <v>220000</v>
      </c>
      <c r="K144" s="76">
        <f t="shared" si="42"/>
        <v>220000</v>
      </c>
      <c r="L144" s="108">
        <v>40001.0</v>
      </c>
      <c r="M144" s="78"/>
      <c r="N144" s="79">
        <f>20001</f>
        <v>20001</v>
      </c>
      <c r="O144" s="80">
        <f t="shared" si="43"/>
        <v>240000</v>
      </c>
      <c r="P144" s="176"/>
      <c r="Q144" s="109"/>
      <c r="R144" s="91"/>
      <c r="S144" s="183"/>
      <c r="T144" s="65"/>
      <c r="U144" s="65"/>
      <c r="V144" s="122"/>
      <c r="W144" s="106"/>
      <c r="X144" s="150"/>
      <c r="Y144" s="151"/>
      <c r="Z144" s="107"/>
      <c r="AA144" s="107"/>
      <c r="AB144" s="107"/>
      <c r="AC144" s="106"/>
    </row>
    <row r="145" ht="30.75" customHeight="1">
      <c r="A145" s="39">
        <v>114.0</v>
      </c>
      <c r="B145" s="193">
        <v>45283.0</v>
      </c>
      <c r="C145" s="194" t="s">
        <v>372</v>
      </c>
      <c r="D145" s="195" t="s">
        <v>50</v>
      </c>
      <c r="E145" s="143" t="s">
        <v>373</v>
      </c>
      <c r="F145" s="142" t="s">
        <v>70</v>
      </c>
      <c r="G145" s="63" t="s">
        <v>30</v>
      </c>
      <c r="H145" s="64">
        <v>1.0</v>
      </c>
      <c r="I145" s="47">
        <f t="shared" si="36"/>
        <v>220000</v>
      </c>
      <c r="J145" s="48">
        <f t="shared" si="24"/>
        <v>220000</v>
      </c>
      <c r="K145" s="49">
        <f>sum(J145:J146)</f>
        <v>440000</v>
      </c>
      <c r="L145" s="144"/>
      <c r="M145" s="51">
        <f>K145*5%</f>
        <v>22000</v>
      </c>
      <c r="N145" s="52"/>
      <c r="O145" s="53">
        <f t="shared" si="43"/>
        <v>418000</v>
      </c>
      <c r="P145" s="196"/>
      <c r="Q145" s="144"/>
      <c r="R145" s="119"/>
      <c r="S145" s="197"/>
      <c r="T145" s="146"/>
      <c r="U145" s="146"/>
      <c r="V145" s="142" t="s">
        <v>53</v>
      </c>
      <c r="W145" s="106"/>
      <c r="X145" s="150"/>
      <c r="Y145" s="151"/>
      <c r="Z145" s="107"/>
      <c r="AA145" s="107"/>
      <c r="AB145" s="107"/>
      <c r="AC145" s="106"/>
    </row>
    <row r="146" ht="30.75" customHeight="1">
      <c r="A146" s="67"/>
      <c r="B146" s="67"/>
      <c r="C146" s="67"/>
      <c r="D146" s="67"/>
      <c r="E146" s="67"/>
      <c r="F146" s="67"/>
      <c r="G146" s="63" t="s">
        <v>35</v>
      </c>
      <c r="H146" s="64">
        <v>1.0</v>
      </c>
      <c r="I146" s="47">
        <f t="shared" si="36"/>
        <v>220000</v>
      </c>
      <c r="J146" s="48">
        <f t="shared" si="24"/>
        <v>220000</v>
      </c>
      <c r="K146" s="67"/>
      <c r="L146" s="67"/>
      <c r="M146" s="67"/>
      <c r="N146" s="67"/>
      <c r="O146" s="67"/>
      <c r="P146" s="67"/>
      <c r="Q146" s="67"/>
      <c r="R146" s="67"/>
      <c r="S146" s="67"/>
      <c r="T146" s="67"/>
      <c r="U146" s="67"/>
      <c r="V146" s="67"/>
      <c r="W146" s="106"/>
      <c r="X146" s="150"/>
      <c r="Y146" s="151"/>
      <c r="Z146" s="107"/>
      <c r="AA146" s="107"/>
      <c r="AB146" s="107"/>
      <c r="AC146" s="106"/>
    </row>
    <row r="147" ht="30.75" customHeight="1">
      <c r="A147" s="64">
        <v>115.0</v>
      </c>
      <c r="B147" s="188">
        <v>45285.0</v>
      </c>
      <c r="C147" s="104">
        <v>1.727090818686E12</v>
      </c>
      <c r="D147" s="189" t="s">
        <v>374</v>
      </c>
      <c r="E147" s="105" t="s">
        <v>375</v>
      </c>
      <c r="F147" s="92" t="s">
        <v>376</v>
      </c>
      <c r="G147" s="63" t="s">
        <v>30</v>
      </c>
      <c r="H147" s="64">
        <v>5.0</v>
      </c>
      <c r="I147" s="47">
        <f t="shared" si="36"/>
        <v>220000</v>
      </c>
      <c r="J147" s="48">
        <f t="shared" si="24"/>
        <v>1100000</v>
      </c>
      <c r="K147" s="76">
        <f t="shared" ref="K147:K148" si="44">SUM(J147)</f>
        <v>1100000</v>
      </c>
      <c r="L147" s="109"/>
      <c r="M147" s="78"/>
      <c r="N147" s="79"/>
      <c r="O147" s="80">
        <f t="shared" ref="O147:O149" si="45">K147+L147-M147-N147</f>
        <v>1100000</v>
      </c>
      <c r="P147" s="176"/>
      <c r="Q147" s="109"/>
      <c r="R147" s="83" t="s">
        <v>32</v>
      </c>
      <c r="S147" s="183"/>
      <c r="T147" s="65"/>
      <c r="U147" s="65"/>
      <c r="V147" s="122"/>
      <c r="W147" s="106"/>
      <c r="X147" s="150"/>
      <c r="Y147" s="151"/>
      <c r="Z147" s="107"/>
      <c r="AA147" s="107"/>
      <c r="AB147" s="107"/>
      <c r="AC147" s="106"/>
    </row>
    <row r="148" ht="30.75" customHeight="1">
      <c r="A148" s="64">
        <v>116.0</v>
      </c>
      <c r="B148" s="177">
        <v>45285.0</v>
      </c>
      <c r="C148" s="160" t="s">
        <v>377</v>
      </c>
      <c r="D148" s="163" t="s">
        <v>273</v>
      </c>
      <c r="E148" s="105" t="s">
        <v>378</v>
      </c>
      <c r="F148" s="92" t="s">
        <v>104</v>
      </c>
      <c r="G148" s="63" t="s">
        <v>30</v>
      </c>
      <c r="H148" s="64">
        <v>1.0</v>
      </c>
      <c r="I148" s="47">
        <f t="shared" si="36"/>
        <v>220000</v>
      </c>
      <c r="J148" s="48">
        <f t="shared" si="24"/>
        <v>220000</v>
      </c>
      <c r="K148" s="76">
        <f t="shared" si="44"/>
        <v>220000</v>
      </c>
      <c r="L148" s="109"/>
      <c r="M148" s="78">
        <f>K148*5%</f>
        <v>11000</v>
      </c>
      <c r="N148" s="79"/>
      <c r="O148" s="80">
        <f t="shared" si="45"/>
        <v>209000</v>
      </c>
      <c r="P148" s="176"/>
      <c r="Q148" s="109"/>
      <c r="R148" s="91"/>
      <c r="S148" s="183"/>
      <c r="T148" s="65"/>
      <c r="U148" s="65"/>
      <c r="V148" s="92" t="s">
        <v>53</v>
      </c>
      <c r="W148" s="106"/>
      <c r="X148" s="150"/>
      <c r="Y148" s="151"/>
      <c r="Z148" s="107"/>
      <c r="AA148" s="107"/>
      <c r="AB148" s="107"/>
      <c r="AC148" s="106"/>
    </row>
    <row r="149" ht="30.75" customHeight="1">
      <c r="A149" s="39">
        <v>117.0</v>
      </c>
      <c r="B149" s="112">
        <v>45285.0</v>
      </c>
      <c r="C149" s="39">
        <v>1.727007744799E12</v>
      </c>
      <c r="D149" s="126" t="s">
        <v>379</v>
      </c>
      <c r="E149" s="175" t="s">
        <v>380</v>
      </c>
      <c r="F149" s="126" t="s">
        <v>381</v>
      </c>
      <c r="G149" s="63" t="s">
        <v>30</v>
      </c>
      <c r="H149" s="64">
        <v>2.0</v>
      </c>
      <c r="I149" s="47">
        <f t="shared" si="36"/>
        <v>220000</v>
      </c>
      <c r="J149" s="48">
        <f t="shared" si="24"/>
        <v>440000</v>
      </c>
      <c r="K149" s="49">
        <f>SUM(J149:J153)</f>
        <v>1960000</v>
      </c>
      <c r="L149" s="144"/>
      <c r="M149" s="51"/>
      <c r="N149" s="52"/>
      <c r="O149" s="53">
        <f t="shared" si="45"/>
        <v>1960000</v>
      </c>
      <c r="P149" s="196"/>
      <c r="Q149" s="145">
        <v>85005.0</v>
      </c>
      <c r="R149" s="56" t="s">
        <v>32</v>
      </c>
      <c r="S149" s="197"/>
      <c r="T149" s="146"/>
      <c r="U149" s="146"/>
      <c r="V149" s="146"/>
      <c r="W149" s="106"/>
      <c r="X149" s="150"/>
      <c r="Y149" s="151"/>
      <c r="Z149" s="107"/>
      <c r="AA149" s="107"/>
      <c r="AB149" s="107"/>
      <c r="AC149" s="106"/>
    </row>
    <row r="150" ht="30.75" customHeight="1">
      <c r="A150" s="62"/>
      <c r="B150" s="62"/>
      <c r="C150" s="62"/>
      <c r="D150" s="62"/>
      <c r="E150" s="62"/>
      <c r="F150" s="62"/>
      <c r="G150" s="63" t="s">
        <v>37</v>
      </c>
      <c r="H150" s="64">
        <v>2.0</v>
      </c>
      <c r="I150" s="47">
        <f t="shared" si="36"/>
        <v>220000</v>
      </c>
      <c r="J150" s="48">
        <f t="shared" si="24"/>
        <v>440000</v>
      </c>
      <c r="K150" s="62"/>
      <c r="L150" s="62"/>
      <c r="M150" s="62"/>
      <c r="N150" s="62"/>
      <c r="O150" s="62"/>
      <c r="P150" s="62"/>
      <c r="Q150" s="62"/>
      <c r="R150" s="62"/>
      <c r="S150" s="62"/>
      <c r="T150" s="62"/>
      <c r="U150" s="62"/>
      <c r="V150" s="62"/>
      <c r="W150" s="106"/>
      <c r="X150" s="150"/>
      <c r="Y150" s="151"/>
      <c r="Z150" s="107"/>
      <c r="AA150" s="107"/>
      <c r="AB150" s="107"/>
      <c r="AC150" s="106"/>
    </row>
    <row r="151" ht="30.75" customHeight="1">
      <c r="A151" s="62"/>
      <c r="B151" s="62"/>
      <c r="C151" s="62"/>
      <c r="D151" s="62"/>
      <c r="E151" s="62"/>
      <c r="F151" s="62"/>
      <c r="G151" s="63" t="s">
        <v>382</v>
      </c>
      <c r="H151" s="64">
        <v>3.0</v>
      </c>
      <c r="I151" s="47">
        <f t="shared" si="36"/>
        <v>220000</v>
      </c>
      <c r="J151" s="48">
        <f t="shared" si="24"/>
        <v>660000</v>
      </c>
      <c r="K151" s="62"/>
      <c r="L151" s="62"/>
      <c r="M151" s="62"/>
      <c r="N151" s="62"/>
      <c r="O151" s="62"/>
      <c r="P151" s="62"/>
      <c r="Q151" s="62"/>
      <c r="R151" s="62"/>
      <c r="S151" s="62"/>
      <c r="T151" s="62"/>
      <c r="U151" s="62"/>
      <c r="V151" s="62"/>
      <c r="W151" s="106"/>
      <c r="X151" s="150"/>
      <c r="Y151" s="151"/>
      <c r="Z151" s="107"/>
      <c r="AA151" s="107"/>
      <c r="AB151" s="107"/>
      <c r="AC151" s="106"/>
    </row>
    <row r="152" ht="30.75" customHeight="1">
      <c r="A152" s="62"/>
      <c r="B152" s="62"/>
      <c r="C152" s="62"/>
      <c r="D152" s="62"/>
      <c r="E152" s="62"/>
      <c r="F152" s="62"/>
      <c r="G152" s="63" t="s">
        <v>383</v>
      </c>
      <c r="H152" s="64">
        <v>3.0</v>
      </c>
      <c r="I152" s="47">
        <f t="shared" si="36"/>
        <v>80000</v>
      </c>
      <c r="J152" s="48">
        <f t="shared" si="24"/>
        <v>240000</v>
      </c>
      <c r="K152" s="62"/>
      <c r="L152" s="62"/>
      <c r="M152" s="62"/>
      <c r="N152" s="62"/>
      <c r="O152" s="62"/>
      <c r="P152" s="62"/>
      <c r="Q152" s="62"/>
      <c r="R152" s="62"/>
      <c r="S152" s="62"/>
      <c r="T152" s="62"/>
      <c r="U152" s="62"/>
      <c r="V152" s="62"/>
      <c r="W152" s="106"/>
      <c r="X152" s="150"/>
      <c r="Y152" s="151"/>
      <c r="Z152" s="107"/>
      <c r="AA152" s="107"/>
      <c r="AB152" s="107"/>
      <c r="AC152" s="106"/>
    </row>
    <row r="153" ht="30.75" customHeight="1">
      <c r="A153" s="67"/>
      <c r="B153" s="67"/>
      <c r="C153" s="67"/>
      <c r="D153" s="67"/>
      <c r="E153" s="67"/>
      <c r="F153" s="67"/>
      <c r="G153" s="72" t="s">
        <v>76</v>
      </c>
      <c r="H153" s="73">
        <v>2.0</v>
      </c>
      <c r="I153" s="74">
        <f t="shared" si="36"/>
        <v>90000</v>
      </c>
      <c r="J153" s="75">
        <f t="shared" si="24"/>
        <v>180000</v>
      </c>
      <c r="K153" s="67"/>
      <c r="L153" s="67"/>
      <c r="M153" s="67"/>
      <c r="N153" s="67"/>
      <c r="O153" s="67"/>
      <c r="P153" s="67"/>
      <c r="Q153" s="67"/>
      <c r="R153" s="67"/>
      <c r="S153" s="67"/>
      <c r="T153" s="67"/>
      <c r="U153" s="67"/>
      <c r="V153" s="67"/>
      <c r="W153" s="106"/>
      <c r="X153" s="150"/>
      <c r="Y153" s="151"/>
      <c r="Z153" s="107"/>
      <c r="AA153" s="107"/>
      <c r="AB153" s="107"/>
      <c r="AC153" s="106"/>
    </row>
    <row r="154" ht="30.75" customHeight="1">
      <c r="A154" s="9"/>
      <c r="B154" s="198" t="s">
        <v>384</v>
      </c>
      <c r="C154" s="16"/>
      <c r="D154" s="16"/>
      <c r="E154" s="16"/>
      <c r="F154" s="16"/>
      <c r="G154" s="16"/>
      <c r="H154" s="16"/>
      <c r="I154" s="17"/>
      <c r="J154" s="199">
        <f>sum(J4:J153)</f>
        <v>111650000</v>
      </c>
      <c r="K154" s="200">
        <f>SUM(J154)</f>
        <v>111650000</v>
      </c>
      <c r="L154" s="201">
        <f t="shared" ref="L154:N154" si="46">SUM(L4:L153)</f>
        <v>1034030</v>
      </c>
      <c r="M154" s="202">
        <f t="shared" si="46"/>
        <v>1731074</v>
      </c>
      <c r="N154" s="201">
        <f t="shared" si="46"/>
        <v>461029</v>
      </c>
      <c r="O154" s="203">
        <f>K154+L154-N154-M154</f>
        <v>110491927</v>
      </c>
      <c r="P154" s="201">
        <f t="shared" ref="P154:V154" si="47">SUM(P4:P153)</f>
        <v>0</v>
      </c>
      <c r="Q154" s="201">
        <f t="shared" si="47"/>
        <v>4476547</v>
      </c>
      <c r="R154" s="201">
        <f t="shared" si="47"/>
        <v>0</v>
      </c>
      <c r="S154" s="201">
        <f t="shared" si="47"/>
        <v>0</v>
      </c>
      <c r="T154" s="201">
        <f t="shared" si="47"/>
        <v>0</v>
      </c>
      <c r="U154" s="202">
        <f t="shared" si="47"/>
        <v>3</v>
      </c>
      <c r="V154" s="202">
        <f t="shared" si="47"/>
        <v>0</v>
      </c>
      <c r="W154" s="9"/>
      <c r="X154" s="9"/>
      <c r="Y154" s="204"/>
      <c r="Z154" s="205"/>
      <c r="AA154" s="205"/>
      <c r="AB154" s="205"/>
      <c r="AC154" s="9"/>
    </row>
    <row r="155" ht="30.75" customHeight="1">
      <c r="A155" s="9"/>
      <c r="B155" s="206" t="s">
        <v>385</v>
      </c>
      <c r="C155" s="16"/>
      <c r="D155" s="16"/>
      <c r="E155" s="16"/>
      <c r="F155" s="16"/>
      <c r="G155" s="16"/>
      <c r="H155" s="16"/>
      <c r="I155" s="17"/>
      <c r="J155" s="207">
        <f>SUMIF(G4:G153, "&lt;&gt;*Omi*", J4:J153)</f>
        <v>3880000</v>
      </c>
      <c r="K155" s="208"/>
      <c r="L155" s="208"/>
      <c r="M155" s="209"/>
      <c r="N155" s="210"/>
      <c r="O155" s="211"/>
      <c r="P155" s="210"/>
      <c r="Q155" s="23"/>
      <c r="R155" s="23"/>
      <c r="S155" s="23"/>
      <c r="T155" s="23"/>
      <c r="U155" s="212"/>
      <c r="V155" s="213"/>
      <c r="W155" s="9"/>
      <c r="X155" s="9"/>
      <c r="Y155" s="204"/>
      <c r="Z155" s="205"/>
      <c r="AA155" s="205"/>
      <c r="AB155" s="205"/>
      <c r="AC155" s="9"/>
    </row>
    <row r="156" ht="24.75" customHeight="1">
      <c r="A156" s="9"/>
      <c r="B156" s="214" t="s">
        <v>386</v>
      </c>
      <c r="C156" s="16"/>
      <c r="D156" s="16"/>
      <c r="E156" s="16"/>
      <c r="F156" s="16"/>
      <c r="G156" s="16"/>
      <c r="H156" s="16"/>
      <c r="I156" s="17"/>
      <c r="J156" s="215">
        <f>J154-J155</f>
        <v>107770000</v>
      </c>
      <c r="K156" s="208"/>
      <c r="L156" s="216"/>
      <c r="M156" s="208"/>
      <c r="N156" s="216"/>
      <c r="O156" s="216"/>
      <c r="P156" s="23"/>
      <c r="Q156" s="23"/>
      <c r="R156" s="23"/>
      <c r="S156" s="23"/>
      <c r="T156" s="23"/>
      <c r="U156" s="212"/>
      <c r="V156" s="213"/>
      <c r="W156" s="9"/>
      <c r="X156" s="9"/>
      <c r="Y156" s="204"/>
      <c r="Z156" s="205"/>
      <c r="AA156" s="205"/>
      <c r="AB156" s="205"/>
      <c r="AC156" s="9"/>
    </row>
    <row r="157" ht="24.75" customHeight="1">
      <c r="A157" s="9"/>
      <c r="B157" s="217" t="s">
        <v>387</v>
      </c>
      <c r="C157" s="16"/>
      <c r="D157" s="16"/>
      <c r="E157" s="16"/>
      <c r="F157" s="16"/>
      <c r="G157" s="16"/>
      <c r="H157" s="16"/>
      <c r="I157" s="17"/>
      <c r="J157" s="207">
        <f>SUMIF(R4:R153,"Cty trả ship",Q4:Q153)</f>
        <v>4476547</v>
      </c>
      <c r="K157" s="208"/>
      <c r="L157" s="216"/>
      <c r="M157" s="208"/>
      <c r="N157" s="216"/>
      <c r="O157" s="216"/>
      <c r="P157" s="23"/>
      <c r="Q157" s="23"/>
      <c r="R157" s="23"/>
      <c r="S157" s="23"/>
      <c r="T157" s="23"/>
      <c r="U157" s="212"/>
      <c r="V157" s="213"/>
      <c r="W157" s="9"/>
      <c r="X157" s="218"/>
      <c r="Y157" s="219"/>
      <c r="Z157" s="205"/>
      <c r="AA157" s="205"/>
      <c r="AB157" s="205"/>
      <c r="AC157" s="9"/>
    </row>
    <row r="158" ht="24.75" customHeight="1">
      <c r="A158" s="9"/>
      <c r="B158" s="220" t="s">
        <v>388</v>
      </c>
      <c r="C158" s="16"/>
      <c r="D158" s="16"/>
      <c r="E158" s="16"/>
      <c r="F158" s="16"/>
      <c r="G158" s="16"/>
      <c r="H158" s="16"/>
      <c r="I158" s="17"/>
      <c r="J158" s="221">
        <f>N154</f>
        <v>461029</v>
      </c>
      <c r="K158" s="208"/>
      <c r="L158" s="208"/>
      <c r="M158" s="210"/>
      <c r="N158" s="210"/>
      <c r="O158" s="211"/>
      <c r="P158" s="210"/>
      <c r="Q158" s="23"/>
      <c r="R158" s="23"/>
      <c r="S158" s="210"/>
      <c r="T158" s="210"/>
      <c r="U158" s="212"/>
      <c r="V158" s="213"/>
      <c r="W158" s="210"/>
      <c r="X158" s="218"/>
      <c r="Y158" s="219"/>
      <c r="Z158" s="205"/>
      <c r="AA158" s="205"/>
      <c r="AB158" s="205"/>
      <c r="AC158" s="9"/>
    </row>
    <row r="159" ht="15.75" customHeight="1">
      <c r="A159" s="9"/>
      <c r="B159" s="9"/>
      <c r="C159" s="9"/>
      <c r="D159" s="9"/>
      <c r="E159" s="9"/>
      <c r="F159" s="222"/>
      <c r="G159" s="223"/>
      <c r="H159" s="224"/>
      <c r="I159" s="225"/>
      <c r="J159" s="225"/>
      <c r="K159" s="22"/>
      <c r="L159" s="9"/>
      <c r="M159" s="223"/>
      <c r="N159" s="9"/>
      <c r="O159" s="226"/>
      <c r="P159" s="9"/>
      <c r="Q159" s="9"/>
      <c r="R159" s="9"/>
      <c r="S159" s="223"/>
      <c r="T159" s="223"/>
      <c r="U159" s="212"/>
      <c r="V159" s="213"/>
      <c r="W159" s="9"/>
      <c r="X159" s="9"/>
      <c r="Y159" s="204"/>
      <c r="Z159" s="205"/>
      <c r="AA159" s="205"/>
      <c r="AB159" s="205"/>
      <c r="AC159" s="9"/>
    </row>
    <row r="160" ht="15.75" customHeight="1">
      <c r="A160" s="218"/>
      <c r="B160" s="227"/>
      <c r="C160" s="228"/>
      <c r="D160" s="229"/>
      <c r="E160" s="230"/>
      <c r="F160" s="229"/>
      <c r="G160" s="231"/>
      <c r="H160" s="231"/>
      <c r="I160" s="231"/>
      <c r="J160" s="232"/>
      <c r="K160" s="233"/>
      <c r="L160" s="232"/>
      <c r="M160" s="232"/>
      <c r="N160" s="232"/>
      <c r="O160" s="234"/>
      <c r="P160" s="218"/>
      <c r="Q160" s="218"/>
      <c r="R160" s="218"/>
      <c r="S160" s="218"/>
      <c r="T160" s="218"/>
      <c r="U160" s="212"/>
      <c r="V160" s="213"/>
      <c r="W160" s="235"/>
      <c r="X160" s="218"/>
      <c r="Y160" s="219"/>
      <c r="Z160" s="205"/>
      <c r="AA160" s="205"/>
      <c r="AB160" s="205"/>
      <c r="AC160" s="9"/>
    </row>
    <row r="161" ht="28.5" customHeight="1">
      <c r="A161" s="218"/>
      <c r="B161" s="236"/>
      <c r="C161" s="16"/>
      <c r="D161" s="17"/>
      <c r="E161" s="237" t="s">
        <v>389</v>
      </c>
      <c r="F161" s="16"/>
      <c r="G161" s="16"/>
      <c r="H161" s="16"/>
      <c r="I161" s="16"/>
      <c r="J161" s="17"/>
      <c r="K161" s="23"/>
      <c r="L161" s="218"/>
      <c r="M161" s="238"/>
      <c r="N161" s="238"/>
      <c r="O161" s="239" t="s">
        <v>390</v>
      </c>
      <c r="P161" s="16"/>
      <c r="Q161" s="16"/>
      <c r="R161" s="16"/>
      <c r="S161" s="16"/>
      <c r="T161" s="16"/>
      <c r="U161" s="17"/>
      <c r="V161" s="213"/>
      <c r="W161" s="240"/>
      <c r="X161" s="218"/>
      <c r="Y161" s="219"/>
      <c r="Z161" s="205"/>
      <c r="AA161" s="205"/>
      <c r="AB161" s="205"/>
      <c r="AC161" s="9"/>
    </row>
    <row r="162" ht="15.75" customHeight="1">
      <c r="A162" s="218"/>
      <c r="B162" s="241" t="s">
        <v>391</v>
      </c>
      <c r="C162" s="242" t="s">
        <v>392</v>
      </c>
      <c r="D162" s="243" t="s">
        <v>393</v>
      </c>
      <c r="E162" s="244" t="s">
        <v>394</v>
      </c>
      <c r="F162" s="245" t="s">
        <v>395</v>
      </c>
      <c r="G162" s="201" t="s">
        <v>396</v>
      </c>
      <c r="H162" s="243" t="s">
        <v>397</v>
      </c>
      <c r="I162" s="246" t="s">
        <v>398</v>
      </c>
      <c r="J162" s="247" t="s">
        <v>399</v>
      </c>
      <c r="K162" s="23"/>
      <c r="L162" s="218"/>
      <c r="M162" s="248"/>
      <c r="N162" s="249"/>
      <c r="O162" s="250" t="s">
        <v>400</v>
      </c>
      <c r="P162" s="250" t="s">
        <v>401</v>
      </c>
      <c r="Q162" s="250" t="s">
        <v>402</v>
      </c>
      <c r="R162" s="251" t="s">
        <v>403</v>
      </c>
      <c r="S162" s="251" t="s">
        <v>404</v>
      </c>
      <c r="T162" s="252" t="s">
        <v>405</v>
      </c>
      <c r="U162" s="253" t="s">
        <v>406</v>
      </c>
      <c r="V162" s="213"/>
      <c r="W162" s="240"/>
      <c r="X162" s="218"/>
      <c r="Y162" s="219"/>
      <c r="Z162" s="205"/>
      <c r="AA162" s="205"/>
      <c r="AB162" s="205"/>
      <c r="AC162" s="9"/>
    </row>
    <row r="163" ht="25.5" customHeight="1">
      <c r="A163" s="218"/>
      <c r="B163" s="254" t="s">
        <v>407</v>
      </c>
      <c r="C163" s="85" t="s">
        <v>121</v>
      </c>
      <c r="D163" s="255">
        <f t="shared" ref="D163:D206" si="48">SUMIF($G$4:$G$156,C163,$H$4:$H$156)</f>
        <v>1</v>
      </c>
      <c r="E163" s="65"/>
      <c r="F163" s="255"/>
      <c r="G163" s="256">
        <f t="shared" ref="G163:G206" si="49">D163-E163-F163</f>
        <v>1</v>
      </c>
      <c r="H163" s="128">
        <v>220000.0</v>
      </c>
      <c r="I163" s="217">
        <f t="shared" ref="I163:I206" si="50">G163*H163</f>
        <v>220000</v>
      </c>
      <c r="J163" s="257">
        <f t="shared" ref="J163:J206" si="51">SUMIF($T$4:$T$153,C163,$U$4:$U$153)</f>
        <v>0</v>
      </c>
      <c r="K163" s="23"/>
      <c r="L163" s="218"/>
      <c r="M163" s="258"/>
      <c r="N163" s="259"/>
      <c r="O163" s="260">
        <v>45256.0</v>
      </c>
      <c r="P163" s="261"/>
      <c r="Q163" s="261">
        <f>O7</f>
        <v>900000</v>
      </c>
      <c r="R163" s="262"/>
      <c r="S163" s="263"/>
      <c r="T163" s="264">
        <f t="shared" ref="T163:T179" si="52">P163+Q163-R163-S163</f>
        <v>900000</v>
      </c>
      <c r="U163" s="265" t="s">
        <v>408</v>
      </c>
      <c r="V163" s="213"/>
      <c r="W163" s="266"/>
      <c r="X163" s="218"/>
      <c r="Y163" s="219"/>
      <c r="Z163" s="205"/>
      <c r="AA163" s="205"/>
      <c r="AB163" s="205"/>
      <c r="AC163" s="9"/>
    </row>
    <row r="164" ht="25.5" customHeight="1">
      <c r="A164" s="218"/>
      <c r="B164" s="62"/>
      <c r="C164" s="85" t="s">
        <v>123</v>
      </c>
      <c r="D164" s="255">
        <f t="shared" si="48"/>
        <v>1</v>
      </c>
      <c r="E164" s="65"/>
      <c r="F164" s="255"/>
      <c r="G164" s="256">
        <f t="shared" si="49"/>
        <v>1</v>
      </c>
      <c r="H164" s="128">
        <v>220000.0</v>
      </c>
      <c r="I164" s="217">
        <f t="shared" si="50"/>
        <v>220000</v>
      </c>
      <c r="J164" s="257">
        <f t="shared" si="51"/>
        <v>0</v>
      </c>
      <c r="K164" s="23"/>
      <c r="L164" s="218"/>
      <c r="M164" s="258"/>
      <c r="N164" s="259"/>
      <c r="O164" s="260">
        <v>45257.0</v>
      </c>
      <c r="P164" s="261">
        <f>211215</f>
        <v>211215</v>
      </c>
      <c r="Q164" s="261"/>
      <c r="R164" s="262"/>
      <c r="S164" s="263"/>
      <c r="T164" s="264">
        <f t="shared" si="52"/>
        <v>211215</v>
      </c>
      <c r="U164" s="265" t="s">
        <v>409</v>
      </c>
      <c r="V164" s="213"/>
      <c r="W164" s="266"/>
      <c r="X164" s="218"/>
      <c r="Y164" s="219"/>
      <c r="Z164" s="205"/>
      <c r="AA164" s="205"/>
      <c r="AB164" s="205"/>
      <c r="AC164" s="9"/>
    </row>
    <row r="165" ht="28.5" customHeight="1">
      <c r="A165" s="218"/>
      <c r="B165" s="62"/>
      <c r="C165" s="85" t="s">
        <v>124</v>
      </c>
      <c r="D165" s="255">
        <f t="shared" si="48"/>
        <v>17</v>
      </c>
      <c r="E165" s="65"/>
      <c r="F165" s="255"/>
      <c r="G165" s="256">
        <f t="shared" si="49"/>
        <v>17</v>
      </c>
      <c r="H165" s="128">
        <v>220000.0</v>
      </c>
      <c r="I165" s="217">
        <f t="shared" si="50"/>
        <v>3740000</v>
      </c>
      <c r="J165" s="257">
        <f t="shared" si="51"/>
        <v>0</v>
      </c>
      <c r="K165" s="23"/>
      <c r="L165" s="218"/>
      <c r="M165" s="258"/>
      <c r="N165" s="259"/>
      <c r="O165" s="260">
        <v>45259.0</v>
      </c>
      <c r="P165" s="261">
        <f>368760+205124+300744+205724+412360+204484</f>
        <v>1697196</v>
      </c>
      <c r="Q165" s="261"/>
      <c r="R165" s="262"/>
      <c r="S165" s="263"/>
      <c r="T165" s="264">
        <f t="shared" si="52"/>
        <v>1697196</v>
      </c>
      <c r="U165" s="265" t="s">
        <v>410</v>
      </c>
      <c r="V165" s="213"/>
      <c r="W165" s="266"/>
      <c r="X165" s="218"/>
      <c r="Y165" s="219"/>
      <c r="Z165" s="205"/>
      <c r="AA165" s="205"/>
      <c r="AB165" s="205"/>
      <c r="AC165" s="9"/>
    </row>
    <row r="166" ht="25.5" customHeight="1">
      <c r="A166" s="218"/>
      <c r="B166" s="62"/>
      <c r="C166" s="129" t="s">
        <v>125</v>
      </c>
      <c r="D166" s="255">
        <f t="shared" si="48"/>
        <v>4</v>
      </c>
      <c r="E166" s="65"/>
      <c r="F166" s="255"/>
      <c r="G166" s="256">
        <f t="shared" si="49"/>
        <v>4</v>
      </c>
      <c r="H166" s="80">
        <v>220000.0</v>
      </c>
      <c r="I166" s="217">
        <f t="shared" si="50"/>
        <v>880000</v>
      </c>
      <c r="J166" s="257">
        <f t="shared" si="51"/>
        <v>0</v>
      </c>
      <c r="K166" s="23"/>
      <c r="L166" s="218"/>
      <c r="M166" s="258"/>
      <c r="N166" s="259"/>
      <c r="O166" s="260">
        <v>45260.0</v>
      </c>
      <c r="P166" s="261">
        <f>240000+240000</f>
        <v>480000</v>
      </c>
      <c r="Q166" s="261"/>
      <c r="R166" s="262">
        <f>37001+80590+26000</f>
        <v>143591</v>
      </c>
      <c r="S166" s="263">
        <f>Q4+Q7+Q8</f>
        <v>213405</v>
      </c>
      <c r="T166" s="264">
        <f t="shared" si="52"/>
        <v>123004</v>
      </c>
      <c r="U166" s="267"/>
      <c r="V166" s="213"/>
      <c r="W166" s="266"/>
      <c r="X166" s="218"/>
      <c r="Y166" s="219"/>
      <c r="Z166" s="205"/>
      <c r="AA166" s="205"/>
      <c r="AB166" s="205"/>
      <c r="AC166" s="9"/>
    </row>
    <row r="167" ht="25.5" customHeight="1">
      <c r="A167" s="218"/>
      <c r="B167" s="62"/>
      <c r="C167" s="129" t="s">
        <v>129</v>
      </c>
      <c r="D167" s="255">
        <f t="shared" si="48"/>
        <v>4</v>
      </c>
      <c r="E167" s="268"/>
      <c r="F167" s="269"/>
      <c r="G167" s="256">
        <f t="shared" si="49"/>
        <v>4</v>
      </c>
      <c r="H167" s="80">
        <v>220000.0</v>
      </c>
      <c r="I167" s="217">
        <f t="shared" si="50"/>
        <v>880000</v>
      </c>
      <c r="J167" s="257">
        <f t="shared" si="51"/>
        <v>0</v>
      </c>
      <c r="K167" s="23"/>
      <c r="L167" s="218"/>
      <c r="M167" s="258"/>
      <c r="N167" s="259"/>
      <c r="O167" s="260">
        <v>45261.0</v>
      </c>
      <c r="P167" s="261">
        <f>205108+204484+206108+737196+205108+205124</f>
        <v>1763128</v>
      </c>
      <c r="Q167" s="261"/>
      <c r="R167" s="262"/>
      <c r="S167" s="263"/>
      <c r="T167" s="264">
        <f t="shared" si="52"/>
        <v>1763128</v>
      </c>
      <c r="U167" s="265" t="s">
        <v>410</v>
      </c>
      <c r="V167" s="213"/>
      <c r="W167" s="266"/>
      <c r="X167" s="218"/>
      <c r="Y167" s="219"/>
      <c r="Z167" s="205"/>
      <c r="AA167" s="205"/>
      <c r="AB167" s="205"/>
      <c r="AC167" s="9"/>
    </row>
    <row r="168" ht="25.5" customHeight="1">
      <c r="A168" s="218"/>
      <c r="B168" s="62"/>
      <c r="C168" s="85" t="s">
        <v>133</v>
      </c>
      <c r="D168" s="255">
        <f t="shared" si="48"/>
        <v>47</v>
      </c>
      <c r="E168" s="65"/>
      <c r="F168" s="270">
        <v>2.0</v>
      </c>
      <c r="G168" s="256">
        <f t="shared" si="49"/>
        <v>45</v>
      </c>
      <c r="H168" s="128">
        <v>220000.0</v>
      </c>
      <c r="I168" s="217">
        <f t="shared" si="50"/>
        <v>9900000</v>
      </c>
      <c r="J168" s="257">
        <f t="shared" si="51"/>
        <v>0</v>
      </c>
      <c r="K168" s="23"/>
      <c r="L168" s="218"/>
      <c r="M168" s="258"/>
      <c r="N168" s="259"/>
      <c r="O168" s="260">
        <v>45261.0</v>
      </c>
      <c r="P168" s="261"/>
      <c r="Q168" s="261">
        <f>O4+O8</f>
        <v>5060000</v>
      </c>
      <c r="R168" s="262"/>
      <c r="S168" s="263">
        <f>Q13</f>
        <v>78004</v>
      </c>
      <c r="T168" s="264">
        <f t="shared" si="52"/>
        <v>4981996</v>
      </c>
      <c r="U168" s="267"/>
      <c r="V168" s="213"/>
      <c r="W168" s="266"/>
      <c r="X168" s="218"/>
      <c r="Y168" s="219"/>
      <c r="Z168" s="205"/>
      <c r="AA168" s="205"/>
      <c r="AB168" s="205"/>
      <c r="AC168" s="9"/>
    </row>
    <row r="169" ht="25.5" customHeight="1">
      <c r="A169" s="218"/>
      <c r="B169" s="62"/>
      <c r="C169" s="85" t="s">
        <v>135</v>
      </c>
      <c r="D169" s="255">
        <f t="shared" si="48"/>
        <v>0</v>
      </c>
      <c r="E169" s="268"/>
      <c r="F169" s="269"/>
      <c r="G169" s="256">
        <f t="shared" si="49"/>
        <v>0</v>
      </c>
      <c r="H169" s="128">
        <v>220000.0</v>
      </c>
      <c r="I169" s="217">
        <f t="shared" si="50"/>
        <v>0</v>
      </c>
      <c r="J169" s="257">
        <f t="shared" si="51"/>
        <v>0</v>
      </c>
      <c r="K169" s="23"/>
      <c r="L169" s="218"/>
      <c r="M169" s="258"/>
      <c r="N169" s="259"/>
      <c r="O169" s="271">
        <v>45264.0</v>
      </c>
      <c r="P169" s="261"/>
      <c r="Q169" s="261">
        <f>O13++O20+O26+O16+O19</f>
        <v>4305000</v>
      </c>
      <c r="R169" s="262"/>
      <c r="S169" s="263">
        <f>L33+Q27+Q26+L20+Q28+L19+Q16</f>
        <v>555016</v>
      </c>
      <c r="T169" s="264">
        <f t="shared" si="52"/>
        <v>3749984</v>
      </c>
      <c r="U169" s="267"/>
      <c r="V169" s="213"/>
      <c r="W169" s="266"/>
      <c r="X169" s="218"/>
      <c r="Y169" s="219"/>
      <c r="Z169" s="205"/>
      <c r="AA169" s="205"/>
      <c r="AB169" s="205"/>
      <c r="AC169" s="9"/>
    </row>
    <row r="170" ht="25.5" customHeight="1">
      <c r="A170" s="218"/>
      <c r="B170" s="62"/>
      <c r="C170" s="85" t="s">
        <v>139</v>
      </c>
      <c r="D170" s="255">
        <f t="shared" si="48"/>
        <v>11</v>
      </c>
      <c r="E170" s="65"/>
      <c r="F170" s="269"/>
      <c r="G170" s="256">
        <f t="shared" si="49"/>
        <v>11</v>
      </c>
      <c r="H170" s="128">
        <v>80000.0</v>
      </c>
      <c r="I170" s="217">
        <f t="shared" si="50"/>
        <v>880000</v>
      </c>
      <c r="J170" s="257">
        <f t="shared" si="51"/>
        <v>0</v>
      </c>
      <c r="K170" s="23"/>
      <c r="L170" s="218"/>
      <c r="M170" s="258"/>
      <c r="N170" s="259"/>
      <c r="O170" s="272">
        <v>45264.0</v>
      </c>
      <c r="P170" s="261">
        <f>211112+211112</f>
        <v>422224</v>
      </c>
      <c r="Q170" s="261"/>
      <c r="R170" s="262"/>
      <c r="S170" s="263"/>
      <c r="T170" s="264">
        <f t="shared" si="52"/>
        <v>422224</v>
      </c>
      <c r="U170" s="265" t="s">
        <v>409</v>
      </c>
      <c r="V170" s="213"/>
      <c r="W170" s="266"/>
      <c r="X170" s="218"/>
      <c r="Y170" s="219"/>
      <c r="Z170" s="205"/>
      <c r="AA170" s="205"/>
      <c r="AB170" s="205"/>
      <c r="AC170" s="9"/>
    </row>
    <row r="171" ht="25.5" customHeight="1">
      <c r="A171" s="218"/>
      <c r="B171" s="62"/>
      <c r="C171" s="85" t="s">
        <v>142</v>
      </c>
      <c r="D171" s="255">
        <f t="shared" si="48"/>
        <v>0</v>
      </c>
      <c r="E171" s="65"/>
      <c r="F171" s="269"/>
      <c r="G171" s="256">
        <f t="shared" si="49"/>
        <v>0</v>
      </c>
      <c r="H171" s="128">
        <v>220000.0</v>
      </c>
      <c r="I171" s="217">
        <f t="shared" si="50"/>
        <v>0</v>
      </c>
      <c r="J171" s="257">
        <f t="shared" si="51"/>
        <v>0</v>
      </c>
      <c r="K171" s="23"/>
      <c r="L171" s="218"/>
      <c r="M171" s="258"/>
      <c r="N171" s="259"/>
      <c r="O171" s="260">
        <v>45265.0</v>
      </c>
      <c r="P171" s="261">
        <f>190400</f>
        <v>190400</v>
      </c>
      <c r="Q171" s="261"/>
      <c r="R171" s="262"/>
      <c r="S171" s="263"/>
      <c r="T171" s="264">
        <f t="shared" si="52"/>
        <v>190400</v>
      </c>
      <c r="U171" s="265" t="s">
        <v>410</v>
      </c>
      <c r="V171" s="213"/>
      <c r="W171" s="266"/>
      <c r="X171" s="218"/>
      <c r="Y171" s="219"/>
      <c r="Z171" s="205"/>
      <c r="AA171" s="205"/>
      <c r="AB171" s="205"/>
      <c r="AC171" s="9"/>
    </row>
    <row r="172" ht="25.5" customHeight="1">
      <c r="A172" s="218"/>
      <c r="B172" s="62"/>
      <c r="C172" s="85" t="s">
        <v>145</v>
      </c>
      <c r="D172" s="255">
        <f t="shared" si="48"/>
        <v>289</v>
      </c>
      <c r="E172" s="93">
        <v>12.0</v>
      </c>
      <c r="F172" s="270">
        <v>2.0</v>
      </c>
      <c r="G172" s="256">
        <f t="shared" si="49"/>
        <v>275</v>
      </c>
      <c r="H172" s="128">
        <v>220000.0</v>
      </c>
      <c r="I172" s="217">
        <f t="shared" si="50"/>
        <v>60500000</v>
      </c>
      <c r="J172" s="257">
        <f t="shared" si="51"/>
        <v>0</v>
      </c>
      <c r="K172" s="23"/>
      <c r="L172" s="218"/>
      <c r="M172" s="258"/>
      <c r="N172" s="259"/>
      <c r="O172" s="260">
        <v>45266.0</v>
      </c>
      <c r="P172" s="261"/>
      <c r="Q172" s="261">
        <f>O10</f>
        <v>1550000</v>
      </c>
      <c r="R172" s="262"/>
      <c r="S172" s="263"/>
      <c r="T172" s="264">
        <f t="shared" si="52"/>
        <v>1550000</v>
      </c>
      <c r="U172" s="265" t="s">
        <v>411</v>
      </c>
      <c r="V172" s="213"/>
      <c r="W172" s="266"/>
      <c r="X172" s="218"/>
      <c r="Y172" s="219"/>
      <c r="Z172" s="205"/>
      <c r="AA172" s="205"/>
      <c r="AB172" s="205"/>
      <c r="AC172" s="9"/>
    </row>
    <row r="173" ht="25.5" customHeight="1">
      <c r="A173" s="218"/>
      <c r="B173" s="62"/>
      <c r="C173" s="85" t="s">
        <v>153</v>
      </c>
      <c r="D173" s="255">
        <f t="shared" si="48"/>
        <v>2</v>
      </c>
      <c r="E173" s="65"/>
      <c r="F173" s="269"/>
      <c r="G173" s="256">
        <f t="shared" si="49"/>
        <v>2</v>
      </c>
      <c r="H173" s="128">
        <v>45000.0</v>
      </c>
      <c r="I173" s="217">
        <f t="shared" si="50"/>
        <v>90000</v>
      </c>
      <c r="J173" s="257">
        <f t="shared" si="51"/>
        <v>0</v>
      </c>
      <c r="K173" s="23"/>
      <c r="L173" s="218"/>
      <c r="M173" s="258"/>
      <c r="N173" s="259"/>
      <c r="O173" s="260">
        <v>45266.0</v>
      </c>
      <c r="P173" s="261"/>
      <c r="Q173" s="261">
        <f>O27+O28+O33</f>
        <v>3830000</v>
      </c>
      <c r="R173" s="262"/>
      <c r="S173" s="263">
        <f>Q35+Q36+L43</f>
        <v>111503</v>
      </c>
      <c r="T173" s="264">
        <f t="shared" si="52"/>
        <v>3718497</v>
      </c>
      <c r="U173" s="267"/>
      <c r="V173" s="213"/>
      <c r="W173" s="266"/>
      <c r="X173" s="218"/>
      <c r="Y173" s="219"/>
      <c r="Z173" s="205"/>
      <c r="AA173" s="205"/>
      <c r="AB173" s="205"/>
      <c r="AC173" s="9"/>
    </row>
    <row r="174" ht="25.5" customHeight="1">
      <c r="A174" s="218"/>
      <c r="B174" s="62"/>
      <c r="C174" s="273" t="s">
        <v>161</v>
      </c>
      <c r="D174" s="255">
        <f t="shared" si="48"/>
        <v>6</v>
      </c>
      <c r="E174" s="65"/>
      <c r="F174" s="269"/>
      <c r="G174" s="256">
        <f t="shared" si="49"/>
        <v>6</v>
      </c>
      <c r="H174" s="274">
        <v>220000.0</v>
      </c>
      <c r="I174" s="217">
        <f t="shared" si="50"/>
        <v>1320000</v>
      </c>
      <c r="J174" s="257">
        <f t="shared" si="51"/>
        <v>0</v>
      </c>
      <c r="K174" s="23"/>
      <c r="L174" s="218"/>
      <c r="M174" s="258"/>
      <c r="N174" s="259"/>
      <c r="O174" s="260">
        <v>45268.0</v>
      </c>
      <c r="P174" s="261"/>
      <c r="Q174" s="261">
        <f>O9+O12+O14+O15</f>
        <v>641868</v>
      </c>
      <c r="R174" s="262"/>
      <c r="S174" s="263"/>
      <c r="T174" s="264">
        <f t="shared" si="52"/>
        <v>641868</v>
      </c>
      <c r="U174" s="265" t="s">
        <v>410</v>
      </c>
      <c r="V174" s="213"/>
      <c r="W174" s="266"/>
      <c r="X174" s="218"/>
      <c r="Y174" s="219"/>
      <c r="Z174" s="205"/>
      <c r="AA174" s="205"/>
      <c r="AB174" s="205"/>
      <c r="AC174" s="9"/>
    </row>
    <row r="175" ht="25.5" customHeight="1">
      <c r="A175" s="218"/>
      <c r="B175" s="62"/>
      <c r="C175" s="273" t="s">
        <v>412</v>
      </c>
      <c r="D175" s="255">
        <f t="shared" si="48"/>
        <v>0</v>
      </c>
      <c r="E175" s="65"/>
      <c r="F175" s="269"/>
      <c r="G175" s="256">
        <f t="shared" si="49"/>
        <v>0</v>
      </c>
      <c r="H175" s="274">
        <v>45000.0</v>
      </c>
      <c r="I175" s="217">
        <f t="shared" si="50"/>
        <v>0</v>
      </c>
      <c r="J175" s="257">
        <f t="shared" si="51"/>
        <v>0</v>
      </c>
      <c r="K175" s="23"/>
      <c r="L175" s="218"/>
      <c r="M175" s="258"/>
      <c r="N175" s="259"/>
      <c r="O175" s="260">
        <v>45268.0</v>
      </c>
      <c r="P175" s="261"/>
      <c r="Q175" s="261">
        <f>O68</f>
        <v>150000</v>
      </c>
      <c r="R175" s="262"/>
      <c r="S175" s="263"/>
      <c r="T175" s="264">
        <f t="shared" si="52"/>
        <v>150000</v>
      </c>
      <c r="U175" s="265" t="s">
        <v>413</v>
      </c>
      <c r="V175" s="213"/>
      <c r="W175" s="266"/>
      <c r="X175" s="218"/>
      <c r="Y175" s="219"/>
      <c r="Z175" s="205"/>
      <c r="AA175" s="205"/>
      <c r="AB175" s="205"/>
      <c r="AC175" s="9"/>
    </row>
    <row r="176" ht="25.5" customHeight="1">
      <c r="A176" s="218"/>
      <c r="B176" s="62"/>
      <c r="C176" s="273" t="s">
        <v>151</v>
      </c>
      <c r="D176" s="255">
        <f t="shared" si="48"/>
        <v>7</v>
      </c>
      <c r="E176" s="65"/>
      <c r="F176" s="269"/>
      <c r="G176" s="256">
        <f t="shared" si="49"/>
        <v>7</v>
      </c>
      <c r="H176" s="274">
        <v>220000.0</v>
      </c>
      <c r="I176" s="217">
        <f t="shared" si="50"/>
        <v>1540000</v>
      </c>
      <c r="J176" s="257">
        <f t="shared" si="51"/>
        <v>0</v>
      </c>
      <c r="K176" s="23"/>
      <c r="L176" s="218"/>
      <c r="M176" s="258"/>
      <c r="N176" s="259"/>
      <c r="O176" s="260">
        <v>45268.0</v>
      </c>
      <c r="P176" s="261"/>
      <c r="Q176" s="261">
        <f>O35+O45+O49+O36+O47+O43+O54</f>
        <v>5320000</v>
      </c>
      <c r="R176" s="262"/>
      <c r="S176" s="263">
        <f>L44+Q56+L49+Q54+Q45+Q47</f>
        <v>287510</v>
      </c>
      <c r="T176" s="264">
        <f t="shared" si="52"/>
        <v>5032490</v>
      </c>
      <c r="U176" s="267"/>
      <c r="V176" s="213"/>
      <c r="W176" s="266"/>
      <c r="X176" s="218"/>
      <c r="Y176" s="219"/>
      <c r="Z176" s="205"/>
      <c r="AA176" s="205"/>
      <c r="AB176" s="205"/>
      <c r="AC176" s="9"/>
    </row>
    <row r="177" ht="25.5" customHeight="1">
      <c r="A177" s="218"/>
      <c r="B177" s="62"/>
      <c r="C177" s="65" t="s">
        <v>148</v>
      </c>
      <c r="D177" s="255">
        <f t="shared" si="48"/>
        <v>12</v>
      </c>
      <c r="E177" s="65"/>
      <c r="F177" s="269"/>
      <c r="G177" s="256">
        <f t="shared" si="49"/>
        <v>12</v>
      </c>
      <c r="H177" s="66">
        <v>220000.0</v>
      </c>
      <c r="I177" s="217">
        <f t="shared" si="50"/>
        <v>2640000</v>
      </c>
      <c r="J177" s="257">
        <f t="shared" si="51"/>
        <v>0</v>
      </c>
      <c r="K177" s="23"/>
      <c r="L177" s="218"/>
      <c r="M177" s="258"/>
      <c r="N177" s="259"/>
      <c r="O177" s="260">
        <v>45271.0</v>
      </c>
      <c r="P177" s="261"/>
      <c r="Q177" s="261">
        <f>O60+O56</f>
        <v>1170000</v>
      </c>
      <c r="R177" s="262"/>
      <c r="S177" s="263">
        <f>L60+L70+Q10+Q69+Q66+Q65</f>
        <v>338555</v>
      </c>
      <c r="T177" s="264">
        <f t="shared" si="52"/>
        <v>831445</v>
      </c>
      <c r="U177" s="267"/>
      <c r="V177" s="213"/>
      <c r="W177" s="266"/>
      <c r="X177" s="218"/>
      <c r="Y177" s="219"/>
      <c r="Z177" s="205"/>
      <c r="AA177" s="205"/>
      <c r="AB177" s="205"/>
      <c r="AC177" s="9"/>
    </row>
    <row r="178" ht="25.5" customHeight="1">
      <c r="A178" s="275"/>
      <c r="B178" s="62"/>
      <c r="C178" s="276" t="s">
        <v>166</v>
      </c>
      <c r="D178" s="255">
        <f t="shared" si="48"/>
        <v>156</v>
      </c>
      <c r="E178" s="65"/>
      <c r="F178" s="269"/>
      <c r="G178" s="256">
        <f t="shared" si="49"/>
        <v>156</v>
      </c>
      <c r="H178" s="277">
        <v>160000.0</v>
      </c>
      <c r="I178" s="217">
        <f t="shared" si="50"/>
        <v>24960000</v>
      </c>
      <c r="J178" s="257">
        <f t="shared" si="51"/>
        <v>0</v>
      </c>
      <c r="K178" s="278"/>
      <c r="L178" s="275"/>
      <c r="M178" s="259"/>
      <c r="N178" s="259"/>
      <c r="O178" s="260">
        <v>45271.0</v>
      </c>
      <c r="P178" s="261"/>
      <c r="Q178" s="261">
        <f>O18+O34</f>
        <v>596540</v>
      </c>
      <c r="R178" s="262"/>
      <c r="S178" s="263"/>
      <c r="T178" s="264">
        <f t="shared" si="52"/>
        <v>596540</v>
      </c>
      <c r="U178" s="265" t="s">
        <v>410</v>
      </c>
      <c r="V178" s="213"/>
      <c r="W178" s="279"/>
      <c r="X178" s="275"/>
      <c r="Y178" s="280"/>
      <c r="Z178" s="281"/>
      <c r="AA178" s="281"/>
      <c r="AB178" s="281"/>
      <c r="AC178" s="282"/>
    </row>
    <row r="179" ht="25.5" customHeight="1">
      <c r="A179" s="275"/>
      <c r="B179" s="62"/>
      <c r="C179" s="276" t="s">
        <v>170</v>
      </c>
      <c r="D179" s="255">
        <f t="shared" si="48"/>
        <v>0</v>
      </c>
      <c r="E179" s="65"/>
      <c r="F179" s="269"/>
      <c r="G179" s="256">
        <f t="shared" si="49"/>
        <v>0</v>
      </c>
      <c r="H179" s="277">
        <v>220000.0</v>
      </c>
      <c r="I179" s="217">
        <f t="shared" si="50"/>
        <v>0</v>
      </c>
      <c r="J179" s="257">
        <f t="shared" si="51"/>
        <v>0</v>
      </c>
      <c r="K179" s="278"/>
      <c r="L179" s="275"/>
      <c r="M179" s="259"/>
      <c r="N179" s="259"/>
      <c r="O179" s="260">
        <v>45271.0</v>
      </c>
      <c r="P179" s="261"/>
      <c r="Q179" s="261">
        <f>O50</f>
        <v>507368</v>
      </c>
      <c r="R179" s="262"/>
      <c r="S179" s="263"/>
      <c r="T179" s="264">
        <f t="shared" si="52"/>
        <v>507368</v>
      </c>
      <c r="U179" s="265" t="s">
        <v>409</v>
      </c>
      <c r="V179" s="213"/>
      <c r="W179" s="279"/>
      <c r="X179" s="275"/>
      <c r="Y179" s="280"/>
      <c r="Z179" s="281"/>
      <c r="AA179" s="281"/>
      <c r="AB179" s="281"/>
      <c r="AC179" s="282"/>
    </row>
    <row r="180" ht="25.5" customHeight="1">
      <c r="A180" s="275"/>
      <c r="B180" s="62"/>
      <c r="C180" s="276" t="s">
        <v>414</v>
      </c>
      <c r="D180" s="255">
        <f t="shared" si="48"/>
        <v>0</v>
      </c>
      <c r="E180" s="65"/>
      <c r="F180" s="269"/>
      <c r="G180" s="256">
        <f t="shared" si="49"/>
        <v>0</v>
      </c>
      <c r="H180" s="277">
        <v>160000.0</v>
      </c>
      <c r="I180" s="217">
        <f t="shared" si="50"/>
        <v>0</v>
      </c>
      <c r="J180" s="257">
        <f t="shared" si="51"/>
        <v>3</v>
      </c>
      <c r="K180" s="278"/>
      <c r="L180" s="275"/>
      <c r="M180" s="259"/>
      <c r="N180" s="259"/>
      <c r="O180" s="260"/>
      <c r="P180" s="261"/>
      <c r="Q180" s="261"/>
      <c r="R180" s="262"/>
      <c r="S180" s="263"/>
      <c r="T180" s="252"/>
      <c r="U180" s="265"/>
      <c r="V180" s="213"/>
      <c r="W180" s="279"/>
      <c r="X180" s="275"/>
      <c r="Y180" s="280"/>
      <c r="Z180" s="281"/>
      <c r="AA180" s="281"/>
      <c r="AB180" s="281"/>
      <c r="AC180" s="282"/>
    </row>
    <row r="181" ht="25.5" customHeight="1">
      <c r="A181" s="218"/>
      <c r="B181" s="254" t="s">
        <v>415</v>
      </c>
      <c r="C181" s="283" t="s">
        <v>34</v>
      </c>
      <c r="D181" s="255">
        <f t="shared" si="48"/>
        <v>0</v>
      </c>
      <c r="E181" s="284"/>
      <c r="F181" s="269"/>
      <c r="G181" s="256">
        <f t="shared" si="49"/>
        <v>0</v>
      </c>
      <c r="H181" s="61">
        <v>65000.0</v>
      </c>
      <c r="I181" s="217">
        <f t="shared" si="50"/>
        <v>0</v>
      </c>
      <c r="J181" s="257">
        <f t="shared" si="51"/>
        <v>0</v>
      </c>
      <c r="K181" s="23"/>
      <c r="L181" s="218"/>
      <c r="M181" s="258"/>
      <c r="N181" s="259"/>
      <c r="O181" s="260">
        <v>45272.0</v>
      </c>
      <c r="P181" s="261">
        <f>204646+41094+194506</f>
        <v>440246</v>
      </c>
      <c r="Q181" s="261">
        <f>O29+O37+O38+O39</f>
        <v>1201364</v>
      </c>
      <c r="R181" s="262"/>
      <c r="S181" s="263"/>
      <c r="T181" s="264">
        <f t="shared" ref="T181:T197" si="53">P181+Q181-R181-S181</f>
        <v>1641610</v>
      </c>
      <c r="U181" s="265" t="s">
        <v>416</v>
      </c>
      <c r="V181" s="213"/>
      <c r="W181" s="266"/>
      <c r="X181" s="218"/>
      <c r="Y181" s="219"/>
      <c r="Z181" s="205"/>
      <c r="AA181" s="205"/>
      <c r="AB181" s="205"/>
      <c r="AC181" s="9"/>
    </row>
    <row r="182" ht="25.5" customHeight="1">
      <c r="A182" s="218"/>
      <c r="B182" s="62"/>
      <c r="C182" s="285" t="s">
        <v>36</v>
      </c>
      <c r="D182" s="255">
        <f t="shared" si="48"/>
        <v>0</v>
      </c>
      <c r="E182" s="284"/>
      <c r="F182" s="269"/>
      <c r="G182" s="256">
        <f t="shared" si="49"/>
        <v>0</v>
      </c>
      <c r="H182" s="66">
        <v>180000.0</v>
      </c>
      <c r="I182" s="217">
        <f t="shared" si="50"/>
        <v>0</v>
      </c>
      <c r="J182" s="257">
        <f t="shared" si="51"/>
        <v>0</v>
      </c>
      <c r="K182" s="23"/>
      <c r="L182" s="218"/>
      <c r="M182" s="286"/>
      <c r="N182" s="259"/>
      <c r="O182" s="260">
        <v>45273.0</v>
      </c>
      <c r="P182" s="261"/>
      <c r="Q182" s="261">
        <f>O22+O23+O40+O41+O42+O51+O53</f>
        <v>3126509</v>
      </c>
      <c r="R182" s="262"/>
      <c r="S182" s="263"/>
      <c r="T182" s="264">
        <f t="shared" si="53"/>
        <v>3126509</v>
      </c>
      <c r="U182" s="265" t="s">
        <v>410</v>
      </c>
      <c r="V182" s="213"/>
      <c r="W182" s="266"/>
      <c r="X182" s="218"/>
      <c r="Y182" s="219"/>
      <c r="Z182" s="205"/>
      <c r="AA182" s="205"/>
      <c r="AB182" s="205"/>
      <c r="AC182" s="9"/>
    </row>
    <row r="183" ht="25.5" customHeight="1">
      <c r="A183" s="218"/>
      <c r="B183" s="62"/>
      <c r="C183" s="285" t="s">
        <v>38</v>
      </c>
      <c r="D183" s="255">
        <f t="shared" si="48"/>
        <v>0</v>
      </c>
      <c r="E183" s="284"/>
      <c r="F183" s="269"/>
      <c r="G183" s="256">
        <f t="shared" si="49"/>
        <v>0</v>
      </c>
      <c r="H183" s="66">
        <v>160000.0</v>
      </c>
      <c r="I183" s="217">
        <f t="shared" si="50"/>
        <v>0</v>
      </c>
      <c r="J183" s="257">
        <f t="shared" si="51"/>
        <v>0</v>
      </c>
      <c r="K183" s="23"/>
      <c r="L183" s="218"/>
      <c r="M183" s="218"/>
      <c r="N183" s="259"/>
      <c r="O183" s="260">
        <v>45273.0</v>
      </c>
      <c r="P183" s="261"/>
      <c r="Q183" s="261">
        <f>O66+O69</f>
        <v>2640000</v>
      </c>
      <c r="R183" s="262"/>
      <c r="S183" s="263">
        <f>Q74+Q76+Q84+L73+Q83</f>
        <v>1102123</v>
      </c>
      <c r="T183" s="264">
        <f t="shared" si="53"/>
        <v>1537877</v>
      </c>
      <c r="U183" s="267"/>
      <c r="V183" s="213"/>
      <c r="W183" s="266"/>
      <c r="X183" s="218"/>
      <c r="Y183" s="219"/>
      <c r="Z183" s="205"/>
      <c r="AA183" s="205"/>
      <c r="AB183" s="205"/>
      <c r="AC183" s="9"/>
    </row>
    <row r="184" ht="25.5" customHeight="1">
      <c r="A184" s="218"/>
      <c r="B184" s="62"/>
      <c r="C184" s="285" t="s">
        <v>43</v>
      </c>
      <c r="D184" s="255">
        <f t="shared" si="48"/>
        <v>0</v>
      </c>
      <c r="E184" s="284"/>
      <c r="F184" s="269"/>
      <c r="G184" s="256">
        <f t="shared" si="49"/>
        <v>0</v>
      </c>
      <c r="H184" s="87">
        <v>65000.0</v>
      </c>
      <c r="I184" s="217">
        <f t="shared" si="50"/>
        <v>0</v>
      </c>
      <c r="J184" s="257">
        <f t="shared" si="51"/>
        <v>0</v>
      </c>
      <c r="K184" s="23"/>
      <c r="L184" s="218"/>
      <c r="M184" s="218"/>
      <c r="N184" s="259"/>
      <c r="O184" s="260">
        <v>45275.0</v>
      </c>
      <c r="P184" s="261"/>
      <c r="Q184" s="261">
        <f>O85+O87+O84+O44+O65+O88+O74+O73</f>
        <v>15260000</v>
      </c>
      <c r="R184" s="262"/>
      <c r="S184" s="263">
        <f>L88+Q91+L85+L87</f>
        <v>489017</v>
      </c>
      <c r="T184" s="264">
        <f t="shared" si="53"/>
        <v>14770983</v>
      </c>
      <c r="U184" s="267"/>
      <c r="V184" s="213"/>
      <c r="W184" s="266"/>
      <c r="X184" s="218"/>
      <c r="Y184" s="219"/>
      <c r="Z184" s="205"/>
      <c r="AA184" s="205"/>
      <c r="AB184" s="205"/>
      <c r="AC184" s="9"/>
    </row>
    <row r="185" ht="25.5" customHeight="1">
      <c r="A185" s="218"/>
      <c r="B185" s="62"/>
      <c r="C185" s="285" t="s">
        <v>48</v>
      </c>
      <c r="D185" s="255">
        <f t="shared" si="48"/>
        <v>0</v>
      </c>
      <c r="E185" s="284"/>
      <c r="F185" s="269"/>
      <c r="G185" s="256">
        <f t="shared" si="49"/>
        <v>0</v>
      </c>
      <c r="H185" s="66">
        <v>55000.0</v>
      </c>
      <c r="I185" s="217">
        <f t="shared" si="50"/>
        <v>0</v>
      </c>
      <c r="J185" s="257">
        <f t="shared" si="51"/>
        <v>0</v>
      </c>
      <c r="K185" s="23"/>
      <c r="L185" s="218"/>
      <c r="M185" s="218"/>
      <c r="N185" s="259"/>
      <c r="O185" s="260">
        <v>45278.0</v>
      </c>
      <c r="P185" s="261"/>
      <c r="Q185" s="261">
        <f>O59+O67+O72</f>
        <v>615340</v>
      </c>
      <c r="R185" s="262"/>
      <c r="S185" s="263"/>
      <c r="T185" s="264">
        <f t="shared" si="53"/>
        <v>615340</v>
      </c>
      <c r="U185" s="265" t="s">
        <v>410</v>
      </c>
      <c r="V185" s="213"/>
      <c r="W185" s="266"/>
      <c r="X185" s="218"/>
      <c r="Y185" s="219"/>
      <c r="Z185" s="205"/>
      <c r="AA185" s="205"/>
      <c r="AB185" s="205"/>
      <c r="AC185" s="9"/>
    </row>
    <row r="186" ht="25.5" customHeight="1">
      <c r="A186" s="218"/>
      <c r="B186" s="62"/>
      <c r="C186" s="287" t="s">
        <v>54</v>
      </c>
      <c r="D186" s="255">
        <f t="shared" si="48"/>
        <v>0</v>
      </c>
      <c r="E186" s="284"/>
      <c r="F186" s="269"/>
      <c r="G186" s="256">
        <f t="shared" si="49"/>
        <v>0</v>
      </c>
      <c r="H186" s="87">
        <v>40000.0</v>
      </c>
      <c r="I186" s="217">
        <f t="shared" si="50"/>
        <v>0</v>
      </c>
      <c r="J186" s="257">
        <f t="shared" si="51"/>
        <v>0</v>
      </c>
      <c r="K186" s="23"/>
      <c r="L186" s="218"/>
      <c r="M186" s="218"/>
      <c r="N186" s="259"/>
      <c r="O186" s="260">
        <v>45278.0</v>
      </c>
      <c r="P186" s="261"/>
      <c r="Q186" s="261">
        <f>O70+O93+O83+O91+O100</f>
        <v>8075000</v>
      </c>
      <c r="R186" s="262"/>
      <c r="S186" s="263">
        <f>L93+Q110+Q108+Q100+L106+L107</f>
        <v>390016</v>
      </c>
      <c r="T186" s="264">
        <f t="shared" si="53"/>
        <v>7684984</v>
      </c>
      <c r="U186" s="267"/>
      <c r="V186" s="213"/>
      <c r="W186" s="266"/>
      <c r="X186" s="218"/>
      <c r="Y186" s="219"/>
      <c r="Z186" s="205"/>
      <c r="AA186" s="205"/>
      <c r="AB186" s="205"/>
      <c r="AC186" s="9"/>
    </row>
    <row r="187" ht="25.5" customHeight="1">
      <c r="A187" s="218"/>
      <c r="B187" s="62"/>
      <c r="C187" s="285" t="s">
        <v>60</v>
      </c>
      <c r="D187" s="255">
        <f t="shared" si="48"/>
        <v>0</v>
      </c>
      <c r="E187" s="284"/>
      <c r="F187" s="269"/>
      <c r="G187" s="256">
        <f t="shared" si="49"/>
        <v>0</v>
      </c>
      <c r="H187" s="66">
        <v>45000.0</v>
      </c>
      <c r="I187" s="217">
        <f t="shared" si="50"/>
        <v>0</v>
      </c>
      <c r="J187" s="257">
        <f t="shared" si="51"/>
        <v>0</v>
      </c>
      <c r="K187" s="23"/>
      <c r="L187" s="218"/>
      <c r="M187" s="218"/>
      <c r="N187" s="259"/>
      <c r="O187" s="260">
        <v>45279.0</v>
      </c>
      <c r="P187" s="261"/>
      <c r="Q187" s="261">
        <f>O64</f>
        <v>205588</v>
      </c>
      <c r="R187" s="262"/>
      <c r="S187" s="263"/>
      <c r="T187" s="264">
        <f t="shared" si="53"/>
        <v>205588</v>
      </c>
      <c r="U187" s="265" t="s">
        <v>410</v>
      </c>
      <c r="V187" s="213"/>
      <c r="W187" s="266"/>
      <c r="X187" s="218"/>
      <c r="Y187" s="219"/>
      <c r="Z187" s="205"/>
      <c r="AA187" s="205"/>
      <c r="AB187" s="205"/>
      <c r="AC187" s="9"/>
    </row>
    <row r="188" ht="25.5" customHeight="1">
      <c r="A188" s="218"/>
      <c r="B188" s="62"/>
      <c r="C188" s="287" t="s">
        <v>62</v>
      </c>
      <c r="D188" s="255">
        <f t="shared" si="48"/>
        <v>0</v>
      </c>
      <c r="E188" s="284"/>
      <c r="F188" s="269"/>
      <c r="G188" s="256">
        <f t="shared" si="49"/>
        <v>0</v>
      </c>
      <c r="H188" s="87">
        <v>55000.0</v>
      </c>
      <c r="I188" s="217">
        <f t="shared" si="50"/>
        <v>0</v>
      </c>
      <c r="J188" s="257">
        <f t="shared" si="51"/>
        <v>0</v>
      </c>
      <c r="K188" s="23"/>
      <c r="L188" s="218"/>
      <c r="M188" s="218"/>
      <c r="N188" s="259"/>
      <c r="O188" s="260">
        <v>45279.0</v>
      </c>
      <c r="P188" s="261"/>
      <c r="Q188" s="261">
        <f>O105</f>
        <v>284778</v>
      </c>
      <c r="R188" s="262"/>
      <c r="S188" s="263"/>
      <c r="T188" s="264">
        <f t="shared" si="53"/>
        <v>284778</v>
      </c>
      <c r="U188" s="265" t="s">
        <v>409</v>
      </c>
      <c r="V188" s="213"/>
      <c r="W188" s="266"/>
      <c r="X188" s="218"/>
      <c r="Y188" s="219"/>
      <c r="Z188" s="205"/>
      <c r="AA188" s="205"/>
      <c r="AB188" s="205"/>
      <c r="AC188" s="9"/>
    </row>
    <row r="189" ht="25.5" customHeight="1">
      <c r="A189" s="218"/>
      <c r="B189" s="62"/>
      <c r="C189" s="285" t="s">
        <v>66</v>
      </c>
      <c r="D189" s="255">
        <f t="shared" si="48"/>
        <v>0</v>
      </c>
      <c r="E189" s="284"/>
      <c r="F189" s="269"/>
      <c r="G189" s="256">
        <f t="shared" si="49"/>
        <v>0</v>
      </c>
      <c r="H189" s="66">
        <v>205000.0</v>
      </c>
      <c r="I189" s="217">
        <f t="shared" si="50"/>
        <v>0</v>
      </c>
      <c r="J189" s="257">
        <f t="shared" si="51"/>
        <v>0</v>
      </c>
      <c r="K189" s="23"/>
      <c r="L189" s="218"/>
      <c r="M189" s="218"/>
      <c r="N189" s="259"/>
      <c r="O189" s="260">
        <v>45280.0</v>
      </c>
      <c r="P189" s="261"/>
      <c r="Q189" s="261">
        <f>O61+O63+O78+O79+O80+O81+O90</f>
        <v>2013552</v>
      </c>
      <c r="R189" s="262"/>
      <c r="S189" s="263"/>
      <c r="T189" s="264">
        <f t="shared" si="53"/>
        <v>2013552</v>
      </c>
      <c r="U189" s="265" t="s">
        <v>410</v>
      </c>
      <c r="V189" s="213"/>
      <c r="W189" s="266"/>
      <c r="X189" s="218"/>
      <c r="Y189" s="219"/>
      <c r="Z189" s="205"/>
      <c r="AA189" s="205"/>
      <c r="AB189" s="205"/>
      <c r="AC189" s="9"/>
    </row>
    <row r="190" ht="25.5" customHeight="1">
      <c r="A190" s="218"/>
      <c r="B190" s="62"/>
      <c r="C190" s="287" t="s">
        <v>67</v>
      </c>
      <c r="D190" s="255">
        <f t="shared" si="48"/>
        <v>0</v>
      </c>
      <c r="E190" s="284"/>
      <c r="F190" s="269"/>
      <c r="G190" s="256">
        <f t="shared" si="49"/>
        <v>0</v>
      </c>
      <c r="H190" s="87">
        <v>45000.0</v>
      </c>
      <c r="I190" s="217">
        <f t="shared" si="50"/>
        <v>0</v>
      </c>
      <c r="J190" s="257">
        <f t="shared" si="51"/>
        <v>0</v>
      </c>
      <c r="K190" s="23"/>
      <c r="L190" s="218"/>
      <c r="M190" s="218"/>
      <c r="N190" s="259"/>
      <c r="O190" s="260">
        <v>45280.0</v>
      </c>
      <c r="P190" s="261"/>
      <c r="Q190" s="261">
        <f>O106+O114+O108+O107+O119</f>
        <v>3140000</v>
      </c>
      <c r="R190" s="262"/>
      <c r="S190" s="263">
        <f>L114+Q119+Q112+L116+Q117+Q123+L115+L113+Q118</f>
        <v>584017</v>
      </c>
      <c r="T190" s="264">
        <f t="shared" si="53"/>
        <v>2555983</v>
      </c>
      <c r="U190" s="267"/>
      <c r="V190" s="213"/>
      <c r="W190" s="266"/>
      <c r="X190" s="218"/>
      <c r="Y190" s="219"/>
      <c r="Z190" s="205"/>
      <c r="AA190" s="205"/>
      <c r="AB190" s="205"/>
      <c r="AC190" s="9"/>
    </row>
    <row r="191" ht="25.5" customHeight="1">
      <c r="A191" s="218"/>
      <c r="B191" s="62"/>
      <c r="C191" s="288" t="s">
        <v>71</v>
      </c>
      <c r="D191" s="255">
        <f t="shared" si="48"/>
        <v>0</v>
      </c>
      <c r="E191" s="284"/>
      <c r="F191" s="269"/>
      <c r="G191" s="256">
        <f t="shared" si="49"/>
        <v>0</v>
      </c>
      <c r="H191" s="66">
        <v>85000.0</v>
      </c>
      <c r="I191" s="217">
        <f t="shared" si="50"/>
        <v>0</v>
      </c>
      <c r="J191" s="257">
        <f t="shared" si="51"/>
        <v>0</v>
      </c>
      <c r="K191" s="23"/>
      <c r="L191" s="218"/>
      <c r="M191" s="218"/>
      <c r="N191" s="259"/>
      <c r="O191" s="260">
        <v>45282.0</v>
      </c>
      <c r="P191" s="261"/>
      <c r="Q191" s="261">
        <f>O92</f>
        <v>150980</v>
      </c>
      <c r="R191" s="262"/>
      <c r="S191" s="263"/>
      <c r="T191" s="264">
        <f t="shared" si="53"/>
        <v>150980</v>
      </c>
      <c r="U191" s="265" t="s">
        <v>409</v>
      </c>
      <c r="V191" s="213"/>
      <c r="W191" s="266"/>
      <c r="X191" s="218"/>
      <c r="Y191" s="219"/>
      <c r="Z191" s="205"/>
      <c r="AA191" s="205"/>
      <c r="AB191" s="205"/>
      <c r="AC191" s="9"/>
    </row>
    <row r="192" ht="25.5" customHeight="1">
      <c r="A192" s="218"/>
      <c r="B192" s="62"/>
      <c r="C192" s="285" t="s">
        <v>76</v>
      </c>
      <c r="D192" s="255">
        <f t="shared" si="48"/>
        <v>2</v>
      </c>
      <c r="E192" s="284"/>
      <c r="F192" s="269"/>
      <c r="G192" s="256">
        <f t="shared" si="49"/>
        <v>2</v>
      </c>
      <c r="H192" s="66">
        <v>90000.0</v>
      </c>
      <c r="I192" s="217">
        <f t="shared" si="50"/>
        <v>180000</v>
      </c>
      <c r="J192" s="257">
        <f t="shared" si="51"/>
        <v>0</v>
      </c>
      <c r="K192" s="23"/>
      <c r="L192" s="218"/>
      <c r="M192" s="218"/>
      <c r="N192" s="289"/>
      <c r="O192" s="260">
        <v>45282.0</v>
      </c>
      <c r="P192" s="261"/>
      <c r="Q192" s="261">
        <f>O140</f>
        <v>150000</v>
      </c>
      <c r="R192" s="262"/>
      <c r="S192" s="263"/>
      <c r="T192" s="264">
        <f t="shared" si="53"/>
        <v>150000</v>
      </c>
      <c r="U192" s="265" t="s">
        <v>417</v>
      </c>
      <c r="V192" s="213"/>
      <c r="W192" s="266"/>
      <c r="X192" s="218"/>
      <c r="Y192" s="219"/>
      <c r="Z192" s="205"/>
      <c r="AA192" s="205"/>
      <c r="AB192" s="205"/>
      <c r="AC192" s="9"/>
    </row>
    <row r="193" ht="25.5" customHeight="1">
      <c r="A193" s="218"/>
      <c r="B193" s="62"/>
      <c r="C193" s="285" t="s">
        <v>80</v>
      </c>
      <c r="D193" s="255">
        <f t="shared" si="48"/>
        <v>0</v>
      </c>
      <c r="E193" s="284"/>
      <c r="F193" s="269"/>
      <c r="G193" s="256">
        <f t="shared" si="49"/>
        <v>0</v>
      </c>
      <c r="H193" s="66">
        <v>85000.0</v>
      </c>
      <c r="I193" s="217">
        <f t="shared" si="50"/>
        <v>0</v>
      </c>
      <c r="J193" s="257">
        <f t="shared" si="51"/>
        <v>0</v>
      </c>
      <c r="K193" s="23"/>
      <c r="L193" s="218"/>
      <c r="M193" s="218"/>
      <c r="N193" s="218"/>
      <c r="O193" s="260">
        <v>45282.0</v>
      </c>
      <c r="P193" s="261"/>
      <c r="Q193" s="261">
        <f>O118+O113+O116+O131+O110+O123+O117+O112</f>
        <v>7550000</v>
      </c>
      <c r="R193" s="262"/>
      <c r="S193" s="263">
        <f>L124+L131</f>
        <v>82002</v>
      </c>
      <c r="T193" s="264">
        <f t="shared" si="53"/>
        <v>7467998</v>
      </c>
      <c r="U193" s="267"/>
      <c r="V193" s="213"/>
      <c r="W193" s="266"/>
      <c r="X193" s="218"/>
      <c r="Y193" s="219"/>
      <c r="Z193" s="205"/>
      <c r="AA193" s="205"/>
      <c r="AB193" s="205"/>
      <c r="AC193" s="9"/>
    </row>
    <row r="194" ht="25.5" customHeight="1">
      <c r="A194" s="218"/>
      <c r="B194" s="62"/>
      <c r="C194" s="285" t="s">
        <v>81</v>
      </c>
      <c r="D194" s="255">
        <f t="shared" si="48"/>
        <v>0</v>
      </c>
      <c r="E194" s="284"/>
      <c r="F194" s="269"/>
      <c r="G194" s="256">
        <f t="shared" si="49"/>
        <v>0</v>
      </c>
      <c r="H194" s="66">
        <v>150000.0</v>
      </c>
      <c r="I194" s="217">
        <f t="shared" si="50"/>
        <v>0</v>
      </c>
      <c r="J194" s="257">
        <f t="shared" si="51"/>
        <v>0</v>
      </c>
      <c r="K194" s="23"/>
      <c r="L194" s="218"/>
      <c r="M194" s="218"/>
      <c r="N194" s="218"/>
      <c r="O194" s="260">
        <v>45283.0</v>
      </c>
      <c r="P194" s="261"/>
      <c r="Q194" s="261">
        <f>O89+O99</f>
        <v>618264</v>
      </c>
      <c r="R194" s="262"/>
      <c r="S194" s="263"/>
      <c r="T194" s="264">
        <f t="shared" si="53"/>
        <v>618264</v>
      </c>
      <c r="U194" s="265" t="s">
        <v>410</v>
      </c>
      <c r="V194" s="213"/>
      <c r="W194" s="266"/>
      <c r="X194" s="218"/>
      <c r="Y194" s="219"/>
      <c r="Z194" s="205"/>
      <c r="AA194" s="205"/>
      <c r="AB194" s="205"/>
      <c r="AC194" s="9"/>
    </row>
    <row r="195" ht="25.5" customHeight="1">
      <c r="A195" s="218"/>
      <c r="B195" s="62"/>
      <c r="C195" s="285" t="s">
        <v>85</v>
      </c>
      <c r="D195" s="255">
        <f t="shared" si="48"/>
        <v>0</v>
      </c>
      <c r="E195" s="284"/>
      <c r="F195" s="269"/>
      <c r="G195" s="256">
        <f t="shared" si="49"/>
        <v>0</v>
      </c>
      <c r="H195" s="66">
        <v>125000.0</v>
      </c>
      <c r="I195" s="217">
        <f t="shared" si="50"/>
        <v>0</v>
      </c>
      <c r="J195" s="257">
        <f t="shared" si="51"/>
        <v>0</v>
      </c>
      <c r="K195" s="23"/>
      <c r="L195" s="218"/>
      <c r="M195" s="218"/>
      <c r="N195" s="218"/>
      <c r="O195" s="260">
        <v>45285.0</v>
      </c>
      <c r="P195" s="261"/>
      <c r="Q195" s="261">
        <f>O82+O96+O103</f>
        <v>962639</v>
      </c>
      <c r="R195" s="262"/>
      <c r="S195" s="263"/>
      <c r="T195" s="264">
        <f t="shared" si="53"/>
        <v>962639</v>
      </c>
      <c r="U195" s="265" t="s">
        <v>416</v>
      </c>
      <c r="V195" s="213"/>
      <c r="W195" s="235"/>
      <c r="X195" s="218"/>
      <c r="Y195" s="219"/>
      <c r="Z195" s="205"/>
      <c r="AA195" s="205"/>
      <c r="AB195" s="205"/>
      <c r="AC195" s="9"/>
    </row>
    <row r="196" ht="25.5" customHeight="1">
      <c r="A196" s="218"/>
      <c r="B196" s="62"/>
      <c r="C196" s="285" t="s">
        <v>89</v>
      </c>
      <c r="D196" s="255">
        <f t="shared" si="48"/>
        <v>0</v>
      </c>
      <c r="E196" s="284"/>
      <c r="F196" s="269"/>
      <c r="G196" s="256">
        <f t="shared" si="49"/>
        <v>0</v>
      </c>
      <c r="H196" s="66">
        <v>35000.0</v>
      </c>
      <c r="I196" s="217">
        <f t="shared" si="50"/>
        <v>0</v>
      </c>
      <c r="J196" s="257">
        <f t="shared" si="51"/>
        <v>0</v>
      </c>
      <c r="K196" s="23"/>
      <c r="L196" s="218"/>
      <c r="M196" s="218"/>
      <c r="N196" s="218"/>
      <c r="O196" s="260">
        <v>45285.0</v>
      </c>
      <c r="P196" s="290"/>
      <c r="Q196" s="261">
        <f>O101</f>
        <v>412740</v>
      </c>
      <c r="R196" s="262"/>
      <c r="S196" s="263"/>
      <c r="T196" s="264">
        <f t="shared" si="53"/>
        <v>412740</v>
      </c>
      <c r="U196" s="265" t="s">
        <v>410</v>
      </c>
      <c r="V196" s="213"/>
      <c r="W196" s="266"/>
      <c r="X196" s="218"/>
      <c r="Y196" s="219"/>
      <c r="Z196" s="205"/>
      <c r="AA196" s="205"/>
      <c r="AB196" s="205"/>
      <c r="AC196" s="9"/>
    </row>
    <row r="197" ht="25.5" customHeight="1">
      <c r="A197" s="218"/>
      <c r="B197" s="62"/>
      <c r="C197" s="285" t="s">
        <v>93</v>
      </c>
      <c r="D197" s="255">
        <f t="shared" si="48"/>
        <v>5</v>
      </c>
      <c r="E197" s="284"/>
      <c r="F197" s="269"/>
      <c r="G197" s="256">
        <f t="shared" si="49"/>
        <v>5</v>
      </c>
      <c r="H197" s="66">
        <v>90000.0</v>
      </c>
      <c r="I197" s="217">
        <f t="shared" si="50"/>
        <v>450000</v>
      </c>
      <c r="J197" s="257">
        <f t="shared" si="51"/>
        <v>0</v>
      </c>
      <c r="K197" s="23"/>
      <c r="L197" s="218"/>
      <c r="M197" s="218"/>
      <c r="N197" s="218"/>
      <c r="O197" s="260">
        <v>45285.0</v>
      </c>
      <c r="P197" s="290"/>
      <c r="Q197" s="261">
        <f>O143+O124+O137+O142+O133</f>
        <v>24390000</v>
      </c>
      <c r="R197" s="262"/>
      <c r="S197" s="263"/>
      <c r="T197" s="264">
        <f t="shared" si="53"/>
        <v>24390000</v>
      </c>
      <c r="U197" s="267"/>
      <c r="V197" s="213"/>
      <c r="W197" s="266"/>
      <c r="X197" s="218"/>
      <c r="Y197" s="219"/>
      <c r="Z197" s="205"/>
      <c r="AA197" s="205"/>
      <c r="AB197" s="205"/>
      <c r="AC197" s="9"/>
    </row>
    <row r="198" ht="25.5" customHeight="1">
      <c r="A198" s="218"/>
      <c r="B198" s="62"/>
      <c r="C198" s="285" t="s">
        <v>94</v>
      </c>
      <c r="D198" s="255">
        <f t="shared" si="48"/>
        <v>0</v>
      </c>
      <c r="E198" s="284"/>
      <c r="F198" s="269"/>
      <c r="G198" s="256">
        <f t="shared" si="49"/>
        <v>0</v>
      </c>
      <c r="H198" s="66">
        <v>140000.0</v>
      </c>
      <c r="I198" s="217">
        <f t="shared" si="50"/>
        <v>0</v>
      </c>
      <c r="J198" s="257">
        <f t="shared" si="51"/>
        <v>0</v>
      </c>
      <c r="K198" s="23"/>
      <c r="L198" s="218"/>
      <c r="M198" s="218"/>
      <c r="N198" s="218"/>
      <c r="O198" s="291" t="s">
        <v>418</v>
      </c>
      <c r="P198" s="291">
        <f t="shared" ref="P198:T198" si="54">sum(P163:P197)</f>
        <v>5204409</v>
      </c>
      <c r="Q198" s="291">
        <f t="shared" si="54"/>
        <v>94827530</v>
      </c>
      <c r="R198" s="291">
        <f t="shared" si="54"/>
        <v>143591</v>
      </c>
      <c r="S198" s="291">
        <f t="shared" si="54"/>
        <v>4231168</v>
      </c>
      <c r="T198" s="291">
        <f t="shared" si="54"/>
        <v>95657180</v>
      </c>
      <c r="U198" s="292"/>
      <c r="V198" s="213"/>
      <c r="W198" s="266"/>
      <c r="X198" s="218"/>
      <c r="Y198" s="219"/>
      <c r="Z198" s="205"/>
      <c r="AA198" s="205"/>
      <c r="AB198" s="205"/>
      <c r="AC198" s="9"/>
    </row>
    <row r="199" ht="25.5" customHeight="1">
      <c r="A199" s="218"/>
      <c r="B199" s="62"/>
      <c r="C199" s="285" t="s">
        <v>97</v>
      </c>
      <c r="D199" s="255">
        <f t="shared" si="48"/>
        <v>0</v>
      </c>
      <c r="E199" s="284"/>
      <c r="F199" s="269"/>
      <c r="G199" s="256">
        <f t="shared" si="49"/>
        <v>0</v>
      </c>
      <c r="H199" s="66">
        <v>95000.0</v>
      </c>
      <c r="I199" s="217">
        <f t="shared" si="50"/>
        <v>0</v>
      </c>
      <c r="J199" s="257">
        <f t="shared" si="51"/>
        <v>0</v>
      </c>
      <c r="K199" s="23"/>
      <c r="L199" s="218"/>
      <c r="M199" s="218"/>
      <c r="N199" s="218"/>
      <c r="O199" s="293"/>
      <c r="P199" s="293"/>
      <c r="Q199" s="294"/>
      <c r="R199" s="295"/>
      <c r="S199" s="296"/>
      <c r="T199" s="238"/>
      <c r="U199" s="278"/>
      <c r="V199" s="213"/>
      <c r="W199" s="266"/>
      <c r="X199" s="218"/>
      <c r="Y199" s="219"/>
      <c r="Z199" s="205"/>
      <c r="AA199" s="205"/>
      <c r="AB199" s="205"/>
      <c r="AC199" s="9"/>
    </row>
    <row r="200" ht="25.5" customHeight="1">
      <c r="A200" s="218"/>
      <c r="B200" s="62"/>
      <c r="C200" s="285" t="s">
        <v>99</v>
      </c>
      <c r="D200" s="255">
        <f t="shared" si="48"/>
        <v>0</v>
      </c>
      <c r="E200" s="284"/>
      <c r="F200" s="269"/>
      <c r="G200" s="256">
        <f t="shared" si="49"/>
        <v>0</v>
      </c>
      <c r="H200" s="66">
        <v>140000.0</v>
      </c>
      <c r="I200" s="217">
        <f t="shared" si="50"/>
        <v>0</v>
      </c>
      <c r="J200" s="257">
        <f t="shared" si="51"/>
        <v>0</v>
      </c>
      <c r="K200" s="23"/>
      <c r="L200" s="218"/>
      <c r="M200" s="218"/>
      <c r="N200" s="218"/>
      <c r="O200" s="293"/>
      <c r="P200" s="293"/>
      <c r="Q200" s="294"/>
      <c r="R200" s="295"/>
      <c r="S200" s="296"/>
      <c r="T200" s="238"/>
      <c r="U200" s="278"/>
      <c r="V200" s="213"/>
      <c r="W200" s="266"/>
      <c r="X200" s="218"/>
      <c r="Y200" s="219"/>
      <c r="Z200" s="205"/>
      <c r="AA200" s="205"/>
      <c r="AB200" s="205"/>
      <c r="AC200" s="9"/>
    </row>
    <row r="201" ht="25.5" customHeight="1">
      <c r="A201" s="218"/>
      <c r="B201" s="62"/>
      <c r="C201" s="285" t="s">
        <v>101</v>
      </c>
      <c r="D201" s="255">
        <f t="shared" si="48"/>
        <v>0</v>
      </c>
      <c r="E201" s="284"/>
      <c r="F201" s="269"/>
      <c r="G201" s="256">
        <f t="shared" si="49"/>
        <v>0</v>
      </c>
      <c r="H201" s="66">
        <v>150000.0</v>
      </c>
      <c r="I201" s="217">
        <f t="shared" si="50"/>
        <v>0</v>
      </c>
      <c r="J201" s="257">
        <f t="shared" si="51"/>
        <v>0</v>
      </c>
      <c r="K201" s="23"/>
      <c r="L201" s="218"/>
      <c r="M201" s="218"/>
      <c r="N201" s="218"/>
      <c r="O201" s="293"/>
      <c r="P201" s="293"/>
      <c r="Q201" s="294"/>
      <c r="R201" s="295"/>
      <c r="S201" s="296"/>
      <c r="T201" s="238"/>
      <c r="U201" s="278"/>
      <c r="V201" s="213"/>
      <c r="W201" s="266"/>
      <c r="X201" s="218"/>
      <c r="Y201" s="219"/>
      <c r="Z201" s="205"/>
      <c r="AA201" s="205"/>
      <c r="AB201" s="205"/>
      <c r="AC201" s="9"/>
    </row>
    <row r="202" ht="25.5" customHeight="1">
      <c r="A202" s="218"/>
      <c r="B202" s="62"/>
      <c r="C202" s="285" t="s">
        <v>109</v>
      </c>
      <c r="D202" s="255">
        <f t="shared" si="48"/>
        <v>0</v>
      </c>
      <c r="E202" s="284"/>
      <c r="F202" s="269"/>
      <c r="G202" s="256">
        <f t="shared" si="49"/>
        <v>0</v>
      </c>
      <c r="H202" s="66">
        <v>125000.0</v>
      </c>
      <c r="I202" s="217">
        <f t="shared" si="50"/>
        <v>0</v>
      </c>
      <c r="J202" s="257">
        <f t="shared" si="51"/>
        <v>0</v>
      </c>
      <c r="K202" s="23"/>
      <c r="L202" s="218"/>
      <c r="M202" s="218"/>
      <c r="N202" s="218"/>
      <c r="O202" s="297"/>
      <c r="P202" s="297"/>
      <c r="Q202" s="297"/>
      <c r="R202" s="297"/>
      <c r="S202" s="297"/>
      <c r="T202" s="297"/>
      <c r="U202" s="297"/>
      <c r="V202" s="213"/>
      <c r="W202" s="235"/>
      <c r="X202" s="218"/>
      <c r="Y202" s="219"/>
      <c r="Z202" s="205"/>
      <c r="AA202" s="205"/>
      <c r="AB202" s="205"/>
      <c r="AC202" s="9"/>
    </row>
    <row r="203" ht="25.5" customHeight="1">
      <c r="A203" s="218"/>
      <c r="B203" s="62"/>
      <c r="C203" s="285" t="s">
        <v>113</v>
      </c>
      <c r="D203" s="255">
        <f t="shared" si="48"/>
        <v>0</v>
      </c>
      <c r="E203" s="284"/>
      <c r="F203" s="269"/>
      <c r="G203" s="256">
        <f t="shared" si="49"/>
        <v>0</v>
      </c>
      <c r="H203" s="66">
        <v>75000.0</v>
      </c>
      <c r="I203" s="217">
        <f t="shared" si="50"/>
        <v>0</v>
      </c>
      <c r="J203" s="257">
        <f t="shared" si="51"/>
        <v>0</v>
      </c>
      <c r="K203" s="23"/>
      <c r="L203" s="218"/>
      <c r="M203" s="218"/>
      <c r="N203" s="218"/>
      <c r="O203" s="298"/>
      <c r="P203" s="299"/>
      <c r="Q203" s="299"/>
      <c r="R203" s="299"/>
      <c r="S203" s="299"/>
      <c r="T203" s="218"/>
      <c r="U203" s="212"/>
      <c r="V203" s="213"/>
      <c r="W203" s="235"/>
      <c r="X203" s="218"/>
      <c r="Y203" s="219"/>
      <c r="Z203" s="205"/>
      <c r="AA203" s="205"/>
      <c r="AB203" s="205"/>
      <c r="AC203" s="9"/>
    </row>
    <row r="204" ht="25.5" customHeight="1">
      <c r="A204" s="218"/>
      <c r="B204" s="62"/>
      <c r="C204" s="300" t="s">
        <v>116</v>
      </c>
      <c r="D204" s="301">
        <f t="shared" si="48"/>
        <v>0</v>
      </c>
      <c r="E204" s="284"/>
      <c r="F204" s="269"/>
      <c r="G204" s="256">
        <f t="shared" si="49"/>
        <v>0</v>
      </c>
      <c r="H204" s="302">
        <v>475000.0</v>
      </c>
      <c r="I204" s="217">
        <f t="shared" si="50"/>
        <v>0</v>
      </c>
      <c r="J204" s="257">
        <f t="shared" si="51"/>
        <v>0</v>
      </c>
      <c r="K204" s="23"/>
      <c r="L204" s="218"/>
      <c r="M204" s="218"/>
      <c r="N204" s="218"/>
      <c r="O204" s="298"/>
      <c r="P204" s="299"/>
      <c r="Q204" s="299"/>
      <c r="R204" s="299"/>
      <c r="S204" s="299"/>
      <c r="T204" s="218"/>
      <c r="U204" s="212"/>
      <c r="V204" s="213"/>
      <c r="W204" s="235"/>
      <c r="X204" s="218"/>
      <c r="Y204" s="219"/>
      <c r="Z204" s="205"/>
      <c r="AA204" s="205"/>
      <c r="AB204" s="205"/>
      <c r="AC204" s="9"/>
    </row>
    <row r="205" ht="25.5" customHeight="1">
      <c r="A205" s="218"/>
      <c r="B205" s="62"/>
      <c r="C205" s="303" t="s">
        <v>105</v>
      </c>
      <c r="D205" s="301">
        <f t="shared" si="48"/>
        <v>10</v>
      </c>
      <c r="E205" s="284"/>
      <c r="F205" s="269"/>
      <c r="G205" s="256">
        <f t="shared" si="49"/>
        <v>10</v>
      </c>
      <c r="H205" s="304">
        <v>160000.0</v>
      </c>
      <c r="I205" s="217">
        <f t="shared" si="50"/>
        <v>1600000</v>
      </c>
      <c r="J205" s="257">
        <f t="shared" si="51"/>
        <v>0</v>
      </c>
      <c r="K205" s="23"/>
      <c r="L205" s="218"/>
      <c r="M205" s="218"/>
      <c r="N205" s="218"/>
      <c r="O205" s="298"/>
      <c r="P205" s="299"/>
      <c r="Q205" s="299"/>
      <c r="R205" s="299"/>
      <c r="S205" s="299"/>
      <c r="T205" s="218"/>
      <c r="U205" s="212"/>
      <c r="V205" s="213"/>
      <c r="W205" s="235"/>
      <c r="X205" s="218"/>
      <c r="Y205" s="219"/>
      <c r="Z205" s="205"/>
      <c r="AA205" s="205"/>
      <c r="AB205" s="205"/>
      <c r="AC205" s="9"/>
    </row>
    <row r="206" ht="25.5" customHeight="1">
      <c r="A206" s="218"/>
      <c r="B206" s="67"/>
      <c r="C206" s="303" t="s">
        <v>42</v>
      </c>
      <c r="D206" s="301">
        <f t="shared" si="48"/>
        <v>22</v>
      </c>
      <c r="E206" s="284"/>
      <c r="F206" s="305"/>
      <c r="G206" s="256">
        <f t="shared" si="49"/>
        <v>22</v>
      </c>
      <c r="H206" s="304">
        <v>75000.0</v>
      </c>
      <c r="I206" s="217">
        <f t="shared" si="50"/>
        <v>1650000</v>
      </c>
      <c r="J206" s="257">
        <f t="shared" si="51"/>
        <v>0</v>
      </c>
      <c r="K206" s="23"/>
      <c r="L206" s="218"/>
      <c r="M206" s="218"/>
      <c r="N206" s="218"/>
      <c r="O206" s="298"/>
      <c r="P206" s="299"/>
      <c r="Q206" s="299"/>
      <c r="R206" s="299"/>
      <c r="S206" s="299"/>
      <c r="T206" s="218"/>
      <c r="U206" s="212"/>
      <c r="V206" s="213"/>
      <c r="W206" s="235"/>
      <c r="X206" s="218"/>
      <c r="Y206" s="219"/>
      <c r="Z206" s="205"/>
      <c r="AA206" s="205"/>
      <c r="AB206" s="205"/>
      <c r="AC206" s="9"/>
    </row>
    <row r="207" ht="30.0" customHeight="1">
      <c r="A207" s="218"/>
      <c r="B207" s="306" t="s">
        <v>419</v>
      </c>
      <c r="C207" s="16"/>
      <c r="D207" s="16"/>
      <c r="E207" s="16"/>
      <c r="F207" s="16"/>
      <c r="G207" s="16"/>
      <c r="H207" s="17"/>
      <c r="I207" s="307">
        <f>SUM(I163:I180)</f>
        <v>107770000</v>
      </c>
      <c r="J207" s="23"/>
      <c r="K207" s="23"/>
      <c r="L207" s="218"/>
      <c r="M207" s="218"/>
      <c r="N207" s="218"/>
      <c r="O207" s="298"/>
      <c r="P207" s="299"/>
      <c r="Q207" s="299"/>
      <c r="R207" s="299"/>
      <c r="S207" s="299"/>
      <c r="T207" s="299"/>
      <c r="U207" s="212"/>
      <c r="V207" s="213"/>
      <c r="W207" s="235"/>
      <c r="X207" s="218"/>
      <c r="Y207" s="219"/>
      <c r="Z207" s="205"/>
      <c r="AA207" s="205"/>
      <c r="AB207" s="205"/>
      <c r="AC207" s="9"/>
    </row>
    <row r="208" ht="30.0" customHeight="1">
      <c r="A208" s="218"/>
      <c r="B208" s="308" t="s">
        <v>385</v>
      </c>
      <c r="C208" s="16"/>
      <c r="D208" s="16"/>
      <c r="E208" s="16"/>
      <c r="F208" s="16"/>
      <c r="G208" s="16"/>
      <c r="H208" s="17"/>
      <c r="I208" s="309">
        <f>SUM(I181:I206)</f>
        <v>3880000</v>
      </c>
      <c r="J208" s="23"/>
      <c r="K208" s="310" t="s">
        <v>420</v>
      </c>
      <c r="L208" s="16"/>
      <c r="M208" s="17"/>
      <c r="N208" s="311"/>
      <c r="O208" s="298"/>
      <c r="P208" s="299"/>
      <c r="Q208" s="299"/>
      <c r="R208" s="299"/>
      <c r="S208" s="299"/>
      <c r="T208" s="299"/>
      <c r="U208" s="212"/>
      <c r="V208" s="213"/>
      <c r="W208" s="235"/>
      <c r="X208" s="218"/>
      <c r="Y208" s="219"/>
      <c r="Z208" s="205"/>
      <c r="AA208" s="205"/>
      <c r="AB208" s="205"/>
      <c r="AC208" s="9"/>
    </row>
    <row r="209" ht="30.0" customHeight="1">
      <c r="A209" s="218"/>
      <c r="B209" s="312" t="s">
        <v>421</v>
      </c>
      <c r="C209" s="16"/>
      <c r="D209" s="16"/>
      <c r="E209" s="16"/>
      <c r="F209" s="16"/>
      <c r="G209" s="16"/>
      <c r="H209" s="17"/>
      <c r="I209" s="313">
        <f>SUM(I207:I208)</f>
        <v>111650000</v>
      </c>
      <c r="J209" s="23"/>
      <c r="K209" s="314" t="s">
        <v>422</v>
      </c>
      <c r="L209" s="315">
        <f>5645000</f>
        <v>5645000</v>
      </c>
      <c r="M209" s="316"/>
      <c r="N209" s="218"/>
      <c r="O209" s="234"/>
      <c r="P209" s="218"/>
      <c r="Q209" s="218"/>
      <c r="R209" s="218"/>
      <c r="S209" s="218"/>
      <c r="T209" s="218"/>
      <c r="U209" s="212"/>
      <c r="V209" s="213"/>
      <c r="W209" s="235"/>
      <c r="X209" s="218"/>
      <c r="Y209" s="219"/>
      <c r="Z209" s="205"/>
      <c r="AA209" s="205"/>
      <c r="AB209" s="205"/>
      <c r="AC209" s="9"/>
    </row>
    <row r="210" ht="30.0" customHeight="1">
      <c r="A210" s="218"/>
      <c r="B210" s="317"/>
      <c r="C210" s="16"/>
      <c r="D210" s="17"/>
      <c r="E210" s="318" t="s">
        <v>423</v>
      </c>
      <c r="F210" s="16"/>
      <c r="G210" s="16"/>
      <c r="H210" s="17"/>
      <c r="I210" s="319">
        <f>O154</f>
        <v>110491927</v>
      </c>
      <c r="J210" s="23"/>
      <c r="K210" s="320" t="s">
        <v>424</v>
      </c>
      <c r="L210" s="315">
        <f>sumif(P4:P153,"Đã thu",K4:K153)</f>
        <v>96930000</v>
      </c>
      <c r="M210" s="316"/>
      <c r="N210" s="218"/>
      <c r="O210" s="234"/>
      <c r="P210" s="218"/>
      <c r="Q210" s="218"/>
      <c r="R210" s="218"/>
      <c r="S210" s="218"/>
      <c r="T210" s="218"/>
      <c r="U210" s="212"/>
      <c r="V210" s="213"/>
      <c r="W210" s="235"/>
      <c r="X210" s="218"/>
      <c r="Y210" s="219"/>
      <c r="Z210" s="205"/>
      <c r="AA210" s="205"/>
      <c r="AB210" s="205"/>
      <c r="AC210" s="9"/>
    </row>
    <row r="211" ht="30.0" customHeight="1">
      <c r="A211" s="218"/>
      <c r="B211" s="321" t="s">
        <v>425</v>
      </c>
      <c r="C211" s="16"/>
      <c r="D211" s="16"/>
      <c r="E211" s="16"/>
      <c r="F211" s="16"/>
      <c r="G211" s="16"/>
      <c r="H211" s="17"/>
      <c r="I211" s="322">
        <f>SUMIF(P4:P153,"Đã thu",O4:O153)</f>
        <v>95862926</v>
      </c>
      <c r="J211" s="23"/>
      <c r="K211" s="323" t="s">
        <v>415</v>
      </c>
      <c r="L211" s="315">
        <f>I208</f>
        <v>3880000</v>
      </c>
      <c r="M211" s="324"/>
      <c r="N211" s="235"/>
      <c r="O211" s="234"/>
      <c r="P211" s="218"/>
      <c r="Q211" s="218"/>
      <c r="R211" s="218"/>
      <c r="S211" s="218"/>
      <c r="T211" s="218"/>
      <c r="U211" s="212"/>
      <c r="V211" s="213"/>
      <c r="W211" s="235"/>
      <c r="X211" s="218"/>
      <c r="Y211" s="219"/>
      <c r="Z211" s="205"/>
      <c r="AA211" s="205"/>
      <c r="AB211" s="205"/>
      <c r="AC211" s="9"/>
    </row>
    <row r="212" ht="30.0" customHeight="1">
      <c r="A212" s="325"/>
      <c r="B212" s="326" t="s">
        <v>426</v>
      </c>
      <c r="C212" s="16"/>
      <c r="D212" s="16"/>
      <c r="E212" s="16"/>
      <c r="F212" s="16"/>
      <c r="G212" s="16"/>
      <c r="H212" s="17"/>
      <c r="I212" s="327">
        <f>I210-I211</f>
        <v>14629001</v>
      </c>
      <c r="K212" s="328" t="s">
        <v>407</v>
      </c>
      <c r="L212" s="329">
        <f>SUM(L209:L210)-L211</f>
        <v>98695000</v>
      </c>
      <c r="M212" s="324"/>
      <c r="N212" s="235"/>
      <c r="O212" s="234"/>
      <c r="P212" s="218"/>
      <c r="Q212" s="218"/>
      <c r="R212" s="218"/>
      <c r="S212" s="218"/>
      <c r="T212" s="218"/>
      <c r="U212" s="212"/>
      <c r="V212" s="213"/>
      <c r="W212" s="235"/>
      <c r="X212" s="218"/>
      <c r="Y212" s="219"/>
      <c r="Z212" s="205"/>
      <c r="AA212" s="205"/>
      <c r="AB212" s="205"/>
      <c r="AC212" s="9"/>
    </row>
    <row r="213" ht="30.0" customHeight="1">
      <c r="A213" s="325"/>
      <c r="B213" s="330" t="s">
        <v>427</v>
      </c>
      <c r="C213" s="16"/>
      <c r="D213" s="16"/>
      <c r="E213" s="16"/>
      <c r="F213" s="16"/>
      <c r="G213" s="16"/>
      <c r="H213" s="17"/>
      <c r="I213" s="331">
        <f>L154+Q154</f>
        <v>5510577</v>
      </c>
      <c r="J213" s="23"/>
      <c r="K213" s="332"/>
      <c r="L213" s="333"/>
      <c r="M213" s="334"/>
      <c r="N213" s="218"/>
      <c r="O213" s="234"/>
      <c r="P213" s="218"/>
      <c r="Q213" s="218"/>
      <c r="R213" s="218"/>
      <c r="S213" s="218"/>
      <c r="T213" s="218"/>
      <c r="U213" s="212"/>
      <c r="V213" s="213"/>
      <c r="W213" s="235"/>
      <c r="X213" s="218"/>
      <c r="Y213" s="219"/>
      <c r="Z213" s="205"/>
      <c r="AA213" s="205"/>
      <c r="AB213" s="205"/>
      <c r="AC213" s="9"/>
    </row>
    <row r="214" ht="30.0" customHeight="1">
      <c r="A214" s="218"/>
      <c r="B214" s="321" t="s">
        <v>428</v>
      </c>
      <c r="C214" s="16"/>
      <c r="D214" s="16"/>
      <c r="E214" s="16"/>
      <c r="F214" s="16"/>
      <c r="G214" s="16"/>
      <c r="H214" s="17"/>
      <c r="I214" s="207">
        <f>SUMIF($S$4:$S$153,"x",Q4:Q153)+SUMIF($S$4:$S$153,"x",$L$4:$L$153)</f>
        <v>4985566</v>
      </c>
      <c r="J214" s="23"/>
      <c r="K214" s="335"/>
      <c r="L214" s="299"/>
      <c r="M214" s="299"/>
      <c r="N214" s="299"/>
      <c r="O214" s="234"/>
      <c r="P214" s="218"/>
      <c r="Q214" s="218"/>
      <c r="R214" s="218"/>
      <c r="S214" s="218"/>
      <c r="T214" s="218"/>
      <c r="U214" s="212"/>
      <c r="V214" s="213"/>
      <c r="W214" s="235"/>
      <c r="X214" s="218"/>
      <c r="Y214" s="219"/>
      <c r="Z214" s="205"/>
      <c r="AA214" s="205"/>
      <c r="AB214" s="205"/>
      <c r="AC214" s="9"/>
    </row>
    <row r="215" ht="30.0" customHeight="1">
      <c r="A215" s="218"/>
      <c r="B215" s="326" t="s">
        <v>429</v>
      </c>
      <c r="C215" s="16"/>
      <c r="D215" s="16"/>
      <c r="E215" s="16"/>
      <c r="F215" s="16"/>
      <c r="G215" s="16"/>
      <c r="H215" s="17"/>
      <c r="I215" s="327">
        <f>I213-I214</f>
        <v>525011</v>
      </c>
      <c r="J215" s="23"/>
      <c r="K215" s="335"/>
      <c r="L215" s="299"/>
      <c r="M215" s="218"/>
      <c r="N215" s="218"/>
      <c r="O215" s="234"/>
      <c r="P215" s="218"/>
      <c r="Q215" s="218"/>
      <c r="R215" s="218"/>
      <c r="S215" s="218"/>
      <c r="T215" s="218"/>
      <c r="U215" s="212"/>
      <c r="V215" s="213"/>
      <c r="W215" s="235"/>
      <c r="X215" s="218"/>
      <c r="Y215" s="219"/>
      <c r="Z215" s="205"/>
      <c r="AA215" s="205"/>
      <c r="AB215" s="205"/>
      <c r="AC215" s="9"/>
    </row>
    <row r="216" ht="15.75" customHeight="1">
      <c r="A216" s="218"/>
      <c r="B216" s="336"/>
      <c r="C216" s="336"/>
      <c r="D216" s="336"/>
      <c r="E216" s="337"/>
      <c r="F216" s="338"/>
      <c r="G216" s="218"/>
      <c r="H216" s="218"/>
      <c r="I216" s="218"/>
      <c r="J216" s="218"/>
      <c r="K216" s="23"/>
      <c r="L216" s="218"/>
      <c r="M216" s="218"/>
      <c r="N216" s="218"/>
      <c r="O216" s="234"/>
      <c r="P216" s="218"/>
      <c r="Q216" s="218"/>
      <c r="R216" s="218"/>
      <c r="S216" s="218"/>
      <c r="T216" s="218"/>
      <c r="U216" s="212"/>
      <c r="V216" s="213"/>
      <c r="W216" s="235"/>
      <c r="X216" s="218"/>
      <c r="Y216" s="219"/>
      <c r="Z216" s="205"/>
      <c r="AA216" s="205"/>
      <c r="AB216" s="205"/>
      <c r="AC216" s="9"/>
    </row>
    <row r="217" ht="15.75" customHeight="1">
      <c r="A217" s="339" t="s">
        <v>430</v>
      </c>
      <c r="E217" s="337"/>
      <c r="F217" s="338"/>
      <c r="G217" s="218"/>
      <c r="H217" s="218"/>
      <c r="I217" s="218"/>
      <c r="J217" s="218"/>
      <c r="K217" s="23"/>
      <c r="L217" s="218"/>
      <c r="M217" s="218"/>
      <c r="N217" s="218"/>
      <c r="O217" s="234"/>
      <c r="P217" s="218"/>
      <c r="Q217" s="218"/>
      <c r="R217" s="218"/>
      <c r="S217" s="218"/>
      <c r="T217" s="218"/>
      <c r="U217" s="212"/>
      <c r="V217" s="213"/>
      <c r="W217" s="235"/>
      <c r="X217" s="218"/>
      <c r="Y217" s="219"/>
      <c r="Z217" s="205"/>
      <c r="AA217" s="205"/>
      <c r="AB217" s="205"/>
      <c r="AC217" s="9"/>
    </row>
    <row r="218" ht="15.75" customHeight="1">
      <c r="A218" s="340"/>
      <c r="B218" s="341"/>
      <c r="C218" s="341"/>
      <c r="D218" s="341"/>
      <c r="E218" s="341"/>
      <c r="F218" s="341"/>
      <c r="G218" s="341"/>
      <c r="H218" s="341"/>
      <c r="I218" s="341"/>
      <c r="J218" s="341"/>
      <c r="K218" s="341"/>
      <c r="L218" s="341"/>
      <c r="M218" s="342"/>
      <c r="N218" s="341"/>
      <c r="O218" s="343"/>
      <c r="P218" s="344"/>
      <c r="Q218" s="344"/>
      <c r="R218" s="344"/>
      <c r="S218" s="345"/>
      <c r="T218" s="345"/>
      <c r="U218" s="212"/>
      <c r="V218" s="213"/>
      <c r="W218" s="344"/>
      <c r="X218" s="344"/>
      <c r="Y218" s="219"/>
      <c r="Z218" s="205"/>
      <c r="AA218" s="205"/>
      <c r="AB218" s="205"/>
      <c r="AC218" s="9"/>
    </row>
    <row r="219" ht="15.75" customHeight="1">
      <c r="A219" s="340"/>
      <c r="B219" s="346" t="s">
        <v>431</v>
      </c>
      <c r="C219" s="347" t="s">
        <v>432</v>
      </c>
      <c r="D219" s="348" t="s">
        <v>433</v>
      </c>
      <c r="E219" s="348" t="s">
        <v>434</v>
      </c>
      <c r="F219" s="349" t="s">
        <v>5</v>
      </c>
      <c r="G219" s="348" t="s">
        <v>435</v>
      </c>
      <c r="H219" s="348" t="s">
        <v>25</v>
      </c>
      <c r="I219" s="349" t="s">
        <v>26</v>
      </c>
      <c r="J219" s="349" t="s">
        <v>436</v>
      </c>
      <c r="K219" s="349" t="s">
        <v>437</v>
      </c>
      <c r="L219" s="349" t="s">
        <v>438</v>
      </c>
      <c r="M219" s="350" t="s">
        <v>9</v>
      </c>
      <c r="N219" s="351" t="s">
        <v>439</v>
      </c>
      <c r="O219" s="352"/>
      <c r="Q219" s="340"/>
      <c r="R219" s="340"/>
      <c r="S219" s="340"/>
      <c r="T219" s="340"/>
      <c r="U219" s="212"/>
      <c r="V219" s="213"/>
      <c r="W219" s="340"/>
      <c r="X219" s="299"/>
      <c r="Y219" s="353"/>
      <c r="Z219" s="205"/>
      <c r="AA219" s="205"/>
      <c r="AB219" s="205"/>
      <c r="AC219" s="9"/>
    </row>
    <row r="220" ht="36.75" customHeight="1">
      <c r="A220" s="354"/>
      <c r="B220" s="355">
        <v>11.0</v>
      </c>
      <c r="C220" s="356">
        <v>45252.0</v>
      </c>
      <c r="D220" s="69">
        <v>1.711709949781E12</v>
      </c>
      <c r="E220" s="69" t="s">
        <v>440</v>
      </c>
      <c r="F220" s="71" t="s">
        <v>441</v>
      </c>
      <c r="G220" s="68" t="s">
        <v>442</v>
      </c>
      <c r="H220" s="357"/>
      <c r="I220" s="358"/>
      <c r="J220" s="359"/>
      <c r="K220" s="359"/>
      <c r="L220" s="355" t="s">
        <v>443</v>
      </c>
      <c r="M220" s="360">
        <v>26000.0</v>
      </c>
      <c r="N220" s="361" t="s">
        <v>444</v>
      </c>
      <c r="O220" s="362"/>
      <c r="Q220" s="363"/>
      <c r="R220" s="364"/>
      <c r="S220" s="364"/>
      <c r="T220" s="364"/>
      <c r="U220" s="212"/>
      <c r="V220" s="213"/>
      <c r="W220" s="364"/>
      <c r="X220" s="364"/>
      <c r="Y220" s="365"/>
      <c r="Z220" s="205"/>
      <c r="AA220" s="205"/>
      <c r="AB220" s="205"/>
      <c r="AC220" s="9"/>
    </row>
    <row r="221" ht="36.75" customHeight="1">
      <c r="A221" s="354"/>
      <c r="B221" s="355">
        <v>12.0</v>
      </c>
      <c r="C221" s="356">
        <v>45267.0</v>
      </c>
      <c r="D221" s="69" t="s">
        <v>199</v>
      </c>
      <c r="E221" s="69" t="s">
        <v>50</v>
      </c>
      <c r="F221" s="71" t="s">
        <v>200</v>
      </c>
      <c r="G221" s="68" t="s">
        <v>70</v>
      </c>
      <c r="H221" s="366" t="s">
        <v>30</v>
      </c>
      <c r="I221" s="355">
        <v>1.0</v>
      </c>
      <c r="J221" s="367">
        <v>220000.0</v>
      </c>
      <c r="K221" s="368">
        <f t="shared" ref="K221:K223" si="55">J221*I221</f>
        <v>220000</v>
      </c>
      <c r="L221" s="355" t="s">
        <v>443</v>
      </c>
      <c r="M221" s="360"/>
      <c r="N221" s="361" t="s">
        <v>444</v>
      </c>
      <c r="O221" s="362"/>
      <c r="Q221" s="369"/>
      <c r="R221" s="364"/>
      <c r="S221" s="364"/>
      <c r="T221" s="364"/>
      <c r="U221" s="212"/>
      <c r="V221" s="213"/>
      <c r="W221" s="370"/>
      <c r="X221" s="364"/>
      <c r="Y221" s="365"/>
      <c r="Z221" s="205"/>
      <c r="AA221" s="205"/>
      <c r="AB221" s="205"/>
      <c r="AC221" s="9"/>
    </row>
    <row r="222" ht="36.75" customHeight="1">
      <c r="A222" s="354"/>
      <c r="B222" s="371">
        <v>12.0</v>
      </c>
      <c r="C222" s="372">
        <v>45271.0</v>
      </c>
      <c r="D222" s="373" t="s">
        <v>230</v>
      </c>
      <c r="E222" s="373" t="s">
        <v>50</v>
      </c>
      <c r="F222" s="374" t="s">
        <v>231</v>
      </c>
      <c r="G222" s="375" t="s">
        <v>232</v>
      </c>
      <c r="H222" s="366" t="s">
        <v>30</v>
      </c>
      <c r="I222" s="371">
        <v>1.0</v>
      </c>
      <c r="J222" s="367">
        <v>220000.0</v>
      </c>
      <c r="K222" s="368">
        <f t="shared" si="55"/>
        <v>220000</v>
      </c>
      <c r="L222" s="355" t="s">
        <v>443</v>
      </c>
      <c r="M222" s="360"/>
      <c r="N222" s="361" t="s">
        <v>444</v>
      </c>
      <c r="O222" s="362"/>
      <c r="Q222" s="369"/>
      <c r="R222" s="364"/>
      <c r="S222" s="364"/>
      <c r="T222" s="364"/>
      <c r="U222" s="212"/>
      <c r="V222" s="213"/>
      <c r="W222" s="370"/>
      <c r="X222" s="364"/>
      <c r="Y222" s="365"/>
      <c r="Z222" s="205"/>
      <c r="AA222" s="205"/>
      <c r="AB222" s="205"/>
      <c r="AC222" s="9"/>
    </row>
    <row r="223" ht="48.75" customHeight="1">
      <c r="A223" s="376"/>
      <c r="B223" s="377">
        <v>12.0</v>
      </c>
      <c r="C223" s="378">
        <v>45278.0</v>
      </c>
      <c r="D223" s="377">
        <v>1.716355353957E12</v>
      </c>
      <c r="E223" s="377" t="s">
        <v>303</v>
      </c>
      <c r="F223" s="379" t="s">
        <v>304</v>
      </c>
      <c r="G223" s="68" t="s">
        <v>305</v>
      </c>
      <c r="H223" s="377" t="s">
        <v>35</v>
      </c>
      <c r="I223" s="377">
        <v>2.0</v>
      </c>
      <c r="J223" s="367">
        <v>220000.0</v>
      </c>
      <c r="K223" s="368">
        <f t="shared" si="55"/>
        <v>440000</v>
      </c>
      <c r="L223" s="380"/>
      <c r="M223" s="360">
        <v>43001.0</v>
      </c>
      <c r="N223" s="361" t="s">
        <v>444</v>
      </c>
      <c r="O223" s="381"/>
      <c r="P223" s="381"/>
      <c r="Q223" s="382"/>
      <c r="R223" s="383"/>
      <c r="S223" s="383"/>
      <c r="T223" s="383"/>
      <c r="U223" s="384"/>
      <c r="V223" s="385"/>
      <c r="W223" s="386"/>
      <c r="X223" s="383"/>
      <c r="Y223" s="387"/>
      <c r="Z223" s="388"/>
      <c r="AA223" s="388"/>
      <c r="AB223" s="388"/>
      <c r="AC223" s="282"/>
    </row>
    <row r="224" ht="31.5" customHeight="1">
      <c r="A224" s="354"/>
      <c r="B224" s="389" t="s">
        <v>421</v>
      </c>
      <c r="C224" s="16"/>
      <c r="D224" s="16"/>
      <c r="E224" s="16"/>
      <c r="F224" s="16"/>
      <c r="G224" s="16"/>
      <c r="H224" s="16"/>
      <c r="I224" s="16"/>
      <c r="J224" s="17"/>
      <c r="K224" s="390">
        <f>SUM(K220:K223)</f>
        <v>880000</v>
      </c>
      <c r="L224" s="390">
        <f>SUM(L220:L222)</f>
        <v>0</v>
      </c>
      <c r="M224" s="391">
        <f t="shared" ref="M224:N224" si="56">SUM(M220:M223)</f>
        <v>69001</v>
      </c>
      <c r="N224" s="392">
        <f t="shared" si="56"/>
        <v>0</v>
      </c>
      <c r="O224" s="393"/>
      <c r="Q224" s="363"/>
      <c r="R224" s="364"/>
      <c r="S224" s="364"/>
      <c r="T224" s="364"/>
      <c r="U224" s="212"/>
      <c r="V224" s="213"/>
      <c r="W224" s="370"/>
      <c r="X224" s="364"/>
      <c r="Y224" s="365"/>
      <c r="Z224" s="205"/>
      <c r="AA224" s="205"/>
      <c r="AB224" s="205"/>
      <c r="AC224" s="9"/>
    </row>
    <row r="225" ht="15.75" customHeight="1">
      <c r="A225" s="344"/>
      <c r="B225" s="345"/>
      <c r="C225" s="394"/>
      <c r="D225" s="395"/>
      <c r="E225" s="395"/>
      <c r="F225" s="395"/>
      <c r="G225" s="396"/>
      <c r="H225" s="345"/>
      <c r="I225" s="344"/>
      <c r="J225" s="344"/>
      <c r="K225" s="107"/>
      <c r="L225" s="344"/>
      <c r="M225" s="345"/>
      <c r="N225" s="344"/>
      <c r="O225" s="343"/>
      <c r="P225" s="344"/>
      <c r="Q225" s="344"/>
      <c r="R225" s="344"/>
      <c r="S225" s="345"/>
      <c r="T225" s="345"/>
      <c r="U225" s="212"/>
      <c r="V225" s="213"/>
      <c r="W225" s="344"/>
      <c r="X225" s="344"/>
      <c r="Y225" s="219"/>
      <c r="Z225" s="205"/>
      <c r="AA225" s="205"/>
      <c r="AB225" s="205"/>
      <c r="AC225" s="9"/>
    </row>
    <row r="226" ht="15.75" customHeight="1">
      <c r="C226" s="394"/>
      <c r="D226" s="395"/>
      <c r="E226" s="395"/>
      <c r="F226" s="395"/>
      <c r="G226" s="396"/>
      <c r="H226" s="224"/>
      <c r="I226" s="225"/>
      <c r="J226" s="225"/>
      <c r="K226" s="22"/>
      <c r="L226" s="9"/>
      <c r="M226" s="223"/>
      <c r="N226" s="9"/>
      <c r="O226" s="226"/>
      <c r="P226" s="9"/>
      <c r="Q226" s="9"/>
      <c r="R226" s="9"/>
      <c r="S226" s="223"/>
      <c r="T226" s="223"/>
      <c r="U226" s="212"/>
      <c r="V226" s="213"/>
      <c r="W226" s="9"/>
      <c r="X226" s="9"/>
      <c r="Y226" s="204"/>
      <c r="Z226" s="205"/>
      <c r="AA226" s="205"/>
      <c r="AB226" s="205"/>
      <c r="AC226" s="9"/>
    </row>
    <row r="227" ht="15.75" customHeight="1">
      <c r="C227" s="397"/>
      <c r="D227" s="9"/>
      <c r="E227" s="9"/>
      <c r="F227" s="222"/>
      <c r="G227" s="223"/>
      <c r="H227" s="224"/>
      <c r="I227" s="225"/>
      <c r="J227" s="225"/>
      <c r="K227" s="22"/>
      <c r="L227" s="9"/>
      <c r="M227" s="223"/>
      <c r="N227" s="9"/>
      <c r="O227" s="226"/>
      <c r="P227" s="9"/>
      <c r="Q227" s="9"/>
      <c r="R227" s="9"/>
      <c r="S227" s="223"/>
      <c r="T227" s="223"/>
      <c r="U227" s="212"/>
      <c r="V227" s="213"/>
      <c r="W227" s="9"/>
      <c r="X227" s="9"/>
      <c r="Y227" s="204"/>
      <c r="Z227" s="9"/>
      <c r="AA227" s="9"/>
      <c r="AB227" s="9"/>
      <c r="AC227" s="9"/>
    </row>
    <row r="228" ht="15.75" customHeight="1">
      <c r="A228" s="9"/>
      <c r="B228" s="223"/>
      <c r="C228" s="397"/>
      <c r="D228" s="9"/>
      <c r="E228" s="9"/>
      <c r="F228" s="222"/>
      <c r="G228" s="223"/>
      <c r="H228" s="224"/>
      <c r="I228" s="225"/>
      <c r="J228" s="225"/>
      <c r="K228" s="22"/>
      <c r="L228" s="9"/>
      <c r="M228" s="223"/>
      <c r="N228" s="9"/>
      <c r="O228" s="226"/>
      <c r="P228" s="9"/>
      <c r="Q228" s="9"/>
      <c r="R228" s="9"/>
      <c r="S228" s="223"/>
      <c r="T228" s="223"/>
      <c r="U228" s="212"/>
      <c r="V228" s="213"/>
      <c r="W228" s="9"/>
      <c r="X228" s="9"/>
      <c r="Y228" s="204"/>
      <c r="Z228" s="9"/>
      <c r="AA228" s="9"/>
      <c r="AB228" s="9"/>
      <c r="AC228" s="9"/>
    </row>
    <row r="229" ht="15.75" customHeight="1">
      <c r="A229" s="9"/>
      <c r="B229" s="223"/>
      <c r="C229" s="397"/>
      <c r="D229" s="9"/>
      <c r="E229" s="9"/>
      <c r="F229" s="222"/>
      <c r="G229" s="223"/>
      <c r="H229" s="224"/>
      <c r="I229" s="225"/>
      <c r="J229" s="225"/>
      <c r="K229" s="22"/>
      <c r="L229" s="9"/>
      <c r="M229" s="223"/>
      <c r="N229" s="9"/>
      <c r="O229" s="226"/>
      <c r="P229" s="9"/>
      <c r="Q229" s="9"/>
      <c r="R229" s="9"/>
      <c r="S229" s="223"/>
      <c r="T229" s="223"/>
      <c r="U229" s="212"/>
      <c r="V229" s="213"/>
      <c r="W229" s="9"/>
      <c r="X229" s="9"/>
      <c r="Y229" s="204"/>
      <c r="Z229" s="9"/>
      <c r="AA229" s="9"/>
      <c r="AB229" s="9"/>
      <c r="AC229" s="9"/>
    </row>
    <row r="230" ht="15.75" customHeight="1">
      <c r="A230" s="9"/>
      <c r="B230" s="223"/>
      <c r="C230" s="397"/>
      <c r="D230" s="9"/>
      <c r="E230" s="9"/>
      <c r="F230" s="222"/>
      <c r="G230" s="223"/>
      <c r="H230" s="224"/>
      <c r="I230" s="225"/>
      <c r="J230" s="225"/>
      <c r="K230" s="22"/>
      <c r="L230" s="9"/>
      <c r="M230" s="223"/>
      <c r="N230" s="9"/>
      <c r="O230" s="226"/>
      <c r="P230" s="9"/>
      <c r="Q230" s="9"/>
      <c r="R230" s="9"/>
      <c r="S230" s="223"/>
      <c r="T230" s="223"/>
      <c r="U230" s="212"/>
      <c r="V230" s="213"/>
      <c r="W230" s="9"/>
      <c r="X230" s="9"/>
      <c r="Y230" s="204"/>
      <c r="Z230" s="9"/>
      <c r="AA230" s="9"/>
      <c r="AB230" s="9"/>
      <c r="AC230" s="9"/>
    </row>
    <row r="231" ht="15.75" customHeight="1">
      <c r="A231" s="9"/>
      <c r="B231" s="223"/>
      <c r="C231" s="397"/>
      <c r="D231" s="9"/>
      <c r="E231" s="9"/>
      <c r="F231" s="222"/>
      <c r="G231" s="223"/>
      <c r="H231" s="224"/>
      <c r="I231" s="225"/>
      <c r="J231" s="398"/>
      <c r="K231" s="22"/>
      <c r="L231" s="9"/>
      <c r="M231" s="223"/>
      <c r="N231" s="9"/>
      <c r="O231" s="226"/>
      <c r="P231" s="9"/>
      <c r="Q231" s="9"/>
      <c r="R231" s="9"/>
      <c r="S231" s="223"/>
      <c r="T231" s="223"/>
      <c r="U231" s="212"/>
      <c r="V231" s="213"/>
      <c r="W231" s="9"/>
      <c r="X231" s="9"/>
      <c r="Y231" s="204"/>
      <c r="Z231" s="9"/>
      <c r="AA231" s="9"/>
      <c r="AB231" s="9"/>
      <c r="AC231" s="9"/>
    </row>
    <row r="232" ht="15.75" customHeight="1">
      <c r="A232" s="9"/>
      <c r="B232" s="223"/>
      <c r="C232" s="397"/>
      <c r="D232" s="9"/>
      <c r="E232" s="9"/>
      <c r="F232" s="222"/>
      <c r="G232" s="223"/>
      <c r="H232" s="224"/>
      <c r="I232" s="225"/>
      <c r="J232" s="225"/>
      <c r="K232" s="22"/>
      <c r="L232" s="9"/>
      <c r="M232" s="223"/>
      <c r="N232" s="9"/>
      <c r="O232" s="226"/>
      <c r="P232" s="9"/>
      <c r="Q232" s="9"/>
      <c r="R232" s="9"/>
      <c r="S232" s="223"/>
      <c r="T232" s="223"/>
      <c r="U232" s="212"/>
      <c r="V232" s="213"/>
      <c r="W232" s="9"/>
      <c r="X232" s="9"/>
      <c r="Y232" s="204"/>
      <c r="Z232" s="9"/>
      <c r="AA232" s="9"/>
      <c r="AB232" s="9"/>
      <c r="AC232" s="9"/>
    </row>
    <row r="233" ht="15.75" customHeight="1">
      <c r="A233" s="9"/>
      <c r="B233" s="223"/>
      <c r="C233" s="397"/>
      <c r="D233" s="9"/>
      <c r="E233" s="9"/>
      <c r="F233" s="222"/>
      <c r="G233" s="223"/>
      <c r="H233" s="224"/>
      <c r="I233" s="225"/>
      <c r="J233" s="225"/>
      <c r="K233" s="22"/>
      <c r="L233" s="9"/>
      <c r="M233" s="223"/>
      <c r="N233" s="9"/>
      <c r="O233" s="226"/>
      <c r="P233" s="9"/>
      <c r="Q233" s="9"/>
      <c r="R233" s="9"/>
      <c r="S233" s="223"/>
      <c r="T233" s="223"/>
      <c r="U233" s="212"/>
      <c r="V233" s="213"/>
      <c r="W233" s="9"/>
      <c r="X233" s="9"/>
      <c r="Y233" s="204"/>
      <c r="Z233" s="9"/>
      <c r="AA233" s="9"/>
      <c r="AB233" s="9"/>
      <c r="AC233" s="9"/>
    </row>
    <row r="234" ht="15.75" customHeight="1">
      <c r="A234" s="9"/>
      <c r="B234" s="223"/>
      <c r="C234" s="397"/>
      <c r="D234" s="9"/>
      <c r="E234" s="9"/>
      <c r="F234" s="222"/>
      <c r="G234" s="223"/>
      <c r="H234" s="224"/>
      <c r="I234" s="399"/>
      <c r="J234" s="399"/>
      <c r="K234" s="22"/>
      <c r="L234" s="9"/>
      <c r="M234" s="223"/>
      <c r="N234" s="9"/>
      <c r="O234" s="226"/>
      <c r="P234" s="9"/>
      <c r="Q234" s="9"/>
      <c r="R234" s="9"/>
      <c r="S234" s="223"/>
      <c r="T234" s="223"/>
      <c r="U234" s="212"/>
      <c r="V234" s="213"/>
      <c r="W234" s="9"/>
      <c r="X234" s="9"/>
      <c r="Y234" s="204"/>
      <c r="Z234" s="9"/>
      <c r="AA234" s="9"/>
      <c r="AB234" s="9"/>
      <c r="AC234" s="9"/>
    </row>
    <row r="235" ht="15.75" customHeight="1">
      <c r="A235" s="9"/>
      <c r="B235" s="223"/>
      <c r="C235" s="397"/>
      <c r="D235" s="9"/>
      <c r="E235" s="9"/>
      <c r="F235" s="222"/>
      <c r="G235" s="223"/>
      <c r="H235" s="224"/>
      <c r="I235" s="225"/>
      <c r="J235" s="399"/>
      <c r="K235" s="22"/>
      <c r="L235" s="9"/>
      <c r="M235" s="223"/>
      <c r="N235" s="9"/>
      <c r="O235" s="226"/>
      <c r="P235" s="9"/>
      <c r="Q235" s="9"/>
      <c r="R235" s="9"/>
      <c r="S235" s="223"/>
      <c r="T235" s="223"/>
      <c r="U235" s="212"/>
      <c r="V235" s="213"/>
      <c r="W235" s="9"/>
      <c r="X235" s="9"/>
      <c r="Y235" s="204"/>
      <c r="Z235" s="9"/>
      <c r="AA235" s="9"/>
      <c r="AB235" s="9"/>
      <c r="AC235" s="9"/>
    </row>
    <row r="236" ht="15.75" customHeight="1">
      <c r="A236" s="9"/>
      <c r="B236" s="223"/>
      <c r="C236" s="397"/>
      <c r="D236" s="9"/>
      <c r="E236" s="9"/>
      <c r="F236" s="222"/>
      <c r="G236" s="223"/>
      <c r="H236" s="224"/>
      <c r="I236" s="225"/>
      <c r="J236" s="225"/>
      <c r="K236" s="22"/>
      <c r="L236" s="9"/>
      <c r="M236" s="223"/>
      <c r="N236" s="9"/>
      <c r="O236" s="226"/>
      <c r="P236" s="9"/>
      <c r="Q236" s="9"/>
      <c r="R236" s="9"/>
      <c r="S236" s="223"/>
      <c r="T236" s="223"/>
      <c r="U236" s="212"/>
      <c r="V236" s="213"/>
      <c r="W236" s="9"/>
      <c r="X236" s="9"/>
      <c r="Y236" s="204"/>
      <c r="Z236" s="9"/>
      <c r="AA236" s="9"/>
      <c r="AB236" s="9"/>
      <c r="AC236" s="9"/>
    </row>
    <row r="237" ht="15.75" customHeight="1">
      <c r="A237" s="9"/>
      <c r="B237" s="223"/>
      <c r="C237" s="397"/>
      <c r="D237" s="9"/>
      <c r="E237" s="9"/>
      <c r="F237" s="222"/>
      <c r="G237" s="223"/>
      <c r="H237" s="224"/>
      <c r="I237" s="225"/>
      <c r="J237" s="225"/>
      <c r="K237" s="22"/>
      <c r="L237" s="9"/>
      <c r="M237" s="223"/>
      <c r="N237" s="9"/>
      <c r="O237" s="226"/>
      <c r="P237" s="9"/>
      <c r="Q237" s="9"/>
      <c r="R237" s="9"/>
      <c r="S237" s="223"/>
      <c r="T237" s="223"/>
      <c r="U237" s="212"/>
      <c r="V237" s="213"/>
      <c r="W237" s="9"/>
      <c r="X237" s="9"/>
      <c r="Y237" s="204"/>
      <c r="Z237" s="9"/>
      <c r="AA237" s="9"/>
      <c r="AB237" s="9"/>
      <c r="AC237" s="9"/>
    </row>
    <row r="238" ht="15.75" customHeight="1">
      <c r="A238" s="9"/>
      <c r="B238" s="223"/>
      <c r="C238" s="397"/>
      <c r="D238" s="9"/>
      <c r="E238" s="9"/>
      <c r="F238" s="222"/>
      <c r="G238" s="223"/>
      <c r="H238" s="224"/>
      <c r="I238" s="225"/>
      <c r="J238" s="225"/>
      <c r="K238" s="22"/>
      <c r="L238" s="9"/>
      <c r="M238" s="223"/>
      <c r="N238" s="9"/>
      <c r="O238" s="226"/>
      <c r="P238" s="9"/>
      <c r="Q238" s="9"/>
      <c r="R238" s="9"/>
      <c r="S238" s="223"/>
      <c r="T238" s="223"/>
      <c r="U238" s="212"/>
      <c r="V238" s="213"/>
      <c r="W238" s="9"/>
      <c r="X238" s="9"/>
      <c r="Y238" s="204"/>
      <c r="Z238" s="9"/>
      <c r="AA238" s="9"/>
      <c r="AB238" s="9"/>
      <c r="AC238" s="9"/>
    </row>
    <row r="239" ht="15.75" customHeight="1">
      <c r="A239" s="9"/>
      <c r="B239" s="9"/>
      <c r="C239" s="9"/>
      <c r="D239" s="9"/>
      <c r="E239" s="9"/>
      <c r="F239" s="9"/>
      <c r="G239" s="9"/>
      <c r="H239" s="9"/>
      <c r="I239" s="9"/>
      <c r="J239" s="9"/>
      <c r="K239" s="9"/>
      <c r="L239" s="9"/>
      <c r="M239" s="223"/>
      <c r="N239" s="9"/>
      <c r="O239" s="9"/>
      <c r="P239" s="9"/>
      <c r="Q239" s="9"/>
      <c r="R239" s="9"/>
      <c r="S239" s="223"/>
      <c r="T239" s="223"/>
      <c r="U239" s="400"/>
      <c r="V239" s="401"/>
      <c r="W239" s="9"/>
      <c r="X239" s="9"/>
      <c r="Y239" s="204"/>
      <c r="Z239" s="9"/>
      <c r="AA239" s="9"/>
      <c r="AB239" s="9"/>
      <c r="AC239" s="9"/>
    </row>
    <row r="240" ht="15.75" customHeight="1">
      <c r="A240" s="9"/>
      <c r="B240" s="9"/>
      <c r="C240" s="9"/>
      <c r="D240" s="9"/>
      <c r="E240" s="9"/>
      <c r="F240" s="9"/>
      <c r="G240" s="9"/>
      <c r="H240" s="9"/>
      <c r="I240" s="9"/>
      <c r="J240" s="9"/>
      <c r="K240" s="9"/>
      <c r="L240" s="9"/>
      <c r="M240" s="223"/>
      <c r="N240" s="9"/>
      <c r="O240" s="9"/>
      <c r="P240" s="9"/>
      <c r="Q240" s="9"/>
      <c r="R240" s="9"/>
      <c r="S240" s="223"/>
      <c r="T240" s="223"/>
      <c r="U240" s="223"/>
      <c r="V240" s="9"/>
      <c r="W240" s="9"/>
      <c r="X240" s="9"/>
      <c r="Y240" s="204"/>
      <c r="Z240" s="9"/>
      <c r="AA240" s="9"/>
      <c r="AB240" s="9"/>
      <c r="AC240" s="9"/>
    </row>
    <row r="241" ht="15.75" customHeight="1">
      <c r="A241" s="9"/>
      <c r="B241" s="9"/>
      <c r="C241" s="9"/>
      <c r="D241" s="9"/>
      <c r="E241" s="9"/>
      <c r="F241" s="9"/>
      <c r="G241" s="9"/>
      <c r="H241" s="9"/>
      <c r="I241" s="9"/>
      <c r="J241" s="9"/>
      <c r="K241" s="9"/>
      <c r="L241" s="9"/>
      <c r="M241" s="223"/>
      <c r="N241" s="9"/>
      <c r="O241" s="9"/>
      <c r="P241" s="9"/>
      <c r="Q241" s="9"/>
      <c r="R241" s="9"/>
      <c r="S241" s="223"/>
      <c r="T241" s="223"/>
      <c r="U241" s="223"/>
      <c r="V241" s="9"/>
      <c r="W241" s="9"/>
      <c r="X241" s="9"/>
      <c r="Y241" s="204"/>
      <c r="Z241" s="9"/>
      <c r="AA241" s="9"/>
      <c r="AB241" s="9"/>
      <c r="AC241" s="9"/>
    </row>
    <row r="242" ht="15.75" customHeight="1">
      <c r="A242" s="9"/>
      <c r="B242" s="9"/>
      <c r="C242" s="9"/>
      <c r="D242" s="9"/>
      <c r="E242" s="9"/>
      <c r="F242" s="9"/>
      <c r="G242" s="9"/>
      <c r="H242" s="9"/>
      <c r="I242" s="9"/>
      <c r="J242" s="9"/>
      <c r="K242" s="9"/>
      <c r="L242" s="9"/>
      <c r="M242" s="223"/>
      <c r="N242" s="9"/>
      <c r="O242" s="9"/>
      <c r="P242" s="9"/>
      <c r="Q242" s="9"/>
      <c r="R242" s="9"/>
      <c r="S242" s="223"/>
      <c r="T242" s="223"/>
      <c r="U242" s="223"/>
      <c r="V242" s="9"/>
      <c r="W242" s="9"/>
      <c r="X242" s="9"/>
      <c r="Y242" s="204"/>
      <c r="Z242" s="9"/>
      <c r="AA242" s="9"/>
      <c r="AB242" s="9"/>
      <c r="AC242" s="9"/>
    </row>
    <row r="243" ht="15.75" customHeight="1">
      <c r="A243" s="9"/>
      <c r="B243" s="9"/>
      <c r="C243" s="9"/>
      <c r="D243" s="9"/>
      <c r="E243" s="9"/>
      <c r="F243" s="9"/>
      <c r="G243" s="9"/>
      <c r="H243" s="9"/>
      <c r="I243" s="9"/>
      <c r="J243" s="9"/>
      <c r="K243" s="9"/>
      <c r="L243" s="9"/>
      <c r="M243" s="223"/>
      <c r="N243" s="9"/>
      <c r="O243" s="9"/>
      <c r="P243" s="9"/>
      <c r="Q243" s="9"/>
      <c r="R243" s="9"/>
      <c r="S243" s="223"/>
      <c r="T243" s="223"/>
      <c r="U243" s="223"/>
      <c r="V243" s="9"/>
      <c r="W243" s="9"/>
      <c r="X243" s="9"/>
      <c r="Y243" s="204"/>
      <c r="Z243" s="9"/>
      <c r="AA243" s="9"/>
      <c r="AB243" s="9"/>
      <c r="AC243" s="9"/>
    </row>
    <row r="244" ht="15.75" customHeight="1">
      <c r="A244" s="9"/>
      <c r="B244" s="9"/>
      <c r="C244" s="9"/>
      <c r="D244" s="9"/>
      <c r="E244" s="9"/>
      <c r="F244" s="9"/>
      <c r="G244" s="9"/>
      <c r="H244" s="9"/>
      <c r="I244" s="9"/>
      <c r="J244" s="9"/>
      <c r="K244" s="9"/>
      <c r="L244" s="9"/>
      <c r="M244" s="223"/>
      <c r="N244" s="9"/>
      <c r="O244" s="9"/>
      <c r="P244" s="9"/>
      <c r="Q244" s="9"/>
      <c r="R244" s="9"/>
      <c r="S244" s="223"/>
      <c r="T244" s="223"/>
      <c r="U244" s="223"/>
      <c r="V244" s="9"/>
      <c r="W244" s="9"/>
      <c r="X244" s="9"/>
      <c r="Y244" s="204"/>
      <c r="Z244" s="9"/>
      <c r="AA244" s="9"/>
      <c r="AB244" s="9"/>
      <c r="AC244" s="9"/>
    </row>
    <row r="245" ht="15.75" customHeight="1">
      <c r="A245" s="9"/>
      <c r="B245" s="9"/>
      <c r="C245" s="9"/>
      <c r="D245" s="9"/>
      <c r="E245" s="9"/>
      <c r="F245" s="9"/>
      <c r="G245" s="9"/>
      <c r="H245" s="9"/>
      <c r="I245" s="9"/>
      <c r="J245" s="9"/>
      <c r="K245" s="9"/>
      <c r="L245" s="9"/>
      <c r="M245" s="223"/>
      <c r="N245" s="9"/>
      <c r="O245" s="9"/>
      <c r="P245" s="9"/>
      <c r="Q245" s="9"/>
      <c r="R245" s="9"/>
      <c r="S245" s="223"/>
      <c r="T245" s="223"/>
      <c r="U245" s="223"/>
      <c r="V245" s="9"/>
      <c r="W245" s="9"/>
      <c r="X245" s="9"/>
      <c r="Y245" s="204"/>
      <c r="Z245" s="9"/>
      <c r="AA245" s="9"/>
      <c r="AB245" s="9"/>
      <c r="AC245" s="9"/>
    </row>
    <row r="246" ht="15.75" customHeight="1">
      <c r="A246" s="9"/>
      <c r="B246" s="9"/>
      <c r="C246" s="9"/>
      <c r="D246" s="9"/>
      <c r="E246" s="9"/>
      <c r="F246" s="9"/>
      <c r="G246" s="9"/>
      <c r="H246" s="9"/>
      <c r="I246" s="9"/>
      <c r="J246" s="9"/>
      <c r="K246" s="9"/>
      <c r="L246" s="9"/>
      <c r="M246" s="223"/>
      <c r="N246" s="9"/>
      <c r="O246" s="9"/>
      <c r="P246" s="9"/>
      <c r="Q246" s="9"/>
      <c r="R246" s="9"/>
      <c r="S246" s="223"/>
      <c r="T246" s="223"/>
      <c r="U246" s="223"/>
      <c r="V246" s="9"/>
      <c r="W246" s="9"/>
      <c r="X246" s="9"/>
      <c r="Y246" s="204"/>
      <c r="Z246" s="9"/>
      <c r="AA246" s="9"/>
      <c r="AB246" s="9"/>
      <c r="AC246" s="9"/>
    </row>
    <row r="247" ht="15.75" customHeight="1">
      <c r="A247" s="9"/>
      <c r="B247" s="9"/>
      <c r="C247" s="9"/>
      <c r="D247" s="9"/>
      <c r="E247" s="9"/>
      <c r="F247" s="9"/>
      <c r="G247" s="9"/>
      <c r="H247" s="9"/>
      <c r="I247" s="9"/>
      <c r="J247" s="9"/>
      <c r="K247" s="9"/>
      <c r="L247" s="9"/>
      <c r="M247" s="223"/>
      <c r="N247" s="9"/>
      <c r="O247" s="9"/>
      <c r="P247" s="9"/>
      <c r="Q247" s="9"/>
      <c r="R247" s="9"/>
      <c r="S247" s="223"/>
      <c r="T247" s="223"/>
      <c r="U247" s="223"/>
      <c r="V247" s="9"/>
      <c r="W247" s="9"/>
      <c r="X247" s="9"/>
      <c r="Y247" s="204"/>
      <c r="Z247" s="9"/>
      <c r="AA247" s="9"/>
      <c r="AB247" s="9"/>
      <c r="AC247" s="9"/>
    </row>
    <row r="248" ht="15.75" customHeight="1">
      <c r="A248" s="9"/>
      <c r="B248" s="9"/>
      <c r="C248" s="9"/>
      <c r="D248" s="9"/>
      <c r="E248" s="9"/>
      <c r="F248" s="9"/>
      <c r="G248" s="9"/>
      <c r="H248" s="9"/>
      <c r="I248" s="9"/>
      <c r="J248" s="9"/>
      <c r="K248" s="9"/>
      <c r="L248" s="9"/>
      <c r="M248" s="223"/>
      <c r="N248" s="9"/>
      <c r="O248" s="9"/>
      <c r="P248" s="9"/>
      <c r="Q248" s="9"/>
      <c r="R248" s="9"/>
      <c r="S248" s="223"/>
      <c r="T248" s="223"/>
      <c r="U248" s="223"/>
      <c r="V248" s="9"/>
      <c r="W248" s="9"/>
      <c r="X248" s="9"/>
      <c r="Y248" s="204"/>
      <c r="Z248" s="9"/>
      <c r="AA248" s="9"/>
      <c r="AB248" s="9"/>
      <c r="AC248" s="9"/>
    </row>
    <row r="249" ht="15.75" customHeight="1">
      <c r="A249" s="9"/>
      <c r="B249" s="9"/>
      <c r="C249" s="9"/>
      <c r="D249" s="9"/>
      <c r="E249" s="9"/>
      <c r="F249" s="9"/>
      <c r="G249" s="9"/>
      <c r="H249" s="9"/>
      <c r="I249" s="9"/>
      <c r="J249" s="9"/>
      <c r="K249" s="9"/>
      <c r="L249" s="9"/>
      <c r="M249" s="223"/>
      <c r="N249" s="9"/>
      <c r="O249" s="9"/>
      <c r="P249" s="9"/>
      <c r="Q249" s="9"/>
      <c r="R249" s="9"/>
      <c r="S249" s="223"/>
      <c r="T249" s="223"/>
      <c r="U249" s="223"/>
      <c r="V249" s="9"/>
      <c r="W249" s="9"/>
      <c r="X249" s="9"/>
      <c r="Y249" s="204"/>
      <c r="Z249" s="9"/>
      <c r="AA249" s="9"/>
      <c r="AB249" s="9"/>
      <c r="AC249" s="9"/>
    </row>
    <row r="250" ht="15.75" customHeight="1">
      <c r="A250" s="9"/>
      <c r="B250" s="9"/>
      <c r="C250" s="9"/>
      <c r="D250" s="9"/>
      <c r="E250" s="9"/>
      <c r="F250" s="9"/>
      <c r="G250" s="9"/>
      <c r="H250" s="9"/>
      <c r="I250" s="9"/>
      <c r="J250" s="9"/>
      <c r="K250" s="9"/>
      <c r="L250" s="9"/>
      <c r="M250" s="223"/>
      <c r="N250" s="9"/>
      <c r="O250" s="9"/>
      <c r="P250" s="9"/>
      <c r="Q250" s="9"/>
      <c r="R250" s="9"/>
      <c r="S250" s="223"/>
      <c r="T250" s="223"/>
      <c r="U250" s="223"/>
      <c r="V250" s="9"/>
      <c r="W250" s="9"/>
      <c r="X250" s="9"/>
      <c r="Y250" s="204"/>
      <c r="Z250" s="9"/>
      <c r="AA250" s="9"/>
      <c r="AB250" s="9"/>
      <c r="AC250" s="9"/>
    </row>
    <row r="251" ht="15.75" customHeight="1">
      <c r="A251" s="9"/>
      <c r="B251" s="9"/>
      <c r="C251" s="9"/>
      <c r="D251" s="9"/>
      <c r="E251" s="9"/>
      <c r="F251" s="9"/>
      <c r="G251" s="9"/>
      <c r="H251" s="9"/>
      <c r="I251" s="9"/>
      <c r="J251" s="9"/>
      <c r="K251" s="9"/>
      <c r="L251" s="9"/>
      <c r="M251" s="223"/>
      <c r="N251" s="9"/>
      <c r="O251" s="9"/>
      <c r="P251" s="9"/>
      <c r="Q251" s="9"/>
      <c r="R251" s="9"/>
      <c r="S251" s="223"/>
      <c r="T251" s="223"/>
      <c r="U251" s="223"/>
      <c r="V251" s="9"/>
      <c r="W251" s="9"/>
      <c r="X251" s="9"/>
      <c r="Y251" s="204"/>
      <c r="Z251" s="9"/>
      <c r="AA251" s="9"/>
      <c r="AB251" s="9"/>
      <c r="AC251" s="9"/>
    </row>
    <row r="252" ht="15.75" customHeight="1">
      <c r="A252" s="9"/>
      <c r="B252" s="9"/>
      <c r="C252" s="9"/>
      <c r="D252" s="9"/>
      <c r="E252" s="9"/>
      <c r="F252" s="9"/>
      <c r="G252" s="9"/>
      <c r="H252" s="9"/>
      <c r="I252" s="9"/>
      <c r="J252" s="9"/>
      <c r="K252" s="9"/>
      <c r="L252" s="9"/>
      <c r="M252" s="223"/>
      <c r="N252" s="9"/>
      <c r="O252" s="9"/>
      <c r="P252" s="9"/>
      <c r="Q252" s="9"/>
      <c r="R252" s="9"/>
      <c r="S252" s="223"/>
      <c r="T252" s="223"/>
      <c r="U252" s="223"/>
      <c r="V252" s="9"/>
      <c r="W252" s="9"/>
      <c r="X252" s="9"/>
      <c r="Y252" s="204"/>
      <c r="Z252" s="9"/>
      <c r="AA252" s="9"/>
      <c r="AB252" s="9"/>
      <c r="AC252" s="9"/>
    </row>
    <row r="253" ht="15.75" customHeight="1">
      <c r="A253" s="9"/>
      <c r="B253" s="9"/>
      <c r="C253" s="9"/>
      <c r="D253" s="9"/>
      <c r="E253" s="9"/>
      <c r="F253" s="9"/>
      <c r="G253" s="9"/>
      <c r="H253" s="9"/>
      <c r="I253" s="9"/>
      <c r="J253" s="9"/>
      <c r="K253" s="9"/>
      <c r="L253" s="9"/>
      <c r="M253" s="223"/>
      <c r="N253" s="9"/>
      <c r="O253" s="9"/>
      <c r="P253" s="9"/>
      <c r="Q253" s="9"/>
      <c r="R253" s="9"/>
      <c r="S253" s="223"/>
      <c r="T253" s="223"/>
      <c r="U253" s="223"/>
      <c r="V253" s="9"/>
      <c r="W253" s="9"/>
      <c r="X253" s="9"/>
      <c r="Y253" s="204"/>
      <c r="Z253" s="9"/>
      <c r="AA253" s="9"/>
      <c r="AB253" s="9"/>
      <c r="AC253" s="9"/>
    </row>
    <row r="254" ht="15.75" customHeight="1">
      <c r="A254" s="9"/>
      <c r="B254" s="9"/>
      <c r="C254" s="9"/>
      <c r="D254" s="9"/>
      <c r="E254" s="9"/>
      <c r="F254" s="9"/>
      <c r="G254" s="9"/>
      <c r="H254" s="9"/>
      <c r="I254" s="9"/>
      <c r="J254" s="9"/>
      <c r="K254" s="9"/>
      <c r="L254" s="9"/>
      <c r="M254" s="223"/>
      <c r="N254" s="9"/>
      <c r="O254" s="9"/>
      <c r="P254" s="9"/>
      <c r="Q254" s="9"/>
      <c r="R254" s="9"/>
      <c r="S254" s="223"/>
      <c r="T254" s="223"/>
      <c r="U254" s="223"/>
      <c r="V254" s="9"/>
      <c r="W254" s="9"/>
      <c r="X254" s="9"/>
      <c r="Y254" s="204"/>
      <c r="Z254" s="9"/>
      <c r="AA254" s="9"/>
      <c r="AB254" s="9"/>
      <c r="AC254" s="9"/>
    </row>
    <row r="255" ht="15.75" customHeight="1">
      <c r="A255" s="9"/>
      <c r="B255" s="9"/>
      <c r="C255" s="9"/>
      <c r="D255" s="9"/>
      <c r="E255" s="9"/>
      <c r="F255" s="9"/>
      <c r="G255" s="9"/>
      <c r="H255" s="9"/>
      <c r="I255" s="9"/>
      <c r="J255" s="9"/>
      <c r="K255" s="9"/>
      <c r="L255" s="9"/>
      <c r="M255" s="223"/>
      <c r="N255" s="9"/>
      <c r="O255" s="9"/>
      <c r="P255" s="9"/>
      <c r="Q255" s="9"/>
      <c r="R255" s="9"/>
      <c r="S255" s="223"/>
      <c r="T255" s="223"/>
      <c r="U255" s="223"/>
      <c r="V255" s="9"/>
      <c r="W255" s="9"/>
      <c r="X255" s="9"/>
      <c r="Y255" s="204"/>
      <c r="Z255" s="9"/>
      <c r="AA255" s="9"/>
      <c r="AB255" s="9"/>
      <c r="AC255" s="9"/>
    </row>
    <row r="256" ht="15.75" customHeight="1">
      <c r="A256" s="9"/>
      <c r="B256" s="9"/>
      <c r="C256" s="9"/>
      <c r="D256" s="9"/>
      <c r="E256" s="9"/>
      <c r="F256" s="9"/>
      <c r="G256" s="9"/>
      <c r="H256" s="9"/>
      <c r="I256" s="9"/>
      <c r="J256" s="9"/>
      <c r="K256" s="9"/>
      <c r="L256" s="9"/>
      <c r="M256" s="223"/>
      <c r="N256" s="9"/>
      <c r="O256" s="9"/>
      <c r="P256" s="9"/>
      <c r="Q256" s="9"/>
      <c r="R256" s="9"/>
      <c r="S256" s="223"/>
      <c r="T256" s="223"/>
      <c r="U256" s="223"/>
      <c r="V256" s="9"/>
      <c r="W256" s="9"/>
      <c r="X256" s="9"/>
      <c r="Y256" s="204"/>
      <c r="Z256" s="9"/>
      <c r="AA256" s="9"/>
      <c r="AB256" s="9"/>
      <c r="AC256" s="9"/>
    </row>
    <row r="257" ht="15.75" customHeight="1">
      <c r="A257" s="9"/>
      <c r="B257" s="9"/>
      <c r="C257" s="9"/>
      <c r="D257" s="9"/>
      <c r="E257" s="9"/>
      <c r="F257" s="9"/>
      <c r="G257" s="9"/>
      <c r="H257" s="9"/>
      <c r="I257" s="9"/>
      <c r="J257" s="9"/>
      <c r="K257" s="9"/>
      <c r="L257" s="9"/>
      <c r="M257" s="223"/>
      <c r="N257" s="9"/>
      <c r="O257" s="9"/>
      <c r="P257" s="9"/>
      <c r="Q257" s="9"/>
      <c r="R257" s="9"/>
      <c r="S257" s="223"/>
      <c r="T257" s="223"/>
      <c r="U257" s="223"/>
      <c r="V257" s="9"/>
      <c r="W257" s="9"/>
      <c r="X257" s="9"/>
      <c r="Y257" s="204"/>
      <c r="Z257" s="9"/>
      <c r="AA257" s="9"/>
      <c r="AB257" s="9"/>
      <c r="AC257" s="9"/>
    </row>
    <row r="258" ht="15.75" customHeight="1">
      <c r="A258" s="9"/>
      <c r="B258" s="9"/>
      <c r="C258" s="9"/>
      <c r="D258" s="9"/>
      <c r="E258" s="9"/>
      <c r="F258" s="9"/>
      <c r="G258" s="9"/>
      <c r="H258" s="9"/>
      <c r="I258" s="9"/>
      <c r="J258" s="9"/>
      <c r="K258" s="9"/>
      <c r="L258" s="9"/>
      <c r="M258" s="223"/>
      <c r="N258" s="9"/>
      <c r="O258" s="9"/>
      <c r="P258" s="9"/>
      <c r="Q258" s="9"/>
      <c r="R258" s="9"/>
      <c r="S258" s="223"/>
      <c r="T258" s="223"/>
      <c r="U258" s="223"/>
      <c r="V258" s="9"/>
      <c r="W258" s="9"/>
      <c r="X258" s="9"/>
      <c r="Y258" s="204"/>
      <c r="Z258" s="9"/>
      <c r="AA258" s="9"/>
      <c r="AB258" s="9"/>
      <c r="AC258" s="9"/>
    </row>
    <row r="259" ht="15.75" customHeight="1">
      <c r="A259" s="9"/>
      <c r="B259" s="9"/>
      <c r="C259" s="9"/>
      <c r="D259" s="9"/>
      <c r="E259" s="9"/>
      <c r="F259" s="9"/>
      <c r="G259" s="9"/>
      <c r="H259" s="9"/>
      <c r="I259" s="9"/>
      <c r="J259" s="9"/>
      <c r="K259" s="9"/>
      <c r="L259" s="9"/>
      <c r="M259" s="223"/>
      <c r="N259" s="9"/>
      <c r="O259" s="9"/>
      <c r="P259" s="9"/>
      <c r="Q259" s="9"/>
      <c r="R259" s="9"/>
      <c r="S259" s="223"/>
      <c r="T259" s="223"/>
      <c r="U259" s="223"/>
      <c r="V259" s="9"/>
      <c r="W259" s="9"/>
      <c r="X259" s="9"/>
      <c r="Y259" s="204"/>
      <c r="Z259" s="9"/>
      <c r="AA259" s="9"/>
      <c r="AB259" s="9"/>
      <c r="AC259" s="9"/>
    </row>
    <row r="260" ht="15.75" customHeight="1">
      <c r="A260" s="9"/>
      <c r="B260" s="9"/>
      <c r="C260" s="9"/>
      <c r="D260" s="9"/>
      <c r="E260" s="9"/>
      <c r="F260" s="9"/>
      <c r="G260" s="9"/>
      <c r="H260" s="9"/>
      <c r="I260" s="9"/>
      <c r="J260" s="9"/>
      <c r="K260" s="9"/>
      <c r="L260" s="9"/>
      <c r="M260" s="223"/>
      <c r="N260" s="9"/>
      <c r="O260" s="9"/>
      <c r="P260" s="9"/>
      <c r="Q260" s="9"/>
      <c r="R260" s="9"/>
      <c r="S260" s="223"/>
      <c r="T260" s="223"/>
      <c r="U260" s="223"/>
      <c r="V260" s="9"/>
      <c r="W260" s="9"/>
      <c r="X260" s="9"/>
      <c r="Y260" s="204"/>
      <c r="Z260" s="9"/>
      <c r="AA260" s="9"/>
      <c r="AB260" s="9"/>
      <c r="AC260" s="9"/>
    </row>
    <row r="261" ht="15.75" customHeight="1">
      <c r="A261" s="9"/>
      <c r="B261" s="9"/>
      <c r="C261" s="9"/>
      <c r="D261" s="9"/>
      <c r="E261" s="9"/>
      <c r="F261" s="9"/>
      <c r="G261" s="9"/>
      <c r="H261" s="9"/>
      <c r="I261" s="9"/>
      <c r="J261" s="9"/>
      <c r="K261" s="9"/>
      <c r="L261" s="9"/>
      <c r="M261" s="223"/>
      <c r="N261" s="9"/>
      <c r="O261" s="9"/>
      <c r="P261" s="9"/>
      <c r="Q261" s="9"/>
      <c r="R261" s="9"/>
      <c r="S261" s="223"/>
      <c r="T261" s="223"/>
      <c r="U261" s="223"/>
      <c r="V261" s="9"/>
      <c r="W261" s="9"/>
      <c r="X261" s="9"/>
      <c r="Y261" s="204"/>
      <c r="Z261" s="9"/>
      <c r="AA261" s="9"/>
      <c r="AB261" s="9"/>
      <c r="AC261" s="9"/>
    </row>
    <row r="262" ht="15.75" customHeight="1">
      <c r="A262" s="9"/>
      <c r="B262" s="9"/>
      <c r="C262" s="9"/>
      <c r="D262" s="9"/>
      <c r="E262" s="9"/>
      <c r="F262" s="9"/>
      <c r="G262" s="9"/>
      <c r="H262" s="9"/>
      <c r="I262" s="9"/>
      <c r="J262" s="9"/>
      <c r="K262" s="9"/>
      <c r="L262" s="9"/>
      <c r="M262" s="223"/>
      <c r="N262" s="9"/>
      <c r="O262" s="9"/>
      <c r="P262" s="9"/>
      <c r="Q262" s="9"/>
      <c r="R262" s="9"/>
      <c r="S262" s="223"/>
      <c r="T262" s="223"/>
      <c r="U262" s="223"/>
      <c r="V262" s="9"/>
      <c r="W262" s="9"/>
      <c r="X262" s="9"/>
      <c r="Y262" s="204"/>
      <c r="Z262" s="9"/>
      <c r="AA262" s="9"/>
      <c r="AB262" s="9"/>
      <c r="AC262" s="9"/>
    </row>
    <row r="263" ht="15.75" customHeight="1">
      <c r="A263" s="9"/>
      <c r="B263" s="9"/>
      <c r="C263" s="9"/>
      <c r="D263" s="9"/>
      <c r="E263" s="9"/>
      <c r="F263" s="9"/>
      <c r="G263" s="9"/>
      <c r="H263" s="9"/>
      <c r="I263" s="9"/>
      <c r="J263" s="9"/>
      <c r="K263" s="9"/>
      <c r="L263" s="9"/>
      <c r="M263" s="223"/>
      <c r="N263" s="9"/>
      <c r="O263" s="9"/>
      <c r="P263" s="9"/>
      <c r="Q263" s="9"/>
      <c r="R263" s="9"/>
      <c r="S263" s="223"/>
      <c r="T263" s="223"/>
      <c r="U263" s="223"/>
      <c r="V263" s="9"/>
      <c r="W263" s="9"/>
      <c r="X263" s="9"/>
      <c r="Y263" s="204"/>
      <c r="Z263" s="9"/>
      <c r="AA263" s="9"/>
      <c r="AB263" s="9"/>
      <c r="AC263" s="9"/>
    </row>
    <row r="264" ht="15.75" customHeight="1">
      <c r="A264" s="9"/>
      <c r="B264" s="9"/>
      <c r="C264" s="9"/>
      <c r="D264" s="9"/>
      <c r="E264" s="9"/>
      <c r="F264" s="9"/>
      <c r="G264" s="9"/>
      <c r="H264" s="9"/>
      <c r="I264" s="9"/>
      <c r="J264" s="9"/>
      <c r="K264" s="9"/>
      <c r="L264" s="9"/>
      <c r="M264" s="223"/>
      <c r="N264" s="9"/>
      <c r="O264" s="9"/>
      <c r="P264" s="9"/>
      <c r="Q264" s="9"/>
      <c r="R264" s="9"/>
      <c r="S264" s="223"/>
      <c r="T264" s="223"/>
      <c r="U264" s="223"/>
      <c r="V264" s="9"/>
      <c r="W264" s="9"/>
      <c r="X264" s="9"/>
      <c r="Y264" s="204"/>
      <c r="Z264" s="9"/>
      <c r="AA264" s="9"/>
      <c r="AB264" s="9"/>
      <c r="AC264" s="9"/>
    </row>
    <row r="265" ht="15.75" customHeight="1">
      <c r="A265" s="9"/>
      <c r="B265" s="9"/>
      <c r="C265" s="9"/>
      <c r="D265" s="9"/>
      <c r="E265" s="9"/>
      <c r="F265" s="9"/>
      <c r="G265" s="9"/>
      <c r="H265" s="9"/>
      <c r="I265" s="9"/>
      <c r="J265" s="9"/>
      <c r="K265" s="9"/>
      <c r="L265" s="9"/>
      <c r="M265" s="223"/>
      <c r="N265" s="9"/>
      <c r="O265" s="9"/>
      <c r="P265" s="9"/>
      <c r="Q265" s="9"/>
      <c r="R265" s="9"/>
      <c r="S265" s="223"/>
      <c r="T265" s="223"/>
      <c r="U265" s="223"/>
      <c r="V265" s="9"/>
      <c r="W265" s="9"/>
      <c r="X265" s="9"/>
      <c r="Y265" s="204"/>
      <c r="Z265" s="9"/>
      <c r="AA265" s="9"/>
      <c r="AB265" s="9"/>
      <c r="AC265" s="9"/>
    </row>
    <row r="266" ht="15.75" customHeight="1">
      <c r="A266" s="9"/>
      <c r="B266" s="9"/>
      <c r="C266" s="9"/>
      <c r="D266" s="9"/>
      <c r="E266" s="9"/>
      <c r="F266" s="9"/>
      <c r="G266" s="9"/>
      <c r="H266" s="9"/>
      <c r="I266" s="9"/>
      <c r="J266" s="9"/>
      <c r="K266" s="9"/>
      <c r="L266" s="9"/>
      <c r="M266" s="223"/>
      <c r="N266" s="9"/>
      <c r="O266" s="9"/>
      <c r="P266" s="9"/>
      <c r="Q266" s="9"/>
      <c r="R266" s="9"/>
      <c r="S266" s="223"/>
      <c r="T266" s="223"/>
      <c r="U266" s="223"/>
      <c r="V266" s="9"/>
      <c r="W266" s="9"/>
      <c r="X266" s="9"/>
      <c r="Y266" s="204"/>
      <c r="Z266" s="9"/>
      <c r="AA266" s="9"/>
      <c r="AB266" s="9"/>
      <c r="AC266" s="9"/>
    </row>
    <row r="267" ht="15.75" customHeight="1">
      <c r="A267" s="9"/>
      <c r="B267" s="9"/>
      <c r="C267" s="9"/>
      <c r="D267" s="9"/>
      <c r="E267" s="9"/>
      <c r="F267" s="9"/>
      <c r="G267" s="9"/>
      <c r="H267" s="9"/>
      <c r="I267" s="9"/>
      <c r="J267" s="9"/>
      <c r="K267" s="9"/>
      <c r="L267" s="9"/>
      <c r="M267" s="223"/>
      <c r="N267" s="9"/>
      <c r="O267" s="9"/>
      <c r="P267" s="9"/>
      <c r="Q267" s="9"/>
      <c r="R267" s="9"/>
      <c r="S267" s="223"/>
      <c r="T267" s="223"/>
      <c r="U267" s="223"/>
      <c r="V267" s="9"/>
      <c r="W267" s="9"/>
      <c r="X267" s="9"/>
      <c r="Y267" s="204"/>
      <c r="Z267" s="9"/>
      <c r="AA267" s="9"/>
      <c r="AB267" s="9"/>
      <c r="AC267" s="9"/>
    </row>
    <row r="268" ht="15.75" customHeight="1">
      <c r="A268" s="9"/>
      <c r="B268" s="9"/>
      <c r="C268" s="9"/>
      <c r="D268" s="9"/>
      <c r="E268" s="9"/>
      <c r="F268" s="9"/>
      <c r="G268" s="9"/>
      <c r="H268" s="9"/>
      <c r="I268" s="9"/>
      <c r="J268" s="9"/>
      <c r="K268" s="9"/>
      <c r="L268" s="9"/>
      <c r="M268" s="223"/>
      <c r="N268" s="9"/>
      <c r="O268" s="9"/>
      <c r="P268" s="9"/>
      <c r="Q268" s="9"/>
      <c r="R268" s="9"/>
      <c r="S268" s="223"/>
      <c r="T268" s="223"/>
      <c r="U268" s="223"/>
      <c r="V268" s="9"/>
      <c r="W268" s="9"/>
      <c r="X268" s="9"/>
      <c r="Y268" s="204"/>
      <c r="Z268" s="9"/>
      <c r="AA268" s="9"/>
      <c r="AB268" s="9"/>
      <c r="AC268" s="9"/>
    </row>
    <row r="269" ht="15.75" customHeight="1">
      <c r="A269" s="9"/>
      <c r="B269" s="9"/>
      <c r="C269" s="9"/>
      <c r="D269" s="9"/>
      <c r="E269" s="9"/>
      <c r="F269" s="9"/>
      <c r="G269" s="9"/>
      <c r="H269" s="9"/>
      <c r="I269" s="9"/>
      <c r="J269" s="9"/>
      <c r="K269" s="9"/>
      <c r="L269" s="9"/>
      <c r="M269" s="223"/>
      <c r="N269" s="9"/>
      <c r="O269" s="9"/>
      <c r="P269" s="9"/>
      <c r="Q269" s="9"/>
      <c r="R269" s="9"/>
      <c r="S269" s="223"/>
      <c r="T269" s="223"/>
      <c r="U269" s="223"/>
      <c r="V269" s="9"/>
      <c r="W269" s="9"/>
      <c r="X269" s="9"/>
      <c r="Y269" s="204"/>
      <c r="Z269" s="9"/>
      <c r="AA269" s="9"/>
      <c r="AB269" s="9"/>
      <c r="AC269" s="9"/>
    </row>
    <row r="270" ht="15.75" customHeight="1">
      <c r="A270" s="9"/>
      <c r="B270" s="9"/>
      <c r="C270" s="9"/>
      <c r="D270" s="9"/>
      <c r="E270" s="9"/>
      <c r="F270" s="9"/>
      <c r="G270" s="9"/>
      <c r="H270" s="9"/>
      <c r="I270" s="9"/>
      <c r="J270" s="9"/>
      <c r="K270" s="9"/>
      <c r="L270" s="9"/>
      <c r="M270" s="223"/>
      <c r="N270" s="9"/>
      <c r="O270" s="9"/>
      <c r="P270" s="9"/>
      <c r="Q270" s="9"/>
      <c r="R270" s="9"/>
      <c r="S270" s="223"/>
      <c r="T270" s="223"/>
      <c r="U270" s="223"/>
      <c r="V270" s="9"/>
      <c r="W270" s="9"/>
      <c r="X270" s="9"/>
      <c r="Y270" s="204"/>
      <c r="Z270" s="9"/>
      <c r="AA270" s="9"/>
      <c r="AB270" s="9"/>
      <c r="AC270" s="9"/>
    </row>
    <row r="271" ht="15.75" customHeight="1">
      <c r="A271" s="9"/>
      <c r="B271" s="9"/>
      <c r="C271" s="9"/>
      <c r="D271" s="9"/>
      <c r="E271" s="9"/>
      <c r="F271" s="9"/>
      <c r="G271" s="9"/>
      <c r="H271" s="9"/>
      <c r="I271" s="9"/>
      <c r="J271" s="9"/>
      <c r="K271" s="9"/>
      <c r="L271" s="9"/>
      <c r="M271" s="223"/>
      <c r="N271" s="9"/>
      <c r="O271" s="9"/>
      <c r="P271" s="9"/>
      <c r="Q271" s="9"/>
      <c r="R271" s="9"/>
      <c r="S271" s="223"/>
      <c r="T271" s="223"/>
      <c r="U271" s="223"/>
      <c r="V271" s="9"/>
      <c r="W271" s="9"/>
      <c r="X271" s="9"/>
      <c r="Y271" s="204"/>
      <c r="Z271" s="9"/>
      <c r="AA271" s="9"/>
      <c r="AB271" s="9"/>
      <c r="AC271" s="9"/>
    </row>
    <row r="272" ht="15.75" customHeight="1">
      <c r="A272" s="9"/>
      <c r="B272" s="9"/>
      <c r="C272" s="9"/>
      <c r="D272" s="9"/>
      <c r="E272" s="402"/>
      <c r="F272" s="9"/>
      <c r="G272" s="9"/>
      <c r="H272" s="9"/>
      <c r="I272" s="9"/>
      <c r="J272" s="9"/>
      <c r="K272" s="9"/>
      <c r="L272" s="9"/>
      <c r="M272" s="223"/>
      <c r="N272" s="9"/>
      <c r="O272" s="9"/>
      <c r="P272" s="9"/>
      <c r="Q272" s="9"/>
      <c r="R272" s="9"/>
      <c r="S272" s="223"/>
      <c r="T272" s="223"/>
      <c r="U272" s="223"/>
      <c r="V272" s="9"/>
      <c r="W272" s="9"/>
      <c r="X272" s="9"/>
      <c r="Y272" s="204"/>
      <c r="Z272" s="9"/>
      <c r="AA272" s="9"/>
      <c r="AB272" s="9"/>
      <c r="AC272" s="9"/>
    </row>
    <row r="273" ht="15.75" customHeight="1">
      <c r="A273" s="9"/>
      <c r="B273" s="9"/>
      <c r="C273" s="9"/>
      <c r="D273" s="9"/>
      <c r="E273" s="402"/>
      <c r="F273" s="9"/>
      <c r="G273" s="9"/>
      <c r="H273" s="9"/>
      <c r="I273" s="9"/>
      <c r="J273" s="9"/>
      <c r="K273" s="9"/>
      <c r="L273" s="9"/>
      <c r="M273" s="223"/>
      <c r="N273" s="9"/>
      <c r="O273" s="9"/>
      <c r="P273" s="9"/>
      <c r="Q273" s="9"/>
      <c r="R273" s="9"/>
      <c r="S273" s="223"/>
      <c r="T273" s="223"/>
      <c r="U273" s="223"/>
      <c r="V273" s="9"/>
      <c r="W273" s="9"/>
      <c r="X273" s="9"/>
      <c r="Y273" s="204"/>
      <c r="Z273" s="9"/>
      <c r="AA273" s="9"/>
      <c r="AB273" s="9"/>
      <c r="AC273" s="9"/>
    </row>
    <row r="274" ht="15.75" customHeight="1">
      <c r="A274" s="9"/>
      <c r="B274" s="9"/>
      <c r="C274" s="9"/>
      <c r="D274" s="9"/>
      <c r="E274" s="9"/>
      <c r="F274" s="9"/>
      <c r="G274" s="9"/>
      <c r="H274" s="9"/>
      <c r="I274" s="9"/>
      <c r="J274" s="9"/>
      <c r="K274" s="9"/>
      <c r="L274" s="9"/>
      <c r="M274" s="223"/>
      <c r="N274" s="9"/>
      <c r="O274" s="9"/>
      <c r="P274" s="9"/>
      <c r="Q274" s="9"/>
      <c r="R274" s="9"/>
      <c r="S274" s="223"/>
      <c r="T274" s="223"/>
      <c r="U274" s="223"/>
      <c r="V274" s="9"/>
      <c r="W274" s="9"/>
      <c r="X274" s="9"/>
      <c r="Y274" s="204"/>
      <c r="Z274" s="9"/>
      <c r="AA274" s="9"/>
      <c r="AB274" s="9"/>
      <c r="AC274" s="9"/>
    </row>
    <row r="275" ht="15.75" customHeight="1">
      <c r="A275" s="9"/>
      <c r="B275" s="9"/>
      <c r="C275" s="9"/>
      <c r="D275" s="9"/>
      <c r="E275" s="9"/>
      <c r="F275" s="9"/>
      <c r="G275" s="9"/>
      <c r="H275" s="9"/>
      <c r="I275" s="9"/>
      <c r="J275" s="9"/>
      <c r="K275" s="9"/>
      <c r="L275" s="9"/>
      <c r="M275" s="223"/>
      <c r="N275" s="9"/>
      <c r="O275" s="9"/>
      <c r="P275" s="9"/>
      <c r="Q275" s="9"/>
      <c r="R275" s="9"/>
      <c r="S275" s="223"/>
      <c r="T275" s="223"/>
      <c r="U275" s="223"/>
      <c r="V275" s="9"/>
      <c r="W275" s="9"/>
      <c r="X275" s="9"/>
      <c r="Y275" s="204"/>
      <c r="Z275" s="9"/>
      <c r="AA275" s="9"/>
      <c r="AB275" s="9"/>
      <c r="AC275" s="9"/>
    </row>
    <row r="276" ht="15.75" customHeight="1">
      <c r="A276" s="9"/>
      <c r="B276" s="9"/>
      <c r="C276" s="9"/>
      <c r="D276" s="9"/>
      <c r="E276" s="9"/>
      <c r="F276" s="9"/>
      <c r="G276" s="9"/>
      <c r="H276" s="9"/>
      <c r="I276" s="9"/>
      <c r="J276" s="9"/>
      <c r="K276" s="9"/>
      <c r="L276" s="9"/>
      <c r="M276" s="223"/>
      <c r="N276" s="9"/>
      <c r="O276" s="9"/>
      <c r="P276" s="9"/>
      <c r="Q276" s="9"/>
      <c r="R276" s="9"/>
      <c r="S276" s="223"/>
      <c r="T276" s="223"/>
      <c r="U276" s="223"/>
      <c r="V276" s="9"/>
      <c r="W276" s="9"/>
      <c r="X276" s="9"/>
      <c r="Y276" s="204"/>
      <c r="Z276" s="9"/>
      <c r="AA276" s="9"/>
      <c r="AB276" s="9"/>
      <c r="AC276" s="9"/>
    </row>
    <row r="277" ht="15.75" customHeight="1">
      <c r="A277" s="9"/>
      <c r="B277" s="9"/>
      <c r="C277" s="9"/>
      <c r="D277" s="9"/>
      <c r="E277" s="9"/>
      <c r="F277" s="9"/>
      <c r="G277" s="9"/>
      <c r="H277" s="9"/>
      <c r="I277" s="9"/>
      <c r="J277" s="9"/>
      <c r="K277" s="9"/>
      <c r="L277" s="9"/>
      <c r="M277" s="223"/>
      <c r="N277" s="9"/>
      <c r="O277" s="9"/>
      <c r="P277" s="9"/>
      <c r="Q277" s="9"/>
      <c r="R277" s="9"/>
      <c r="S277" s="223"/>
      <c r="T277" s="223"/>
      <c r="U277" s="223"/>
      <c r="V277" s="9"/>
      <c r="W277" s="9"/>
      <c r="X277" s="9"/>
      <c r="Y277" s="204"/>
      <c r="Z277" s="9"/>
      <c r="AA277" s="9"/>
      <c r="AB277" s="9"/>
      <c r="AC277" s="9"/>
    </row>
    <row r="278" ht="15.75" customHeight="1">
      <c r="A278" s="9"/>
      <c r="B278" s="9"/>
      <c r="C278" s="9"/>
      <c r="D278" s="9"/>
      <c r="E278" s="9"/>
      <c r="F278" s="9"/>
      <c r="G278" s="9"/>
      <c r="H278" s="9"/>
      <c r="I278" s="9"/>
      <c r="J278" s="9"/>
      <c r="K278" s="9"/>
      <c r="L278" s="9"/>
      <c r="M278" s="223"/>
      <c r="N278" s="9"/>
      <c r="O278" s="9"/>
      <c r="P278" s="9"/>
      <c r="Q278" s="9"/>
      <c r="R278" s="9"/>
      <c r="S278" s="223"/>
      <c r="T278" s="223"/>
      <c r="U278" s="223"/>
      <c r="V278" s="9"/>
      <c r="W278" s="9"/>
      <c r="X278" s="9"/>
      <c r="Y278" s="204"/>
      <c r="Z278" s="9"/>
      <c r="AA278" s="9"/>
      <c r="AB278" s="9"/>
      <c r="AC278" s="9"/>
    </row>
    <row r="279" ht="15.75" customHeight="1">
      <c r="A279" s="9"/>
      <c r="B279" s="9"/>
      <c r="C279" s="9"/>
      <c r="D279" s="9"/>
      <c r="E279" s="9"/>
      <c r="F279" s="9"/>
      <c r="G279" s="9"/>
      <c r="H279" s="9"/>
      <c r="I279" s="9"/>
      <c r="J279" s="9"/>
      <c r="K279" s="9"/>
      <c r="L279" s="9"/>
      <c r="M279" s="223"/>
      <c r="N279" s="9"/>
      <c r="O279" s="9"/>
      <c r="P279" s="9"/>
      <c r="Q279" s="9"/>
      <c r="R279" s="9"/>
      <c r="S279" s="223"/>
      <c r="T279" s="223"/>
      <c r="U279" s="223"/>
      <c r="V279" s="9"/>
      <c r="W279" s="9"/>
      <c r="X279" s="9"/>
      <c r="Y279" s="204"/>
      <c r="Z279" s="9"/>
      <c r="AA279" s="9"/>
      <c r="AB279" s="9"/>
      <c r="AC279" s="9"/>
    </row>
    <row r="280" ht="15.75" customHeight="1">
      <c r="A280" s="9"/>
      <c r="B280" s="9"/>
      <c r="C280" s="9"/>
      <c r="D280" s="9"/>
      <c r="E280" s="9"/>
      <c r="F280" s="9"/>
      <c r="G280" s="9"/>
      <c r="H280" s="9"/>
      <c r="I280" s="9"/>
      <c r="J280" s="9"/>
      <c r="K280" s="9"/>
      <c r="L280" s="9"/>
      <c r="M280" s="223"/>
      <c r="N280" s="9"/>
      <c r="O280" s="9"/>
      <c r="P280" s="9"/>
      <c r="Q280" s="9"/>
      <c r="R280" s="9"/>
      <c r="S280" s="223"/>
      <c r="T280" s="223"/>
      <c r="U280" s="223"/>
      <c r="V280" s="9"/>
      <c r="W280" s="9"/>
      <c r="X280" s="9"/>
      <c r="Y280" s="204"/>
      <c r="Z280" s="9"/>
      <c r="AA280" s="9"/>
      <c r="AB280" s="9"/>
      <c r="AC280" s="9"/>
    </row>
    <row r="281" ht="15.75" customHeight="1">
      <c r="A281" s="9"/>
      <c r="B281" s="9"/>
      <c r="C281" s="9"/>
      <c r="D281" s="9"/>
      <c r="E281" s="9"/>
      <c r="F281" s="9"/>
      <c r="G281" s="9"/>
      <c r="H281" s="9"/>
      <c r="I281" s="9"/>
      <c r="J281" s="9"/>
      <c r="K281" s="9"/>
      <c r="L281" s="9"/>
      <c r="M281" s="223"/>
      <c r="N281" s="9"/>
      <c r="O281" s="9"/>
      <c r="P281" s="9"/>
      <c r="Q281" s="9"/>
      <c r="R281" s="9"/>
      <c r="S281" s="223"/>
      <c r="T281" s="223"/>
      <c r="U281" s="223"/>
      <c r="V281" s="9"/>
      <c r="W281" s="9"/>
      <c r="X281" s="9"/>
      <c r="Y281" s="204"/>
      <c r="Z281" s="9"/>
      <c r="AA281" s="9"/>
      <c r="AB281" s="9"/>
      <c r="AC281" s="9"/>
    </row>
    <row r="282" ht="15.75" customHeight="1">
      <c r="A282" s="9"/>
      <c r="B282" s="9"/>
      <c r="C282" s="9"/>
      <c r="D282" s="9"/>
      <c r="E282" s="9"/>
      <c r="F282" s="9"/>
      <c r="G282" s="9"/>
      <c r="H282" s="9"/>
      <c r="I282" s="9"/>
      <c r="J282" s="9"/>
      <c r="K282" s="9"/>
      <c r="L282" s="9"/>
      <c r="M282" s="223"/>
      <c r="N282" s="9"/>
      <c r="O282" s="9"/>
      <c r="P282" s="9"/>
      <c r="Q282" s="9"/>
      <c r="R282" s="9"/>
      <c r="S282" s="223"/>
      <c r="T282" s="223"/>
      <c r="U282" s="223"/>
      <c r="V282" s="9"/>
      <c r="W282" s="9"/>
      <c r="X282" s="9"/>
      <c r="Y282" s="204"/>
      <c r="Z282" s="9"/>
      <c r="AA282" s="9"/>
      <c r="AB282" s="9"/>
      <c r="AC282" s="9"/>
    </row>
    <row r="283" ht="15.75" customHeight="1">
      <c r="A283" s="9"/>
      <c r="B283" s="9"/>
      <c r="C283" s="9"/>
      <c r="D283" s="9"/>
      <c r="E283" s="9"/>
      <c r="F283" s="9"/>
      <c r="G283" s="9"/>
      <c r="H283" s="9"/>
      <c r="I283" s="9"/>
      <c r="J283" s="9"/>
      <c r="K283" s="9"/>
      <c r="L283" s="9"/>
      <c r="M283" s="223"/>
      <c r="N283" s="9"/>
      <c r="O283" s="9"/>
      <c r="P283" s="9"/>
      <c r="Q283" s="9"/>
      <c r="R283" s="9"/>
      <c r="S283" s="223"/>
      <c r="T283" s="223"/>
      <c r="U283" s="223"/>
      <c r="V283" s="9"/>
      <c r="W283" s="9"/>
      <c r="X283" s="9"/>
      <c r="Y283" s="204"/>
      <c r="Z283" s="9"/>
      <c r="AA283" s="9"/>
      <c r="AB283" s="9"/>
      <c r="AC283" s="9"/>
    </row>
    <row r="284" ht="15.75" customHeight="1">
      <c r="A284" s="9"/>
      <c r="B284" s="9"/>
      <c r="C284" s="9"/>
      <c r="D284" s="9"/>
      <c r="E284" s="9"/>
      <c r="F284" s="9"/>
      <c r="G284" s="9"/>
      <c r="H284" s="9"/>
      <c r="I284" s="9"/>
      <c r="J284" s="9"/>
      <c r="K284" s="9"/>
      <c r="L284" s="9"/>
      <c r="M284" s="223"/>
      <c r="N284" s="9"/>
      <c r="O284" s="9"/>
      <c r="P284" s="9"/>
      <c r="Q284" s="9"/>
      <c r="R284" s="9"/>
      <c r="S284" s="223"/>
      <c r="T284" s="223"/>
      <c r="U284" s="223"/>
      <c r="V284" s="9"/>
      <c r="W284" s="9"/>
      <c r="X284" s="9"/>
      <c r="Y284" s="204"/>
      <c r="Z284" s="9"/>
      <c r="AA284" s="9"/>
      <c r="AB284" s="9"/>
      <c r="AC284" s="9"/>
    </row>
    <row r="285" ht="15.75" customHeight="1">
      <c r="A285" s="9"/>
      <c r="B285" s="9"/>
      <c r="C285" s="9"/>
      <c r="D285" s="9"/>
      <c r="E285" s="9"/>
      <c r="F285" s="9"/>
      <c r="G285" s="9"/>
      <c r="H285" s="9"/>
      <c r="I285" s="9"/>
      <c r="J285" s="9"/>
      <c r="K285" s="9"/>
      <c r="L285" s="9"/>
      <c r="M285" s="223"/>
      <c r="N285" s="9"/>
      <c r="O285" s="9"/>
      <c r="P285" s="9"/>
      <c r="Q285" s="9"/>
      <c r="R285" s="9"/>
      <c r="S285" s="223"/>
      <c r="T285" s="223"/>
      <c r="U285" s="223"/>
      <c r="V285" s="9"/>
      <c r="W285" s="9"/>
      <c r="X285" s="9"/>
      <c r="Y285" s="204"/>
      <c r="Z285" s="9"/>
      <c r="AA285" s="9"/>
      <c r="AB285" s="9"/>
      <c r="AC285" s="9"/>
    </row>
    <row r="286" ht="15.75" customHeight="1">
      <c r="A286" s="9"/>
      <c r="B286" s="9"/>
      <c r="C286" s="9"/>
      <c r="D286" s="9"/>
      <c r="E286" s="9"/>
      <c r="F286" s="9"/>
      <c r="G286" s="9"/>
      <c r="H286" s="9"/>
      <c r="I286" s="9"/>
      <c r="J286" s="9"/>
      <c r="K286" s="9"/>
      <c r="L286" s="9"/>
      <c r="M286" s="223"/>
      <c r="N286" s="9"/>
      <c r="O286" s="9"/>
      <c r="P286" s="9"/>
      <c r="Q286" s="9"/>
      <c r="R286" s="9"/>
      <c r="S286" s="223"/>
      <c r="T286" s="223"/>
      <c r="U286" s="223"/>
      <c r="V286" s="9"/>
      <c r="W286" s="9"/>
      <c r="X286" s="9"/>
      <c r="Y286" s="204"/>
      <c r="Z286" s="9"/>
      <c r="AA286" s="9"/>
      <c r="AB286" s="9"/>
      <c r="AC286" s="9"/>
    </row>
    <row r="287" ht="15.75" customHeight="1">
      <c r="A287" s="9"/>
      <c r="B287" s="9"/>
      <c r="C287" s="9"/>
      <c r="D287" s="9"/>
      <c r="E287" s="9"/>
      <c r="F287" s="9"/>
      <c r="G287" s="9"/>
      <c r="H287" s="9"/>
      <c r="I287" s="9"/>
      <c r="J287" s="9"/>
      <c r="K287" s="9"/>
      <c r="L287" s="9"/>
      <c r="M287" s="223"/>
      <c r="N287" s="9"/>
      <c r="O287" s="9"/>
      <c r="P287" s="9"/>
      <c r="Q287" s="9"/>
      <c r="R287" s="9"/>
      <c r="S287" s="223"/>
      <c r="T287" s="223"/>
      <c r="U287" s="223"/>
      <c r="V287" s="9"/>
      <c r="W287" s="9"/>
      <c r="X287" s="9"/>
      <c r="Y287" s="204"/>
      <c r="Z287" s="9"/>
      <c r="AA287" s="9"/>
      <c r="AB287" s="9"/>
      <c r="AC287" s="9"/>
    </row>
    <row r="288" ht="15.75" customHeight="1">
      <c r="A288" s="9"/>
      <c r="B288" s="9"/>
      <c r="C288" s="9"/>
      <c r="D288" s="9"/>
      <c r="E288" s="9"/>
      <c r="F288" s="9"/>
      <c r="G288" s="9"/>
      <c r="H288" s="9"/>
      <c r="I288" s="9"/>
      <c r="J288" s="9"/>
      <c r="K288" s="9"/>
      <c r="L288" s="9"/>
      <c r="M288" s="223"/>
      <c r="N288" s="9"/>
      <c r="O288" s="9"/>
      <c r="P288" s="9"/>
      <c r="Q288" s="9"/>
      <c r="R288" s="9"/>
      <c r="S288" s="223"/>
      <c r="T288" s="223"/>
      <c r="U288" s="223"/>
      <c r="V288" s="9"/>
      <c r="W288" s="9"/>
      <c r="X288" s="9"/>
      <c r="Y288" s="204"/>
      <c r="Z288" s="9"/>
      <c r="AA288" s="9"/>
      <c r="AB288" s="9"/>
      <c r="AC288" s="9"/>
    </row>
    <row r="289" ht="15.75" customHeight="1">
      <c r="A289" s="9"/>
      <c r="B289" s="9"/>
      <c r="C289" s="9"/>
      <c r="D289" s="9"/>
      <c r="E289" s="9"/>
      <c r="F289" s="9"/>
      <c r="G289" s="9"/>
      <c r="H289" s="9"/>
      <c r="I289" s="9"/>
      <c r="J289" s="9"/>
      <c r="K289" s="9"/>
      <c r="L289" s="9"/>
      <c r="M289" s="223"/>
      <c r="N289" s="9"/>
      <c r="O289" s="9"/>
      <c r="P289" s="9"/>
      <c r="Q289" s="9"/>
      <c r="R289" s="9"/>
      <c r="S289" s="223"/>
      <c r="T289" s="223"/>
      <c r="U289" s="223"/>
      <c r="V289" s="9"/>
      <c r="W289" s="9"/>
      <c r="X289" s="9"/>
      <c r="Y289" s="204"/>
      <c r="Z289" s="9"/>
      <c r="AA289" s="9"/>
      <c r="AB289" s="9"/>
      <c r="AC289" s="9"/>
    </row>
    <row r="290" ht="15.75" customHeight="1">
      <c r="A290" s="9"/>
      <c r="B290" s="9"/>
      <c r="C290" s="9"/>
      <c r="D290" s="9"/>
      <c r="E290" s="9"/>
      <c r="F290" s="9"/>
      <c r="G290" s="9"/>
      <c r="H290" s="9"/>
      <c r="I290" s="9"/>
      <c r="J290" s="9"/>
      <c r="K290" s="9"/>
      <c r="L290" s="9"/>
      <c r="M290" s="223"/>
      <c r="N290" s="9"/>
      <c r="O290" s="9"/>
      <c r="P290" s="9"/>
      <c r="Q290" s="9"/>
      <c r="R290" s="9"/>
      <c r="S290" s="223"/>
      <c r="T290" s="223"/>
      <c r="U290" s="223"/>
      <c r="V290" s="9"/>
      <c r="W290" s="9"/>
      <c r="X290" s="9"/>
      <c r="Y290" s="204"/>
      <c r="Z290" s="9"/>
      <c r="AA290" s="9"/>
      <c r="AB290" s="9"/>
      <c r="AC290" s="9"/>
    </row>
    <row r="291" ht="15.75" customHeight="1">
      <c r="A291" s="9"/>
      <c r="B291" s="9"/>
      <c r="C291" s="9"/>
      <c r="D291" s="9"/>
      <c r="E291" s="9"/>
      <c r="F291" s="9"/>
      <c r="G291" s="9"/>
      <c r="H291" s="9"/>
      <c r="I291" s="9"/>
      <c r="J291" s="9"/>
      <c r="K291" s="9"/>
      <c r="L291" s="9"/>
      <c r="M291" s="223"/>
      <c r="N291" s="9"/>
      <c r="O291" s="9"/>
      <c r="P291" s="9"/>
      <c r="Q291" s="9"/>
      <c r="R291" s="9"/>
      <c r="S291" s="223"/>
      <c r="T291" s="223"/>
      <c r="U291" s="223"/>
      <c r="V291" s="9"/>
      <c r="W291" s="9"/>
      <c r="X291" s="9"/>
      <c r="Y291" s="204"/>
      <c r="Z291" s="9"/>
      <c r="AA291" s="9"/>
      <c r="AB291" s="9"/>
      <c r="AC291" s="9"/>
    </row>
    <row r="292" ht="15.75" customHeight="1">
      <c r="A292" s="9"/>
      <c r="B292" s="9"/>
      <c r="C292" s="9"/>
      <c r="D292" s="9"/>
      <c r="E292" s="9"/>
      <c r="F292" s="9"/>
      <c r="G292" s="9"/>
      <c r="H292" s="9"/>
      <c r="I292" s="9"/>
      <c r="J292" s="9"/>
      <c r="K292" s="9"/>
      <c r="L292" s="9"/>
      <c r="M292" s="223"/>
      <c r="N292" s="9"/>
      <c r="O292" s="9"/>
      <c r="P292" s="9"/>
      <c r="Q292" s="9"/>
      <c r="R292" s="9"/>
      <c r="S292" s="223"/>
      <c r="T292" s="223"/>
      <c r="U292" s="223"/>
      <c r="V292" s="9"/>
      <c r="W292" s="9"/>
      <c r="X292" s="9"/>
      <c r="Y292" s="204"/>
      <c r="Z292" s="9"/>
      <c r="AA292" s="9"/>
      <c r="AB292" s="9"/>
      <c r="AC292" s="9"/>
    </row>
    <row r="293" ht="15.75" customHeight="1">
      <c r="A293" s="9"/>
      <c r="B293" s="9"/>
      <c r="C293" s="9"/>
      <c r="D293" s="9"/>
      <c r="E293" s="9"/>
      <c r="F293" s="9"/>
      <c r="G293" s="9"/>
      <c r="H293" s="9"/>
      <c r="I293" s="9"/>
      <c r="J293" s="9"/>
      <c r="K293" s="9"/>
      <c r="L293" s="9"/>
      <c r="M293" s="223"/>
      <c r="N293" s="9"/>
      <c r="O293" s="9"/>
      <c r="P293" s="9"/>
      <c r="Q293" s="9"/>
      <c r="R293" s="9"/>
      <c r="S293" s="223"/>
      <c r="T293" s="223"/>
      <c r="U293" s="223"/>
      <c r="V293" s="9"/>
      <c r="W293" s="9"/>
      <c r="X293" s="9"/>
      <c r="Y293" s="204"/>
      <c r="Z293" s="9"/>
      <c r="AA293" s="9"/>
      <c r="AB293" s="9"/>
      <c r="AC293" s="9"/>
    </row>
    <row r="294" ht="15.75" customHeight="1">
      <c r="A294" s="9"/>
      <c r="B294" s="9"/>
      <c r="C294" s="9"/>
      <c r="D294" s="9"/>
      <c r="E294" s="9"/>
      <c r="F294" s="9"/>
      <c r="G294" s="9"/>
      <c r="H294" s="9"/>
      <c r="I294" s="9"/>
      <c r="J294" s="9"/>
      <c r="K294" s="9"/>
      <c r="L294" s="9"/>
      <c r="M294" s="223"/>
      <c r="N294" s="9"/>
      <c r="O294" s="9"/>
      <c r="P294" s="9"/>
      <c r="Q294" s="9"/>
      <c r="R294" s="9"/>
      <c r="S294" s="223"/>
      <c r="T294" s="223"/>
      <c r="U294" s="223"/>
      <c r="V294" s="9"/>
      <c r="W294" s="9"/>
      <c r="X294" s="9"/>
      <c r="Y294" s="204"/>
      <c r="Z294" s="9"/>
      <c r="AA294" s="9"/>
      <c r="AB294" s="9"/>
      <c r="AC294" s="9"/>
    </row>
    <row r="295" ht="15.75" customHeight="1">
      <c r="A295" s="9"/>
      <c r="B295" s="9"/>
      <c r="C295" s="9"/>
      <c r="D295" s="9"/>
      <c r="E295" s="9"/>
      <c r="F295" s="9"/>
      <c r="G295" s="9"/>
      <c r="H295" s="9"/>
      <c r="I295" s="9"/>
      <c r="J295" s="9"/>
      <c r="K295" s="9"/>
      <c r="L295" s="9"/>
      <c r="M295" s="223"/>
      <c r="N295" s="9"/>
      <c r="O295" s="9"/>
      <c r="P295" s="9"/>
      <c r="Q295" s="9"/>
      <c r="R295" s="9"/>
      <c r="S295" s="223"/>
      <c r="T295" s="223"/>
      <c r="U295" s="223"/>
      <c r="V295" s="9"/>
      <c r="W295" s="9"/>
      <c r="X295" s="9"/>
      <c r="Y295" s="204"/>
      <c r="Z295" s="9"/>
      <c r="AA295" s="9"/>
      <c r="AB295" s="9"/>
      <c r="AC295" s="9"/>
    </row>
    <row r="296" ht="15.75" customHeight="1">
      <c r="A296" s="9"/>
      <c r="B296" s="9"/>
      <c r="C296" s="9"/>
      <c r="D296" s="9"/>
      <c r="E296" s="9"/>
      <c r="F296" s="9"/>
      <c r="G296" s="9"/>
      <c r="H296" s="9"/>
      <c r="I296" s="9"/>
      <c r="J296" s="9"/>
      <c r="K296" s="9"/>
      <c r="L296" s="9"/>
      <c r="M296" s="223"/>
      <c r="N296" s="9"/>
      <c r="O296" s="9"/>
      <c r="P296" s="9"/>
      <c r="Q296" s="9"/>
      <c r="R296" s="9"/>
      <c r="S296" s="223"/>
      <c r="T296" s="223"/>
      <c r="U296" s="223"/>
      <c r="V296" s="9"/>
      <c r="W296" s="9"/>
      <c r="X296" s="9"/>
      <c r="Y296" s="204"/>
      <c r="Z296" s="9"/>
      <c r="AA296" s="9"/>
      <c r="AB296" s="9"/>
      <c r="AC296" s="9"/>
    </row>
    <row r="297" ht="15.75" customHeight="1">
      <c r="A297" s="9"/>
      <c r="B297" s="9"/>
      <c r="C297" s="9"/>
      <c r="D297" s="9"/>
      <c r="E297" s="9"/>
      <c r="F297" s="9"/>
      <c r="G297" s="9"/>
      <c r="H297" s="9"/>
      <c r="I297" s="9"/>
      <c r="J297" s="9"/>
      <c r="K297" s="9"/>
      <c r="L297" s="9"/>
      <c r="M297" s="223"/>
      <c r="N297" s="9"/>
      <c r="O297" s="9"/>
      <c r="P297" s="9"/>
      <c r="Q297" s="9"/>
      <c r="R297" s="9"/>
      <c r="S297" s="223"/>
      <c r="T297" s="223"/>
      <c r="U297" s="223"/>
      <c r="V297" s="9"/>
      <c r="W297" s="9"/>
      <c r="X297" s="9"/>
      <c r="Y297" s="204"/>
      <c r="Z297" s="9"/>
      <c r="AA297" s="9"/>
      <c r="AB297" s="9"/>
      <c r="AC297" s="9"/>
    </row>
    <row r="298" ht="15.75" customHeight="1">
      <c r="A298" s="9"/>
      <c r="B298" s="9"/>
      <c r="C298" s="9"/>
      <c r="D298" s="9"/>
      <c r="E298" s="9"/>
      <c r="F298" s="9"/>
      <c r="G298" s="9"/>
      <c r="H298" s="9"/>
      <c r="I298" s="9"/>
      <c r="J298" s="9"/>
      <c r="K298" s="9"/>
      <c r="L298" s="9"/>
      <c r="M298" s="223"/>
      <c r="N298" s="9"/>
      <c r="O298" s="9"/>
      <c r="P298" s="9"/>
      <c r="Q298" s="9"/>
      <c r="R298" s="9"/>
      <c r="S298" s="223"/>
      <c r="T298" s="223"/>
      <c r="U298" s="223"/>
      <c r="V298" s="9"/>
      <c r="W298" s="9"/>
      <c r="X298" s="9"/>
      <c r="Y298" s="204"/>
      <c r="Z298" s="9"/>
      <c r="AA298" s="9"/>
      <c r="AB298" s="9"/>
      <c r="AC298" s="9"/>
    </row>
    <row r="299" ht="15.75" customHeight="1">
      <c r="A299" s="9"/>
      <c r="B299" s="9"/>
      <c r="C299" s="9"/>
      <c r="D299" s="9"/>
      <c r="E299" s="9"/>
      <c r="F299" s="9"/>
      <c r="G299" s="9"/>
      <c r="H299" s="9"/>
      <c r="I299" s="9"/>
      <c r="J299" s="9"/>
      <c r="K299" s="9"/>
      <c r="L299" s="9"/>
      <c r="M299" s="223"/>
      <c r="N299" s="9"/>
      <c r="O299" s="9"/>
      <c r="P299" s="9"/>
      <c r="Q299" s="9"/>
      <c r="R299" s="9"/>
      <c r="S299" s="223"/>
      <c r="T299" s="223"/>
      <c r="U299" s="223"/>
      <c r="V299" s="9"/>
      <c r="W299" s="9"/>
      <c r="X299" s="9"/>
      <c r="Y299" s="204"/>
      <c r="Z299" s="9"/>
      <c r="AA299" s="9"/>
      <c r="AB299" s="9"/>
      <c r="AC299" s="9"/>
    </row>
    <row r="300" ht="15.75" customHeight="1">
      <c r="A300" s="9"/>
      <c r="B300" s="9"/>
      <c r="C300" s="9"/>
      <c r="D300" s="9"/>
      <c r="E300" s="9"/>
      <c r="F300" s="9"/>
      <c r="G300" s="9"/>
      <c r="H300" s="9"/>
      <c r="I300" s="9"/>
      <c r="J300" s="9"/>
      <c r="K300" s="9"/>
      <c r="L300" s="9"/>
      <c r="M300" s="223"/>
      <c r="N300" s="9"/>
      <c r="O300" s="9"/>
      <c r="P300" s="9"/>
      <c r="Q300" s="9"/>
      <c r="R300" s="9"/>
      <c r="S300" s="223"/>
      <c r="T300" s="223"/>
      <c r="U300" s="223"/>
      <c r="V300" s="9"/>
      <c r="W300" s="9"/>
      <c r="X300" s="9"/>
      <c r="Y300" s="204"/>
      <c r="Z300" s="9"/>
      <c r="AA300" s="9"/>
      <c r="AB300" s="9"/>
      <c r="AC300" s="9"/>
    </row>
    <row r="301" ht="15.75" customHeight="1">
      <c r="A301" s="9"/>
      <c r="B301" s="9"/>
      <c r="C301" s="9"/>
      <c r="D301" s="9"/>
      <c r="E301" s="9"/>
      <c r="F301" s="9"/>
      <c r="G301" s="9"/>
      <c r="H301" s="9"/>
      <c r="I301" s="9"/>
      <c r="J301" s="9"/>
      <c r="K301" s="9"/>
      <c r="L301" s="9"/>
      <c r="M301" s="223"/>
      <c r="N301" s="9"/>
      <c r="O301" s="9"/>
      <c r="P301" s="9"/>
      <c r="Q301" s="9"/>
      <c r="R301" s="9"/>
      <c r="S301" s="223"/>
      <c r="T301" s="223"/>
      <c r="U301" s="223"/>
      <c r="V301" s="9"/>
      <c r="W301" s="9"/>
      <c r="X301" s="9"/>
      <c r="Y301" s="204"/>
      <c r="Z301" s="9"/>
      <c r="AA301" s="9"/>
      <c r="AB301" s="9"/>
      <c r="AC301" s="9"/>
    </row>
    <row r="302" ht="15.75" customHeight="1">
      <c r="A302" s="9"/>
      <c r="B302" s="9"/>
      <c r="C302" s="9"/>
      <c r="D302" s="9"/>
      <c r="E302" s="9"/>
      <c r="F302" s="9"/>
      <c r="G302" s="9"/>
      <c r="H302" s="9"/>
      <c r="I302" s="9"/>
      <c r="J302" s="9"/>
      <c r="K302" s="9"/>
      <c r="L302" s="9"/>
      <c r="M302" s="223"/>
      <c r="N302" s="9"/>
      <c r="O302" s="9"/>
      <c r="P302" s="9"/>
      <c r="Q302" s="9"/>
      <c r="R302" s="9"/>
      <c r="S302" s="223"/>
      <c r="T302" s="223"/>
      <c r="U302" s="223"/>
      <c r="V302" s="9"/>
      <c r="W302" s="9"/>
      <c r="X302" s="9"/>
      <c r="Y302" s="204"/>
      <c r="Z302" s="9"/>
      <c r="AA302" s="9"/>
      <c r="AB302" s="9"/>
      <c r="AC302" s="9"/>
    </row>
    <row r="303" ht="15.75" customHeight="1">
      <c r="A303" s="9"/>
      <c r="B303" s="9"/>
      <c r="C303" s="9"/>
      <c r="D303" s="9"/>
      <c r="E303" s="9"/>
      <c r="F303" s="9"/>
      <c r="G303" s="9"/>
      <c r="H303" s="9"/>
      <c r="I303" s="9"/>
      <c r="J303" s="9"/>
      <c r="K303" s="9"/>
      <c r="L303" s="9"/>
      <c r="M303" s="223"/>
      <c r="N303" s="9"/>
      <c r="O303" s="9"/>
      <c r="P303" s="9"/>
      <c r="Q303" s="9"/>
      <c r="R303" s="9"/>
      <c r="S303" s="223"/>
      <c r="T303" s="223"/>
      <c r="U303" s="223"/>
      <c r="V303" s="9"/>
      <c r="W303" s="9"/>
      <c r="X303" s="9"/>
      <c r="Y303" s="204"/>
      <c r="Z303" s="9"/>
      <c r="AA303" s="9"/>
      <c r="AB303" s="9"/>
      <c r="AC303" s="9"/>
    </row>
    <row r="304" ht="15.75" customHeight="1">
      <c r="A304" s="9"/>
      <c r="B304" s="9"/>
      <c r="C304" s="9"/>
      <c r="D304" s="9"/>
      <c r="E304" s="9"/>
      <c r="F304" s="9"/>
      <c r="G304" s="9"/>
      <c r="H304" s="9"/>
      <c r="I304" s="9"/>
      <c r="J304" s="9"/>
      <c r="K304" s="9"/>
      <c r="L304" s="9"/>
      <c r="M304" s="223"/>
      <c r="N304" s="9"/>
      <c r="O304" s="9"/>
      <c r="P304" s="9"/>
      <c r="Q304" s="9"/>
      <c r="R304" s="9"/>
      <c r="S304" s="223"/>
      <c r="T304" s="223"/>
      <c r="U304" s="223"/>
      <c r="V304" s="9"/>
      <c r="W304" s="9"/>
      <c r="X304" s="9"/>
      <c r="Y304" s="204"/>
      <c r="Z304" s="9"/>
      <c r="AA304" s="9"/>
      <c r="AB304" s="9"/>
      <c r="AC304" s="9"/>
    </row>
    <row r="305" ht="15.75" customHeight="1">
      <c r="A305" s="9"/>
      <c r="B305" s="9"/>
      <c r="C305" s="9"/>
      <c r="D305" s="9"/>
      <c r="E305" s="9"/>
      <c r="F305" s="9"/>
      <c r="G305" s="9"/>
      <c r="H305" s="9"/>
      <c r="I305" s="9"/>
      <c r="J305" s="9"/>
      <c r="K305" s="9"/>
      <c r="L305" s="9"/>
      <c r="M305" s="223"/>
      <c r="N305" s="9"/>
      <c r="O305" s="9"/>
      <c r="P305" s="9"/>
      <c r="Q305" s="9"/>
      <c r="R305" s="9"/>
      <c r="S305" s="223"/>
      <c r="T305" s="223"/>
      <c r="U305" s="223"/>
      <c r="V305" s="9"/>
      <c r="W305" s="9"/>
      <c r="X305" s="9"/>
      <c r="Y305" s="204"/>
      <c r="Z305" s="9"/>
      <c r="AA305" s="9"/>
      <c r="AB305" s="9"/>
      <c r="AC305" s="9"/>
    </row>
    <row r="306" ht="15.75" customHeight="1">
      <c r="A306" s="9"/>
      <c r="B306" s="9"/>
      <c r="C306" s="9"/>
      <c r="D306" s="9"/>
      <c r="E306" s="9"/>
      <c r="F306" s="9"/>
      <c r="G306" s="9"/>
      <c r="H306" s="9"/>
      <c r="I306" s="9"/>
      <c r="J306" s="9"/>
      <c r="K306" s="9"/>
      <c r="L306" s="9"/>
      <c r="M306" s="223"/>
      <c r="N306" s="9"/>
      <c r="O306" s="9"/>
      <c r="P306" s="9"/>
      <c r="Q306" s="9"/>
      <c r="R306" s="9"/>
      <c r="S306" s="223"/>
      <c r="T306" s="223"/>
      <c r="U306" s="223"/>
      <c r="V306" s="9"/>
      <c r="W306" s="9"/>
      <c r="X306" s="9"/>
      <c r="Y306" s="204"/>
      <c r="Z306" s="9"/>
      <c r="AA306" s="9"/>
      <c r="AB306" s="9"/>
      <c r="AC306" s="9"/>
    </row>
    <row r="307" ht="15.75" customHeight="1">
      <c r="A307" s="9"/>
      <c r="B307" s="9"/>
      <c r="C307" s="9"/>
      <c r="D307" s="9"/>
      <c r="E307" s="9"/>
      <c r="F307" s="9"/>
      <c r="G307" s="9"/>
      <c r="H307" s="9"/>
      <c r="I307" s="9"/>
      <c r="J307" s="9"/>
      <c r="K307" s="9"/>
      <c r="L307" s="9"/>
      <c r="M307" s="223"/>
      <c r="N307" s="9"/>
      <c r="O307" s="9"/>
      <c r="P307" s="9"/>
      <c r="Q307" s="9"/>
      <c r="R307" s="9"/>
      <c r="S307" s="223"/>
      <c r="T307" s="223"/>
      <c r="U307" s="223"/>
      <c r="V307" s="9"/>
      <c r="W307" s="9"/>
      <c r="X307" s="9"/>
      <c r="Y307" s="204"/>
      <c r="Z307" s="9"/>
      <c r="AA307" s="9"/>
      <c r="AB307" s="9"/>
      <c r="AC307" s="9"/>
    </row>
    <row r="308" ht="15.75" customHeight="1">
      <c r="A308" s="9"/>
      <c r="B308" s="9"/>
      <c r="C308" s="9"/>
      <c r="D308" s="9"/>
      <c r="E308" s="9"/>
      <c r="F308" s="9"/>
      <c r="G308" s="9"/>
      <c r="H308" s="9"/>
      <c r="I308" s="9"/>
      <c r="J308" s="9"/>
      <c r="K308" s="9"/>
      <c r="L308" s="9"/>
      <c r="M308" s="223"/>
      <c r="N308" s="9"/>
      <c r="O308" s="9"/>
      <c r="P308" s="9"/>
      <c r="Q308" s="9"/>
      <c r="R308" s="9"/>
      <c r="S308" s="223"/>
      <c r="T308" s="223"/>
      <c r="U308" s="223"/>
      <c r="V308" s="9"/>
      <c r="W308" s="9"/>
      <c r="X308" s="9"/>
      <c r="Y308" s="204"/>
      <c r="Z308" s="9"/>
      <c r="AA308" s="9"/>
      <c r="AB308" s="9"/>
      <c r="AC308" s="9"/>
    </row>
    <row r="309" ht="15.75" customHeight="1">
      <c r="A309" s="9"/>
      <c r="B309" s="9"/>
      <c r="C309" s="9"/>
      <c r="D309" s="9"/>
      <c r="E309" s="9"/>
      <c r="F309" s="9"/>
      <c r="G309" s="9"/>
      <c r="H309" s="9"/>
      <c r="I309" s="9"/>
      <c r="J309" s="9"/>
      <c r="K309" s="9"/>
      <c r="L309" s="9"/>
      <c r="M309" s="223"/>
      <c r="N309" s="9"/>
      <c r="O309" s="9"/>
      <c r="P309" s="9"/>
      <c r="Q309" s="9"/>
      <c r="R309" s="9"/>
      <c r="S309" s="223"/>
      <c r="T309" s="223"/>
      <c r="U309" s="223"/>
      <c r="V309" s="9"/>
      <c r="W309" s="9"/>
      <c r="X309" s="9"/>
      <c r="Y309" s="204"/>
      <c r="Z309" s="9"/>
      <c r="AA309" s="9"/>
      <c r="AB309" s="9"/>
      <c r="AC309" s="9"/>
    </row>
    <row r="310" ht="15.75" customHeight="1">
      <c r="A310" s="9"/>
      <c r="B310" s="9"/>
      <c r="C310" s="9"/>
      <c r="D310" s="9"/>
      <c r="E310" s="9"/>
      <c r="F310" s="9"/>
      <c r="G310" s="9"/>
      <c r="H310" s="9"/>
      <c r="I310" s="9"/>
      <c r="J310" s="9"/>
      <c r="K310" s="9"/>
      <c r="L310" s="9"/>
      <c r="M310" s="223"/>
      <c r="N310" s="9"/>
      <c r="O310" s="9"/>
      <c r="P310" s="9"/>
      <c r="Q310" s="9"/>
      <c r="R310" s="9"/>
      <c r="S310" s="223"/>
      <c r="T310" s="223"/>
      <c r="U310" s="223"/>
      <c r="V310" s="9"/>
      <c r="W310" s="9"/>
      <c r="X310" s="9"/>
      <c r="Y310" s="204"/>
      <c r="Z310" s="9"/>
      <c r="AA310" s="9"/>
      <c r="AB310" s="9"/>
      <c r="AC310" s="9"/>
    </row>
    <row r="311" ht="15.75" customHeight="1">
      <c r="A311" s="9"/>
      <c r="B311" s="9"/>
      <c r="C311" s="9"/>
      <c r="D311" s="9"/>
      <c r="E311" s="9"/>
      <c r="F311" s="9"/>
      <c r="G311" s="9"/>
      <c r="H311" s="9"/>
      <c r="I311" s="9"/>
      <c r="J311" s="9"/>
      <c r="K311" s="9"/>
      <c r="L311" s="9"/>
      <c r="M311" s="223"/>
      <c r="N311" s="9"/>
      <c r="O311" s="9"/>
      <c r="P311" s="9"/>
      <c r="Q311" s="9"/>
      <c r="R311" s="9"/>
      <c r="S311" s="223"/>
      <c r="T311" s="223"/>
      <c r="U311" s="223"/>
      <c r="V311" s="9"/>
      <c r="W311" s="9"/>
      <c r="X311" s="9"/>
      <c r="Y311" s="204"/>
      <c r="Z311" s="9"/>
      <c r="AA311" s="9"/>
      <c r="AB311" s="9"/>
      <c r="AC311" s="9"/>
    </row>
    <row r="312" ht="15.75" customHeight="1">
      <c r="A312" s="9"/>
      <c r="B312" s="9"/>
      <c r="C312" s="9"/>
      <c r="D312" s="9"/>
      <c r="E312" s="9"/>
      <c r="F312" s="9"/>
      <c r="G312" s="9"/>
      <c r="H312" s="9"/>
      <c r="I312" s="9"/>
      <c r="J312" s="9"/>
      <c r="K312" s="9"/>
      <c r="L312" s="9"/>
      <c r="M312" s="223"/>
      <c r="N312" s="9"/>
      <c r="O312" s="9"/>
      <c r="P312" s="9"/>
      <c r="Q312" s="9"/>
      <c r="R312" s="9"/>
      <c r="S312" s="223"/>
      <c r="T312" s="223"/>
      <c r="U312" s="223"/>
      <c r="V312" s="9"/>
      <c r="W312" s="9"/>
      <c r="X312" s="9"/>
      <c r="Y312" s="204"/>
      <c r="Z312" s="9"/>
      <c r="AA312" s="9"/>
      <c r="AB312" s="9"/>
      <c r="AC312" s="9"/>
    </row>
    <row r="313" ht="15.75" customHeight="1">
      <c r="A313" s="9"/>
      <c r="B313" s="9"/>
      <c r="C313" s="9"/>
      <c r="D313" s="9"/>
      <c r="E313" s="9"/>
      <c r="F313" s="9"/>
      <c r="G313" s="9"/>
      <c r="H313" s="9"/>
      <c r="I313" s="9"/>
      <c r="J313" s="9"/>
      <c r="K313" s="9"/>
      <c r="L313" s="9"/>
      <c r="M313" s="223"/>
      <c r="N313" s="9"/>
      <c r="O313" s="9"/>
      <c r="P313" s="9"/>
      <c r="Q313" s="9"/>
      <c r="R313" s="9"/>
      <c r="S313" s="223"/>
      <c r="T313" s="223"/>
      <c r="U313" s="223"/>
      <c r="V313" s="9"/>
      <c r="W313" s="9"/>
      <c r="X313" s="9"/>
      <c r="Y313" s="204"/>
      <c r="Z313" s="9"/>
      <c r="AA313" s="9"/>
      <c r="AB313" s="9"/>
      <c r="AC313" s="9"/>
    </row>
    <row r="314" ht="15.75" customHeight="1">
      <c r="A314" s="9"/>
      <c r="B314" s="9"/>
      <c r="C314" s="9"/>
      <c r="D314" s="9"/>
      <c r="E314" s="9"/>
      <c r="F314" s="9"/>
      <c r="G314" s="9"/>
      <c r="H314" s="9"/>
      <c r="I314" s="9"/>
      <c r="J314" s="9"/>
      <c r="K314" s="9"/>
      <c r="L314" s="9"/>
      <c r="M314" s="223"/>
      <c r="N314" s="9"/>
      <c r="O314" s="9"/>
      <c r="P314" s="9"/>
      <c r="Q314" s="9"/>
      <c r="R314" s="9"/>
      <c r="S314" s="223"/>
      <c r="T314" s="223"/>
      <c r="U314" s="223"/>
      <c r="V314" s="9"/>
      <c r="W314" s="9"/>
      <c r="X314" s="9"/>
      <c r="Y314" s="204"/>
      <c r="Z314" s="9"/>
      <c r="AA314" s="9"/>
      <c r="AB314" s="9"/>
      <c r="AC314" s="9"/>
    </row>
    <row r="315" ht="15.75" customHeight="1">
      <c r="A315" s="9"/>
      <c r="B315" s="9"/>
      <c r="C315" s="9"/>
      <c r="D315" s="9"/>
      <c r="E315" s="9"/>
      <c r="F315" s="9"/>
      <c r="G315" s="9"/>
      <c r="H315" s="9"/>
      <c r="I315" s="9"/>
      <c r="J315" s="9"/>
      <c r="K315" s="9"/>
      <c r="L315" s="9"/>
      <c r="M315" s="223"/>
      <c r="N315" s="9"/>
      <c r="O315" s="9"/>
      <c r="P315" s="9"/>
      <c r="Q315" s="9"/>
      <c r="R315" s="9"/>
      <c r="S315" s="223"/>
      <c r="T315" s="223"/>
      <c r="U315" s="223"/>
      <c r="V315" s="9"/>
      <c r="W315" s="9"/>
      <c r="X315" s="9"/>
      <c r="Y315" s="204"/>
      <c r="Z315" s="9"/>
      <c r="AA315" s="9"/>
      <c r="AB315" s="9"/>
      <c r="AC315" s="9"/>
    </row>
    <row r="316" ht="15.75" customHeight="1">
      <c r="A316" s="9"/>
      <c r="B316" s="9"/>
      <c r="C316" s="9"/>
      <c r="D316" s="9"/>
      <c r="E316" s="9"/>
      <c r="F316" s="9"/>
      <c r="G316" s="9"/>
      <c r="H316" s="9"/>
      <c r="I316" s="9"/>
      <c r="J316" s="9"/>
      <c r="K316" s="9"/>
      <c r="L316" s="9"/>
      <c r="M316" s="223"/>
      <c r="N316" s="9"/>
      <c r="O316" s="9"/>
      <c r="P316" s="9"/>
      <c r="Q316" s="9"/>
      <c r="R316" s="9"/>
      <c r="S316" s="223"/>
      <c r="T316" s="223"/>
      <c r="U316" s="223"/>
      <c r="V316" s="9"/>
      <c r="W316" s="9"/>
      <c r="X316" s="9"/>
      <c r="Y316" s="204"/>
      <c r="Z316" s="9"/>
      <c r="AA316" s="9"/>
      <c r="AB316" s="9"/>
      <c r="AC316" s="9"/>
    </row>
    <row r="317" ht="15.75" customHeight="1">
      <c r="A317" s="9"/>
      <c r="B317" s="9"/>
      <c r="C317" s="9"/>
      <c r="D317" s="9"/>
      <c r="E317" s="9"/>
      <c r="F317" s="9"/>
      <c r="G317" s="9"/>
      <c r="H317" s="9"/>
      <c r="I317" s="9"/>
      <c r="J317" s="9"/>
      <c r="K317" s="9"/>
      <c r="L317" s="9"/>
      <c r="M317" s="223"/>
      <c r="N317" s="9"/>
      <c r="O317" s="9"/>
      <c r="P317" s="9"/>
      <c r="Q317" s="9"/>
      <c r="R317" s="9"/>
      <c r="S317" s="223"/>
      <c r="T317" s="223"/>
      <c r="U317" s="223"/>
      <c r="V317" s="9"/>
      <c r="W317" s="9"/>
      <c r="X317" s="9"/>
      <c r="Y317" s="204"/>
      <c r="Z317" s="9"/>
      <c r="AA317" s="9"/>
      <c r="AB317" s="9"/>
      <c r="AC317" s="9"/>
    </row>
    <row r="318" ht="15.75" customHeight="1">
      <c r="A318" s="9"/>
      <c r="B318" s="9"/>
      <c r="C318" s="9"/>
      <c r="D318" s="9"/>
      <c r="E318" s="9"/>
      <c r="F318" s="9"/>
      <c r="G318" s="9"/>
      <c r="H318" s="9"/>
      <c r="I318" s="9"/>
      <c r="J318" s="9"/>
      <c r="K318" s="9"/>
      <c r="L318" s="9"/>
      <c r="M318" s="223"/>
      <c r="N318" s="9"/>
      <c r="O318" s="9"/>
      <c r="P318" s="9"/>
      <c r="Q318" s="9"/>
      <c r="R318" s="9"/>
      <c r="S318" s="223"/>
      <c r="T318" s="223"/>
      <c r="U318" s="223"/>
      <c r="V318" s="9"/>
      <c r="W318" s="9"/>
      <c r="X318" s="9"/>
      <c r="Y318" s="204"/>
      <c r="Z318" s="9"/>
      <c r="AA318" s="9"/>
      <c r="AB318" s="9"/>
      <c r="AC318" s="9"/>
    </row>
    <row r="319" ht="15.75" customHeight="1">
      <c r="A319" s="9"/>
      <c r="B319" s="9"/>
      <c r="C319" s="9"/>
      <c r="D319" s="9"/>
      <c r="E319" s="9"/>
      <c r="F319" s="9"/>
      <c r="G319" s="9"/>
      <c r="H319" s="9"/>
      <c r="I319" s="9"/>
      <c r="J319" s="9"/>
      <c r="K319" s="9"/>
      <c r="L319" s="9"/>
      <c r="M319" s="223"/>
      <c r="N319" s="9"/>
      <c r="O319" s="9"/>
      <c r="P319" s="9"/>
      <c r="Q319" s="9"/>
      <c r="R319" s="9"/>
      <c r="S319" s="223"/>
      <c r="T319" s="223"/>
      <c r="U319" s="223"/>
      <c r="V319" s="9"/>
      <c r="W319" s="9"/>
      <c r="X319" s="9"/>
      <c r="Y319" s="204"/>
      <c r="Z319" s="9"/>
      <c r="AA319" s="9"/>
      <c r="AB319" s="9"/>
      <c r="AC319" s="9"/>
    </row>
    <row r="320" ht="15.75" customHeight="1">
      <c r="A320" s="9"/>
      <c r="B320" s="9"/>
      <c r="C320" s="9"/>
      <c r="D320" s="9"/>
      <c r="E320" s="9"/>
      <c r="F320" s="9"/>
      <c r="G320" s="9"/>
      <c r="H320" s="9"/>
      <c r="I320" s="9"/>
      <c r="J320" s="9"/>
      <c r="K320" s="9"/>
      <c r="L320" s="9"/>
      <c r="M320" s="223"/>
      <c r="N320" s="9"/>
      <c r="O320" s="9"/>
      <c r="P320" s="9"/>
      <c r="Q320" s="9"/>
      <c r="R320" s="9"/>
      <c r="S320" s="223"/>
      <c r="T320" s="223"/>
      <c r="U320" s="223"/>
      <c r="V320" s="9"/>
      <c r="W320" s="9"/>
      <c r="X320" s="9"/>
      <c r="Y320" s="204"/>
      <c r="Z320" s="9"/>
      <c r="AA320" s="9"/>
      <c r="AB320" s="9"/>
      <c r="AC320" s="9"/>
    </row>
    <row r="321" ht="15.75" customHeight="1">
      <c r="A321" s="9"/>
      <c r="B321" s="9"/>
      <c r="C321" s="9"/>
      <c r="D321" s="9"/>
      <c r="E321" s="9"/>
      <c r="F321" s="9"/>
      <c r="G321" s="9"/>
      <c r="H321" s="9"/>
      <c r="I321" s="9"/>
      <c r="J321" s="9"/>
      <c r="K321" s="9"/>
      <c r="L321" s="9"/>
      <c r="M321" s="223"/>
      <c r="N321" s="9"/>
      <c r="O321" s="9"/>
      <c r="P321" s="9"/>
      <c r="Q321" s="9"/>
      <c r="R321" s="9"/>
      <c r="S321" s="223"/>
      <c r="T321" s="223"/>
      <c r="U321" s="223"/>
      <c r="V321" s="9"/>
      <c r="W321" s="9"/>
      <c r="X321" s="9"/>
      <c r="Y321" s="204"/>
      <c r="Z321" s="9"/>
      <c r="AA321" s="9"/>
      <c r="AB321" s="9"/>
      <c r="AC321" s="9"/>
    </row>
    <row r="322" ht="15.75" customHeight="1">
      <c r="A322" s="9"/>
      <c r="B322" s="9"/>
      <c r="C322" s="9"/>
      <c r="D322" s="9"/>
      <c r="E322" s="9"/>
      <c r="F322" s="9"/>
      <c r="G322" s="9"/>
      <c r="H322" s="9"/>
      <c r="I322" s="9"/>
      <c r="J322" s="9"/>
      <c r="K322" s="9"/>
      <c r="L322" s="9"/>
      <c r="M322" s="223"/>
      <c r="N322" s="9"/>
      <c r="O322" s="9"/>
      <c r="P322" s="9"/>
      <c r="Q322" s="9"/>
      <c r="R322" s="9"/>
      <c r="S322" s="223"/>
      <c r="T322" s="223"/>
      <c r="U322" s="223"/>
      <c r="V322" s="9"/>
      <c r="W322" s="9"/>
      <c r="X322" s="9"/>
      <c r="Y322" s="204"/>
      <c r="Z322" s="9"/>
      <c r="AA322" s="9"/>
      <c r="AB322" s="9"/>
      <c r="AC322" s="9"/>
    </row>
    <row r="323" ht="15.75" customHeight="1">
      <c r="A323" s="9"/>
      <c r="B323" s="9"/>
      <c r="C323" s="9"/>
      <c r="D323" s="9"/>
      <c r="E323" s="9"/>
      <c r="F323" s="9"/>
      <c r="G323" s="9"/>
      <c r="H323" s="9"/>
      <c r="I323" s="9"/>
      <c r="J323" s="9"/>
      <c r="K323" s="9"/>
      <c r="L323" s="9"/>
      <c r="M323" s="223"/>
      <c r="N323" s="9"/>
      <c r="O323" s="9"/>
      <c r="P323" s="9"/>
      <c r="Q323" s="9"/>
      <c r="R323" s="9"/>
      <c r="S323" s="223"/>
      <c r="T323" s="223"/>
      <c r="U323" s="223"/>
      <c r="V323" s="9"/>
      <c r="W323" s="9"/>
      <c r="X323" s="9"/>
      <c r="Y323" s="204"/>
      <c r="Z323" s="9"/>
      <c r="AA323" s="9"/>
      <c r="AB323" s="9"/>
      <c r="AC323" s="9"/>
    </row>
    <row r="324" ht="15.75" customHeight="1">
      <c r="A324" s="9"/>
      <c r="B324" s="9"/>
      <c r="C324" s="9"/>
      <c r="D324" s="9"/>
      <c r="E324" s="9"/>
      <c r="F324" s="9"/>
      <c r="G324" s="9"/>
      <c r="H324" s="9"/>
      <c r="I324" s="9"/>
      <c r="J324" s="9"/>
      <c r="K324" s="9"/>
      <c r="L324" s="9"/>
      <c r="M324" s="223"/>
      <c r="N324" s="9"/>
      <c r="O324" s="9"/>
      <c r="P324" s="9"/>
      <c r="Q324" s="9"/>
      <c r="R324" s="9"/>
      <c r="S324" s="223"/>
      <c r="T324" s="223"/>
      <c r="U324" s="223"/>
      <c r="V324" s="9"/>
      <c r="W324" s="9"/>
      <c r="X324" s="9"/>
      <c r="Y324" s="204"/>
      <c r="Z324" s="9"/>
      <c r="AA324" s="9"/>
      <c r="AB324" s="9"/>
      <c r="AC324" s="9"/>
    </row>
    <row r="325" ht="15.75" customHeight="1">
      <c r="A325" s="9"/>
      <c r="B325" s="9"/>
      <c r="C325" s="9"/>
      <c r="D325" s="9"/>
      <c r="E325" s="9"/>
      <c r="F325" s="9"/>
      <c r="G325" s="9"/>
      <c r="H325" s="9"/>
      <c r="I325" s="9"/>
      <c r="J325" s="9"/>
      <c r="K325" s="9"/>
      <c r="L325" s="9"/>
      <c r="M325" s="223"/>
      <c r="N325" s="9"/>
      <c r="O325" s="9"/>
      <c r="P325" s="9"/>
      <c r="Q325" s="9"/>
      <c r="R325" s="9"/>
      <c r="S325" s="223"/>
      <c r="T325" s="223"/>
      <c r="U325" s="223"/>
      <c r="V325" s="9"/>
      <c r="W325" s="9"/>
      <c r="X325" s="9"/>
      <c r="Y325" s="204"/>
      <c r="Z325" s="9"/>
      <c r="AA325" s="9"/>
      <c r="AB325" s="9"/>
      <c r="AC325" s="9"/>
    </row>
    <row r="326" ht="15.75" customHeight="1">
      <c r="A326" s="9"/>
      <c r="B326" s="9"/>
      <c r="C326" s="9"/>
      <c r="D326" s="9"/>
      <c r="E326" s="9"/>
      <c r="F326" s="9"/>
      <c r="G326" s="9"/>
      <c r="H326" s="9"/>
      <c r="I326" s="9"/>
      <c r="J326" s="9"/>
      <c r="K326" s="9"/>
      <c r="L326" s="9"/>
      <c r="M326" s="223"/>
      <c r="N326" s="9"/>
      <c r="O326" s="9"/>
      <c r="P326" s="9"/>
      <c r="Q326" s="9"/>
      <c r="R326" s="9"/>
      <c r="S326" s="223"/>
      <c r="T326" s="223"/>
      <c r="U326" s="223"/>
      <c r="V326" s="9"/>
      <c r="W326" s="9"/>
      <c r="X326" s="9"/>
      <c r="Y326" s="204"/>
      <c r="Z326" s="9"/>
      <c r="AA326" s="9"/>
      <c r="AB326" s="9"/>
      <c r="AC326" s="9"/>
    </row>
    <row r="327" ht="15.75" customHeight="1">
      <c r="A327" s="9"/>
      <c r="B327" s="9"/>
      <c r="C327" s="9"/>
      <c r="D327" s="9"/>
      <c r="E327" s="9"/>
      <c r="F327" s="9"/>
      <c r="G327" s="9"/>
      <c r="H327" s="9"/>
      <c r="I327" s="9"/>
      <c r="J327" s="9"/>
      <c r="K327" s="9"/>
      <c r="L327" s="9"/>
      <c r="M327" s="223"/>
      <c r="N327" s="9"/>
      <c r="O327" s="9"/>
      <c r="P327" s="9"/>
      <c r="Q327" s="9"/>
      <c r="R327" s="9"/>
      <c r="S327" s="223"/>
      <c r="T327" s="223"/>
      <c r="U327" s="223"/>
      <c r="V327" s="9"/>
      <c r="W327" s="9"/>
      <c r="X327" s="9"/>
      <c r="Y327" s="204"/>
      <c r="Z327" s="9"/>
      <c r="AA327" s="9"/>
      <c r="AB327" s="9"/>
      <c r="AC327" s="9"/>
    </row>
    <row r="328" ht="15.75" customHeight="1">
      <c r="A328" s="9"/>
      <c r="B328" s="9"/>
      <c r="C328" s="9"/>
      <c r="D328" s="9"/>
      <c r="E328" s="9"/>
      <c r="F328" s="9"/>
      <c r="G328" s="9"/>
      <c r="H328" s="9"/>
      <c r="I328" s="9"/>
      <c r="J328" s="9"/>
      <c r="K328" s="9"/>
      <c r="L328" s="9"/>
      <c r="M328" s="223"/>
      <c r="N328" s="9"/>
      <c r="O328" s="9"/>
      <c r="P328" s="9"/>
      <c r="Q328" s="9"/>
      <c r="R328" s="9"/>
      <c r="S328" s="223"/>
      <c r="T328" s="223"/>
      <c r="U328" s="223"/>
      <c r="V328" s="9"/>
      <c r="W328" s="9"/>
      <c r="X328" s="9"/>
      <c r="Y328" s="204"/>
      <c r="Z328" s="9"/>
      <c r="AA328" s="9"/>
      <c r="AB328" s="9"/>
      <c r="AC328" s="9"/>
    </row>
    <row r="329" ht="15.75" customHeight="1">
      <c r="A329" s="9"/>
      <c r="B329" s="9"/>
      <c r="C329" s="9"/>
      <c r="D329" s="9"/>
      <c r="E329" s="9"/>
      <c r="F329" s="9"/>
      <c r="G329" s="9"/>
      <c r="H329" s="9"/>
      <c r="I329" s="9"/>
      <c r="J329" s="9"/>
      <c r="K329" s="9"/>
      <c r="L329" s="9"/>
      <c r="M329" s="223"/>
      <c r="N329" s="9"/>
      <c r="O329" s="9"/>
      <c r="P329" s="9"/>
      <c r="Q329" s="9"/>
      <c r="R329" s="9"/>
      <c r="S329" s="223"/>
      <c r="T329" s="223"/>
      <c r="U329" s="223"/>
      <c r="V329" s="9"/>
      <c r="W329" s="9"/>
      <c r="X329" s="9"/>
      <c r="Y329" s="204"/>
      <c r="Z329" s="9"/>
      <c r="AA329" s="9"/>
      <c r="AB329" s="9"/>
      <c r="AC329" s="9"/>
    </row>
    <row r="330" ht="15.75" customHeight="1">
      <c r="A330" s="9"/>
      <c r="B330" s="9"/>
      <c r="C330" s="9"/>
      <c r="D330" s="9"/>
      <c r="E330" s="9"/>
      <c r="F330" s="9"/>
      <c r="G330" s="9"/>
      <c r="H330" s="9"/>
      <c r="I330" s="9"/>
      <c r="J330" s="9"/>
      <c r="K330" s="9"/>
      <c r="L330" s="9"/>
      <c r="M330" s="223"/>
      <c r="N330" s="9"/>
      <c r="O330" s="9"/>
      <c r="P330" s="9"/>
      <c r="Q330" s="9"/>
      <c r="R330" s="9"/>
      <c r="S330" s="223"/>
      <c r="T330" s="223"/>
      <c r="U330" s="223"/>
      <c r="V330" s="9"/>
      <c r="W330" s="9"/>
      <c r="X330" s="9"/>
      <c r="Y330" s="204"/>
      <c r="Z330" s="9"/>
      <c r="AA330" s="9"/>
      <c r="AB330" s="9"/>
      <c r="AC330" s="9"/>
    </row>
    <row r="331" ht="15.75" customHeight="1">
      <c r="A331" s="9"/>
      <c r="B331" s="9"/>
      <c r="C331" s="9"/>
      <c r="D331" s="9"/>
      <c r="E331" s="9"/>
      <c r="F331" s="9"/>
      <c r="G331" s="9"/>
      <c r="H331" s="9"/>
      <c r="I331" s="9"/>
      <c r="J331" s="9"/>
      <c r="K331" s="9"/>
      <c r="L331" s="9"/>
      <c r="M331" s="223"/>
      <c r="N331" s="9"/>
      <c r="O331" s="9"/>
      <c r="P331" s="9"/>
      <c r="Q331" s="9"/>
      <c r="R331" s="9"/>
      <c r="S331" s="223"/>
      <c r="T331" s="223"/>
      <c r="U331" s="223"/>
      <c r="V331" s="9"/>
      <c r="W331" s="9"/>
      <c r="X331" s="9"/>
      <c r="Y331" s="204"/>
      <c r="Z331" s="9"/>
      <c r="AA331" s="9"/>
      <c r="AB331" s="9"/>
      <c r="AC331" s="9"/>
    </row>
    <row r="332" ht="15.75" customHeight="1">
      <c r="A332" s="9"/>
      <c r="B332" s="9"/>
      <c r="C332" s="9"/>
      <c r="D332" s="9"/>
      <c r="E332" s="9"/>
      <c r="F332" s="9"/>
      <c r="G332" s="9"/>
      <c r="H332" s="9"/>
      <c r="I332" s="9"/>
      <c r="J332" s="9"/>
      <c r="K332" s="9"/>
      <c r="L332" s="9"/>
      <c r="M332" s="223"/>
      <c r="N332" s="9"/>
      <c r="O332" s="9"/>
      <c r="P332" s="9"/>
      <c r="Q332" s="9"/>
      <c r="R332" s="9"/>
      <c r="S332" s="223"/>
      <c r="T332" s="223"/>
      <c r="U332" s="223"/>
      <c r="V332" s="9"/>
      <c r="W332" s="9"/>
      <c r="X332" s="9"/>
      <c r="Y332" s="204"/>
      <c r="Z332" s="9"/>
      <c r="AA332" s="9"/>
      <c r="AB332" s="9"/>
      <c r="AC332" s="9"/>
    </row>
    <row r="333" ht="15.75" customHeight="1">
      <c r="A333" s="9"/>
      <c r="B333" s="9"/>
      <c r="C333" s="9"/>
      <c r="D333" s="9"/>
      <c r="E333" s="9"/>
      <c r="F333" s="9"/>
      <c r="G333" s="9"/>
      <c r="H333" s="9"/>
      <c r="I333" s="9"/>
      <c r="J333" s="9"/>
      <c r="K333" s="9"/>
      <c r="L333" s="9"/>
      <c r="M333" s="223"/>
      <c r="N333" s="9"/>
      <c r="O333" s="9"/>
      <c r="P333" s="9"/>
      <c r="Q333" s="9"/>
      <c r="R333" s="9"/>
      <c r="S333" s="223"/>
      <c r="T333" s="223"/>
      <c r="U333" s="223"/>
      <c r="V333" s="9"/>
      <c r="W333" s="9"/>
      <c r="X333" s="9"/>
      <c r="Y333" s="204"/>
      <c r="Z333" s="9"/>
      <c r="AA333" s="9"/>
      <c r="AB333" s="9"/>
      <c r="AC333" s="9"/>
    </row>
    <row r="334" ht="15.75" customHeight="1">
      <c r="A334" s="9"/>
      <c r="B334" s="9"/>
      <c r="C334" s="9"/>
      <c r="D334" s="9"/>
      <c r="E334" s="9"/>
      <c r="F334" s="9"/>
      <c r="G334" s="9"/>
      <c r="H334" s="9"/>
      <c r="I334" s="9"/>
      <c r="J334" s="9"/>
      <c r="K334" s="9"/>
      <c r="L334" s="9"/>
      <c r="M334" s="223"/>
      <c r="N334" s="9"/>
      <c r="O334" s="9"/>
      <c r="P334" s="9"/>
      <c r="Q334" s="9"/>
      <c r="R334" s="9"/>
      <c r="S334" s="223"/>
      <c r="T334" s="223"/>
      <c r="U334" s="223"/>
      <c r="V334" s="9"/>
      <c r="W334" s="9"/>
      <c r="X334" s="9"/>
      <c r="Y334" s="204"/>
      <c r="Z334" s="9"/>
      <c r="AA334" s="9"/>
      <c r="AB334" s="9"/>
      <c r="AC334" s="9"/>
    </row>
    <row r="335" ht="15.75" customHeight="1">
      <c r="A335" s="9"/>
      <c r="B335" s="9"/>
      <c r="C335" s="9"/>
      <c r="D335" s="9"/>
      <c r="E335" s="9"/>
      <c r="F335" s="9"/>
      <c r="G335" s="9"/>
      <c r="H335" s="9"/>
      <c r="I335" s="9"/>
      <c r="J335" s="9"/>
      <c r="K335" s="9"/>
      <c r="L335" s="9"/>
      <c r="M335" s="223"/>
      <c r="N335" s="9"/>
      <c r="O335" s="9"/>
      <c r="P335" s="9"/>
      <c r="Q335" s="9"/>
      <c r="R335" s="9"/>
      <c r="S335" s="223"/>
      <c r="T335" s="223"/>
      <c r="U335" s="223"/>
      <c r="V335" s="9"/>
      <c r="W335" s="9"/>
      <c r="X335" s="9"/>
      <c r="Y335" s="204"/>
      <c r="Z335" s="9"/>
      <c r="AA335" s="9"/>
      <c r="AB335" s="9"/>
      <c r="AC335" s="9"/>
    </row>
    <row r="336" ht="15.75" customHeight="1">
      <c r="A336" s="9"/>
      <c r="B336" s="9"/>
      <c r="C336" s="9"/>
      <c r="D336" s="9"/>
      <c r="E336" s="9"/>
      <c r="F336" s="9"/>
      <c r="G336" s="9"/>
      <c r="H336" s="9"/>
      <c r="I336" s="9"/>
      <c r="J336" s="9"/>
      <c r="K336" s="9"/>
      <c r="L336" s="9"/>
      <c r="M336" s="223"/>
      <c r="N336" s="9"/>
      <c r="O336" s="9"/>
      <c r="P336" s="9"/>
      <c r="Q336" s="9"/>
      <c r="R336" s="9"/>
      <c r="S336" s="223"/>
      <c r="T336" s="223"/>
      <c r="U336" s="223"/>
      <c r="V336" s="9"/>
      <c r="W336" s="9"/>
      <c r="X336" s="9"/>
      <c r="Y336" s="204"/>
      <c r="Z336" s="9"/>
      <c r="AA336" s="9"/>
      <c r="AB336" s="9"/>
      <c r="AC336" s="9"/>
    </row>
    <row r="337" ht="15.75" customHeight="1">
      <c r="A337" s="9"/>
      <c r="B337" s="9"/>
      <c r="C337" s="9"/>
      <c r="D337" s="9"/>
      <c r="E337" s="9"/>
      <c r="F337" s="9"/>
      <c r="G337" s="9"/>
      <c r="H337" s="9"/>
      <c r="I337" s="9"/>
      <c r="J337" s="9"/>
      <c r="K337" s="9"/>
      <c r="L337" s="9"/>
      <c r="M337" s="223"/>
      <c r="N337" s="9"/>
      <c r="O337" s="9"/>
      <c r="P337" s="9"/>
      <c r="Q337" s="9"/>
      <c r="R337" s="9"/>
      <c r="S337" s="223"/>
      <c r="T337" s="223"/>
      <c r="U337" s="223"/>
      <c r="V337" s="9"/>
      <c r="W337" s="9"/>
      <c r="X337" s="9"/>
      <c r="Y337" s="204"/>
      <c r="Z337" s="9"/>
      <c r="AA337" s="9"/>
      <c r="AB337" s="9"/>
      <c r="AC337" s="9"/>
    </row>
    <row r="338" ht="15.75" customHeight="1">
      <c r="A338" s="9"/>
      <c r="B338" s="9"/>
      <c r="C338" s="9"/>
      <c r="D338" s="9"/>
      <c r="E338" s="9"/>
      <c r="F338" s="9"/>
      <c r="G338" s="9"/>
      <c r="H338" s="9"/>
      <c r="I338" s="9"/>
      <c r="J338" s="9"/>
      <c r="K338" s="9"/>
      <c r="L338" s="9"/>
      <c r="M338" s="223"/>
      <c r="N338" s="9"/>
      <c r="O338" s="9"/>
      <c r="P338" s="9"/>
      <c r="Q338" s="9"/>
      <c r="R338" s="9"/>
      <c r="S338" s="223"/>
      <c r="T338" s="223"/>
      <c r="U338" s="223"/>
      <c r="V338" s="9"/>
      <c r="W338" s="9"/>
      <c r="X338" s="9"/>
      <c r="Y338" s="204"/>
      <c r="Z338" s="9"/>
      <c r="AA338" s="9"/>
      <c r="AB338" s="9"/>
      <c r="AC338" s="9"/>
    </row>
    <row r="339" ht="15.75" customHeight="1">
      <c r="A339" s="9"/>
      <c r="B339" s="9"/>
      <c r="C339" s="9"/>
      <c r="D339" s="9"/>
      <c r="E339" s="9"/>
      <c r="F339" s="9"/>
      <c r="G339" s="9"/>
      <c r="H339" s="9"/>
      <c r="I339" s="9"/>
      <c r="J339" s="9"/>
      <c r="K339" s="9"/>
      <c r="L339" s="9"/>
      <c r="M339" s="223"/>
      <c r="N339" s="9"/>
      <c r="O339" s="9"/>
      <c r="P339" s="9"/>
      <c r="Q339" s="9"/>
      <c r="R339" s="9"/>
      <c r="S339" s="223"/>
      <c r="T339" s="223"/>
      <c r="U339" s="223"/>
      <c r="V339" s="9"/>
      <c r="W339" s="9"/>
      <c r="X339" s="9"/>
      <c r="Y339" s="204"/>
      <c r="Z339" s="9"/>
      <c r="AA339" s="9"/>
      <c r="AB339" s="9"/>
      <c r="AC339" s="9"/>
    </row>
    <row r="340" ht="15.75" customHeight="1">
      <c r="A340" s="9"/>
      <c r="B340" s="9"/>
      <c r="C340" s="9"/>
      <c r="D340" s="9"/>
      <c r="E340" s="9"/>
      <c r="F340" s="9"/>
      <c r="G340" s="9"/>
      <c r="H340" s="9"/>
      <c r="I340" s="9"/>
      <c r="J340" s="9"/>
      <c r="K340" s="9"/>
      <c r="L340" s="9"/>
      <c r="M340" s="223"/>
      <c r="N340" s="9"/>
      <c r="O340" s="9"/>
      <c r="P340" s="9"/>
      <c r="Q340" s="9"/>
      <c r="R340" s="9"/>
      <c r="S340" s="223"/>
      <c r="T340" s="223"/>
      <c r="U340" s="223"/>
      <c r="V340" s="9"/>
      <c r="W340" s="9"/>
      <c r="X340" s="9"/>
      <c r="Y340" s="204"/>
      <c r="Z340" s="9"/>
      <c r="AA340" s="9"/>
      <c r="AB340" s="9"/>
      <c r="AC340" s="9"/>
    </row>
    <row r="341" ht="15.75" customHeight="1">
      <c r="A341" s="9"/>
      <c r="B341" s="9"/>
      <c r="C341" s="9"/>
      <c r="D341" s="9"/>
      <c r="E341" s="9"/>
      <c r="F341" s="9"/>
      <c r="G341" s="9"/>
      <c r="H341" s="9"/>
      <c r="I341" s="9"/>
      <c r="J341" s="9"/>
      <c r="K341" s="9"/>
      <c r="L341" s="9"/>
      <c r="M341" s="223"/>
      <c r="N341" s="9"/>
      <c r="O341" s="9"/>
      <c r="P341" s="9"/>
      <c r="Q341" s="9"/>
      <c r="R341" s="9"/>
      <c r="S341" s="223"/>
      <c r="T341" s="223"/>
      <c r="U341" s="223"/>
      <c r="V341" s="9"/>
      <c r="W341" s="9"/>
      <c r="X341" s="9"/>
      <c r="Y341" s="204"/>
      <c r="Z341" s="9"/>
      <c r="AA341" s="9"/>
      <c r="AB341" s="9"/>
      <c r="AC341" s="9"/>
    </row>
    <row r="342" ht="15.75" customHeight="1">
      <c r="A342" s="9"/>
      <c r="B342" s="9"/>
      <c r="C342" s="9"/>
      <c r="D342" s="9"/>
      <c r="E342" s="9"/>
      <c r="F342" s="9"/>
      <c r="G342" s="9"/>
      <c r="H342" s="9"/>
      <c r="I342" s="9"/>
      <c r="J342" s="9"/>
      <c r="K342" s="9"/>
      <c r="L342" s="9"/>
      <c r="M342" s="223"/>
      <c r="N342" s="9"/>
      <c r="O342" s="9"/>
      <c r="P342" s="9"/>
      <c r="Q342" s="9"/>
      <c r="R342" s="9"/>
      <c r="S342" s="223"/>
      <c r="T342" s="223"/>
      <c r="U342" s="223"/>
      <c r="V342" s="9"/>
      <c r="W342" s="9"/>
      <c r="X342" s="9"/>
      <c r="Y342" s="204"/>
      <c r="Z342" s="9"/>
      <c r="AA342" s="9"/>
      <c r="AB342" s="9"/>
      <c r="AC342" s="9"/>
    </row>
    <row r="343" ht="15.75" customHeight="1">
      <c r="A343" s="9"/>
      <c r="B343" s="9"/>
      <c r="C343" s="9"/>
      <c r="D343" s="9"/>
      <c r="E343" s="9"/>
      <c r="F343" s="9"/>
      <c r="G343" s="9"/>
      <c r="H343" s="9"/>
      <c r="I343" s="9"/>
      <c r="J343" s="9"/>
      <c r="K343" s="9"/>
      <c r="L343" s="9"/>
      <c r="M343" s="223"/>
      <c r="N343" s="9"/>
      <c r="O343" s="9"/>
      <c r="P343" s="9"/>
      <c r="Q343" s="9"/>
      <c r="R343" s="9"/>
      <c r="S343" s="223"/>
      <c r="T343" s="223"/>
      <c r="U343" s="223"/>
      <c r="V343" s="9"/>
      <c r="W343" s="9"/>
      <c r="X343" s="9"/>
      <c r="Y343" s="204"/>
      <c r="Z343" s="9"/>
      <c r="AA343" s="9"/>
      <c r="AB343" s="9"/>
      <c r="AC343" s="9"/>
    </row>
    <row r="344" ht="15.75" customHeight="1">
      <c r="A344" s="9"/>
      <c r="B344" s="9"/>
      <c r="C344" s="9"/>
      <c r="D344" s="9"/>
      <c r="E344" s="9"/>
      <c r="F344" s="9"/>
      <c r="G344" s="9"/>
      <c r="H344" s="9"/>
      <c r="I344" s="9"/>
      <c r="J344" s="9"/>
      <c r="K344" s="9"/>
      <c r="L344" s="9"/>
      <c r="M344" s="223"/>
      <c r="N344" s="9"/>
      <c r="O344" s="9"/>
      <c r="P344" s="9"/>
      <c r="Q344" s="9"/>
      <c r="R344" s="9"/>
      <c r="S344" s="223"/>
      <c r="T344" s="223"/>
      <c r="U344" s="223"/>
      <c r="V344" s="9"/>
      <c r="W344" s="9"/>
      <c r="X344" s="9"/>
      <c r="Y344" s="204"/>
      <c r="Z344" s="9"/>
      <c r="AA344" s="9"/>
      <c r="AB344" s="9"/>
      <c r="AC344" s="9"/>
    </row>
    <row r="345" ht="15.75" customHeight="1">
      <c r="A345" s="9"/>
      <c r="B345" s="9"/>
      <c r="C345" s="9"/>
      <c r="D345" s="9"/>
      <c r="E345" s="9"/>
      <c r="F345" s="9"/>
      <c r="G345" s="9"/>
      <c r="H345" s="9"/>
      <c r="I345" s="9"/>
      <c r="J345" s="9"/>
      <c r="K345" s="9"/>
      <c r="L345" s="9"/>
      <c r="M345" s="223"/>
      <c r="N345" s="9"/>
      <c r="O345" s="9"/>
      <c r="P345" s="9"/>
      <c r="Q345" s="9"/>
      <c r="R345" s="9"/>
      <c r="S345" s="223"/>
      <c r="T345" s="223"/>
      <c r="U345" s="223"/>
      <c r="V345" s="9"/>
      <c r="W345" s="9"/>
      <c r="X345" s="9"/>
      <c r="Y345" s="204"/>
      <c r="Z345" s="9"/>
      <c r="AA345" s="9"/>
      <c r="AB345" s="9"/>
      <c r="AC345" s="9"/>
    </row>
    <row r="346" ht="15.75" customHeight="1">
      <c r="A346" s="9"/>
      <c r="B346" s="9"/>
      <c r="C346" s="9"/>
      <c r="D346" s="9"/>
      <c r="E346" s="9"/>
      <c r="F346" s="9"/>
      <c r="G346" s="9"/>
      <c r="H346" s="9"/>
      <c r="I346" s="9"/>
      <c r="J346" s="9"/>
      <c r="K346" s="9"/>
      <c r="L346" s="9"/>
      <c r="M346" s="223"/>
      <c r="N346" s="9"/>
      <c r="O346" s="9"/>
      <c r="P346" s="9"/>
      <c r="Q346" s="9"/>
      <c r="R346" s="9"/>
      <c r="S346" s="223"/>
      <c r="T346" s="223"/>
      <c r="U346" s="223"/>
      <c r="V346" s="9"/>
      <c r="W346" s="9"/>
      <c r="X346" s="9"/>
      <c r="Y346" s="204"/>
      <c r="Z346" s="9"/>
      <c r="AA346" s="9"/>
      <c r="AB346" s="9"/>
      <c r="AC346" s="9"/>
    </row>
    <row r="347" ht="15.75" customHeight="1">
      <c r="A347" s="9"/>
      <c r="B347" s="9"/>
      <c r="C347" s="9"/>
      <c r="D347" s="9"/>
      <c r="E347" s="9"/>
      <c r="F347" s="9"/>
      <c r="G347" s="9"/>
      <c r="H347" s="9"/>
      <c r="I347" s="9"/>
      <c r="J347" s="9"/>
      <c r="K347" s="9"/>
      <c r="L347" s="9"/>
      <c r="M347" s="223"/>
      <c r="N347" s="9"/>
      <c r="O347" s="9"/>
      <c r="P347" s="9"/>
      <c r="Q347" s="9"/>
      <c r="R347" s="9"/>
      <c r="S347" s="223"/>
      <c r="T347" s="223"/>
      <c r="U347" s="223"/>
      <c r="V347" s="9"/>
      <c r="W347" s="9"/>
      <c r="X347" s="9"/>
      <c r="Y347" s="204"/>
      <c r="Z347" s="9"/>
      <c r="AA347" s="9"/>
      <c r="AB347" s="9"/>
      <c r="AC347" s="9"/>
    </row>
    <row r="348" ht="15.75" customHeight="1">
      <c r="A348" s="9"/>
      <c r="B348" s="9"/>
      <c r="C348" s="9"/>
      <c r="D348" s="9"/>
      <c r="E348" s="9"/>
      <c r="F348" s="9"/>
      <c r="G348" s="9"/>
      <c r="H348" s="9"/>
      <c r="I348" s="9"/>
      <c r="J348" s="9"/>
      <c r="K348" s="9"/>
      <c r="L348" s="9"/>
      <c r="M348" s="223"/>
      <c r="N348" s="9"/>
      <c r="O348" s="9"/>
      <c r="P348" s="9"/>
      <c r="Q348" s="9"/>
      <c r="R348" s="9"/>
      <c r="S348" s="223"/>
      <c r="T348" s="223"/>
      <c r="U348" s="223"/>
      <c r="V348" s="9"/>
      <c r="W348" s="9"/>
      <c r="X348" s="9"/>
      <c r="Y348" s="204"/>
      <c r="Z348" s="9"/>
      <c r="AA348" s="9"/>
      <c r="AB348" s="9"/>
      <c r="AC348" s="9"/>
    </row>
    <row r="349" ht="15.75" customHeight="1">
      <c r="A349" s="9"/>
      <c r="B349" s="9"/>
      <c r="C349" s="9"/>
      <c r="D349" s="9"/>
      <c r="E349" s="9"/>
      <c r="F349" s="9"/>
      <c r="G349" s="9"/>
      <c r="H349" s="9"/>
      <c r="I349" s="9"/>
      <c r="J349" s="9"/>
      <c r="K349" s="9"/>
      <c r="L349" s="9"/>
      <c r="M349" s="223"/>
      <c r="N349" s="9"/>
      <c r="O349" s="9"/>
      <c r="P349" s="9"/>
      <c r="Q349" s="9"/>
      <c r="R349" s="9"/>
      <c r="S349" s="223"/>
      <c r="T349" s="223"/>
      <c r="U349" s="223"/>
      <c r="V349" s="9"/>
      <c r="W349" s="9"/>
      <c r="X349" s="9"/>
      <c r="Y349" s="204"/>
      <c r="Z349" s="9"/>
      <c r="AA349" s="9"/>
      <c r="AB349" s="9"/>
      <c r="AC349" s="9"/>
    </row>
    <row r="350" ht="15.75" customHeight="1">
      <c r="A350" s="9"/>
      <c r="B350" s="9"/>
      <c r="C350" s="9"/>
      <c r="D350" s="9"/>
      <c r="E350" s="9"/>
      <c r="F350" s="9"/>
      <c r="G350" s="9"/>
      <c r="H350" s="9"/>
      <c r="I350" s="9"/>
      <c r="J350" s="9"/>
      <c r="K350" s="9"/>
      <c r="L350" s="9"/>
      <c r="M350" s="223"/>
      <c r="N350" s="9"/>
      <c r="O350" s="9"/>
      <c r="P350" s="9"/>
      <c r="Q350" s="9"/>
      <c r="R350" s="9"/>
      <c r="S350" s="223"/>
      <c r="T350" s="223"/>
      <c r="U350" s="223"/>
      <c r="V350" s="9"/>
      <c r="W350" s="9"/>
      <c r="X350" s="9"/>
      <c r="Y350" s="204"/>
      <c r="Z350" s="9"/>
      <c r="AA350" s="9"/>
      <c r="AB350" s="9"/>
      <c r="AC350" s="9"/>
    </row>
    <row r="351" ht="15.75" customHeight="1">
      <c r="A351" s="9"/>
      <c r="B351" s="9"/>
      <c r="C351" s="9"/>
      <c r="D351" s="9"/>
      <c r="E351" s="9"/>
      <c r="F351" s="9"/>
      <c r="G351" s="9"/>
      <c r="H351" s="9"/>
      <c r="I351" s="9"/>
      <c r="J351" s="9"/>
      <c r="K351" s="9"/>
      <c r="L351" s="9"/>
      <c r="M351" s="223"/>
      <c r="N351" s="9"/>
      <c r="O351" s="9"/>
      <c r="P351" s="9"/>
      <c r="Q351" s="9"/>
      <c r="R351" s="9"/>
      <c r="S351" s="223"/>
      <c r="T351" s="223"/>
      <c r="U351" s="223"/>
      <c r="V351" s="9"/>
      <c r="W351" s="9"/>
      <c r="X351" s="9"/>
      <c r="Y351" s="204"/>
      <c r="Z351" s="9"/>
      <c r="AA351" s="9"/>
      <c r="AB351" s="9"/>
      <c r="AC351" s="9"/>
    </row>
    <row r="352" ht="15.75" customHeight="1">
      <c r="A352" s="9"/>
      <c r="B352" s="9"/>
      <c r="C352" s="9"/>
      <c r="D352" s="9"/>
      <c r="E352" s="9"/>
      <c r="F352" s="9"/>
      <c r="G352" s="9"/>
      <c r="H352" s="9"/>
      <c r="I352" s="9"/>
      <c r="J352" s="9"/>
      <c r="K352" s="9"/>
      <c r="L352" s="9"/>
      <c r="M352" s="223"/>
      <c r="N352" s="9"/>
      <c r="O352" s="9"/>
      <c r="P352" s="9"/>
      <c r="Q352" s="9"/>
      <c r="R352" s="9"/>
      <c r="S352" s="223"/>
      <c r="T352" s="223"/>
      <c r="U352" s="223"/>
      <c r="V352" s="9"/>
      <c r="W352" s="9"/>
      <c r="X352" s="9"/>
      <c r="Y352" s="204"/>
      <c r="Z352" s="9"/>
      <c r="AA352" s="9"/>
      <c r="AB352" s="9"/>
      <c r="AC352" s="9"/>
    </row>
    <row r="353" ht="15.75" customHeight="1">
      <c r="A353" s="9"/>
      <c r="B353" s="9"/>
      <c r="C353" s="9"/>
      <c r="D353" s="9"/>
      <c r="E353" s="9"/>
      <c r="F353" s="9"/>
      <c r="G353" s="9"/>
      <c r="H353" s="9"/>
      <c r="I353" s="9"/>
      <c r="J353" s="9"/>
      <c r="K353" s="9"/>
      <c r="L353" s="9"/>
      <c r="M353" s="223"/>
      <c r="N353" s="9"/>
      <c r="O353" s="9"/>
      <c r="P353" s="9"/>
      <c r="Q353" s="9"/>
      <c r="R353" s="9"/>
      <c r="S353" s="223"/>
      <c r="T353" s="223"/>
      <c r="U353" s="223"/>
      <c r="V353" s="9"/>
      <c r="W353" s="9"/>
      <c r="X353" s="9"/>
      <c r="Y353" s="204"/>
      <c r="Z353" s="9"/>
      <c r="AA353" s="9"/>
      <c r="AB353" s="9"/>
      <c r="AC353" s="9"/>
    </row>
    <row r="354" ht="15.75" customHeight="1">
      <c r="A354" s="9"/>
      <c r="B354" s="9"/>
      <c r="C354" s="9"/>
      <c r="D354" s="9"/>
      <c r="E354" s="9"/>
      <c r="F354" s="9"/>
      <c r="G354" s="9"/>
      <c r="H354" s="9"/>
      <c r="I354" s="9"/>
      <c r="J354" s="9"/>
      <c r="K354" s="9"/>
      <c r="L354" s="9"/>
      <c r="M354" s="223"/>
      <c r="N354" s="9"/>
      <c r="O354" s="9"/>
      <c r="P354" s="9"/>
      <c r="Q354" s="9"/>
      <c r="R354" s="9"/>
      <c r="S354" s="223"/>
      <c r="T354" s="223"/>
      <c r="U354" s="223"/>
      <c r="V354" s="9"/>
      <c r="W354" s="9"/>
      <c r="X354" s="9"/>
      <c r="Y354" s="204"/>
      <c r="Z354" s="9"/>
      <c r="AA354" s="9"/>
      <c r="AB354" s="9"/>
      <c r="AC354" s="9"/>
    </row>
    <row r="355" ht="15.75" customHeight="1">
      <c r="A355" s="9"/>
      <c r="B355" s="9"/>
      <c r="C355" s="9"/>
      <c r="D355" s="9"/>
      <c r="E355" s="9"/>
      <c r="F355" s="9"/>
      <c r="G355" s="9"/>
      <c r="H355" s="9"/>
      <c r="I355" s="9"/>
      <c r="J355" s="9"/>
      <c r="K355" s="9"/>
      <c r="L355" s="9"/>
      <c r="M355" s="223"/>
      <c r="N355" s="9"/>
      <c r="O355" s="9"/>
      <c r="P355" s="9"/>
      <c r="Q355" s="9"/>
      <c r="R355" s="9"/>
      <c r="S355" s="223"/>
      <c r="T355" s="223"/>
      <c r="U355" s="223"/>
      <c r="V355" s="9"/>
      <c r="W355" s="9"/>
      <c r="X355" s="9"/>
      <c r="Y355" s="204"/>
      <c r="Z355" s="9"/>
      <c r="AA355" s="9"/>
      <c r="AB355" s="9"/>
      <c r="AC355" s="9"/>
    </row>
    <row r="356" ht="15.75" customHeight="1">
      <c r="A356" s="9"/>
      <c r="B356" s="9"/>
      <c r="C356" s="9"/>
      <c r="D356" s="9"/>
      <c r="E356" s="9"/>
      <c r="F356" s="9"/>
      <c r="G356" s="9"/>
      <c r="H356" s="9"/>
      <c r="I356" s="9"/>
      <c r="J356" s="9"/>
      <c r="K356" s="9"/>
      <c r="L356" s="9"/>
      <c r="M356" s="223"/>
      <c r="N356" s="9"/>
      <c r="O356" s="9"/>
      <c r="P356" s="9"/>
      <c r="Q356" s="9"/>
      <c r="R356" s="9"/>
      <c r="S356" s="223"/>
      <c r="T356" s="223"/>
      <c r="U356" s="223"/>
      <c r="V356" s="9"/>
      <c r="W356" s="9"/>
      <c r="X356" s="9"/>
      <c r="Y356" s="204"/>
      <c r="Z356" s="9"/>
      <c r="AA356" s="9"/>
      <c r="AB356" s="9"/>
      <c r="AC356" s="9"/>
    </row>
    <row r="357" ht="15.75" customHeight="1">
      <c r="A357" s="9"/>
      <c r="B357" s="9"/>
      <c r="C357" s="9"/>
      <c r="D357" s="9"/>
      <c r="E357" s="9"/>
      <c r="F357" s="9"/>
      <c r="G357" s="9"/>
      <c r="H357" s="9"/>
      <c r="I357" s="9"/>
      <c r="J357" s="9"/>
      <c r="K357" s="9"/>
      <c r="L357" s="9"/>
      <c r="M357" s="223"/>
      <c r="N357" s="9"/>
      <c r="O357" s="9"/>
      <c r="P357" s="9"/>
      <c r="Q357" s="9"/>
      <c r="R357" s="9"/>
      <c r="S357" s="223"/>
      <c r="T357" s="223"/>
      <c r="U357" s="223"/>
      <c r="V357" s="9"/>
      <c r="W357" s="9"/>
      <c r="X357" s="9"/>
      <c r="Y357" s="204"/>
      <c r="Z357" s="9"/>
      <c r="AA357" s="9"/>
      <c r="AB357" s="9"/>
      <c r="AC357" s="9"/>
    </row>
    <row r="358" ht="15.75" customHeight="1">
      <c r="A358" s="9"/>
      <c r="B358" s="9"/>
      <c r="C358" s="9"/>
      <c r="D358" s="9"/>
      <c r="E358" s="9"/>
      <c r="F358" s="9"/>
      <c r="G358" s="9"/>
      <c r="H358" s="9"/>
      <c r="I358" s="9"/>
      <c r="J358" s="9"/>
      <c r="K358" s="9"/>
      <c r="L358" s="9"/>
      <c r="M358" s="223"/>
      <c r="N358" s="9"/>
      <c r="O358" s="9"/>
      <c r="P358" s="9"/>
      <c r="Q358" s="9"/>
      <c r="R358" s="9"/>
      <c r="S358" s="223"/>
      <c r="T358" s="223"/>
      <c r="U358" s="223"/>
      <c r="V358" s="9"/>
      <c r="W358" s="9"/>
      <c r="X358" s="9"/>
      <c r="Y358" s="204"/>
      <c r="Z358" s="9"/>
      <c r="AA358" s="9"/>
      <c r="AB358" s="9"/>
      <c r="AC358" s="9"/>
    </row>
    <row r="359" ht="15.75" customHeight="1">
      <c r="A359" s="9"/>
      <c r="B359" s="9"/>
      <c r="C359" s="9"/>
      <c r="D359" s="9"/>
      <c r="E359" s="9"/>
      <c r="F359" s="9"/>
      <c r="G359" s="9"/>
      <c r="H359" s="9"/>
      <c r="I359" s="9"/>
      <c r="J359" s="9"/>
      <c r="K359" s="9"/>
      <c r="L359" s="9"/>
      <c r="M359" s="223"/>
      <c r="N359" s="9"/>
      <c r="O359" s="9"/>
      <c r="P359" s="9"/>
      <c r="Q359" s="9"/>
      <c r="R359" s="9"/>
      <c r="S359" s="223"/>
      <c r="T359" s="223"/>
      <c r="U359" s="223"/>
      <c r="V359" s="9"/>
      <c r="W359" s="9"/>
      <c r="X359" s="9"/>
      <c r="Y359" s="204"/>
      <c r="Z359" s="9"/>
      <c r="AA359" s="9"/>
      <c r="AB359" s="9"/>
      <c r="AC359" s="9"/>
    </row>
    <row r="360" ht="15.75" customHeight="1">
      <c r="A360" s="9"/>
      <c r="B360" s="9"/>
      <c r="C360" s="9"/>
      <c r="D360" s="9"/>
      <c r="E360" s="9"/>
      <c r="F360" s="9"/>
      <c r="G360" s="9"/>
      <c r="H360" s="9"/>
      <c r="I360" s="9"/>
      <c r="J360" s="9"/>
      <c r="K360" s="9"/>
      <c r="L360" s="9"/>
      <c r="M360" s="223"/>
      <c r="N360" s="9"/>
      <c r="O360" s="9"/>
      <c r="P360" s="9"/>
      <c r="Q360" s="9"/>
      <c r="R360" s="9"/>
      <c r="S360" s="223"/>
      <c r="T360" s="223"/>
      <c r="U360" s="223"/>
      <c r="V360" s="9"/>
      <c r="W360" s="9"/>
      <c r="X360" s="9"/>
      <c r="Y360" s="204"/>
      <c r="Z360" s="9"/>
      <c r="AA360" s="9"/>
      <c r="AB360" s="9"/>
      <c r="AC360" s="9"/>
    </row>
    <row r="361" ht="15.75" customHeight="1">
      <c r="A361" s="9"/>
      <c r="B361" s="9"/>
      <c r="C361" s="9"/>
      <c r="D361" s="9"/>
      <c r="E361" s="9"/>
      <c r="F361" s="9"/>
      <c r="G361" s="9"/>
      <c r="H361" s="9"/>
      <c r="I361" s="9"/>
      <c r="J361" s="9"/>
      <c r="K361" s="9"/>
      <c r="L361" s="9"/>
      <c r="M361" s="223"/>
      <c r="N361" s="9"/>
      <c r="O361" s="9"/>
      <c r="P361" s="9"/>
      <c r="Q361" s="9"/>
      <c r="R361" s="9"/>
      <c r="S361" s="223"/>
      <c r="T361" s="223"/>
      <c r="U361" s="223"/>
      <c r="V361" s="9"/>
      <c r="W361" s="9"/>
      <c r="X361" s="9"/>
      <c r="Y361" s="204"/>
      <c r="Z361" s="9"/>
      <c r="AA361" s="9"/>
      <c r="AB361" s="9"/>
      <c r="AC361" s="9"/>
    </row>
    <row r="362" ht="15.75" customHeight="1">
      <c r="A362" s="9"/>
      <c r="B362" s="9"/>
      <c r="C362" s="9"/>
      <c r="D362" s="9"/>
      <c r="E362" s="9"/>
      <c r="F362" s="9"/>
      <c r="G362" s="9"/>
      <c r="H362" s="9"/>
      <c r="I362" s="9"/>
      <c r="J362" s="9"/>
      <c r="K362" s="9"/>
      <c r="L362" s="9"/>
      <c r="M362" s="223"/>
      <c r="N362" s="9"/>
      <c r="O362" s="9"/>
      <c r="P362" s="9"/>
      <c r="Q362" s="9"/>
      <c r="R362" s="9"/>
      <c r="S362" s="223"/>
      <c r="T362" s="223"/>
      <c r="U362" s="223"/>
      <c r="V362" s="9"/>
      <c r="W362" s="9"/>
      <c r="X362" s="9"/>
      <c r="Y362" s="204"/>
      <c r="Z362" s="9"/>
      <c r="AA362" s="9"/>
      <c r="AB362" s="9"/>
      <c r="AC362" s="9"/>
    </row>
    <row r="363" ht="15.75" customHeight="1">
      <c r="A363" s="9"/>
      <c r="B363" s="9"/>
      <c r="C363" s="9"/>
      <c r="D363" s="9"/>
      <c r="E363" s="9"/>
      <c r="F363" s="9"/>
      <c r="G363" s="9"/>
      <c r="H363" s="9"/>
      <c r="I363" s="9"/>
      <c r="J363" s="9"/>
      <c r="K363" s="9"/>
      <c r="L363" s="9"/>
      <c r="M363" s="223"/>
      <c r="N363" s="9"/>
      <c r="O363" s="9"/>
      <c r="P363" s="9"/>
      <c r="Q363" s="9"/>
      <c r="R363" s="9"/>
      <c r="S363" s="223"/>
      <c r="T363" s="223"/>
      <c r="U363" s="223"/>
      <c r="V363" s="9"/>
      <c r="W363" s="9"/>
      <c r="X363" s="9"/>
      <c r="Y363" s="204"/>
      <c r="Z363" s="9"/>
      <c r="AA363" s="9"/>
      <c r="AB363" s="9"/>
      <c r="AC363" s="9"/>
    </row>
    <row r="364" ht="15.75" customHeight="1">
      <c r="A364" s="9"/>
      <c r="B364" s="9"/>
      <c r="C364" s="9"/>
      <c r="D364" s="9"/>
      <c r="E364" s="9"/>
      <c r="F364" s="9"/>
      <c r="G364" s="9"/>
      <c r="H364" s="9"/>
      <c r="I364" s="9"/>
      <c r="J364" s="9"/>
      <c r="K364" s="9"/>
      <c r="L364" s="9"/>
      <c r="M364" s="223"/>
      <c r="N364" s="9"/>
      <c r="O364" s="9"/>
      <c r="P364" s="9"/>
      <c r="Q364" s="9"/>
      <c r="R364" s="9"/>
      <c r="S364" s="223"/>
      <c r="T364" s="223"/>
      <c r="U364" s="223"/>
      <c r="V364" s="9"/>
      <c r="W364" s="9"/>
      <c r="X364" s="9"/>
      <c r="Y364" s="204"/>
      <c r="Z364" s="9"/>
      <c r="AA364" s="9"/>
      <c r="AB364" s="9"/>
      <c r="AC364" s="9"/>
    </row>
    <row r="365" ht="15.75" customHeight="1">
      <c r="A365" s="9"/>
      <c r="B365" s="9"/>
      <c r="C365" s="9"/>
      <c r="D365" s="9"/>
      <c r="E365" s="9"/>
      <c r="F365" s="9"/>
      <c r="G365" s="9"/>
      <c r="H365" s="9"/>
      <c r="I365" s="9"/>
      <c r="J365" s="9"/>
      <c r="K365" s="9"/>
      <c r="L365" s="9"/>
      <c r="M365" s="223"/>
      <c r="N365" s="9"/>
      <c r="O365" s="9"/>
      <c r="P365" s="9"/>
      <c r="Q365" s="9"/>
      <c r="R365" s="9"/>
      <c r="S365" s="223"/>
      <c r="T365" s="223"/>
      <c r="U365" s="223"/>
      <c r="V365" s="9"/>
      <c r="W365" s="9"/>
      <c r="X365" s="9"/>
      <c r="Y365" s="204"/>
      <c r="Z365" s="9"/>
      <c r="AA365" s="9"/>
      <c r="AB365" s="9"/>
      <c r="AC365" s="9"/>
    </row>
    <row r="366" ht="15.75" customHeight="1">
      <c r="A366" s="9"/>
      <c r="B366" s="9"/>
      <c r="C366" s="9"/>
      <c r="D366" s="9"/>
      <c r="E366" s="9"/>
      <c r="F366" s="9"/>
      <c r="G366" s="9"/>
      <c r="H366" s="9"/>
      <c r="I366" s="9"/>
      <c r="J366" s="9"/>
      <c r="K366" s="9"/>
      <c r="L366" s="9"/>
      <c r="M366" s="223"/>
      <c r="N366" s="9"/>
      <c r="O366" s="9"/>
      <c r="P366" s="9"/>
      <c r="Q366" s="9"/>
      <c r="R366" s="9"/>
      <c r="S366" s="223"/>
      <c r="T366" s="223"/>
      <c r="U366" s="223"/>
      <c r="V366" s="9"/>
      <c r="W366" s="9"/>
      <c r="X366" s="9"/>
      <c r="Y366" s="204"/>
      <c r="Z366" s="9"/>
      <c r="AA366" s="9"/>
      <c r="AB366" s="9"/>
      <c r="AC366" s="9"/>
    </row>
    <row r="367" ht="15.75" customHeight="1">
      <c r="A367" s="9"/>
      <c r="B367" s="9"/>
      <c r="C367" s="9"/>
      <c r="D367" s="9"/>
      <c r="E367" s="9"/>
      <c r="F367" s="9"/>
      <c r="G367" s="9"/>
      <c r="H367" s="9"/>
      <c r="I367" s="9"/>
      <c r="J367" s="9"/>
      <c r="K367" s="9"/>
      <c r="L367" s="9"/>
      <c r="M367" s="223"/>
      <c r="N367" s="9"/>
      <c r="O367" s="9"/>
      <c r="P367" s="9"/>
      <c r="Q367" s="9"/>
      <c r="R367" s="9"/>
      <c r="S367" s="223"/>
      <c r="T367" s="223"/>
      <c r="U367" s="223"/>
      <c r="V367" s="9"/>
      <c r="W367" s="9"/>
      <c r="X367" s="9"/>
      <c r="Y367" s="204"/>
      <c r="Z367" s="9"/>
      <c r="AA367" s="9"/>
      <c r="AB367" s="9"/>
      <c r="AC367" s="9"/>
    </row>
    <row r="368" ht="15.75" customHeight="1">
      <c r="A368" s="9"/>
      <c r="B368" s="9"/>
      <c r="C368" s="9"/>
      <c r="D368" s="9"/>
      <c r="E368" s="9"/>
      <c r="F368" s="9"/>
      <c r="G368" s="9"/>
      <c r="H368" s="9"/>
      <c r="I368" s="9"/>
      <c r="J368" s="9"/>
      <c r="K368" s="9"/>
      <c r="L368" s="9"/>
      <c r="M368" s="223"/>
      <c r="N368" s="9"/>
      <c r="O368" s="9"/>
      <c r="P368" s="9"/>
      <c r="Q368" s="9"/>
      <c r="R368" s="9"/>
      <c r="S368" s="223"/>
      <c r="T368" s="223"/>
      <c r="U368" s="223"/>
      <c r="V368" s="9"/>
      <c r="W368" s="9"/>
      <c r="X368" s="9"/>
      <c r="Y368" s="204"/>
      <c r="Z368" s="9"/>
      <c r="AA368" s="9"/>
      <c r="AB368" s="9"/>
      <c r="AC368" s="9"/>
    </row>
    <row r="369" ht="15.75" customHeight="1">
      <c r="A369" s="9"/>
      <c r="B369" s="9"/>
      <c r="C369" s="9"/>
      <c r="D369" s="9"/>
      <c r="E369" s="9"/>
      <c r="F369" s="9"/>
      <c r="G369" s="9"/>
      <c r="H369" s="9"/>
      <c r="I369" s="9"/>
      <c r="J369" s="9"/>
      <c r="K369" s="9"/>
      <c r="L369" s="9"/>
      <c r="M369" s="223"/>
      <c r="N369" s="9"/>
      <c r="O369" s="9"/>
      <c r="P369" s="9"/>
      <c r="Q369" s="9"/>
      <c r="R369" s="9"/>
      <c r="S369" s="223"/>
      <c r="T369" s="223"/>
      <c r="U369" s="223"/>
      <c r="V369" s="9"/>
      <c r="W369" s="9"/>
      <c r="X369" s="9"/>
      <c r="Y369" s="204"/>
      <c r="Z369" s="9"/>
      <c r="AA369" s="9"/>
      <c r="AB369" s="9"/>
      <c r="AC369" s="9"/>
    </row>
    <row r="370" ht="15.75" customHeight="1">
      <c r="A370" s="9"/>
      <c r="B370" s="9"/>
      <c r="C370" s="9"/>
      <c r="D370" s="9"/>
      <c r="E370" s="9"/>
      <c r="F370" s="9"/>
      <c r="G370" s="9"/>
      <c r="H370" s="9"/>
      <c r="I370" s="9"/>
      <c r="J370" s="9"/>
      <c r="K370" s="9"/>
      <c r="L370" s="9"/>
      <c r="M370" s="223"/>
      <c r="N370" s="9"/>
      <c r="O370" s="9"/>
      <c r="P370" s="9"/>
      <c r="Q370" s="9"/>
      <c r="R370" s="9"/>
      <c r="S370" s="223"/>
      <c r="T370" s="223"/>
      <c r="U370" s="223"/>
      <c r="V370" s="9"/>
      <c r="W370" s="9"/>
      <c r="X370" s="9"/>
      <c r="Y370" s="204"/>
      <c r="Z370" s="9"/>
      <c r="AA370" s="9"/>
      <c r="AB370" s="9"/>
      <c r="AC370" s="9"/>
    </row>
    <row r="371" ht="15.75" customHeight="1">
      <c r="A371" s="9"/>
      <c r="B371" s="9"/>
      <c r="C371" s="9"/>
      <c r="D371" s="9"/>
      <c r="E371" s="9"/>
      <c r="F371" s="9"/>
      <c r="G371" s="9"/>
      <c r="H371" s="9"/>
      <c r="I371" s="9"/>
      <c r="J371" s="9"/>
      <c r="K371" s="9"/>
      <c r="L371" s="9"/>
      <c r="M371" s="223"/>
      <c r="N371" s="9"/>
      <c r="O371" s="9"/>
      <c r="P371" s="9"/>
      <c r="Q371" s="9"/>
      <c r="R371" s="9"/>
      <c r="S371" s="223"/>
      <c r="T371" s="223"/>
      <c r="U371" s="223"/>
      <c r="V371" s="9"/>
      <c r="W371" s="9"/>
      <c r="X371" s="9"/>
      <c r="Y371" s="204"/>
      <c r="Z371" s="9"/>
      <c r="AA371" s="9"/>
      <c r="AB371" s="9"/>
      <c r="AC371" s="9"/>
    </row>
    <row r="372" ht="15.75" customHeight="1">
      <c r="A372" s="9"/>
      <c r="B372" s="9"/>
      <c r="C372" s="9"/>
      <c r="D372" s="9"/>
      <c r="E372" s="9"/>
      <c r="F372" s="9"/>
      <c r="G372" s="9"/>
      <c r="H372" s="9"/>
      <c r="I372" s="9"/>
      <c r="J372" s="9"/>
      <c r="K372" s="9"/>
      <c r="L372" s="9"/>
      <c r="M372" s="223"/>
      <c r="N372" s="9"/>
      <c r="O372" s="9"/>
      <c r="P372" s="9"/>
      <c r="Q372" s="9"/>
      <c r="R372" s="9"/>
      <c r="S372" s="223"/>
      <c r="T372" s="223"/>
      <c r="U372" s="223"/>
      <c r="V372" s="9"/>
      <c r="W372" s="9"/>
      <c r="X372" s="9"/>
      <c r="Y372" s="204"/>
      <c r="Z372" s="9"/>
      <c r="AA372" s="9"/>
      <c r="AB372" s="9"/>
      <c r="AC372" s="9"/>
    </row>
    <row r="373" ht="15.75" customHeight="1">
      <c r="A373" s="9"/>
      <c r="B373" s="9"/>
      <c r="C373" s="9"/>
      <c r="D373" s="9"/>
      <c r="E373" s="9"/>
      <c r="F373" s="9"/>
      <c r="G373" s="9"/>
      <c r="H373" s="9"/>
      <c r="I373" s="9"/>
      <c r="J373" s="9"/>
      <c r="K373" s="9"/>
      <c r="L373" s="9"/>
      <c r="M373" s="223"/>
      <c r="N373" s="9"/>
      <c r="O373" s="9"/>
      <c r="P373" s="9"/>
      <c r="Q373" s="9"/>
      <c r="R373" s="9"/>
      <c r="S373" s="223"/>
      <c r="T373" s="223"/>
      <c r="U373" s="223"/>
      <c r="V373" s="9"/>
      <c r="W373" s="9"/>
      <c r="X373" s="9"/>
      <c r="Y373" s="204"/>
      <c r="Z373" s="9"/>
      <c r="AA373" s="9"/>
      <c r="AB373" s="9"/>
      <c r="AC373" s="9"/>
    </row>
    <row r="374" ht="15.75" customHeight="1">
      <c r="A374" s="9"/>
      <c r="B374" s="9"/>
      <c r="C374" s="9"/>
      <c r="D374" s="9"/>
      <c r="E374" s="9"/>
      <c r="F374" s="9"/>
      <c r="G374" s="9"/>
      <c r="H374" s="9"/>
      <c r="I374" s="9"/>
      <c r="J374" s="9"/>
      <c r="K374" s="9"/>
      <c r="L374" s="9"/>
      <c r="M374" s="223"/>
      <c r="N374" s="9"/>
      <c r="O374" s="9"/>
      <c r="P374" s="9"/>
      <c r="Q374" s="9"/>
      <c r="R374" s="9"/>
      <c r="S374" s="223"/>
      <c r="T374" s="223"/>
      <c r="U374" s="223"/>
      <c r="V374" s="9"/>
      <c r="W374" s="9"/>
      <c r="X374" s="9"/>
      <c r="Y374" s="204"/>
      <c r="Z374" s="9"/>
      <c r="AA374" s="9"/>
      <c r="AB374" s="9"/>
      <c r="AC374" s="9"/>
    </row>
    <row r="375" ht="15.75" customHeight="1">
      <c r="A375" s="9"/>
      <c r="B375" s="9"/>
      <c r="C375" s="9"/>
      <c r="D375" s="9"/>
      <c r="E375" s="9"/>
      <c r="F375" s="9"/>
      <c r="G375" s="9"/>
      <c r="H375" s="9"/>
      <c r="I375" s="9"/>
      <c r="J375" s="9"/>
      <c r="K375" s="9"/>
      <c r="L375" s="9"/>
      <c r="M375" s="223"/>
      <c r="N375" s="9"/>
      <c r="O375" s="9"/>
      <c r="P375" s="9"/>
      <c r="Q375" s="9"/>
      <c r="R375" s="9"/>
      <c r="S375" s="223"/>
      <c r="T375" s="223"/>
      <c r="U375" s="223"/>
      <c r="V375" s="9"/>
      <c r="W375" s="9"/>
      <c r="X375" s="9"/>
      <c r="Y375" s="204"/>
      <c r="Z375" s="9"/>
      <c r="AA375" s="9"/>
      <c r="AB375" s="9"/>
      <c r="AC375" s="9"/>
    </row>
    <row r="376" ht="15.75" customHeight="1">
      <c r="A376" s="9"/>
      <c r="B376" s="9"/>
      <c r="C376" s="9"/>
      <c r="D376" s="9"/>
      <c r="E376" s="9"/>
      <c r="F376" s="9"/>
      <c r="G376" s="9"/>
      <c r="H376" s="9"/>
      <c r="I376" s="9"/>
      <c r="J376" s="9"/>
      <c r="K376" s="9"/>
      <c r="L376" s="9"/>
      <c r="M376" s="223"/>
      <c r="N376" s="9"/>
      <c r="O376" s="9"/>
      <c r="P376" s="9"/>
      <c r="Q376" s="9"/>
      <c r="R376" s="9"/>
      <c r="S376" s="223"/>
      <c r="T376" s="223"/>
      <c r="U376" s="223"/>
      <c r="V376" s="9"/>
      <c r="W376" s="9"/>
      <c r="X376" s="9"/>
      <c r="Y376" s="204"/>
      <c r="Z376" s="9"/>
      <c r="AA376" s="9"/>
      <c r="AB376" s="9"/>
      <c r="AC376" s="9"/>
    </row>
    <row r="377" ht="15.75" customHeight="1">
      <c r="A377" s="9"/>
      <c r="B377" s="9"/>
      <c r="C377" s="9"/>
      <c r="D377" s="9"/>
      <c r="E377" s="9"/>
      <c r="F377" s="9"/>
      <c r="G377" s="9"/>
      <c r="H377" s="9"/>
      <c r="I377" s="9"/>
      <c r="J377" s="9"/>
      <c r="K377" s="9"/>
      <c r="L377" s="9"/>
      <c r="M377" s="223"/>
      <c r="N377" s="9"/>
      <c r="O377" s="9"/>
      <c r="P377" s="9"/>
      <c r="Q377" s="9"/>
      <c r="R377" s="9"/>
      <c r="S377" s="223"/>
      <c r="T377" s="223"/>
      <c r="U377" s="223"/>
      <c r="V377" s="9"/>
      <c r="W377" s="9"/>
      <c r="X377" s="9"/>
      <c r="Y377" s="204"/>
      <c r="Z377" s="9"/>
      <c r="AA377" s="9"/>
      <c r="AB377" s="9"/>
      <c r="AC377" s="9"/>
    </row>
    <row r="378" ht="15.75" customHeight="1">
      <c r="A378" s="9"/>
      <c r="B378" s="9"/>
      <c r="C378" s="9"/>
      <c r="D378" s="9"/>
      <c r="E378" s="9"/>
      <c r="F378" s="9"/>
      <c r="G378" s="9"/>
      <c r="H378" s="9"/>
      <c r="I378" s="9"/>
      <c r="J378" s="9"/>
      <c r="K378" s="9"/>
      <c r="L378" s="9"/>
      <c r="M378" s="223"/>
      <c r="N378" s="9"/>
      <c r="O378" s="9"/>
      <c r="P378" s="9"/>
      <c r="Q378" s="9"/>
      <c r="R378" s="9"/>
      <c r="S378" s="223"/>
      <c r="T378" s="223"/>
      <c r="U378" s="223"/>
      <c r="V378" s="9"/>
      <c r="W378" s="9"/>
      <c r="X378" s="9"/>
      <c r="Y378" s="204"/>
      <c r="Z378" s="9"/>
      <c r="AA378" s="9"/>
      <c r="AB378" s="9"/>
      <c r="AC378" s="9"/>
    </row>
    <row r="379" ht="15.75" customHeight="1">
      <c r="A379" s="9"/>
      <c r="B379" s="9"/>
      <c r="C379" s="9"/>
      <c r="D379" s="9"/>
      <c r="E379" s="9"/>
      <c r="F379" s="9"/>
      <c r="G379" s="9"/>
      <c r="H379" s="9"/>
      <c r="I379" s="9"/>
      <c r="J379" s="9"/>
      <c r="K379" s="9"/>
      <c r="L379" s="9"/>
      <c r="M379" s="223"/>
      <c r="N379" s="9"/>
      <c r="O379" s="9"/>
      <c r="P379" s="9"/>
      <c r="Q379" s="9"/>
      <c r="R379" s="9"/>
      <c r="S379" s="223"/>
      <c r="T379" s="223"/>
      <c r="U379" s="223"/>
      <c r="V379" s="9"/>
      <c r="W379" s="9"/>
      <c r="X379" s="9"/>
      <c r="Y379" s="204"/>
      <c r="Z379" s="9"/>
      <c r="AA379" s="9"/>
      <c r="AB379" s="9"/>
      <c r="AC379" s="9"/>
    </row>
    <row r="380" ht="15.75" customHeight="1">
      <c r="A380" s="9"/>
      <c r="B380" s="9"/>
      <c r="C380" s="9"/>
      <c r="D380" s="9"/>
      <c r="E380" s="9"/>
      <c r="F380" s="9"/>
      <c r="G380" s="9"/>
      <c r="H380" s="9"/>
      <c r="I380" s="9"/>
      <c r="J380" s="9"/>
      <c r="K380" s="9"/>
      <c r="L380" s="9"/>
      <c r="M380" s="223"/>
      <c r="N380" s="9"/>
      <c r="O380" s="9"/>
      <c r="P380" s="9"/>
      <c r="Q380" s="9"/>
      <c r="R380" s="9"/>
      <c r="S380" s="223"/>
      <c r="T380" s="223"/>
      <c r="U380" s="223"/>
      <c r="V380" s="9"/>
      <c r="W380" s="9"/>
      <c r="X380" s="9"/>
      <c r="Y380" s="204"/>
      <c r="Z380" s="9"/>
      <c r="AA380" s="9"/>
      <c r="AB380" s="9"/>
      <c r="AC380" s="9"/>
    </row>
    <row r="381" ht="15.75" customHeight="1">
      <c r="A381" s="9"/>
      <c r="B381" s="9"/>
      <c r="C381" s="9"/>
      <c r="D381" s="9"/>
      <c r="E381" s="9"/>
      <c r="F381" s="9"/>
      <c r="G381" s="9"/>
      <c r="H381" s="9"/>
      <c r="I381" s="9"/>
      <c r="J381" s="9"/>
      <c r="K381" s="9"/>
      <c r="L381" s="9"/>
      <c r="M381" s="223"/>
      <c r="N381" s="9"/>
      <c r="O381" s="9"/>
      <c r="P381" s="9"/>
      <c r="Q381" s="9"/>
      <c r="R381" s="9"/>
      <c r="S381" s="223"/>
      <c r="T381" s="223"/>
      <c r="U381" s="223"/>
      <c r="V381" s="9"/>
      <c r="W381" s="9"/>
      <c r="X381" s="9"/>
      <c r="Y381" s="204"/>
      <c r="Z381" s="9"/>
      <c r="AA381" s="9"/>
      <c r="AB381" s="9"/>
      <c r="AC381" s="9"/>
    </row>
    <row r="382" ht="15.75" customHeight="1">
      <c r="A382" s="9"/>
      <c r="B382" s="9"/>
      <c r="C382" s="9"/>
      <c r="D382" s="9"/>
      <c r="E382" s="9"/>
      <c r="F382" s="9"/>
      <c r="G382" s="9"/>
      <c r="H382" s="9"/>
      <c r="I382" s="9"/>
      <c r="J382" s="9"/>
      <c r="K382" s="9"/>
      <c r="L382" s="9"/>
      <c r="M382" s="223"/>
      <c r="N382" s="9"/>
      <c r="O382" s="9"/>
      <c r="P382" s="9"/>
      <c r="Q382" s="9"/>
      <c r="R382" s="9"/>
      <c r="S382" s="223"/>
      <c r="T382" s="223"/>
      <c r="U382" s="223"/>
      <c r="V382" s="9"/>
      <c r="W382" s="9"/>
      <c r="X382" s="9"/>
      <c r="Y382" s="204"/>
      <c r="Z382" s="9"/>
      <c r="AA382" s="9"/>
      <c r="AB382" s="9"/>
      <c r="AC382" s="9"/>
    </row>
    <row r="383" ht="15.75" customHeight="1">
      <c r="A383" s="9"/>
      <c r="B383" s="9"/>
      <c r="C383" s="9"/>
      <c r="D383" s="9"/>
      <c r="E383" s="9"/>
      <c r="F383" s="9"/>
      <c r="G383" s="9"/>
      <c r="H383" s="9"/>
      <c r="I383" s="9"/>
      <c r="J383" s="9"/>
      <c r="K383" s="9"/>
      <c r="L383" s="9"/>
      <c r="M383" s="223"/>
      <c r="N383" s="9"/>
      <c r="O383" s="9"/>
      <c r="P383" s="9"/>
      <c r="Q383" s="9"/>
      <c r="R383" s="9"/>
      <c r="S383" s="223"/>
      <c r="T383" s="223"/>
      <c r="U383" s="223"/>
      <c r="V383" s="9"/>
      <c r="W383" s="9"/>
      <c r="X383" s="9"/>
      <c r="Y383" s="204"/>
      <c r="Z383" s="9"/>
      <c r="AA383" s="9"/>
      <c r="AB383" s="9"/>
      <c r="AC383" s="9"/>
    </row>
    <row r="384" ht="15.75" customHeight="1">
      <c r="A384" s="9"/>
      <c r="B384" s="9"/>
      <c r="C384" s="9"/>
      <c r="D384" s="9"/>
      <c r="E384" s="9"/>
      <c r="F384" s="9"/>
      <c r="G384" s="9"/>
      <c r="H384" s="9"/>
      <c r="I384" s="9"/>
      <c r="J384" s="9"/>
      <c r="K384" s="9"/>
      <c r="L384" s="9"/>
      <c r="M384" s="223"/>
      <c r="N384" s="9"/>
      <c r="O384" s="9"/>
      <c r="P384" s="9"/>
      <c r="Q384" s="9"/>
      <c r="R384" s="9"/>
      <c r="S384" s="223"/>
      <c r="T384" s="223"/>
      <c r="U384" s="223"/>
      <c r="V384" s="9"/>
      <c r="W384" s="9"/>
      <c r="X384" s="9"/>
      <c r="Y384" s="204"/>
      <c r="Z384" s="9"/>
      <c r="AA384" s="9"/>
      <c r="AB384" s="9"/>
      <c r="AC384" s="9"/>
    </row>
    <row r="385" ht="15.75" customHeight="1">
      <c r="A385" s="9"/>
      <c r="B385" s="9"/>
      <c r="C385" s="9"/>
      <c r="D385" s="9"/>
      <c r="E385" s="9"/>
      <c r="F385" s="9"/>
      <c r="G385" s="9"/>
      <c r="H385" s="9"/>
      <c r="I385" s="9"/>
      <c r="J385" s="9"/>
      <c r="K385" s="9"/>
      <c r="L385" s="9"/>
      <c r="M385" s="223"/>
      <c r="N385" s="9"/>
      <c r="O385" s="9"/>
      <c r="P385" s="9"/>
      <c r="Q385" s="9"/>
      <c r="R385" s="9"/>
      <c r="S385" s="223"/>
      <c r="T385" s="223"/>
      <c r="U385" s="223"/>
      <c r="V385" s="9"/>
      <c r="W385" s="9"/>
      <c r="X385" s="9"/>
      <c r="Y385" s="204"/>
      <c r="Z385" s="9"/>
      <c r="AA385" s="9"/>
      <c r="AB385" s="9"/>
      <c r="AC385" s="9"/>
    </row>
    <row r="386" ht="15.75" customHeight="1">
      <c r="A386" s="9"/>
      <c r="B386" s="9"/>
      <c r="C386" s="9"/>
      <c r="D386" s="9"/>
      <c r="E386" s="9"/>
      <c r="F386" s="9"/>
      <c r="G386" s="9"/>
      <c r="H386" s="9"/>
      <c r="I386" s="9"/>
      <c r="J386" s="9"/>
      <c r="K386" s="9"/>
      <c r="L386" s="9"/>
      <c r="M386" s="223"/>
      <c r="N386" s="9"/>
      <c r="O386" s="9"/>
      <c r="P386" s="9"/>
      <c r="Q386" s="9"/>
      <c r="R386" s="9"/>
      <c r="S386" s="223"/>
      <c r="T386" s="223"/>
      <c r="U386" s="223"/>
      <c r="V386" s="9"/>
      <c r="W386" s="9"/>
      <c r="X386" s="9"/>
      <c r="Y386" s="204"/>
      <c r="Z386" s="9"/>
      <c r="AA386" s="9"/>
      <c r="AB386" s="9"/>
      <c r="AC386" s="9"/>
    </row>
    <row r="387" ht="15.75" customHeight="1">
      <c r="A387" s="9"/>
      <c r="B387" s="9"/>
      <c r="C387" s="9"/>
      <c r="D387" s="9"/>
      <c r="E387" s="9"/>
      <c r="F387" s="9"/>
      <c r="G387" s="9"/>
      <c r="H387" s="9"/>
      <c r="I387" s="9"/>
      <c r="J387" s="9"/>
      <c r="K387" s="9"/>
      <c r="L387" s="9"/>
      <c r="M387" s="223"/>
      <c r="N387" s="9"/>
      <c r="O387" s="9"/>
      <c r="P387" s="9"/>
      <c r="Q387" s="9"/>
      <c r="R387" s="9"/>
      <c r="S387" s="223"/>
      <c r="T387" s="223"/>
      <c r="U387" s="223"/>
      <c r="V387" s="9"/>
      <c r="W387" s="9"/>
      <c r="X387" s="9"/>
      <c r="Y387" s="204"/>
      <c r="Z387" s="9"/>
      <c r="AA387" s="9"/>
      <c r="AB387" s="9"/>
      <c r="AC387" s="9"/>
    </row>
    <row r="388" ht="15.75" customHeight="1">
      <c r="A388" s="9"/>
      <c r="B388" s="9"/>
      <c r="C388" s="9"/>
      <c r="D388" s="9"/>
      <c r="E388" s="9"/>
      <c r="F388" s="9"/>
      <c r="G388" s="9"/>
      <c r="H388" s="9"/>
      <c r="I388" s="9"/>
      <c r="J388" s="9"/>
      <c r="K388" s="9"/>
      <c r="L388" s="9"/>
      <c r="M388" s="223"/>
      <c r="N388" s="9"/>
      <c r="O388" s="9"/>
      <c r="P388" s="9"/>
      <c r="Q388" s="9"/>
      <c r="R388" s="9"/>
      <c r="S388" s="223"/>
      <c r="T388" s="223"/>
      <c r="U388" s="223"/>
      <c r="V388" s="9"/>
      <c r="W388" s="9"/>
      <c r="X388" s="9"/>
      <c r="Y388" s="204"/>
      <c r="Z388" s="9"/>
      <c r="AA388" s="9"/>
      <c r="AB388" s="9"/>
      <c r="AC388" s="9"/>
    </row>
    <row r="389" ht="15.75" customHeight="1">
      <c r="A389" s="9"/>
      <c r="B389" s="9"/>
      <c r="C389" s="9"/>
      <c r="D389" s="9"/>
      <c r="E389" s="9"/>
      <c r="F389" s="9"/>
      <c r="G389" s="9"/>
      <c r="H389" s="9"/>
      <c r="I389" s="9"/>
      <c r="J389" s="9"/>
      <c r="K389" s="9"/>
      <c r="L389" s="9"/>
      <c r="M389" s="223"/>
      <c r="N389" s="9"/>
      <c r="O389" s="9"/>
      <c r="P389" s="9"/>
      <c r="Q389" s="9"/>
      <c r="R389" s="9"/>
      <c r="S389" s="223"/>
      <c r="T389" s="223"/>
      <c r="U389" s="223"/>
      <c r="V389" s="9"/>
      <c r="W389" s="9"/>
      <c r="X389" s="9"/>
      <c r="Y389" s="204"/>
      <c r="Z389" s="9"/>
      <c r="AA389" s="9"/>
      <c r="AB389" s="9"/>
      <c r="AC389" s="9"/>
    </row>
    <row r="390" ht="15.75" customHeight="1">
      <c r="A390" s="9"/>
      <c r="B390" s="9"/>
      <c r="C390" s="9"/>
      <c r="D390" s="9"/>
      <c r="E390" s="9"/>
      <c r="F390" s="9"/>
      <c r="G390" s="9"/>
      <c r="H390" s="9"/>
      <c r="I390" s="9"/>
      <c r="J390" s="9"/>
      <c r="K390" s="9"/>
      <c r="L390" s="9"/>
      <c r="M390" s="223"/>
      <c r="N390" s="9"/>
      <c r="O390" s="9"/>
      <c r="P390" s="9"/>
      <c r="Q390" s="9"/>
      <c r="R390" s="9"/>
      <c r="S390" s="223"/>
      <c r="T390" s="223"/>
      <c r="U390" s="223"/>
      <c r="V390" s="9"/>
      <c r="W390" s="9"/>
      <c r="X390" s="9"/>
      <c r="Y390" s="204"/>
      <c r="Z390" s="9"/>
      <c r="AA390" s="9"/>
      <c r="AB390" s="9"/>
      <c r="AC390" s="9"/>
    </row>
    <row r="391" ht="15.75" customHeight="1">
      <c r="A391" s="9"/>
      <c r="B391" s="9"/>
      <c r="C391" s="9"/>
      <c r="D391" s="9"/>
      <c r="E391" s="9"/>
      <c r="F391" s="9"/>
      <c r="G391" s="9"/>
      <c r="H391" s="9"/>
      <c r="I391" s="9"/>
      <c r="J391" s="9"/>
      <c r="K391" s="9"/>
      <c r="L391" s="9"/>
      <c r="M391" s="223"/>
      <c r="N391" s="9"/>
      <c r="O391" s="9"/>
      <c r="P391" s="9"/>
      <c r="Q391" s="9"/>
      <c r="R391" s="9"/>
      <c r="S391" s="223"/>
      <c r="T391" s="223"/>
      <c r="U391" s="223"/>
      <c r="V391" s="9"/>
      <c r="W391" s="9"/>
      <c r="X391" s="9"/>
      <c r="Y391" s="204"/>
      <c r="Z391" s="9"/>
      <c r="AA391" s="9"/>
      <c r="AB391" s="9"/>
      <c r="AC391" s="9"/>
    </row>
    <row r="392" ht="15.75" customHeight="1">
      <c r="A392" s="9"/>
      <c r="B392" s="9"/>
      <c r="C392" s="9"/>
      <c r="D392" s="9"/>
      <c r="E392" s="9"/>
      <c r="F392" s="9"/>
      <c r="G392" s="9"/>
      <c r="H392" s="9"/>
      <c r="I392" s="9"/>
      <c r="J392" s="9"/>
      <c r="K392" s="9"/>
      <c r="L392" s="9"/>
      <c r="M392" s="223"/>
      <c r="N392" s="9"/>
      <c r="O392" s="9"/>
      <c r="P392" s="9"/>
      <c r="Q392" s="9"/>
      <c r="R392" s="9"/>
      <c r="S392" s="223"/>
      <c r="T392" s="223"/>
      <c r="U392" s="223"/>
      <c r="V392" s="9"/>
      <c r="W392" s="9"/>
      <c r="X392" s="9"/>
      <c r="Y392" s="204"/>
      <c r="Z392" s="9"/>
      <c r="AA392" s="9"/>
      <c r="AB392" s="9"/>
      <c r="AC392" s="9"/>
    </row>
    <row r="393" ht="15.75" customHeight="1">
      <c r="A393" s="9"/>
      <c r="B393" s="9"/>
      <c r="C393" s="9"/>
      <c r="D393" s="9"/>
      <c r="E393" s="9"/>
      <c r="F393" s="9"/>
      <c r="G393" s="9"/>
      <c r="H393" s="9"/>
      <c r="I393" s="9"/>
      <c r="J393" s="9"/>
      <c r="K393" s="9"/>
      <c r="L393" s="9"/>
      <c r="M393" s="223"/>
      <c r="N393" s="9"/>
      <c r="O393" s="9"/>
      <c r="P393" s="9"/>
      <c r="Q393" s="9"/>
      <c r="R393" s="9"/>
      <c r="S393" s="223"/>
      <c r="T393" s="223"/>
      <c r="U393" s="223"/>
      <c r="V393" s="9"/>
      <c r="W393" s="9"/>
      <c r="X393" s="9"/>
      <c r="Y393" s="204"/>
      <c r="Z393" s="9"/>
      <c r="AA393" s="9"/>
      <c r="AB393" s="9"/>
      <c r="AC393" s="9"/>
    </row>
    <row r="394" ht="15.75" customHeight="1">
      <c r="A394" s="9"/>
      <c r="B394" s="9"/>
      <c r="C394" s="9"/>
      <c r="D394" s="9"/>
      <c r="E394" s="9"/>
      <c r="F394" s="9"/>
      <c r="G394" s="9"/>
      <c r="H394" s="9"/>
      <c r="I394" s="9"/>
      <c r="J394" s="9"/>
      <c r="K394" s="9"/>
      <c r="L394" s="9"/>
      <c r="M394" s="223"/>
      <c r="N394" s="9"/>
      <c r="O394" s="9"/>
      <c r="P394" s="9"/>
      <c r="Q394" s="9"/>
      <c r="R394" s="9"/>
      <c r="S394" s="223"/>
      <c r="T394" s="223"/>
      <c r="U394" s="223"/>
      <c r="V394" s="9"/>
      <c r="W394" s="9"/>
      <c r="X394" s="9"/>
      <c r="Y394" s="204"/>
      <c r="Z394" s="9"/>
      <c r="AA394" s="9"/>
      <c r="AB394" s="9"/>
      <c r="AC394" s="9"/>
    </row>
    <row r="395" ht="15.75" customHeight="1">
      <c r="A395" s="9"/>
      <c r="B395" s="9"/>
      <c r="C395" s="9"/>
      <c r="D395" s="9"/>
      <c r="E395" s="9"/>
      <c r="F395" s="9"/>
      <c r="G395" s="9"/>
      <c r="H395" s="9"/>
      <c r="I395" s="9"/>
      <c r="J395" s="9"/>
      <c r="K395" s="9"/>
      <c r="L395" s="9"/>
      <c r="M395" s="223"/>
      <c r="N395" s="9"/>
      <c r="O395" s="9"/>
      <c r="P395" s="9"/>
      <c r="Q395" s="9"/>
      <c r="R395" s="9"/>
      <c r="S395" s="223"/>
      <c r="T395" s="223"/>
      <c r="U395" s="223"/>
      <c r="V395" s="9"/>
      <c r="W395" s="9"/>
      <c r="X395" s="9"/>
      <c r="Y395" s="204"/>
      <c r="Z395" s="9"/>
      <c r="AA395" s="9"/>
      <c r="AB395" s="9"/>
      <c r="AC395" s="9"/>
    </row>
    <row r="396" ht="15.75" customHeight="1">
      <c r="A396" s="9"/>
      <c r="B396" s="9"/>
      <c r="C396" s="9"/>
      <c r="D396" s="9"/>
      <c r="E396" s="9"/>
      <c r="F396" s="9"/>
      <c r="G396" s="9"/>
      <c r="H396" s="9"/>
      <c r="I396" s="9"/>
      <c r="J396" s="9"/>
      <c r="K396" s="9"/>
      <c r="L396" s="9"/>
      <c r="M396" s="223"/>
      <c r="N396" s="9"/>
      <c r="O396" s="9"/>
      <c r="P396" s="9"/>
      <c r="Q396" s="9"/>
      <c r="R396" s="9"/>
      <c r="S396" s="223"/>
      <c r="T396" s="223"/>
      <c r="U396" s="223"/>
      <c r="V396" s="9"/>
      <c r="W396" s="9"/>
      <c r="X396" s="9"/>
      <c r="Y396" s="204"/>
      <c r="Z396" s="9"/>
      <c r="AA396" s="9"/>
      <c r="AB396" s="9"/>
      <c r="AC396" s="9"/>
    </row>
    <row r="397" ht="15.75" customHeight="1">
      <c r="A397" s="9"/>
      <c r="B397" s="9"/>
      <c r="C397" s="9"/>
      <c r="D397" s="9"/>
      <c r="E397" s="9"/>
      <c r="F397" s="9"/>
      <c r="G397" s="9"/>
      <c r="H397" s="9"/>
      <c r="I397" s="9"/>
      <c r="J397" s="9"/>
      <c r="K397" s="9"/>
      <c r="L397" s="9"/>
      <c r="M397" s="223"/>
      <c r="N397" s="9"/>
      <c r="O397" s="9"/>
      <c r="P397" s="9"/>
      <c r="Q397" s="9"/>
      <c r="R397" s="9"/>
      <c r="S397" s="223"/>
      <c r="T397" s="223"/>
      <c r="U397" s="223"/>
      <c r="V397" s="9"/>
      <c r="W397" s="9"/>
      <c r="X397" s="9"/>
      <c r="Y397" s="204"/>
      <c r="Z397" s="9"/>
      <c r="AA397" s="9"/>
      <c r="AB397" s="9"/>
      <c r="AC397" s="9"/>
    </row>
    <row r="398" ht="15.75" customHeight="1">
      <c r="A398" s="9"/>
      <c r="B398" s="9"/>
      <c r="C398" s="9"/>
      <c r="D398" s="9"/>
      <c r="E398" s="9"/>
      <c r="F398" s="9"/>
      <c r="G398" s="9"/>
      <c r="H398" s="9"/>
      <c r="I398" s="9"/>
      <c r="J398" s="9"/>
      <c r="K398" s="9"/>
      <c r="L398" s="9"/>
      <c r="M398" s="223"/>
      <c r="N398" s="9"/>
      <c r="O398" s="9"/>
      <c r="P398" s="9"/>
      <c r="Q398" s="9"/>
      <c r="R398" s="9"/>
      <c r="S398" s="223"/>
      <c r="T398" s="223"/>
      <c r="U398" s="223"/>
      <c r="V398" s="9"/>
      <c r="W398" s="9"/>
      <c r="X398" s="9"/>
      <c r="Y398" s="204"/>
      <c r="Z398" s="9"/>
      <c r="AA398" s="9"/>
      <c r="AB398" s="9"/>
      <c r="AC398" s="9"/>
    </row>
    <row r="399" ht="15.75" customHeight="1">
      <c r="A399" s="9"/>
      <c r="B399" s="9"/>
      <c r="C399" s="9"/>
      <c r="D399" s="9"/>
      <c r="E399" s="9"/>
      <c r="F399" s="9"/>
      <c r="G399" s="9"/>
      <c r="H399" s="9"/>
      <c r="I399" s="9"/>
      <c r="J399" s="9"/>
      <c r="K399" s="9"/>
      <c r="L399" s="9"/>
      <c r="M399" s="223"/>
      <c r="N399" s="9"/>
      <c r="O399" s="9"/>
      <c r="P399" s="9"/>
      <c r="Q399" s="9"/>
      <c r="R399" s="9"/>
      <c r="S399" s="223"/>
      <c r="T399" s="223"/>
      <c r="U399" s="223"/>
      <c r="V399" s="9"/>
      <c r="W399" s="9"/>
      <c r="X399" s="9"/>
      <c r="Y399" s="204"/>
      <c r="Z399" s="9"/>
      <c r="AA399" s="9"/>
      <c r="AB399" s="9"/>
      <c r="AC399" s="9"/>
    </row>
    <row r="400" ht="15.75" customHeight="1">
      <c r="A400" s="9"/>
      <c r="B400" s="9"/>
      <c r="C400" s="9"/>
      <c r="D400" s="9"/>
      <c r="E400" s="9"/>
      <c r="F400" s="9"/>
      <c r="G400" s="9"/>
      <c r="H400" s="9"/>
      <c r="I400" s="9"/>
      <c r="J400" s="9"/>
      <c r="K400" s="9"/>
      <c r="L400" s="9"/>
      <c r="M400" s="223"/>
      <c r="N400" s="9"/>
      <c r="O400" s="9"/>
      <c r="P400" s="9"/>
      <c r="Q400" s="9"/>
      <c r="R400" s="9"/>
      <c r="S400" s="223"/>
      <c r="T400" s="223"/>
      <c r="U400" s="223"/>
      <c r="V400" s="9"/>
      <c r="W400" s="9"/>
      <c r="X400" s="9"/>
      <c r="Y400" s="204"/>
      <c r="Z400" s="9"/>
      <c r="AA400" s="9"/>
      <c r="AB400" s="9"/>
      <c r="AC400" s="9"/>
    </row>
    <row r="401" ht="15.75" customHeight="1">
      <c r="A401" s="9"/>
      <c r="B401" s="9"/>
      <c r="C401" s="9"/>
      <c r="D401" s="9"/>
      <c r="E401" s="9"/>
      <c r="F401" s="9"/>
      <c r="G401" s="9"/>
      <c r="H401" s="9"/>
      <c r="I401" s="9"/>
      <c r="J401" s="9"/>
      <c r="K401" s="9"/>
      <c r="L401" s="9"/>
      <c r="M401" s="223"/>
      <c r="N401" s="9"/>
      <c r="O401" s="9"/>
      <c r="P401" s="9"/>
      <c r="Q401" s="9"/>
      <c r="R401" s="9"/>
      <c r="S401" s="223"/>
      <c r="T401" s="223"/>
      <c r="U401" s="223"/>
      <c r="V401" s="9"/>
      <c r="W401" s="9"/>
      <c r="X401" s="9"/>
      <c r="Y401" s="204"/>
      <c r="Z401" s="9"/>
      <c r="AA401" s="9"/>
      <c r="AB401" s="9"/>
      <c r="AC401" s="9"/>
    </row>
    <row r="402" ht="15.75" customHeight="1">
      <c r="A402" s="9"/>
      <c r="B402" s="9"/>
      <c r="C402" s="9"/>
      <c r="D402" s="9"/>
      <c r="E402" s="9"/>
      <c r="F402" s="9"/>
      <c r="G402" s="9"/>
      <c r="H402" s="9"/>
      <c r="I402" s="9"/>
      <c r="J402" s="9"/>
      <c r="K402" s="9"/>
      <c r="L402" s="9"/>
      <c r="M402" s="223"/>
      <c r="N402" s="9"/>
      <c r="O402" s="9"/>
      <c r="P402" s="9"/>
      <c r="Q402" s="9"/>
      <c r="R402" s="9"/>
      <c r="S402" s="223"/>
      <c r="T402" s="223"/>
      <c r="U402" s="223"/>
      <c r="V402" s="9"/>
      <c r="W402" s="9"/>
      <c r="X402" s="9"/>
      <c r="Y402" s="204"/>
      <c r="Z402" s="9"/>
      <c r="AA402" s="9"/>
      <c r="AB402" s="9"/>
      <c r="AC402" s="9"/>
    </row>
    <row r="403" ht="15.75" customHeight="1">
      <c r="A403" s="9"/>
      <c r="B403" s="9"/>
      <c r="C403" s="9"/>
      <c r="D403" s="9"/>
      <c r="E403" s="9"/>
      <c r="F403" s="9"/>
      <c r="G403" s="9"/>
      <c r="H403" s="9"/>
      <c r="I403" s="9"/>
      <c r="J403" s="9"/>
      <c r="K403" s="9"/>
      <c r="L403" s="9"/>
      <c r="M403" s="223"/>
      <c r="N403" s="9"/>
      <c r="O403" s="9"/>
      <c r="P403" s="9"/>
      <c r="Q403" s="9"/>
      <c r="R403" s="9"/>
      <c r="S403" s="223"/>
      <c r="T403" s="223"/>
      <c r="U403" s="223"/>
      <c r="V403" s="9"/>
      <c r="W403" s="9"/>
      <c r="X403" s="9"/>
      <c r="Y403" s="204"/>
      <c r="Z403" s="9"/>
      <c r="AA403" s="9"/>
      <c r="AB403" s="9"/>
      <c r="AC403" s="9"/>
    </row>
    <row r="404" ht="15.75" customHeight="1">
      <c r="A404" s="9"/>
      <c r="B404" s="9"/>
      <c r="C404" s="9"/>
      <c r="D404" s="9"/>
      <c r="E404" s="9"/>
      <c r="F404" s="9"/>
      <c r="G404" s="9"/>
      <c r="H404" s="9"/>
      <c r="I404" s="9"/>
      <c r="J404" s="9"/>
      <c r="K404" s="9"/>
      <c r="L404" s="9"/>
      <c r="M404" s="223"/>
      <c r="N404" s="9"/>
      <c r="O404" s="9"/>
      <c r="P404" s="9"/>
      <c r="Q404" s="9"/>
      <c r="R404" s="9"/>
      <c r="S404" s="223"/>
      <c r="T404" s="223"/>
      <c r="U404" s="223"/>
      <c r="V404" s="9"/>
      <c r="W404" s="9"/>
      <c r="X404" s="9"/>
      <c r="Y404" s="204"/>
      <c r="Z404" s="9"/>
      <c r="AA404" s="9"/>
      <c r="AB404" s="9"/>
      <c r="AC404" s="9"/>
    </row>
    <row r="405" ht="15.75" customHeight="1">
      <c r="A405" s="9"/>
      <c r="B405" s="9"/>
      <c r="C405" s="9"/>
      <c r="D405" s="9"/>
      <c r="E405" s="9"/>
      <c r="F405" s="9"/>
      <c r="G405" s="9"/>
      <c r="H405" s="9"/>
      <c r="I405" s="9"/>
      <c r="J405" s="9"/>
      <c r="K405" s="9"/>
      <c r="L405" s="9"/>
      <c r="M405" s="223"/>
      <c r="N405" s="9"/>
      <c r="O405" s="9"/>
      <c r="P405" s="9"/>
      <c r="Q405" s="9"/>
      <c r="R405" s="9"/>
      <c r="S405" s="223"/>
      <c r="T405" s="223"/>
      <c r="U405" s="223"/>
      <c r="V405" s="9"/>
      <c r="W405" s="9"/>
      <c r="X405" s="9"/>
      <c r="Y405" s="204"/>
      <c r="Z405" s="9"/>
      <c r="AA405" s="9"/>
      <c r="AB405" s="9"/>
      <c r="AC405" s="9"/>
    </row>
    <row r="406" ht="15.75" customHeight="1">
      <c r="A406" s="9"/>
      <c r="B406" s="9"/>
      <c r="C406" s="9"/>
      <c r="D406" s="9"/>
      <c r="E406" s="9"/>
      <c r="F406" s="9"/>
      <c r="G406" s="9"/>
      <c r="H406" s="9"/>
      <c r="I406" s="9"/>
      <c r="J406" s="9"/>
      <c r="K406" s="9"/>
      <c r="L406" s="9"/>
      <c r="M406" s="223"/>
      <c r="N406" s="9"/>
      <c r="O406" s="9"/>
      <c r="P406" s="9"/>
      <c r="Q406" s="9"/>
      <c r="R406" s="9"/>
      <c r="S406" s="223"/>
      <c r="T406" s="223"/>
      <c r="U406" s="223"/>
      <c r="V406" s="9"/>
      <c r="W406" s="9"/>
      <c r="X406" s="9"/>
      <c r="Y406" s="204"/>
      <c r="Z406" s="9"/>
      <c r="AA406" s="9"/>
      <c r="AB406" s="9"/>
      <c r="AC406" s="9"/>
    </row>
    <row r="407" ht="15.75" customHeight="1">
      <c r="A407" s="9"/>
      <c r="B407" s="9"/>
      <c r="C407" s="9"/>
      <c r="D407" s="9"/>
      <c r="E407" s="9"/>
      <c r="F407" s="9"/>
      <c r="G407" s="9"/>
      <c r="H407" s="9"/>
      <c r="I407" s="9"/>
      <c r="J407" s="9"/>
      <c r="K407" s="9"/>
      <c r="L407" s="9"/>
      <c r="M407" s="223"/>
      <c r="N407" s="9"/>
      <c r="O407" s="9"/>
      <c r="P407" s="9"/>
      <c r="Q407" s="9"/>
      <c r="R407" s="9"/>
      <c r="S407" s="223"/>
      <c r="T407" s="223"/>
      <c r="U407" s="223"/>
      <c r="V407" s="9"/>
      <c r="W407" s="9"/>
      <c r="X407" s="9"/>
      <c r="Y407" s="204"/>
      <c r="Z407" s="9"/>
      <c r="AA407" s="9"/>
      <c r="AB407" s="9"/>
      <c r="AC407" s="9"/>
    </row>
    <row r="408" ht="15.75" customHeight="1">
      <c r="A408" s="9"/>
      <c r="B408" s="9"/>
      <c r="C408" s="9"/>
      <c r="D408" s="9"/>
      <c r="E408" s="9"/>
      <c r="F408" s="9"/>
      <c r="G408" s="9"/>
      <c r="H408" s="9"/>
      <c r="I408" s="9"/>
      <c r="J408" s="9"/>
      <c r="K408" s="9"/>
      <c r="L408" s="9"/>
      <c r="M408" s="223"/>
      <c r="N408" s="9"/>
      <c r="O408" s="9"/>
      <c r="P408" s="9"/>
      <c r="Q408" s="9"/>
      <c r="R408" s="9"/>
      <c r="S408" s="223"/>
      <c r="T408" s="223"/>
      <c r="U408" s="223"/>
      <c r="V408" s="9"/>
      <c r="W408" s="9"/>
      <c r="X408" s="9"/>
      <c r="Y408" s="204"/>
      <c r="Z408" s="9"/>
      <c r="AA408" s="9"/>
      <c r="AB408" s="9"/>
      <c r="AC408" s="9"/>
    </row>
    <row r="409" ht="15.75" customHeight="1">
      <c r="A409" s="9"/>
      <c r="B409" s="9"/>
      <c r="C409" s="9"/>
      <c r="D409" s="9"/>
      <c r="E409" s="9"/>
      <c r="F409" s="9"/>
      <c r="G409" s="9"/>
      <c r="H409" s="9"/>
      <c r="I409" s="9"/>
      <c r="J409" s="9"/>
      <c r="K409" s="9"/>
      <c r="L409" s="9"/>
      <c r="M409" s="223"/>
      <c r="N409" s="9"/>
      <c r="O409" s="9"/>
      <c r="P409" s="9"/>
      <c r="Q409" s="9"/>
      <c r="R409" s="9"/>
      <c r="S409" s="223"/>
      <c r="T409" s="223"/>
      <c r="U409" s="223"/>
      <c r="V409" s="9"/>
      <c r="W409" s="9"/>
      <c r="X409" s="9"/>
      <c r="Y409" s="204"/>
      <c r="Z409" s="9"/>
      <c r="AA409" s="9"/>
      <c r="AB409" s="9"/>
      <c r="AC409" s="9"/>
    </row>
    <row r="410" ht="15.75" customHeight="1">
      <c r="A410" s="9"/>
      <c r="B410" s="9"/>
      <c r="C410" s="9"/>
      <c r="D410" s="9"/>
      <c r="E410" s="9"/>
      <c r="F410" s="9"/>
      <c r="G410" s="9"/>
      <c r="H410" s="9"/>
      <c r="I410" s="9"/>
      <c r="J410" s="9"/>
      <c r="K410" s="9"/>
      <c r="L410" s="9"/>
      <c r="M410" s="223"/>
      <c r="N410" s="9"/>
      <c r="O410" s="9"/>
      <c r="P410" s="9"/>
      <c r="Q410" s="9"/>
      <c r="R410" s="9"/>
      <c r="S410" s="223"/>
      <c r="T410" s="223"/>
      <c r="U410" s="223"/>
      <c r="V410" s="9"/>
      <c r="W410" s="9"/>
      <c r="X410" s="9"/>
      <c r="Y410" s="204"/>
      <c r="Z410" s="9"/>
      <c r="AA410" s="9"/>
      <c r="AB410" s="9"/>
      <c r="AC410" s="9"/>
    </row>
    <row r="411" ht="15.75" customHeight="1">
      <c r="A411" s="9"/>
      <c r="B411" s="9"/>
      <c r="C411" s="9"/>
      <c r="D411" s="9"/>
      <c r="E411" s="9"/>
      <c r="F411" s="9"/>
      <c r="G411" s="9"/>
      <c r="H411" s="9"/>
      <c r="I411" s="9"/>
      <c r="J411" s="9"/>
      <c r="K411" s="9"/>
      <c r="L411" s="9"/>
      <c r="M411" s="223"/>
      <c r="N411" s="9"/>
      <c r="O411" s="9"/>
      <c r="P411" s="9"/>
      <c r="Q411" s="9"/>
      <c r="R411" s="9"/>
      <c r="S411" s="223"/>
      <c r="T411" s="223"/>
      <c r="U411" s="223"/>
      <c r="V411" s="9"/>
      <c r="W411" s="9"/>
      <c r="X411" s="9"/>
      <c r="Y411" s="204"/>
      <c r="Z411" s="9"/>
      <c r="AA411" s="9"/>
      <c r="AB411" s="9"/>
      <c r="AC411" s="9"/>
    </row>
    <row r="412" ht="15.75" customHeight="1">
      <c r="A412" s="9"/>
      <c r="B412" s="9"/>
      <c r="C412" s="9"/>
      <c r="D412" s="9"/>
      <c r="E412" s="9"/>
      <c r="F412" s="9"/>
      <c r="G412" s="9"/>
      <c r="H412" s="9"/>
      <c r="I412" s="9"/>
      <c r="J412" s="9"/>
      <c r="K412" s="9"/>
      <c r="L412" s="9"/>
      <c r="M412" s="223"/>
      <c r="N412" s="9"/>
      <c r="O412" s="9"/>
      <c r="P412" s="9"/>
      <c r="Q412" s="9"/>
      <c r="R412" s="9"/>
      <c r="S412" s="223"/>
      <c r="T412" s="223"/>
      <c r="U412" s="223"/>
      <c r="V412" s="9"/>
      <c r="W412" s="9"/>
      <c r="X412" s="9"/>
      <c r="Y412" s="204"/>
      <c r="Z412" s="9"/>
      <c r="AA412" s="9"/>
      <c r="AB412" s="9"/>
      <c r="AC412" s="9"/>
    </row>
    <row r="413" ht="15.75" customHeight="1">
      <c r="A413" s="9"/>
      <c r="B413" s="9"/>
      <c r="C413" s="9"/>
      <c r="D413" s="9"/>
      <c r="E413" s="9"/>
      <c r="F413" s="9"/>
      <c r="G413" s="9"/>
      <c r="H413" s="9"/>
      <c r="I413" s="9"/>
      <c r="J413" s="9"/>
      <c r="K413" s="9"/>
      <c r="L413" s="9"/>
      <c r="M413" s="223"/>
      <c r="N413" s="9"/>
      <c r="O413" s="9"/>
      <c r="P413" s="9"/>
      <c r="Q413" s="9"/>
      <c r="R413" s="9"/>
      <c r="S413" s="223"/>
      <c r="T413" s="223"/>
      <c r="U413" s="223"/>
      <c r="V413" s="9"/>
      <c r="W413" s="9"/>
      <c r="X413" s="9"/>
      <c r="Y413" s="204"/>
      <c r="Z413" s="9"/>
      <c r="AA413" s="9"/>
      <c r="AB413" s="9"/>
      <c r="AC413" s="9"/>
    </row>
    <row r="414" ht="15.75" customHeight="1">
      <c r="A414" s="9"/>
      <c r="B414" s="9"/>
      <c r="C414" s="9"/>
      <c r="D414" s="9"/>
      <c r="E414" s="9"/>
      <c r="F414" s="9"/>
      <c r="G414" s="9"/>
      <c r="H414" s="9"/>
      <c r="I414" s="9"/>
      <c r="J414" s="9"/>
      <c r="K414" s="9"/>
      <c r="L414" s="9"/>
      <c r="M414" s="223"/>
      <c r="N414" s="9"/>
      <c r="O414" s="9"/>
      <c r="P414" s="9"/>
      <c r="Q414" s="9"/>
      <c r="R414" s="9"/>
      <c r="S414" s="223"/>
      <c r="T414" s="223"/>
      <c r="U414" s="223"/>
      <c r="V414" s="9"/>
      <c r="W414" s="9"/>
      <c r="X414" s="9"/>
      <c r="Y414" s="204"/>
      <c r="Z414" s="9"/>
      <c r="AA414" s="9"/>
      <c r="AB414" s="9"/>
      <c r="AC414" s="9"/>
    </row>
    <row r="415" ht="15.75" customHeight="1">
      <c r="A415" s="9"/>
      <c r="B415" s="9"/>
      <c r="C415" s="9"/>
      <c r="D415" s="9"/>
      <c r="E415" s="9"/>
      <c r="F415" s="9"/>
      <c r="G415" s="9"/>
      <c r="H415" s="9"/>
      <c r="I415" s="9"/>
      <c r="J415" s="9"/>
      <c r="K415" s="9"/>
      <c r="L415" s="9"/>
      <c r="M415" s="223"/>
      <c r="N415" s="9"/>
      <c r="O415" s="9"/>
      <c r="P415" s="9"/>
      <c r="Q415" s="9"/>
      <c r="R415" s="9"/>
      <c r="S415" s="223"/>
      <c r="T415" s="223"/>
      <c r="U415" s="223"/>
      <c r="V415" s="9"/>
      <c r="W415" s="9"/>
      <c r="X415" s="9"/>
      <c r="Y415" s="204"/>
      <c r="Z415" s="9"/>
      <c r="AA415" s="9"/>
      <c r="AB415" s="9"/>
      <c r="AC415" s="9"/>
    </row>
    <row r="416" ht="15.75" customHeight="1">
      <c r="A416" s="9"/>
      <c r="B416" s="9"/>
      <c r="C416" s="9"/>
      <c r="D416" s="9"/>
      <c r="E416" s="9"/>
      <c r="F416" s="9"/>
      <c r="G416" s="9"/>
      <c r="H416" s="9"/>
      <c r="I416" s="9"/>
      <c r="J416" s="9"/>
      <c r="K416" s="9"/>
      <c r="L416" s="9"/>
      <c r="M416" s="223"/>
      <c r="N416" s="9"/>
      <c r="O416" s="9"/>
      <c r="P416" s="9"/>
      <c r="Q416" s="9"/>
      <c r="R416" s="9"/>
      <c r="S416" s="223"/>
      <c r="T416" s="223"/>
      <c r="U416" s="223"/>
      <c r="V416" s="9"/>
      <c r="W416" s="9"/>
      <c r="X416" s="9"/>
      <c r="Y416" s="204"/>
      <c r="Z416" s="9"/>
      <c r="AA416" s="9"/>
      <c r="AB416" s="9"/>
      <c r="AC416" s="9"/>
    </row>
    <row r="417" ht="15.75" customHeight="1">
      <c r="A417" s="9"/>
      <c r="B417" s="9"/>
      <c r="C417" s="9"/>
      <c r="D417" s="9"/>
      <c r="E417" s="9"/>
      <c r="F417" s="9"/>
      <c r="G417" s="9"/>
      <c r="H417" s="9"/>
      <c r="I417" s="9"/>
      <c r="J417" s="9"/>
      <c r="K417" s="9"/>
      <c r="L417" s="9"/>
      <c r="M417" s="223"/>
      <c r="N417" s="9"/>
      <c r="O417" s="9"/>
      <c r="P417" s="9"/>
      <c r="Q417" s="9"/>
      <c r="R417" s="9"/>
      <c r="S417" s="223"/>
      <c r="T417" s="223"/>
      <c r="U417" s="223"/>
      <c r="V417" s="9"/>
      <c r="W417" s="9"/>
      <c r="X417" s="9"/>
      <c r="Y417" s="204"/>
      <c r="Z417" s="9"/>
      <c r="AA417" s="9"/>
      <c r="AB417" s="9"/>
      <c r="AC417" s="9"/>
    </row>
    <row r="418" ht="15.75" customHeight="1">
      <c r="A418" s="9"/>
      <c r="B418" s="9"/>
      <c r="C418" s="9"/>
      <c r="D418" s="9"/>
      <c r="E418" s="9"/>
      <c r="F418" s="9"/>
      <c r="G418" s="9"/>
      <c r="H418" s="9"/>
      <c r="I418" s="9"/>
      <c r="J418" s="9"/>
      <c r="K418" s="9"/>
      <c r="L418" s="9"/>
      <c r="M418" s="223"/>
      <c r="N418" s="9"/>
      <c r="O418" s="9"/>
      <c r="P418" s="9"/>
      <c r="Q418" s="9"/>
      <c r="R418" s="9"/>
      <c r="S418" s="223"/>
      <c r="T418" s="223"/>
      <c r="U418" s="223"/>
      <c r="V418" s="9"/>
      <c r="W418" s="9"/>
      <c r="X418" s="9"/>
      <c r="Y418" s="204"/>
      <c r="Z418" s="9"/>
      <c r="AA418" s="9"/>
      <c r="AB418" s="9"/>
      <c r="AC418" s="9"/>
    </row>
    <row r="419" ht="15.75" customHeight="1">
      <c r="A419" s="9"/>
      <c r="B419" s="9"/>
      <c r="C419" s="9"/>
      <c r="D419" s="9"/>
      <c r="E419" s="9"/>
      <c r="F419" s="9"/>
      <c r="G419" s="9"/>
      <c r="H419" s="9"/>
      <c r="I419" s="9"/>
      <c r="J419" s="9"/>
      <c r="K419" s="9"/>
      <c r="L419" s="9"/>
      <c r="M419" s="223"/>
      <c r="N419" s="9"/>
      <c r="O419" s="9"/>
      <c r="P419" s="9"/>
      <c r="Q419" s="9"/>
      <c r="R419" s="9"/>
      <c r="S419" s="223"/>
      <c r="T419" s="223"/>
      <c r="U419" s="223"/>
      <c r="V419" s="9"/>
      <c r="W419" s="9"/>
      <c r="X419" s="9"/>
      <c r="Y419" s="204"/>
      <c r="Z419" s="9"/>
      <c r="AA419" s="9"/>
      <c r="AB419" s="9"/>
      <c r="AC419" s="9"/>
    </row>
    <row r="420" ht="15.75" customHeight="1">
      <c r="A420" s="9"/>
      <c r="B420" s="9"/>
      <c r="C420" s="9"/>
      <c r="D420" s="9"/>
      <c r="E420" s="9"/>
      <c r="F420" s="9"/>
      <c r="G420" s="9"/>
      <c r="H420" s="9"/>
      <c r="I420" s="9"/>
      <c r="J420" s="9"/>
      <c r="K420" s="9"/>
      <c r="L420" s="9"/>
      <c r="M420" s="223"/>
      <c r="N420" s="9"/>
      <c r="O420" s="9"/>
      <c r="P420" s="9"/>
      <c r="Q420" s="9"/>
      <c r="R420" s="9"/>
      <c r="S420" s="223"/>
      <c r="T420" s="223"/>
      <c r="U420" s="223"/>
      <c r="V420" s="9"/>
      <c r="W420" s="9"/>
      <c r="X420" s="9"/>
      <c r="Y420" s="204"/>
      <c r="Z420" s="9"/>
      <c r="AA420" s="9"/>
      <c r="AB420" s="9"/>
      <c r="AC420" s="9"/>
    </row>
    <row r="421" ht="15.75" customHeight="1">
      <c r="A421" s="9"/>
      <c r="B421" s="9"/>
      <c r="C421" s="9"/>
      <c r="D421" s="9"/>
      <c r="E421" s="9"/>
      <c r="F421" s="9"/>
      <c r="G421" s="9"/>
      <c r="H421" s="9"/>
      <c r="I421" s="9"/>
      <c r="J421" s="9"/>
      <c r="K421" s="9"/>
      <c r="L421" s="9"/>
      <c r="M421" s="223"/>
      <c r="N421" s="9"/>
      <c r="O421" s="9"/>
      <c r="P421" s="9"/>
      <c r="Q421" s="9"/>
      <c r="R421" s="9"/>
      <c r="S421" s="223"/>
      <c r="T421" s="223"/>
      <c r="U421" s="223"/>
      <c r="V421" s="9"/>
      <c r="W421" s="9"/>
      <c r="X421" s="9"/>
      <c r="Y421" s="204"/>
      <c r="Z421" s="9"/>
      <c r="AA421" s="9"/>
      <c r="AB421" s="9"/>
      <c r="AC421" s="9"/>
    </row>
    <row r="422" ht="15.75" customHeight="1">
      <c r="A422" s="9"/>
      <c r="B422" s="9"/>
      <c r="C422" s="9"/>
      <c r="D422" s="9"/>
      <c r="E422" s="9"/>
      <c r="F422" s="9"/>
      <c r="G422" s="9"/>
      <c r="H422" s="9"/>
      <c r="I422" s="9"/>
      <c r="J422" s="9"/>
      <c r="K422" s="9"/>
      <c r="L422" s="9"/>
      <c r="M422" s="223"/>
      <c r="N422" s="9"/>
      <c r="O422" s="9"/>
      <c r="P422" s="9"/>
      <c r="Q422" s="9"/>
      <c r="R422" s="9"/>
      <c r="S422" s="223"/>
      <c r="T422" s="223"/>
      <c r="U422" s="223"/>
      <c r="V422" s="9"/>
      <c r="W422" s="9"/>
      <c r="X422" s="9"/>
      <c r="Y422" s="204"/>
      <c r="Z422" s="9"/>
      <c r="AA422" s="9"/>
      <c r="AB422" s="9"/>
      <c r="AC422" s="9"/>
    </row>
    <row r="423" ht="15.75" customHeight="1">
      <c r="A423" s="9"/>
      <c r="B423" s="9"/>
      <c r="C423" s="9"/>
      <c r="D423" s="9"/>
      <c r="E423" s="9"/>
      <c r="F423" s="9"/>
      <c r="G423" s="9"/>
      <c r="H423" s="9"/>
      <c r="I423" s="9"/>
      <c r="J423" s="9"/>
      <c r="K423" s="9"/>
      <c r="L423" s="9"/>
      <c r="M423" s="223"/>
      <c r="N423" s="9"/>
      <c r="O423" s="9"/>
      <c r="P423" s="9"/>
      <c r="Q423" s="9"/>
      <c r="R423" s="9"/>
      <c r="S423" s="223"/>
      <c r="T423" s="223"/>
      <c r="U423" s="223"/>
      <c r="V423" s="9"/>
      <c r="W423" s="9"/>
      <c r="X423" s="9"/>
      <c r="Y423" s="204"/>
      <c r="Z423" s="9"/>
      <c r="AA423" s="9"/>
      <c r="AB423" s="9"/>
      <c r="AC423" s="9"/>
    </row>
    <row r="424" ht="15.75" customHeight="1">
      <c r="A424" s="9"/>
      <c r="B424" s="9"/>
      <c r="C424" s="9"/>
      <c r="D424" s="9"/>
      <c r="E424" s="9"/>
      <c r="F424" s="9"/>
      <c r="G424" s="9"/>
      <c r="H424" s="9"/>
      <c r="I424" s="9"/>
      <c r="J424" s="9"/>
      <c r="K424" s="9"/>
      <c r="L424" s="9"/>
      <c r="M424" s="223"/>
      <c r="N424" s="9"/>
      <c r="O424" s="9"/>
      <c r="P424" s="9"/>
      <c r="Q424" s="9"/>
      <c r="R424" s="9"/>
      <c r="S424" s="223"/>
      <c r="T424" s="223"/>
      <c r="U424" s="223"/>
      <c r="V424" s="9"/>
      <c r="W424" s="9"/>
      <c r="X424" s="9"/>
      <c r="Y424" s="204"/>
      <c r="Z424" s="9"/>
      <c r="AA424" s="9"/>
      <c r="AB424" s="9"/>
      <c r="AC424" s="9"/>
    </row>
    <row r="425" ht="15.75" customHeight="1">
      <c r="A425" s="9"/>
      <c r="B425" s="9"/>
      <c r="C425" s="9"/>
      <c r="D425" s="9"/>
      <c r="E425" s="9"/>
      <c r="F425" s="9"/>
      <c r="G425" s="9"/>
      <c r="H425" s="9"/>
      <c r="I425" s="9"/>
      <c r="J425" s="9"/>
      <c r="K425" s="9"/>
      <c r="L425" s="9"/>
      <c r="M425" s="223"/>
      <c r="N425" s="9"/>
      <c r="O425" s="9"/>
      <c r="P425" s="9"/>
      <c r="Q425" s="9"/>
      <c r="R425" s="9"/>
      <c r="S425" s="223"/>
      <c r="T425" s="223"/>
      <c r="U425" s="223"/>
      <c r="V425" s="9"/>
      <c r="W425" s="9"/>
      <c r="X425" s="9"/>
      <c r="Y425" s="204"/>
      <c r="Z425" s="9"/>
      <c r="AA425" s="9"/>
      <c r="AB425" s="9"/>
      <c r="AC425" s="9"/>
    </row>
    <row r="426" ht="15.75" customHeight="1">
      <c r="A426" s="9"/>
      <c r="B426" s="9"/>
      <c r="C426" s="9"/>
      <c r="D426" s="9"/>
      <c r="E426" s="9"/>
      <c r="F426" s="9"/>
      <c r="G426" s="9"/>
      <c r="H426" s="9"/>
      <c r="I426" s="9"/>
      <c r="J426" s="9"/>
      <c r="K426" s="9"/>
      <c r="L426" s="9"/>
      <c r="M426" s="223"/>
      <c r="N426" s="9"/>
      <c r="O426" s="9"/>
      <c r="P426" s="9"/>
      <c r="Q426" s="9"/>
      <c r="R426" s="9"/>
      <c r="S426" s="223"/>
      <c r="T426" s="223"/>
      <c r="U426" s="223"/>
      <c r="V426" s="9"/>
      <c r="W426" s="9"/>
      <c r="X426" s="9"/>
      <c r="Y426" s="204"/>
      <c r="Z426" s="9"/>
      <c r="AA426" s="9"/>
      <c r="AB426" s="9"/>
      <c r="AC426" s="9"/>
    </row>
    <row r="427" ht="15.75" customHeight="1">
      <c r="A427" s="9"/>
      <c r="B427" s="9"/>
      <c r="C427" s="9"/>
      <c r="D427" s="9"/>
      <c r="E427" s="9"/>
      <c r="F427" s="9"/>
      <c r="G427" s="9"/>
      <c r="H427" s="9"/>
      <c r="I427" s="9"/>
      <c r="J427" s="9"/>
      <c r="K427" s="9"/>
      <c r="L427" s="9"/>
      <c r="M427" s="223"/>
      <c r="N427" s="9"/>
      <c r="O427" s="9"/>
      <c r="P427" s="9"/>
      <c r="Q427" s="9"/>
      <c r="R427" s="9"/>
      <c r="S427" s="223"/>
      <c r="T427" s="223"/>
      <c r="U427" s="223"/>
      <c r="V427" s="9"/>
      <c r="W427" s="9"/>
      <c r="X427" s="9"/>
      <c r="Y427" s="204"/>
      <c r="Z427" s="9"/>
      <c r="AA427" s="9"/>
      <c r="AB427" s="9"/>
      <c r="AC427" s="9"/>
    </row>
    <row r="428" ht="15.75" customHeight="1">
      <c r="A428" s="9"/>
      <c r="B428" s="9"/>
      <c r="C428" s="9"/>
      <c r="D428" s="9"/>
      <c r="E428" s="9"/>
      <c r="F428" s="9"/>
      <c r="G428" s="9"/>
      <c r="H428" s="9"/>
      <c r="I428" s="9"/>
      <c r="J428" s="9"/>
      <c r="K428" s="9"/>
      <c r="L428" s="9"/>
      <c r="M428" s="223"/>
      <c r="N428" s="9"/>
      <c r="O428" s="9"/>
      <c r="P428" s="9"/>
      <c r="Q428" s="9"/>
      <c r="R428" s="9"/>
      <c r="S428" s="223"/>
      <c r="T428" s="223"/>
      <c r="U428" s="223"/>
      <c r="V428" s="9"/>
      <c r="W428" s="9"/>
      <c r="X428" s="9"/>
      <c r="Y428" s="204"/>
      <c r="Z428" s="9"/>
      <c r="AA428" s="9"/>
      <c r="AB428" s="9"/>
      <c r="AC428" s="9"/>
    </row>
    <row r="429" ht="15.75" customHeight="1">
      <c r="A429" s="9"/>
      <c r="B429" s="9"/>
      <c r="C429" s="9"/>
      <c r="D429" s="9"/>
      <c r="E429" s="9"/>
      <c r="F429" s="9"/>
      <c r="G429" s="9"/>
      <c r="H429" s="9"/>
      <c r="I429" s="9"/>
      <c r="J429" s="9"/>
      <c r="K429" s="9"/>
      <c r="L429" s="9"/>
      <c r="M429" s="223"/>
      <c r="N429" s="9"/>
      <c r="O429" s="9"/>
      <c r="P429" s="9"/>
      <c r="Q429" s="9"/>
      <c r="R429" s="9"/>
      <c r="S429" s="223"/>
      <c r="T429" s="223"/>
      <c r="U429" s="223"/>
      <c r="V429" s="9"/>
      <c r="W429" s="9"/>
      <c r="X429" s="9"/>
      <c r="Y429" s="204"/>
      <c r="Z429" s="9"/>
      <c r="AA429" s="9"/>
      <c r="AB429" s="9"/>
      <c r="AC429" s="9"/>
    </row>
    <row r="430" ht="15.75" customHeight="1">
      <c r="A430" s="9"/>
      <c r="B430" s="9"/>
      <c r="C430" s="9"/>
      <c r="D430" s="9"/>
      <c r="E430" s="9"/>
      <c r="F430" s="9"/>
      <c r="G430" s="9"/>
      <c r="H430" s="9"/>
      <c r="I430" s="9"/>
      <c r="J430" s="9"/>
      <c r="K430" s="9"/>
      <c r="L430" s="9"/>
      <c r="M430" s="223"/>
      <c r="N430" s="9"/>
      <c r="O430" s="9"/>
      <c r="P430" s="9"/>
      <c r="Q430" s="9"/>
      <c r="R430" s="9"/>
      <c r="S430" s="223"/>
      <c r="T430" s="223"/>
      <c r="U430" s="223"/>
      <c r="V430" s="9"/>
      <c r="W430" s="9"/>
      <c r="X430" s="9"/>
      <c r="Y430" s="204"/>
      <c r="Z430" s="9"/>
      <c r="AA430" s="9"/>
      <c r="AB430" s="9"/>
      <c r="AC430" s="9"/>
    </row>
    <row r="431" ht="15.75" customHeight="1">
      <c r="A431" s="9"/>
      <c r="B431" s="9"/>
      <c r="C431" s="9"/>
      <c r="D431" s="9"/>
      <c r="E431" s="9"/>
      <c r="F431" s="9"/>
      <c r="G431" s="9"/>
      <c r="H431" s="9"/>
      <c r="I431" s="9"/>
      <c r="J431" s="9"/>
      <c r="K431" s="9"/>
      <c r="L431" s="9"/>
      <c r="M431" s="223"/>
      <c r="N431" s="9"/>
      <c r="O431" s="9"/>
      <c r="P431" s="9"/>
      <c r="Q431" s="9"/>
      <c r="R431" s="9"/>
      <c r="S431" s="223"/>
      <c r="T431" s="223"/>
      <c r="U431" s="223"/>
      <c r="V431" s="9"/>
      <c r="W431" s="9"/>
      <c r="X431" s="9"/>
      <c r="Y431" s="204"/>
      <c r="Z431" s="9"/>
      <c r="AA431" s="9"/>
      <c r="AB431" s="9"/>
      <c r="AC431" s="9"/>
    </row>
    <row r="432" ht="15.75" customHeight="1">
      <c r="A432" s="9"/>
      <c r="B432" s="9"/>
      <c r="C432" s="9"/>
      <c r="D432" s="9"/>
      <c r="E432" s="9"/>
      <c r="F432" s="9"/>
      <c r="G432" s="9"/>
      <c r="H432" s="9"/>
      <c r="I432" s="9"/>
      <c r="J432" s="9"/>
      <c r="K432" s="9"/>
      <c r="L432" s="9"/>
      <c r="M432" s="223"/>
      <c r="N432" s="9"/>
      <c r="O432" s="9"/>
      <c r="P432" s="9"/>
      <c r="Q432" s="9"/>
      <c r="R432" s="9"/>
      <c r="S432" s="223"/>
      <c r="T432" s="223"/>
      <c r="U432" s="223"/>
      <c r="V432" s="9"/>
      <c r="W432" s="9"/>
      <c r="X432" s="9"/>
      <c r="Y432" s="204"/>
      <c r="Z432" s="9"/>
      <c r="AA432" s="9"/>
      <c r="AB432" s="9"/>
      <c r="AC432" s="9"/>
    </row>
    <row r="433" ht="15.75" customHeight="1">
      <c r="A433" s="9"/>
      <c r="B433" s="9"/>
      <c r="C433" s="9"/>
      <c r="D433" s="9"/>
      <c r="E433" s="9"/>
      <c r="F433" s="9"/>
      <c r="G433" s="9"/>
      <c r="H433" s="9"/>
      <c r="I433" s="9"/>
      <c r="J433" s="9"/>
      <c r="K433" s="9"/>
      <c r="L433" s="9"/>
      <c r="M433" s="223"/>
      <c r="N433" s="9"/>
      <c r="O433" s="9"/>
      <c r="P433" s="9"/>
      <c r="Q433" s="9"/>
      <c r="R433" s="9"/>
      <c r="S433" s="223"/>
      <c r="T433" s="223"/>
      <c r="U433" s="223"/>
      <c r="V433" s="9"/>
      <c r="W433" s="9"/>
      <c r="X433" s="9"/>
      <c r="Y433" s="204"/>
      <c r="Z433" s="9"/>
      <c r="AA433" s="9"/>
      <c r="AB433" s="9"/>
      <c r="AC433" s="9"/>
    </row>
    <row r="434" ht="15.75" customHeight="1">
      <c r="A434" s="9"/>
      <c r="B434" s="9"/>
      <c r="C434" s="9"/>
      <c r="D434" s="9"/>
      <c r="E434" s="9"/>
      <c r="F434" s="9"/>
      <c r="G434" s="9"/>
      <c r="H434" s="9"/>
      <c r="I434" s="9"/>
      <c r="J434" s="9"/>
      <c r="K434" s="9"/>
      <c r="L434" s="9"/>
      <c r="M434" s="223"/>
      <c r="N434" s="9"/>
      <c r="O434" s="9"/>
      <c r="P434" s="9"/>
      <c r="Q434" s="9"/>
      <c r="R434" s="9"/>
      <c r="S434" s="223"/>
      <c r="T434" s="223"/>
      <c r="U434" s="223"/>
      <c r="V434" s="9"/>
      <c r="W434" s="9"/>
      <c r="X434" s="9"/>
      <c r="Y434" s="204"/>
      <c r="Z434" s="9"/>
      <c r="AA434" s="9"/>
      <c r="AB434" s="9"/>
      <c r="AC434" s="9"/>
    </row>
    <row r="435" ht="15.75" customHeight="1">
      <c r="A435" s="9"/>
      <c r="B435" s="9"/>
      <c r="C435" s="9"/>
      <c r="D435" s="9"/>
      <c r="E435" s="9"/>
      <c r="F435" s="9"/>
      <c r="G435" s="9"/>
      <c r="H435" s="9"/>
      <c r="I435" s="9"/>
      <c r="J435" s="9"/>
      <c r="K435" s="9"/>
      <c r="L435" s="9"/>
      <c r="M435" s="223"/>
      <c r="N435" s="9"/>
      <c r="O435" s="9"/>
      <c r="P435" s="9"/>
      <c r="Q435" s="9"/>
      <c r="R435" s="9"/>
      <c r="S435" s="223"/>
      <c r="T435" s="223"/>
      <c r="U435" s="223"/>
      <c r="V435" s="9"/>
      <c r="W435" s="9"/>
      <c r="X435" s="9"/>
      <c r="Y435" s="204"/>
      <c r="Z435" s="9"/>
      <c r="AA435" s="9"/>
      <c r="AB435" s="9"/>
      <c r="AC435" s="9"/>
    </row>
    <row r="436" ht="15.75" customHeight="1">
      <c r="A436" s="9"/>
      <c r="B436" s="9"/>
      <c r="C436" s="9"/>
      <c r="D436" s="9"/>
      <c r="E436" s="9"/>
      <c r="F436" s="9"/>
      <c r="G436" s="9"/>
      <c r="H436" s="9"/>
      <c r="I436" s="9"/>
      <c r="J436" s="9"/>
      <c r="K436" s="9"/>
      <c r="L436" s="9"/>
      <c r="M436" s="223"/>
      <c r="N436" s="9"/>
      <c r="O436" s="9"/>
      <c r="P436" s="9"/>
      <c r="Q436" s="9"/>
      <c r="R436" s="9"/>
      <c r="S436" s="223"/>
      <c r="T436" s="223"/>
      <c r="U436" s="223"/>
      <c r="V436" s="9"/>
      <c r="W436" s="9"/>
      <c r="X436" s="9"/>
      <c r="Y436" s="204"/>
      <c r="Z436" s="9"/>
      <c r="AA436" s="9"/>
      <c r="AB436" s="9"/>
      <c r="AC436" s="9"/>
    </row>
    <row r="437" ht="15.75" customHeight="1">
      <c r="A437" s="9"/>
      <c r="B437" s="9"/>
      <c r="C437" s="9"/>
      <c r="D437" s="9"/>
      <c r="E437" s="9"/>
      <c r="F437" s="9"/>
      <c r="G437" s="9"/>
      <c r="H437" s="9"/>
      <c r="I437" s="9"/>
      <c r="J437" s="9"/>
      <c r="K437" s="9"/>
      <c r="L437" s="9"/>
      <c r="M437" s="223"/>
      <c r="N437" s="9"/>
      <c r="O437" s="9"/>
      <c r="P437" s="9"/>
      <c r="Q437" s="9"/>
      <c r="R437" s="9"/>
      <c r="S437" s="223"/>
      <c r="T437" s="223"/>
      <c r="U437" s="223"/>
      <c r="V437" s="9"/>
      <c r="W437" s="9"/>
      <c r="X437" s="9"/>
      <c r="Y437" s="204"/>
      <c r="Z437" s="9"/>
      <c r="AA437" s="9"/>
      <c r="AB437" s="9"/>
      <c r="AC437" s="9"/>
    </row>
    <row r="438" ht="15.75" customHeight="1">
      <c r="A438" s="9"/>
      <c r="B438" s="9"/>
      <c r="C438" s="9"/>
      <c r="D438" s="9"/>
      <c r="E438" s="9"/>
      <c r="F438" s="9"/>
      <c r="G438" s="9"/>
      <c r="H438" s="9"/>
      <c r="I438" s="9"/>
      <c r="J438" s="9"/>
      <c r="K438" s="9"/>
      <c r="L438" s="9"/>
      <c r="M438" s="223"/>
      <c r="N438" s="9"/>
      <c r="O438" s="9"/>
      <c r="P438" s="9"/>
      <c r="Q438" s="9"/>
      <c r="R438" s="9"/>
      <c r="S438" s="223"/>
      <c r="T438" s="223"/>
      <c r="U438" s="223"/>
      <c r="V438" s="9"/>
      <c r="W438" s="9"/>
      <c r="X438" s="9"/>
      <c r="Y438" s="204"/>
      <c r="Z438" s="9"/>
      <c r="AA438" s="9"/>
      <c r="AB438" s="9"/>
      <c r="AC438" s="9"/>
    </row>
    <row r="439" ht="15.75" customHeight="1">
      <c r="A439" s="9"/>
      <c r="B439" s="9"/>
      <c r="C439" s="9"/>
      <c r="D439" s="9"/>
      <c r="E439" s="9"/>
      <c r="F439" s="9"/>
      <c r="G439" s="9"/>
      <c r="H439" s="9"/>
      <c r="I439" s="9"/>
      <c r="J439" s="9"/>
      <c r="K439" s="9"/>
      <c r="L439" s="9"/>
      <c r="M439" s="223"/>
      <c r="N439" s="9"/>
      <c r="O439" s="9"/>
      <c r="P439" s="9"/>
      <c r="Q439" s="9"/>
      <c r="R439" s="9"/>
      <c r="S439" s="223"/>
      <c r="T439" s="223"/>
      <c r="U439" s="223"/>
      <c r="V439" s="9"/>
      <c r="W439" s="9"/>
      <c r="X439" s="9"/>
      <c r="Y439" s="204"/>
      <c r="Z439" s="9"/>
      <c r="AA439" s="9"/>
      <c r="AB439" s="9"/>
      <c r="AC439" s="9"/>
    </row>
    <row r="440" ht="15.75" customHeight="1">
      <c r="A440" s="9"/>
      <c r="B440" s="9"/>
      <c r="C440" s="9"/>
      <c r="D440" s="9"/>
      <c r="E440" s="9"/>
      <c r="F440" s="9"/>
      <c r="G440" s="9"/>
      <c r="H440" s="9"/>
      <c r="I440" s="9"/>
      <c r="J440" s="9"/>
      <c r="K440" s="9"/>
      <c r="L440" s="9"/>
      <c r="M440" s="223"/>
      <c r="N440" s="9"/>
      <c r="O440" s="9"/>
      <c r="P440" s="9"/>
      <c r="Q440" s="9"/>
      <c r="R440" s="9"/>
      <c r="S440" s="223"/>
      <c r="T440" s="223"/>
      <c r="U440" s="223"/>
      <c r="V440" s="9"/>
      <c r="W440" s="9"/>
      <c r="X440" s="9"/>
      <c r="Y440" s="204"/>
      <c r="Z440" s="9"/>
      <c r="AA440" s="9"/>
      <c r="AB440" s="9"/>
      <c r="AC440" s="9"/>
    </row>
    <row r="441" ht="15.75" customHeight="1">
      <c r="A441" s="9"/>
      <c r="B441" s="9"/>
      <c r="C441" s="9"/>
      <c r="D441" s="9"/>
      <c r="E441" s="9"/>
      <c r="F441" s="9"/>
      <c r="G441" s="9"/>
      <c r="H441" s="9"/>
      <c r="I441" s="9"/>
      <c r="J441" s="9"/>
      <c r="K441" s="9"/>
      <c r="L441" s="9"/>
      <c r="M441" s="223"/>
      <c r="N441" s="9"/>
      <c r="O441" s="9"/>
      <c r="P441" s="9"/>
      <c r="Q441" s="9"/>
      <c r="R441" s="9"/>
      <c r="S441" s="223"/>
      <c r="T441" s="223"/>
      <c r="U441" s="223"/>
      <c r="V441" s="9"/>
      <c r="W441" s="9"/>
      <c r="X441" s="9"/>
      <c r="Y441" s="204"/>
      <c r="Z441" s="9"/>
      <c r="AA441" s="9"/>
      <c r="AB441" s="9"/>
      <c r="AC441" s="9"/>
    </row>
    <row r="442" ht="15.75" customHeight="1">
      <c r="A442" s="9"/>
      <c r="B442" s="9"/>
      <c r="C442" s="9"/>
      <c r="D442" s="9"/>
      <c r="E442" s="9"/>
      <c r="F442" s="9"/>
      <c r="G442" s="9"/>
      <c r="H442" s="9"/>
      <c r="I442" s="9"/>
      <c r="J442" s="9"/>
      <c r="K442" s="9"/>
      <c r="L442" s="9"/>
      <c r="M442" s="223"/>
      <c r="N442" s="9"/>
      <c r="O442" s="9"/>
      <c r="P442" s="9"/>
      <c r="Q442" s="9"/>
      <c r="R442" s="9"/>
      <c r="S442" s="223"/>
      <c r="T442" s="223"/>
      <c r="U442" s="223"/>
      <c r="V442" s="9"/>
      <c r="W442" s="9"/>
      <c r="X442" s="9"/>
      <c r="Y442" s="204"/>
      <c r="Z442" s="9"/>
      <c r="AA442" s="9"/>
      <c r="AB442" s="9"/>
      <c r="AC442" s="9"/>
    </row>
    <row r="443" ht="15.75" customHeight="1">
      <c r="A443" s="9"/>
      <c r="B443" s="9"/>
      <c r="C443" s="9"/>
      <c r="D443" s="9"/>
      <c r="E443" s="9"/>
      <c r="F443" s="9"/>
      <c r="G443" s="9"/>
      <c r="H443" s="9"/>
      <c r="I443" s="9"/>
      <c r="J443" s="9"/>
      <c r="K443" s="9"/>
      <c r="L443" s="9"/>
      <c r="M443" s="223"/>
      <c r="N443" s="9"/>
      <c r="O443" s="9"/>
      <c r="P443" s="9"/>
      <c r="Q443" s="9"/>
      <c r="R443" s="9"/>
      <c r="S443" s="223"/>
      <c r="T443" s="223"/>
      <c r="U443" s="223"/>
      <c r="V443" s="9"/>
      <c r="W443" s="9"/>
      <c r="X443" s="9"/>
      <c r="Y443" s="204"/>
      <c r="Z443" s="9"/>
      <c r="AA443" s="9"/>
      <c r="AB443" s="9"/>
      <c r="AC443" s="9"/>
    </row>
    <row r="444" ht="15.75" customHeight="1">
      <c r="A444" s="9"/>
      <c r="B444" s="9"/>
      <c r="C444" s="9"/>
      <c r="D444" s="9"/>
      <c r="E444" s="9"/>
      <c r="F444" s="9"/>
      <c r="G444" s="9"/>
      <c r="H444" s="9"/>
      <c r="I444" s="9"/>
      <c r="J444" s="9"/>
      <c r="K444" s="9"/>
      <c r="L444" s="9"/>
      <c r="M444" s="223"/>
      <c r="N444" s="9"/>
      <c r="O444" s="9"/>
      <c r="P444" s="9"/>
      <c r="Q444" s="9"/>
      <c r="R444" s="9"/>
      <c r="S444" s="223"/>
      <c r="T444" s="223"/>
      <c r="U444" s="223"/>
      <c r="V444" s="9"/>
      <c r="W444" s="9"/>
      <c r="X444" s="9"/>
      <c r="Y444" s="204"/>
      <c r="Z444" s="9"/>
      <c r="AA444" s="9"/>
      <c r="AB444" s="9"/>
      <c r="AC444" s="9"/>
    </row>
    <row r="445" ht="15.75" customHeight="1">
      <c r="A445" s="9"/>
      <c r="B445" s="9"/>
      <c r="C445" s="9"/>
      <c r="D445" s="9"/>
      <c r="E445" s="9"/>
      <c r="F445" s="9"/>
      <c r="G445" s="9"/>
      <c r="H445" s="9"/>
      <c r="I445" s="9"/>
      <c r="J445" s="9"/>
      <c r="K445" s="9"/>
      <c r="L445" s="9"/>
      <c r="M445" s="223"/>
      <c r="N445" s="9"/>
      <c r="O445" s="9"/>
      <c r="P445" s="9"/>
      <c r="Q445" s="9"/>
      <c r="R445" s="9"/>
      <c r="S445" s="223"/>
      <c r="T445" s="223"/>
      <c r="U445" s="223"/>
      <c r="V445" s="9"/>
      <c r="W445" s="9"/>
      <c r="X445" s="9"/>
      <c r="Y445" s="204"/>
      <c r="Z445" s="9"/>
      <c r="AA445" s="9"/>
      <c r="AB445" s="9"/>
      <c r="AC445" s="9"/>
    </row>
    <row r="446" ht="15.75" customHeight="1">
      <c r="A446" s="9"/>
      <c r="B446" s="9"/>
      <c r="C446" s="9"/>
      <c r="D446" s="9"/>
      <c r="E446" s="9"/>
      <c r="F446" s="9"/>
      <c r="G446" s="9"/>
      <c r="H446" s="9"/>
      <c r="I446" s="9"/>
      <c r="J446" s="9"/>
      <c r="K446" s="9"/>
      <c r="L446" s="9"/>
      <c r="M446" s="223"/>
      <c r="N446" s="9"/>
      <c r="O446" s="9"/>
      <c r="P446" s="9"/>
      <c r="Q446" s="9"/>
      <c r="R446" s="9"/>
      <c r="S446" s="223"/>
      <c r="T446" s="223"/>
      <c r="U446" s="223"/>
      <c r="V446" s="9"/>
      <c r="W446" s="9"/>
      <c r="X446" s="9"/>
      <c r="Y446" s="204"/>
      <c r="Z446" s="9"/>
      <c r="AA446" s="9"/>
      <c r="AB446" s="9"/>
      <c r="AC446" s="9"/>
    </row>
    <row r="447" ht="15.75" customHeight="1">
      <c r="A447" s="9"/>
      <c r="B447" s="9"/>
      <c r="C447" s="9"/>
      <c r="D447" s="9"/>
      <c r="E447" s="9"/>
      <c r="F447" s="9"/>
      <c r="G447" s="9"/>
      <c r="H447" s="9"/>
      <c r="I447" s="9"/>
      <c r="J447" s="9"/>
      <c r="K447" s="9"/>
      <c r="L447" s="9"/>
      <c r="M447" s="223"/>
      <c r="N447" s="9"/>
      <c r="O447" s="9"/>
      <c r="P447" s="9"/>
      <c r="Q447" s="9"/>
      <c r="R447" s="9"/>
      <c r="S447" s="223"/>
      <c r="T447" s="223"/>
      <c r="U447" s="223"/>
      <c r="V447" s="9"/>
      <c r="W447" s="9"/>
      <c r="X447" s="9"/>
      <c r="Y447" s="204"/>
      <c r="Z447" s="9"/>
      <c r="AA447" s="9"/>
      <c r="AB447" s="9"/>
      <c r="AC447" s="9"/>
    </row>
    <row r="448" ht="15.75" customHeight="1">
      <c r="A448" s="9"/>
      <c r="B448" s="9"/>
      <c r="C448" s="9"/>
      <c r="D448" s="9"/>
      <c r="E448" s="9"/>
      <c r="F448" s="9"/>
      <c r="G448" s="9"/>
      <c r="H448" s="9"/>
      <c r="I448" s="9"/>
      <c r="J448" s="9"/>
      <c r="K448" s="9"/>
      <c r="L448" s="9"/>
      <c r="M448" s="223"/>
      <c r="N448" s="9"/>
      <c r="O448" s="9"/>
      <c r="P448" s="9"/>
      <c r="Q448" s="9"/>
      <c r="R448" s="9"/>
      <c r="S448" s="223"/>
      <c r="T448" s="223"/>
      <c r="U448" s="223"/>
      <c r="V448" s="9"/>
      <c r="W448" s="9"/>
      <c r="X448" s="9"/>
      <c r="Y448" s="204"/>
      <c r="Z448" s="9"/>
      <c r="AA448" s="9"/>
      <c r="AB448" s="9"/>
      <c r="AC448" s="9"/>
    </row>
    <row r="449" ht="15.75" customHeight="1">
      <c r="A449" s="9"/>
      <c r="B449" s="9"/>
      <c r="C449" s="9"/>
      <c r="D449" s="9"/>
      <c r="E449" s="9"/>
      <c r="F449" s="9"/>
      <c r="G449" s="9"/>
      <c r="H449" s="9"/>
      <c r="I449" s="9"/>
      <c r="J449" s="9"/>
      <c r="K449" s="9"/>
      <c r="L449" s="9"/>
      <c r="M449" s="223"/>
      <c r="N449" s="9"/>
      <c r="O449" s="9"/>
      <c r="P449" s="9"/>
      <c r="Q449" s="9"/>
      <c r="R449" s="9"/>
      <c r="S449" s="223"/>
      <c r="T449" s="223"/>
      <c r="U449" s="223"/>
      <c r="V449" s="9"/>
      <c r="W449" s="9"/>
      <c r="X449" s="9"/>
      <c r="Y449" s="204"/>
      <c r="Z449" s="9"/>
      <c r="AA449" s="9"/>
      <c r="AB449" s="9"/>
      <c r="AC449" s="9"/>
    </row>
    <row r="450" ht="15.75" customHeight="1">
      <c r="A450" s="9"/>
      <c r="B450" s="9"/>
      <c r="C450" s="9"/>
      <c r="D450" s="9"/>
      <c r="E450" s="9"/>
      <c r="F450" s="9"/>
      <c r="G450" s="9"/>
      <c r="H450" s="9"/>
      <c r="I450" s="9"/>
      <c r="J450" s="9"/>
      <c r="K450" s="9"/>
      <c r="L450" s="9"/>
      <c r="M450" s="223"/>
      <c r="N450" s="9"/>
      <c r="O450" s="9"/>
      <c r="P450" s="9"/>
      <c r="Q450" s="9"/>
      <c r="R450" s="9"/>
      <c r="S450" s="223"/>
      <c r="T450" s="223"/>
      <c r="U450" s="223"/>
      <c r="V450" s="9"/>
      <c r="W450" s="9"/>
      <c r="X450" s="9"/>
      <c r="Y450" s="204"/>
      <c r="Z450" s="9"/>
      <c r="AA450" s="9"/>
      <c r="AB450" s="9"/>
      <c r="AC450" s="9"/>
    </row>
    <row r="451" ht="15.75" customHeight="1">
      <c r="A451" s="9"/>
      <c r="B451" s="9"/>
      <c r="C451" s="9"/>
      <c r="D451" s="9"/>
      <c r="E451" s="9"/>
      <c r="F451" s="9"/>
      <c r="G451" s="9"/>
      <c r="H451" s="9"/>
      <c r="I451" s="9"/>
      <c r="J451" s="9"/>
      <c r="K451" s="9"/>
      <c r="L451" s="9"/>
      <c r="M451" s="223"/>
      <c r="N451" s="9"/>
      <c r="O451" s="9"/>
      <c r="P451" s="9"/>
      <c r="Q451" s="9"/>
      <c r="R451" s="9"/>
      <c r="S451" s="223"/>
      <c r="T451" s="223"/>
      <c r="U451" s="223"/>
      <c r="V451" s="9"/>
      <c r="W451" s="9"/>
      <c r="X451" s="9"/>
      <c r="Y451" s="204"/>
      <c r="Z451" s="9"/>
      <c r="AA451" s="9"/>
      <c r="AB451" s="9"/>
      <c r="AC451" s="9"/>
    </row>
    <row r="452" ht="15.75" customHeight="1">
      <c r="A452" s="9"/>
      <c r="B452" s="9"/>
      <c r="C452" s="9"/>
      <c r="D452" s="9"/>
      <c r="E452" s="9"/>
      <c r="F452" s="9"/>
      <c r="G452" s="9"/>
      <c r="H452" s="9"/>
      <c r="I452" s="9"/>
      <c r="J452" s="9"/>
      <c r="K452" s="9"/>
      <c r="L452" s="9"/>
      <c r="M452" s="223"/>
      <c r="N452" s="9"/>
      <c r="O452" s="9"/>
      <c r="P452" s="9"/>
      <c r="Q452" s="9"/>
      <c r="R452" s="9"/>
      <c r="S452" s="223"/>
      <c r="T452" s="223"/>
      <c r="U452" s="223"/>
      <c r="V452" s="9"/>
      <c r="W452" s="9"/>
      <c r="X452" s="9"/>
      <c r="Y452" s="204"/>
      <c r="Z452" s="9"/>
      <c r="AA452" s="9"/>
      <c r="AB452" s="9"/>
      <c r="AC452" s="9"/>
    </row>
    <row r="453" ht="15.75" customHeight="1">
      <c r="A453" s="9"/>
      <c r="B453" s="9"/>
      <c r="C453" s="9"/>
      <c r="D453" s="9"/>
      <c r="E453" s="9"/>
      <c r="F453" s="9"/>
      <c r="G453" s="9"/>
      <c r="H453" s="9"/>
      <c r="I453" s="9"/>
      <c r="J453" s="9"/>
      <c r="K453" s="9"/>
      <c r="L453" s="9"/>
      <c r="M453" s="223"/>
      <c r="N453" s="9"/>
      <c r="O453" s="9"/>
      <c r="P453" s="9"/>
      <c r="Q453" s="9"/>
      <c r="R453" s="9"/>
      <c r="S453" s="223"/>
      <c r="T453" s="223"/>
      <c r="U453" s="223"/>
      <c r="V453" s="9"/>
      <c r="W453" s="9"/>
      <c r="X453" s="9"/>
      <c r="Y453" s="204"/>
      <c r="Z453" s="9"/>
      <c r="AA453" s="9"/>
      <c r="AB453" s="9"/>
      <c r="AC453" s="9"/>
    </row>
    <row r="454" ht="15.75" customHeight="1">
      <c r="A454" s="9"/>
      <c r="B454" s="9"/>
      <c r="C454" s="9"/>
      <c r="D454" s="9"/>
      <c r="E454" s="9"/>
      <c r="F454" s="9"/>
      <c r="G454" s="9"/>
      <c r="H454" s="9"/>
      <c r="I454" s="9"/>
      <c r="J454" s="9"/>
      <c r="K454" s="9"/>
      <c r="L454" s="9"/>
      <c r="M454" s="223"/>
      <c r="N454" s="9"/>
      <c r="O454" s="9"/>
      <c r="P454" s="9"/>
      <c r="Q454" s="9"/>
      <c r="R454" s="9"/>
      <c r="S454" s="223"/>
      <c r="T454" s="223"/>
      <c r="U454" s="223"/>
      <c r="V454" s="9"/>
      <c r="W454" s="9"/>
      <c r="X454" s="9"/>
      <c r="Y454" s="204"/>
      <c r="Z454" s="9"/>
      <c r="AA454" s="9"/>
      <c r="AB454" s="9"/>
      <c r="AC454" s="9"/>
    </row>
    <row r="455" ht="15.75" customHeight="1">
      <c r="A455" s="9"/>
      <c r="B455" s="9"/>
      <c r="C455" s="9"/>
      <c r="D455" s="9"/>
      <c r="E455" s="9"/>
      <c r="F455" s="9"/>
      <c r="G455" s="9"/>
      <c r="H455" s="9"/>
      <c r="I455" s="9"/>
      <c r="J455" s="9"/>
      <c r="K455" s="9"/>
      <c r="L455" s="9"/>
      <c r="M455" s="223"/>
      <c r="N455" s="9"/>
      <c r="O455" s="9"/>
      <c r="P455" s="9"/>
      <c r="Q455" s="9"/>
      <c r="R455" s="9"/>
      <c r="S455" s="223"/>
      <c r="T455" s="223"/>
      <c r="U455" s="223"/>
      <c r="V455" s="9"/>
      <c r="W455" s="9"/>
      <c r="X455" s="9"/>
      <c r="Y455" s="204"/>
      <c r="Z455" s="9"/>
      <c r="AA455" s="9"/>
      <c r="AB455" s="9"/>
      <c r="AC455" s="9"/>
    </row>
    <row r="456" ht="15.75" customHeight="1">
      <c r="A456" s="9"/>
      <c r="B456" s="9"/>
      <c r="C456" s="9"/>
      <c r="D456" s="9"/>
      <c r="E456" s="9"/>
      <c r="F456" s="9"/>
      <c r="G456" s="9"/>
      <c r="H456" s="9"/>
      <c r="I456" s="9"/>
      <c r="J456" s="9"/>
      <c r="K456" s="9"/>
      <c r="L456" s="9"/>
      <c r="M456" s="223"/>
      <c r="N456" s="9"/>
      <c r="O456" s="9"/>
      <c r="P456" s="9"/>
      <c r="Q456" s="9"/>
      <c r="R456" s="9"/>
      <c r="S456" s="223"/>
      <c r="T456" s="223"/>
      <c r="U456" s="223"/>
      <c r="V456" s="9"/>
      <c r="W456" s="9"/>
      <c r="X456" s="9"/>
      <c r="Y456" s="204"/>
      <c r="Z456" s="9"/>
      <c r="AA456" s="9"/>
      <c r="AB456" s="9"/>
      <c r="AC456" s="9"/>
    </row>
    <row r="457" ht="15.75" customHeight="1">
      <c r="A457" s="9"/>
      <c r="B457" s="9"/>
      <c r="C457" s="9"/>
      <c r="D457" s="9"/>
      <c r="E457" s="9"/>
      <c r="F457" s="9"/>
      <c r="G457" s="9"/>
      <c r="H457" s="9"/>
      <c r="I457" s="9"/>
      <c r="J457" s="9"/>
      <c r="K457" s="9"/>
      <c r="L457" s="9"/>
      <c r="M457" s="223"/>
      <c r="N457" s="9"/>
      <c r="O457" s="9"/>
      <c r="P457" s="9"/>
      <c r="Q457" s="9"/>
      <c r="R457" s="9"/>
      <c r="S457" s="223"/>
      <c r="T457" s="223"/>
      <c r="U457" s="223"/>
      <c r="V457" s="9"/>
      <c r="W457" s="9"/>
      <c r="X457" s="9"/>
      <c r="Y457" s="204"/>
      <c r="Z457" s="9"/>
      <c r="AA457" s="9"/>
      <c r="AB457" s="9"/>
      <c r="AC457" s="9"/>
    </row>
    <row r="458" ht="15.75" customHeight="1">
      <c r="A458" s="9"/>
      <c r="B458" s="9"/>
      <c r="C458" s="9"/>
      <c r="D458" s="9"/>
      <c r="E458" s="9"/>
      <c r="F458" s="9"/>
      <c r="G458" s="9"/>
      <c r="H458" s="9"/>
      <c r="I458" s="9"/>
      <c r="J458" s="9"/>
      <c r="K458" s="9"/>
      <c r="L458" s="9"/>
      <c r="M458" s="223"/>
      <c r="N458" s="9"/>
      <c r="O458" s="9"/>
      <c r="P458" s="9"/>
      <c r="Q458" s="9"/>
      <c r="R458" s="9"/>
      <c r="S458" s="223"/>
      <c r="T458" s="223"/>
      <c r="U458" s="223"/>
      <c r="V458" s="9"/>
      <c r="W458" s="9"/>
      <c r="X458" s="9"/>
      <c r="Y458" s="204"/>
      <c r="Z458" s="9"/>
      <c r="AA458" s="9"/>
      <c r="AB458" s="9"/>
      <c r="AC458" s="9"/>
    </row>
    <row r="459" ht="15.75" customHeight="1">
      <c r="A459" s="9"/>
      <c r="B459" s="9"/>
      <c r="C459" s="9"/>
      <c r="D459" s="9"/>
      <c r="E459" s="9"/>
      <c r="F459" s="9"/>
      <c r="G459" s="9"/>
      <c r="H459" s="9"/>
      <c r="I459" s="9"/>
      <c r="J459" s="9"/>
      <c r="K459" s="9"/>
      <c r="L459" s="9"/>
      <c r="M459" s="223"/>
      <c r="N459" s="9"/>
      <c r="O459" s="9"/>
      <c r="P459" s="9"/>
      <c r="Q459" s="9"/>
      <c r="R459" s="9"/>
      <c r="S459" s="223"/>
      <c r="T459" s="223"/>
      <c r="U459" s="223"/>
      <c r="V459" s="9"/>
      <c r="W459" s="9"/>
      <c r="X459" s="9"/>
      <c r="Y459" s="204"/>
      <c r="Z459" s="9"/>
      <c r="AA459" s="9"/>
      <c r="AB459" s="9"/>
      <c r="AC459" s="9"/>
    </row>
    <row r="460" ht="15.75" customHeight="1">
      <c r="A460" s="9"/>
      <c r="B460" s="9"/>
      <c r="C460" s="9"/>
      <c r="D460" s="9"/>
      <c r="E460" s="9"/>
      <c r="F460" s="9"/>
      <c r="G460" s="9"/>
      <c r="H460" s="9"/>
      <c r="I460" s="9"/>
      <c r="J460" s="9"/>
      <c r="K460" s="9"/>
      <c r="L460" s="9"/>
      <c r="M460" s="223"/>
      <c r="N460" s="9"/>
      <c r="O460" s="9"/>
      <c r="P460" s="9"/>
      <c r="Q460" s="9"/>
      <c r="R460" s="9"/>
      <c r="S460" s="223"/>
      <c r="T460" s="223"/>
      <c r="U460" s="223"/>
      <c r="V460" s="9"/>
      <c r="W460" s="9"/>
      <c r="X460" s="9"/>
      <c r="Y460" s="204"/>
      <c r="Z460" s="9"/>
      <c r="AA460" s="9"/>
      <c r="AB460" s="9"/>
      <c r="AC460" s="9"/>
    </row>
    <row r="461" ht="15.75" customHeight="1">
      <c r="A461" s="9"/>
      <c r="B461" s="9"/>
      <c r="C461" s="9"/>
      <c r="D461" s="9"/>
      <c r="E461" s="9"/>
      <c r="F461" s="9"/>
      <c r="G461" s="9"/>
      <c r="H461" s="9"/>
      <c r="I461" s="9"/>
      <c r="J461" s="9"/>
      <c r="K461" s="9"/>
      <c r="L461" s="9"/>
      <c r="M461" s="223"/>
      <c r="N461" s="9"/>
      <c r="O461" s="9"/>
      <c r="P461" s="9"/>
      <c r="Q461" s="9"/>
      <c r="R461" s="9"/>
      <c r="S461" s="223"/>
      <c r="T461" s="223"/>
      <c r="U461" s="223"/>
      <c r="V461" s="9"/>
      <c r="W461" s="9"/>
      <c r="X461" s="9"/>
      <c r="Y461" s="204"/>
      <c r="Z461" s="9"/>
      <c r="AA461" s="9"/>
      <c r="AB461" s="9"/>
      <c r="AC461" s="9"/>
    </row>
    <row r="462" ht="15.75" customHeight="1">
      <c r="A462" s="9"/>
      <c r="B462" s="9"/>
      <c r="C462" s="9"/>
      <c r="D462" s="9"/>
      <c r="E462" s="9"/>
      <c r="F462" s="9"/>
      <c r="G462" s="9"/>
      <c r="H462" s="9"/>
      <c r="I462" s="9"/>
      <c r="J462" s="9"/>
      <c r="K462" s="9"/>
      <c r="L462" s="9"/>
      <c r="M462" s="223"/>
      <c r="N462" s="9"/>
      <c r="O462" s="9"/>
      <c r="P462" s="9"/>
      <c r="Q462" s="9"/>
      <c r="R462" s="9"/>
      <c r="S462" s="223"/>
      <c r="T462" s="223"/>
      <c r="U462" s="223"/>
      <c r="V462" s="9"/>
      <c r="W462" s="9"/>
      <c r="X462" s="9"/>
      <c r="Y462" s="204"/>
      <c r="Z462" s="9"/>
      <c r="AA462" s="9"/>
      <c r="AB462" s="9"/>
      <c r="AC462" s="9"/>
    </row>
    <row r="463" ht="15.75" customHeight="1">
      <c r="A463" s="9"/>
      <c r="B463" s="9"/>
      <c r="C463" s="9"/>
      <c r="D463" s="9"/>
      <c r="E463" s="9"/>
      <c r="F463" s="9"/>
      <c r="G463" s="9"/>
      <c r="H463" s="9"/>
      <c r="I463" s="9"/>
      <c r="J463" s="9"/>
      <c r="K463" s="9"/>
      <c r="L463" s="9"/>
      <c r="M463" s="223"/>
      <c r="N463" s="9"/>
      <c r="O463" s="9"/>
      <c r="P463" s="9"/>
      <c r="Q463" s="9"/>
      <c r="R463" s="9"/>
      <c r="S463" s="223"/>
      <c r="T463" s="223"/>
      <c r="U463" s="223"/>
      <c r="V463" s="9"/>
      <c r="W463" s="9"/>
      <c r="X463" s="9"/>
      <c r="Y463" s="204"/>
      <c r="Z463" s="9"/>
      <c r="AA463" s="9"/>
      <c r="AB463" s="9"/>
      <c r="AC463" s="9"/>
    </row>
    <row r="464" ht="15.75" customHeight="1">
      <c r="A464" s="9"/>
      <c r="B464" s="9"/>
      <c r="C464" s="9"/>
      <c r="D464" s="9"/>
      <c r="E464" s="9"/>
      <c r="F464" s="9"/>
      <c r="G464" s="9"/>
      <c r="H464" s="9"/>
      <c r="I464" s="9"/>
      <c r="J464" s="9"/>
      <c r="K464" s="9"/>
      <c r="L464" s="9"/>
      <c r="M464" s="223"/>
      <c r="N464" s="9"/>
      <c r="O464" s="9"/>
      <c r="P464" s="9"/>
      <c r="Q464" s="9"/>
      <c r="R464" s="9"/>
      <c r="S464" s="223"/>
      <c r="T464" s="223"/>
      <c r="U464" s="223"/>
      <c r="V464" s="9"/>
      <c r="W464" s="9"/>
      <c r="X464" s="9"/>
      <c r="Y464" s="204"/>
      <c r="Z464" s="9"/>
      <c r="AA464" s="9"/>
      <c r="AB464" s="9"/>
      <c r="AC464" s="9"/>
    </row>
    <row r="465" ht="15.75" customHeight="1">
      <c r="A465" s="9"/>
      <c r="B465" s="9"/>
      <c r="C465" s="9"/>
      <c r="D465" s="9"/>
      <c r="E465" s="9"/>
      <c r="F465" s="9"/>
      <c r="G465" s="9"/>
      <c r="H465" s="9"/>
      <c r="I465" s="9"/>
      <c r="J465" s="9"/>
      <c r="K465" s="9"/>
      <c r="L465" s="9"/>
      <c r="M465" s="223"/>
      <c r="N465" s="9"/>
      <c r="O465" s="9"/>
      <c r="P465" s="9"/>
      <c r="Q465" s="9"/>
      <c r="R465" s="9"/>
      <c r="S465" s="223"/>
      <c r="T465" s="223"/>
      <c r="U465" s="223"/>
      <c r="V465" s="9"/>
      <c r="W465" s="9"/>
      <c r="X465" s="9"/>
      <c r="Y465" s="204"/>
      <c r="Z465" s="9"/>
      <c r="AA465" s="9"/>
      <c r="AB465" s="9"/>
      <c r="AC465" s="9"/>
    </row>
    <row r="466" ht="15.75" customHeight="1">
      <c r="A466" s="9"/>
      <c r="B466" s="9"/>
      <c r="C466" s="9"/>
      <c r="D466" s="9"/>
      <c r="E466" s="9"/>
      <c r="F466" s="9"/>
      <c r="G466" s="9"/>
      <c r="H466" s="9"/>
      <c r="I466" s="9"/>
      <c r="J466" s="9"/>
      <c r="K466" s="9"/>
      <c r="L466" s="9"/>
      <c r="M466" s="223"/>
      <c r="N466" s="9"/>
      <c r="O466" s="9"/>
      <c r="P466" s="9"/>
      <c r="Q466" s="9"/>
      <c r="R466" s="9"/>
      <c r="S466" s="223"/>
      <c r="T466" s="223"/>
      <c r="U466" s="223"/>
      <c r="V466" s="9"/>
      <c r="W466" s="9"/>
      <c r="X466" s="9"/>
      <c r="Y466" s="204"/>
      <c r="Z466" s="9"/>
      <c r="AA466" s="9"/>
      <c r="AB466" s="9"/>
      <c r="AC466" s="9"/>
    </row>
    <row r="467" ht="15.75" customHeight="1">
      <c r="A467" s="9"/>
      <c r="B467" s="9"/>
      <c r="C467" s="9"/>
      <c r="D467" s="9"/>
      <c r="E467" s="9"/>
      <c r="F467" s="9"/>
      <c r="G467" s="9"/>
      <c r="H467" s="9"/>
      <c r="I467" s="9"/>
      <c r="J467" s="9"/>
      <c r="K467" s="9"/>
      <c r="L467" s="9"/>
      <c r="M467" s="223"/>
      <c r="N467" s="9"/>
      <c r="O467" s="9"/>
      <c r="P467" s="9"/>
      <c r="Q467" s="9"/>
      <c r="R467" s="9"/>
      <c r="S467" s="223"/>
      <c r="T467" s="223"/>
      <c r="U467" s="223"/>
      <c r="V467" s="9"/>
      <c r="W467" s="9"/>
      <c r="X467" s="9"/>
      <c r="Y467" s="204"/>
      <c r="Z467" s="9"/>
      <c r="AA467" s="9"/>
      <c r="AB467" s="9"/>
      <c r="AC467" s="9"/>
    </row>
    <row r="468" ht="15.75" customHeight="1">
      <c r="A468" s="9"/>
      <c r="B468" s="9"/>
      <c r="C468" s="9"/>
      <c r="D468" s="9"/>
      <c r="E468" s="9"/>
      <c r="F468" s="9"/>
      <c r="G468" s="9"/>
      <c r="H468" s="9"/>
      <c r="I468" s="9"/>
      <c r="J468" s="9"/>
      <c r="K468" s="9"/>
      <c r="L468" s="9"/>
      <c r="M468" s="223"/>
      <c r="N468" s="9"/>
      <c r="O468" s="9"/>
      <c r="P468" s="9"/>
      <c r="Q468" s="9"/>
      <c r="R468" s="9"/>
      <c r="S468" s="223"/>
      <c r="T468" s="223"/>
      <c r="U468" s="223"/>
      <c r="V468" s="9"/>
      <c r="W468" s="9"/>
      <c r="X468" s="9"/>
      <c r="Y468" s="204"/>
      <c r="Z468" s="9"/>
      <c r="AA468" s="9"/>
      <c r="AB468" s="9"/>
      <c r="AC468" s="9"/>
    </row>
    <row r="469" ht="15.75" customHeight="1">
      <c r="A469" s="9"/>
      <c r="B469" s="9"/>
      <c r="C469" s="9"/>
      <c r="D469" s="9"/>
      <c r="E469" s="9"/>
      <c r="F469" s="9"/>
      <c r="G469" s="9"/>
      <c r="H469" s="9"/>
      <c r="I469" s="9"/>
      <c r="J469" s="9"/>
      <c r="K469" s="9"/>
      <c r="L469" s="9"/>
      <c r="M469" s="223"/>
      <c r="N469" s="9"/>
      <c r="O469" s="9"/>
      <c r="P469" s="9"/>
      <c r="Q469" s="9"/>
      <c r="R469" s="9"/>
      <c r="S469" s="223"/>
      <c r="T469" s="223"/>
      <c r="U469" s="223"/>
      <c r="V469" s="9"/>
      <c r="W469" s="9"/>
      <c r="X469" s="9"/>
      <c r="Y469" s="204"/>
      <c r="Z469" s="9"/>
      <c r="AA469" s="9"/>
      <c r="AB469" s="9"/>
      <c r="AC469" s="9"/>
    </row>
    <row r="470" ht="15.75" customHeight="1">
      <c r="A470" s="9"/>
      <c r="B470" s="9"/>
      <c r="C470" s="9"/>
      <c r="D470" s="9"/>
      <c r="E470" s="9"/>
      <c r="F470" s="9"/>
      <c r="G470" s="9"/>
      <c r="H470" s="9"/>
      <c r="I470" s="9"/>
      <c r="J470" s="9"/>
      <c r="K470" s="9"/>
      <c r="L470" s="9"/>
      <c r="M470" s="223"/>
      <c r="N470" s="9"/>
      <c r="O470" s="9"/>
      <c r="P470" s="9"/>
      <c r="Q470" s="9"/>
      <c r="R470" s="9"/>
      <c r="S470" s="223"/>
      <c r="T470" s="223"/>
      <c r="U470" s="223"/>
      <c r="V470" s="9"/>
      <c r="W470" s="9"/>
      <c r="X470" s="9"/>
      <c r="Y470" s="204"/>
      <c r="Z470" s="9"/>
      <c r="AA470" s="9"/>
      <c r="AB470" s="9"/>
      <c r="AC470" s="9"/>
    </row>
    <row r="471" ht="15.75" customHeight="1">
      <c r="A471" s="9"/>
      <c r="B471" s="9"/>
      <c r="C471" s="9"/>
      <c r="D471" s="9"/>
      <c r="E471" s="9"/>
      <c r="F471" s="9"/>
      <c r="G471" s="9"/>
      <c r="H471" s="9"/>
      <c r="I471" s="9"/>
      <c r="J471" s="9"/>
      <c r="K471" s="9"/>
      <c r="L471" s="9"/>
      <c r="M471" s="223"/>
      <c r="N471" s="9"/>
      <c r="O471" s="9"/>
      <c r="P471" s="9"/>
      <c r="Q471" s="9"/>
      <c r="R471" s="9"/>
      <c r="S471" s="223"/>
      <c r="T471" s="223"/>
      <c r="U471" s="223"/>
      <c r="V471" s="9"/>
      <c r="W471" s="9"/>
      <c r="X471" s="9"/>
      <c r="Y471" s="204"/>
      <c r="Z471" s="9"/>
      <c r="AA471" s="9"/>
      <c r="AB471" s="9"/>
      <c r="AC471" s="9"/>
    </row>
    <row r="472" ht="15.75" customHeight="1">
      <c r="A472" s="9"/>
      <c r="B472" s="9"/>
      <c r="C472" s="9"/>
      <c r="D472" s="9"/>
      <c r="E472" s="9"/>
      <c r="F472" s="9"/>
      <c r="G472" s="9"/>
      <c r="H472" s="9"/>
      <c r="I472" s="9"/>
      <c r="J472" s="9"/>
      <c r="K472" s="9"/>
      <c r="L472" s="9"/>
      <c r="M472" s="223"/>
      <c r="N472" s="9"/>
      <c r="O472" s="9"/>
      <c r="P472" s="9"/>
      <c r="Q472" s="9"/>
      <c r="R472" s="9"/>
      <c r="S472" s="223"/>
      <c r="T472" s="223"/>
      <c r="U472" s="223"/>
      <c r="V472" s="9"/>
      <c r="W472" s="9"/>
      <c r="X472" s="9"/>
      <c r="Y472" s="204"/>
      <c r="Z472" s="9"/>
      <c r="AA472" s="9"/>
      <c r="AB472" s="9"/>
      <c r="AC472" s="9"/>
    </row>
    <row r="473" ht="15.75" customHeight="1">
      <c r="A473" s="9"/>
      <c r="B473" s="9"/>
      <c r="C473" s="9"/>
      <c r="D473" s="9"/>
      <c r="E473" s="9"/>
      <c r="F473" s="9"/>
      <c r="G473" s="9"/>
      <c r="H473" s="9"/>
      <c r="I473" s="9"/>
      <c r="J473" s="9"/>
      <c r="K473" s="9"/>
      <c r="L473" s="9"/>
      <c r="M473" s="223"/>
      <c r="N473" s="9"/>
      <c r="O473" s="9"/>
      <c r="P473" s="9"/>
      <c r="Q473" s="9"/>
      <c r="R473" s="9"/>
      <c r="S473" s="223"/>
      <c r="T473" s="223"/>
      <c r="U473" s="223"/>
      <c r="V473" s="9"/>
      <c r="W473" s="9"/>
      <c r="X473" s="9"/>
      <c r="Y473" s="204"/>
      <c r="Z473" s="9"/>
      <c r="AA473" s="9"/>
      <c r="AB473" s="9"/>
      <c r="AC473" s="9"/>
    </row>
    <row r="474" ht="15.75" customHeight="1">
      <c r="A474" s="9"/>
      <c r="B474" s="9"/>
      <c r="C474" s="9"/>
      <c r="D474" s="9"/>
      <c r="E474" s="9"/>
      <c r="F474" s="9"/>
      <c r="G474" s="9"/>
      <c r="H474" s="9"/>
      <c r="I474" s="9"/>
      <c r="J474" s="9"/>
      <c r="K474" s="9"/>
      <c r="L474" s="9"/>
      <c r="M474" s="223"/>
      <c r="N474" s="9"/>
      <c r="O474" s="9"/>
      <c r="P474" s="9"/>
      <c r="Q474" s="9"/>
      <c r="R474" s="9"/>
      <c r="S474" s="223"/>
      <c r="T474" s="223"/>
      <c r="U474" s="223"/>
      <c r="V474" s="9"/>
      <c r="W474" s="9"/>
      <c r="X474" s="9"/>
      <c r="Y474" s="204"/>
      <c r="Z474" s="9"/>
      <c r="AA474" s="9"/>
      <c r="AB474" s="9"/>
      <c r="AC474" s="9"/>
    </row>
    <row r="475" ht="15.75" customHeight="1">
      <c r="A475" s="9"/>
      <c r="B475" s="9"/>
      <c r="C475" s="9"/>
      <c r="D475" s="9"/>
      <c r="E475" s="9"/>
      <c r="F475" s="9"/>
      <c r="G475" s="9"/>
      <c r="H475" s="9"/>
      <c r="I475" s="9"/>
      <c r="J475" s="9"/>
      <c r="K475" s="9"/>
      <c r="L475" s="9"/>
      <c r="M475" s="223"/>
      <c r="N475" s="9"/>
      <c r="O475" s="9"/>
      <c r="P475" s="9"/>
      <c r="Q475" s="9"/>
      <c r="R475" s="9"/>
      <c r="S475" s="223"/>
      <c r="T475" s="223"/>
      <c r="U475" s="223"/>
      <c r="V475" s="9"/>
      <c r="W475" s="9"/>
      <c r="X475" s="9"/>
      <c r="Y475" s="204"/>
      <c r="Z475" s="9"/>
      <c r="AA475" s="9"/>
      <c r="AB475" s="9"/>
      <c r="AC475" s="9"/>
    </row>
    <row r="476" ht="15.75" customHeight="1">
      <c r="A476" s="9"/>
      <c r="B476" s="9"/>
      <c r="C476" s="9"/>
      <c r="D476" s="9"/>
      <c r="E476" s="9"/>
      <c r="F476" s="9"/>
      <c r="G476" s="9"/>
      <c r="H476" s="9"/>
      <c r="I476" s="9"/>
      <c r="J476" s="9"/>
      <c r="K476" s="9"/>
      <c r="L476" s="9"/>
      <c r="M476" s="223"/>
      <c r="N476" s="9"/>
      <c r="O476" s="9"/>
      <c r="P476" s="9"/>
      <c r="Q476" s="9"/>
      <c r="R476" s="9"/>
      <c r="S476" s="223"/>
      <c r="T476" s="223"/>
      <c r="U476" s="223"/>
      <c r="V476" s="9"/>
      <c r="W476" s="9"/>
      <c r="X476" s="9"/>
      <c r="Y476" s="204"/>
      <c r="Z476" s="9"/>
      <c r="AA476" s="9"/>
      <c r="AB476" s="9"/>
      <c r="AC476" s="9"/>
    </row>
    <row r="477" ht="15.75" customHeight="1">
      <c r="A477" s="9"/>
      <c r="B477" s="9"/>
      <c r="C477" s="9"/>
      <c r="D477" s="9"/>
      <c r="E477" s="9"/>
      <c r="F477" s="9"/>
      <c r="G477" s="9"/>
      <c r="H477" s="9"/>
      <c r="I477" s="9"/>
      <c r="J477" s="9"/>
      <c r="K477" s="9"/>
      <c r="L477" s="9"/>
      <c r="M477" s="223"/>
      <c r="N477" s="9"/>
      <c r="O477" s="9"/>
      <c r="P477" s="9"/>
      <c r="Q477" s="9"/>
      <c r="R477" s="9"/>
      <c r="S477" s="223"/>
      <c r="T477" s="223"/>
      <c r="U477" s="223"/>
      <c r="V477" s="9"/>
      <c r="W477" s="9"/>
      <c r="X477" s="9"/>
      <c r="Y477" s="204"/>
      <c r="Z477" s="9"/>
      <c r="AA477" s="9"/>
      <c r="AB477" s="9"/>
      <c r="AC477" s="9"/>
    </row>
    <row r="478" ht="15.75" customHeight="1">
      <c r="A478" s="9"/>
      <c r="B478" s="9"/>
      <c r="C478" s="9"/>
      <c r="D478" s="9"/>
      <c r="E478" s="9"/>
      <c r="F478" s="9"/>
      <c r="G478" s="9"/>
      <c r="H478" s="9"/>
      <c r="I478" s="9"/>
      <c r="J478" s="9"/>
      <c r="K478" s="9"/>
      <c r="L478" s="9"/>
      <c r="M478" s="223"/>
      <c r="N478" s="9"/>
      <c r="O478" s="9"/>
      <c r="P478" s="9"/>
      <c r="Q478" s="9"/>
      <c r="R478" s="9"/>
      <c r="S478" s="223"/>
      <c r="T478" s="223"/>
      <c r="U478" s="223"/>
      <c r="V478" s="9"/>
      <c r="W478" s="9"/>
      <c r="X478" s="9"/>
      <c r="Y478" s="204"/>
      <c r="Z478" s="9"/>
      <c r="AA478" s="9"/>
      <c r="AB478" s="9"/>
      <c r="AC478" s="9"/>
    </row>
    <row r="479" ht="15.75" customHeight="1">
      <c r="A479" s="9"/>
      <c r="B479" s="9"/>
      <c r="C479" s="9"/>
      <c r="D479" s="9"/>
      <c r="E479" s="9"/>
      <c r="F479" s="9"/>
      <c r="G479" s="9"/>
      <c r="H479" s="9"/>
      <c r="I479" s="9"/>
      <c r="J479" s="9"/>
      <c r="K479" s="9"/>
      <c r="L479" s="9"/>
      <c r="M479" s="223"/>
      <c r="N479" s="9"/>
      <c r="O479" s="9"/>
      <c r="P479" s="9"/>
      <c r="Q479" s="9"/>
      <c r="R479" s="9"/>
      <c r="S479" s="223"/>
      <c r="T479" s="223"/>
      <c r="U479" s="223"/>
      <c r="V479" s="9"/>
      <c r="W479" s="9"/>
      <c r="X479" s="9"/>
      <c r="Y479" s="204"/>
      <c r="Z479" s="9"/>
      <c r="AA479" s="9"/>
      <c r="AB479" s="9"/>
      <c r="AC479" s="9"/>
    </row>
    <row r="480" ht="15.75" customHeight="1">
      <c r="A480" s="9"/>
      <c r="B480" s="9"/>
      <c r="C480" s="9"/>
      <c r="D480" s="9"/>
      <c r="E480" s="9"/>
      <c r="F480" s="9"/>
      <c r="G480" s="9"/>
      <c r="H480" s="9"/>
      <c r="I480" s="9"/>
      <c r="J480" s="9"/>
      <c r="K480" s="9"/>
      <c r="L480" s="9"/>
      <c r="M480" s="223"/>
      <c r="N480" s="9"/>
      <c r="O480" s="9"/>
      <c r="P480" s="9"/>
      <c r="Q480" s="9"/>
      <c r="R480" s="9"/>
      <c r="S480" s="223"/>
      <c r="T480" s="223"/>
      <c r="U480" s="223"/>
      <c r="V480" s="9"/>
      <c r="W480" s="9"/>
      <c r="X480" s="9"/>
      <c r="Y480" s="204"/>
      <c r="Z480" s="9"/>
      <c r="AA480" s="9"/>
      <c r="AB480" s="9"/>
      <c r="AC480" s="9"/>
    </row>
    <row r="481" ht="15.75" customHeight="1">
      <c r="A481" s="9"/>
      <c r="B481" s="9"/>
      <c r="C481" s="9"/>
      <c r="D481" s="9"/>
      <c r="E481" s="9"/>
      <c r="F481" s="9"/>
      <c r="G481" s="9"/>
      <c r="H481" s="9"/>
      <c r="I481" s="9"/>
      <c r="J481" s="9"/>
      <c r="K481" s="9"/>
      <c r="L481" s="9"/>
      <c r="M481" s="223"/>
      <c r="N481" s="9"/>
      <c r="O481" s="9"/>
      <c r="P481" s="9"/>
      <c r="Q481" s="9"/>
      <c r="R481" s="9"/>
      <c r="S481" s="223"/>
      <c r="T481" s="223"/>
      <c r="U481" s="223"/>
      <c r="V481" s="9"/>
      <c r="W481" s="9"/>
      <c r="X481" s="9"/>
      <c r="Y481" s="204"/>
      <c r="Z481" s="9"/>
      <c r="AA481" s="9"/>
      <c r="AB481" s="9"/>
      <c r="AC481" s="9"/>
    </row>
    <row r="482" ht="15.75" customHeight="1">
      <c r="A482" s="9"/>
      <c r="B482" s="9"/>
      <c r="C482" s="9"/>
      <c r="D482" s="9"/>
      <c r="E482" s="9"/>
      <c r="F482" s="9"/>
      <c r="G482" s="9"/>
      <c r="H482" s="9"/>
      <c r="I482" s="9"/>
      <c r="J482" s="9"/>
      <c r="K482" s="9"/>
      <c r="L482" s="9"/>
      <c r="M482" s="223"/>
      <c r="N482" s="9"/>
      <c r="O482" s="9"/>
      <c r="P482" s="9"/>
      <c r="Q482" s="9"/>
      <c r="R482" s="9"/>
      <c r="S482" s="223"/>
      <c r="T482" s="223"/>
      <c r="U482" s="223"/>
      <c r="V482" s="9"/>
      <c r="W482" s="9"/>
      <c r="X482" s="9"/>
      <c r="Y482" s="204"/>
      <c r="Z482" s="9"/>
      <c r="AA482" s="9"/>
      <c r="AB482" s="9"/>
      <c r="AC482" s="9"/>
    </row>
    <row r="483" ht="15.75" customHeight="1">
      <c r="A483" s="9"/>
      <c r="B483" s="9"/>
      <c r="C483" s="9"/>
      <c r="D483" s="9"/>
      <c r="E483" s="9"/>
      <c r="F483" s="9"/>
      <c r="G483" s="9"/>
      <c r="H483" s="9"/>
      <c r="I483" s="9"/>
      <c r="J483" s="9"/>
      <c r="K483" s="9"/>
      <c r="L483" s="9"/>
      <c r="M483" s="223"/>
      <c r="N483" s="9"/>
      <c r="O483" s="9"/>
      <c r="P483" s="9"/>
      <c r="Q483" s="9"/>
      <c r="R483" s="9"/>
      <c r="S483" s="223"/>
      <c r="T483" s="223"/>
      <c r="U483" s="223"/>
      <c r="V483" s="9"/>
      <c r="W483" s="9"/>
      <c r="X483" s="9"/>
      <c r="Y483" s="204"/>
      <c r="Z483" s="9"/>
      <c r="AA483" s="9"/>
      <c r="AB483" s="9"/>
      <c r="AC483" s="9"/>
    </row>
    <row r="484" ht="15.75" customHeight="1">
      <c r="A484" s="9"/>
      <c r="B484" s="9"/>
      <c r="C484" s="9"/>
      <c r="D484" s="9"/>
      <c r="E484" s="9"/>
      <c r="F484" s="9"/>
      <c r="G484" s="9"/>
      <c r="H484" s="9"/>
      <c r="I484" s="9"/>
      <c r="J484" s="9"/>
      <c r="K484" s="9"/>
      <c r="L484" s="9"/>
      <c r="M484" s="223"/>
      <c r="N484" s="9"/>
      <c r="O484" s="9"/>
      <c r="P484" s="9"/>
      <c r="Q484" s="9"/>
      <c r="R484" s="9"/>
      <c r="S484" s="223"/>
      <c r="T484" s="223"/>
      <c r="U484" s="223"/>
      <c r="V484" s="9"/>
      <c r="W484" s="9"/>
      <c r="X484" s="9"/>
      <c r="Y484" s="204"/>
      <c r="Z484" s="9"/>
      <c r="AA484" s="9"/>
      <c r="AB484" s="9"/>
      <c r="AC484" s="9"/>
    </row>
    <row r="485" ht="15.75" customHeight="1">
      <c r="A485" s="9"/>
      <c r="B485" s="9"/>
      <c r="C485" s="9"/>
      <c r="D485" s="9"/>
      <c r="E485" s="9"/>
      <c r="F485" s="9"/>
      <c r="G485" s="9"/>
      <c r="H485" s="9"/>
      <c r="I485" s="9"/>
      <c r="J485" s="9"/>
      <c r="K485" s="9"/>
      <c r="L485" s="9"/>
      <c r="M485" s="223"/>
      <c r="N485" s="9"/>
      <c r="O485" s="9"/>
      <c r="P485" s="9"/>
      <c r="Q485" s="9"/>
      <c r="R485" s="9"/>
      <c r="S485" s="223"/>
      <c r="T485" s="223"/>
      <c r="U485" s="223"/>
      <c r="V485" s="9"/>
      <c r="W485" s="9"/>
      <c r="X485" s="9"/>
      <c r="Y485" s="204"/>
      <c r="Z485" s="9"/>
      <c r="AA485" s="9"/>
      <c r="AB485" s="9"/>
      <c r="AC485" s="9"/>
    </row>
    <row r="486" ht="15.75" customHeight="1">
      <c r="A486" s="9"/>
      <c r="B486" s="9"/>
      <c r="C486" s="9"/>
      <c r="D486" s="9"/>
      <c r="E486" s="9"/>
      <c r="F486" s="9"/>
      <c r="G486" s="9"/>
      <c r="H486" s="9"/>
      <c r="I486" s="9"/>
      <c r="J486" s="9"/>
      <c r="K486" s="9"/>
      <c r="L486" s="9"/>
      <c r="M486" s="223"/>
      <c r="N486" s="9"/>
      <c r="O486" s="9"/>
      <c r="P486" s="9"/>
      <c r="Q486" s="9"/>
      <c r="R486" s="9"/>
      <c r="S486" s="223"/>
      <c r="T486" s="223"/>
      <c r="U486" s="223"/>
      <c r="V486" s="9"/>
      <c r="W486" s="9"/>
      <c r="X486" s="9"/>
      <c r="Y486" s="204"/>
      <c r="Z486" s="9"/>
      <c r="AA486" s="9"/>
      <c r="AB486" s="9"/>
      <c r="AC486" s="9"/>
    </row>
    <row r="487" ht="15.75" customHeight="1">
      <c r="A487" s="9"/>
      <c r="B487" s="9"/>
      <c r="C487" s="9"/>
      <c r="D487" s="9"/>
      <c r="E487" s="9"/>
      <c r="F487" s="9"/>
      <c r="G487" s="9"/>
      <c r="H487" s="9"/>
      <c r="I487" s="9"/>
      <c r="J487" s="9"/>
      <c r="K487" s="9"/>
      <c r="L487" s="9"/>
      <c r="M487" s="223"/>
      <c r="N487" s="9"/>
      <c r="O487" s="9"/>
      <c r="P487" s="9"/>
      <c r="Q487" s="9"/>
      <c r="R487" s="9"/>
      <c r="S487" s="223"/>
      <c r="T487" s="223"/>
      <c r="U487" s="223"/>
      <c r="V487" s="9"/>
      <c r="W487" s="9"/>
      <c r="X487" s="9"/>
      <c r="Y487" s="204"/>
      <c r="Z487" s="9"/>
      <c r="AA487" s="9"/>
      <c r="AB487" s="9"/>
      <c r="AC487" s="9"/>
    </row>
    <row r="488" ht="15.75" customHeight="1">
      <c r="A488" s="9"/>
      <c r="B488" s="9"/>
      <c r="C488" s="9"/>
      <c r="D488" s="9"/>
      <c r="E488" s="9"/>
      <c r="F488" s="9"/>
      <c r="G488" s="9"/>
      <c r="H488" s="9"/>
      <c r="I488" s="9"/>
      <c r="J488" s="9"/>
      <c r="K488" s="9"/>
      <c r="L488" s="9"/>
      <c r="M488" s="223"/>
      <c r="N488" s="9"/>
      <c r="O488" s="9"/>
      <c r="P488" s="9"/>
      <c r="Q488" s="9"/>
      <c r="R488" s="9"/>
      <c r="S488" s="223"/>
      <c r="T488" s="223"/>
      <c r="U488" s="223"/>
      <c r="V488" s="9"/>
      <c r="W488" s="9"/>
      <c r="X488" s="9"/>
      <c r="Y488" s="204"/>
      <c r="Z488" s="9"/>
      <c r="AA488" s="9"/>
      <c r="AB488" s="9"/>
      <c r="AC488" s="9"/>
    </row>
    <row r="489" ht="15.75" customHeight="1">
      <c r="A489" s="9"/>
      <c r="B489" s="9"/>
      <c r="C489" s="9"/>
      <c r="D489" s="9"/>
      <c r="E489" s="9"/>
      <c r="F489" s="9"/>
      <c r="G489" s="9"/>
      <c r="H489" s="9"/>
      <c r="I489" s="9"/>
      <c r="J489" s="9"/>
      <c r="K489" s="9"/>
      <c r="L489" s="9"/>
      <c r="M489" s="223"/>
      <c r="N489" s="9"/>
      <c r="O489" s="9"/>
      <c r="P489" s="9"/>
      <c r="Q489" s="9"/>
      <c r="R489" s="9"/>
      <c r="S489" s="223"/>
      <c r="T489" s="223"/>
      <c r="U489" s="223"/>
      <c r="V489" s="9"/>
      <c r="W489" s="9"/>
      <c r="X489" s="9"/>
      <c r="Y489" s="204"/>
      <c r="Z489" s="9"/>
      <c r="AA489" s="9"/>
      <c r="AB489" s="9"/>
      <c r="AC489" s="9"/>
    </row>
    <row r="490" ht="15.75" customHeight="1">
      <c r="A490" s="9"/>
      <c r="B490" s="9"/>
      <c r="C490" s="9"/>
      <c r="D490" s="9"/>
      <c r="E490" s="9"/>
      <c r="F490" s="9"/>
      <c r="G490" s="9"/>
      <c r="H490" s="9"/>
      <c r="I490" s="9"/>
      <c r="J490" s="9"/>
      <c r="K490" s="9"/>
      <c r="L490" s="9"/>
      <c r="M490" s="223"/>
      <c r="N490" s="9"/>
      <c r="O490" s="9"/>
      <c r="P490" s="9"/>
      <c r="Q490" s="9"/>
      <c r="R490" s="9"/>
      <c r="S490" s="223"/>
      <c r="T490" s="223"/>
      <c r="U490" s="223"/>
      <c r="V490" s="9"/>
      <c r="W490" s="9"/>
      <c r="X490" s="9"/>
      <c r="Y490" s="204"/>
      <c r="Z490" s="9"/>
      <c r="AA490" s="9"/>
      <c r="AB490" s="9"/>
      <c r="AC490" s="9"/>
    </row>
    <row r="491" ht="15.75" customHeight="1">
      <c r="A491" s="9"/>
      <c r="B491" s="9"/>
      <c r="C491" s="9"/>
      <c r="D491" s="9"/>
      <c r="E491" s="9"/>
      <c r="F491" s="9"/>
      <c r="G491" s="9"/>
      <c r="H491" s="9"/>
      <c r="I491" s="9"/>
      <c r="J491" s="9"/>
      <c r="K491" s="9"/>
      <c r="L491" s="9"/>
      <c r="M491" s="223"/>
      <c r="N491" s="9"/>
      <c r="O491" s="9"/>
      <c r="P491" s="9"/>
      <c r="Q491" s="9"/>
      <c r="R491" s="9"/>
      <c r="S491" s="223"/>
      <c r="T491" s="223"/>
      <c r="U491" s="223"/>
      <c r="V491" s="9"/>
      <c r="W491" s="9"/>
      <c r="X491" s="9"/>
      <c r="Y491" s="204"/>
      <c r="Z491" s="9"/>
      <c r="AA491" s="9"/>
      <c r="AB491" s="9"/>
      <c r="AC491" s="9"/>
    </row>
    <row r="492" ht="15.75" customHeight="1">
      <c r="A492" s="9"/>
      <c r="B492" s="9"/>
      <c r="C492" s="9"/>
      <c r="D492" s="9"/>
      <c r="E492" s="9"/>
      <c r="F492" s="9"/>
      <c r="G492" s="9"/>
      <c r="H492" s="9"/>
      <c r="I492" s="9"/>
      <c r="J492" s="9"/>
      <c r="K492" s="9"/>
      <c r="L492" s="9"/>
      <c r="M492" s="223"/>
      <c r="N492" s="9"/>
      <c r="O492" s="9"/>
      <c r="P492" s="9"/>
      <c r="Q492" s="9"/>
      <c r="R492" s="9"/>
      <c r="S492" s="223"/>
      <c r="T492" s="223"/>
      <c r="U492" s="223"/>
      <c r="V492" s="9"/>
      <c r="W492" s="9"/>
      <c r="X492" s="9"/>
      <c r="Y492" s="204"/>
      <c r="Z492" s="9"/>
      <c r="AA492" s="9"/>
      <c r="AB492" s="9"/>
      <c r="AC492" s="9"/>
    </row>
    <row r="493" ht="15.75" customHeight="1">
      <c r="A493" s="9"/>
      <c r="B493" s="9"/>
      <c r="C493" s="9"/>
      <c r="D493" s="9"/>
      <c r="E493" s="9"/>
      <c r="F493" s="9"/>
      <c r="G493" s="9"/>
      <c r="H493" s="9"/>
      <c r="I493" s="9"/>
      <c r="J493" s="9"/>
      <c r="K493" s="9"/>
      <c r="L493" s="9"/>
      <c r="M493" s="223"/>
      <c r="N493" s="9"/>
      <c r="O493" s="9"/>
      <c r="P493" s="9"/>
      <c r="Q493" s="9"/>
      <c r="R493" s="9"/>
      <c r="S493" s="223"/>
      <c r="T493" s="223"/>
      <c r="U493" s="223"/>
      <c r="V493" s="9"/>
      <c r="W493" s="9"/>
      <c r="X493" s="9"/>
      <c r="Y493" s="204"/>
      <c r="Z493" s="9"/>
      <c r="AA493" s="9"/>
      <c r="AB493" s="9"/>
      <c r="AC493" s="9"/>
    </row>
    <row r="494" ht="15.75" customHeight="1">
      <c r="A494" s="9"/>
      <c r="B494" s="9"/>
      <c r="C494" s="9"/>
      <c r="D494" s="9"/>
      <c r="E494" s="9"/>
      <c r="F494" s="9"/>
      <c r="G494" s="9"/>
      <c r="H494" s="9"/>
      <c r="I494" s="9"/>
      <c r="J494" s="9"/>
      <c r="K494" s="9"/>
      <c r="L494" s="9"/>
      <c r="M494" s="223"/>
      <c r="N494" s="9"/>
      <c r="O494" s="9"/>
      <c r="P494" s="9"/>
      <c r="Q494" s="9"/>
      <c r="R494" s="9"/>
      <c r="S494" s="223"/>
      <c r="T494" s="223"/>
      <c r="U494" s="223"/>
      <c r="V494" s="9"/>
      <c r="W494" s="9"/>
      <c r="X494" s="9"/>
      <c r="Y494" s="204"/>
      <c r="Z494" s="9"/>
      <c r="AA494" s="9"/>
      <c r="AB494" s="9"/>
      <c r="AC494" s="9"/>
    </row>
    <row r="495" ht="15.75" customHeight="1">
      <c r="A495" s="9"/>
      <c r="B495" s="9"/>
      <c r="C495" s="9"/>
      <c r="D495" s="9"/>
      <c r="E495" s="9"/>
      <c r="F495" s="9"/>
      <c r="G495" s="9"/>
      <c r="H495" s="9"/>
      <c r="I495" s="9"/>
      <c r="J495" s="9"/>
      <c r="K495" s="9"/>
      <c r="L495" s="9"/>
      <c r="M495" s="223"/>
      <c r="N495" s="9"/>
      <c r="O495" s="9"/>
      <c r="P495" s="9"/>
      <c r="Q495" s="9"/>
      <c r="R495" s="9"/>
      <c r="S495" s="223"/>
      <c r="T495" s="223"/>
      <c r="U495" s="223"/>
      <c r="V495" s="9"/>
      <c r="W495" s="9"/>
      <c r="X495" s="9"/>
      <c r="Y495" s="204"/>
      <c r="Z495" s="9"/>
      <c r="AA495" s="9"/>
      <c r="AB495" s="9"/>
      <c r="AC495" s="9"/>
    </row>
    <row r="496" ht="15.75" customHeight="1">
      <c r="A496" s="9"/>
      <c r="B496" s="9"/>
      <c r="C496" s="9"/>
      <c r="D496" s="9"/>
      <c r="E496" s="9"/>
      <c r="F496" s="9"/>
      <c r="G496" s="9"/>
      <c r="H496" s="9"/>
      <c r="I496" s="9"/>
      <c r="J496" s="9"/>
      <c r="K496" s="9"/>
      <c r="L496" s="9"/>
      <c r="M496" s="223"/>
      <c r="N496" s="9"/>
      <c r="O496" s="9"/>
      <c r="P496" s="9"/>
      <c r="Q496" s="9"/>
      <c r="R496" s="9"/>
      <c r="S496" s="223"/>
      <c r="T496" s="223"/>
      <c r="U496" s="223"/>
      <c r="V496" s="9"/>
      <c r="W496" s="9"/>
      <c r="X496" s="9"/>
      <c r="Y496" s="204"/>
      <c r="Z496" s="9"/>
      <c r="AA496" s="9"/>
      <c r="AB496" s="9"/>
      <c r="AC496" s="9"/>
    </row>
    <row r="497" ht="15.75" customHeight="1">
      <c r="A497" s="9"/>
      <c r="B497" s="9"/>
      <c r="C497" s="9"/>
      <c r="D497" s="9"/>
      <c r="E497" s="9"/>
      <c r="F497" s="9"/>
      <c r="G497" s="9"/>
      <c r="H497" s="9"/>
      <c r="I497" s="9"/>
      <c r="J497" s="9"/>
      <c r="K497" s="9"/>
      <c r="L497" s="9"/>
      <c r="M497" s="223"/>
      <c r="N497" s="9"/>
      <c r="O497" s="9"/>
      <c r="P497" s="9"/>
      <c r="Q497" s="9"/>
      <c r="R497" s="9"/>
      <c r="S497" s="223"/>
      <c r="T497" s="223"/>
      <c r="U497" s="223"/>
      <c r="V497" s="9"/>
      <c r="W497" s="9"/>
      <c r="X497" s="9"/>
      <c r="Y497" s="204"/>
      <c r="Z497" s="9"/>
      <c r="AA497" s="9"/>
      <c r="AB497" s="9"/>
      <c r="AC497" s="9"/>
    </row>
    <row r="498" ht="15.75" customHeight="1">
      <c r="A498" s="9"/>
      <c r="B498" s="9"/>
      <c r="C498" s="9"/>
      <c r="D498" s="9"/>
      <c r="E498" s="9"/>
      <c r="F498" s="9"/>
      <c r="G498" s="9"/>
      <c r="H498" s="9"/>
      <c r="I498" s="9"/>
      <c r="J498" s="9"/>
      <c r="K498" s="9"/>
      <c r="L498" s="9"/>
      <c r="M498" s="223"/>
      <c r="N498" s="9"/>
      <c r="O498" s="9"/>
      <c r="P498" s="9"/>
      <c r="Q498" s="9"/>
      <c r="R498" s="9"/>
      <c r="S498" s="223"/>
      <c r="T498" s="223"/>
      <c r="U498" s="223"/>
      <c r="V498" s="9"/>
      <c r="W498" s="9"/>
      <c r="X498" s="9"/>
      <c r="Y498" s="204"/>
      <c r="Z498" s="9"/>
      <c r="AA498" s="9"/>
      <c r="AB498" s="9"/>
      <c r="AC498" s="9"/>
    </row>
    <row r="499" ht="15.75" customHeight="1">
      <c r="A499" s="9"/>
      <c r="B499" s="9"/>
      <c r="C499" s="9"/>
      <c r="D499" s="9"/>
      <c r="E499" s="9"/>
      <c r="F499" s="9"/>
      <c r="G499" s="9"/>
      <c r="H499" s="9"/>
      <c r="I499" s="9"/>
      <c r="J499" s="9"/>
      <c r="K499" s="9"/>
      <c r="L499" s="9"/>
      <c r="M499" s="223"/>
      <c r="N499" s="9"/>
      <c r="O499" s="9"/>
      <c r="P499" s="9"/>
      <c r="Q499" s="9"/>
      <c r="R499" s="9"/>
      <c r="S499" s="223"/>
      <c r="T499" s="223"/>
      <c r="U499" s="223"/>
      <c r="V499" s="9"/>
      <c r="W499" s="9"/>
      <c r="X499" s="9"/>
      <c r="Y499" s="204"/>
      <c r="Z499" s="9"/>
      <c r="AA499" s="9"/>
      <c r="AB499" s="9"/>
      <c r="AC499" s="9"/>
    </row>
    <row r="500" ht="15.75" customHeight="1">
      <c r="A500" s="9"/>
      <c r="B500" s="9"/>
      <c r="C500" s="9"/>
      <c r="D500" s="9"/>
      <c r="E500" s="9"/>
      <c r="F500" s="9"/>
      <c r="G500" s="9"/>
      <c r="H500" s="9"/>
      <c r="I500" s="9"/>
      <c r="J500" s="9"/>
      <c r="K500" s="9"/>
      <c r="L500" s="9"/>
      <c r="M500" s="223"/>
      <c r="N500" s="9"/>
      <c r="O500" s="9"/>
      <c r="P500" s="9"/>
      <c r="Q500" s="9"/>
      <c r="R500" s="9"/>
      <c r="S500" s="223"/>
      <c r="T500" s="223"/>
      <c r="U500" s="223"/>
      <c r="V500" s="9"/>
      <c r="W500" s="9"/>
      <c r="X500" s="9"/>
      <c r="Y500" s="204"/>
      <c r="Z500" s="9"/>
      <c r="AA500" s="9"/>
      <c r="AB500" s="9"/>
      <c r="AC500" s="9"/>
    </row>
    <row r="501" ht="15.75" customHeight="1">
      <c r="A501" s="9"/>
      <c r="B501" s="9"/>
      <c r="C501" s="9"/>
      <c r="D501" s="9"/>
      <c r="E501" s="9"/>
      <c r="F501" s="9"/>
      <c r="G501" s="9"/>
      <c r="H501" s="9"/>
      <c r="I501" s="9"/>
      <c r="J501" s="9"/>
      <c r="K501" s="9"/>
      <c r="L501" s="9"/>
      <c r="M501" s="223"/>
      <c r="N501" s="9"/>
      <c r="O501" s="9"/>
      <c r="P501" s="9"/>
      <c r="Q501" s="9"/>
      <c r="R501" s="9"/>
      <c r="S501" s="223"/>
      <c r="T501" s="223"/>
      <c r="U501" s="223"/>
      <c r="V501" s="9"/>
      <c r="W501" s="9"/>
      <c r="X501" s="9"/>
      <c r="Y501" s="204"/>
      <c r="Z501" s="9"/>
      <c r="AA501" s="9"/>
      <c r="AB501" s="9"/>
      <c r="AC501" s="9"/>
    </row>
    <row r="502" ht="15.75" customHeight="1">
      <c r="A502" s="9"/>
      <c r="B502" s="9"/>
      <c r="C502" s="9"/>
      <c r="D502" s="9"/>
      <c r="E502" s="9"/>
      <c r="F502" s="9"/>
      <c r="G502" s="9"/>
      <c r="H502" s="9"/>
      <c r="I502" s="9"/>
      <c r="J502" s="9"/>
      <c r="K502" s="9"/>
      <c r="L502" s="9"/>
      <c r="M502" s="223"/>
      <c r="N502" s="9"/>
      <c r="O502" s="9"/>
      <c r="P502" s="9"/>
      <c r="Q502" s="9"/>
      <c r="R502" s="9"/>
      <c r="S502" s="223"/>
      <c r="T502" s="223"/>
      <c r="U502" s="223"/>
      <c r="V502" s="9"/>
      <c r="W502" s="9"/>
      <c r="X502" s="9"/>
      <c r="Y502" s="204"/>
      <c r="Z502" s="9"/>
      <c r="AA502" s="9"/>
      <c r="AB502" s="9"/>
      <c r="AC502" s="9"/>
    </row>
    <row r="503" ht="15.75" customHeight="1">
      <c r="A503" s="9"/>
      <c r="B503" s="9"/>
      <c r="C503" s="9"/>
      <c r="D503" s="9"/>
      <c r="E503" s="9"/>
      <c r="F503" s="9"/>
      <c r="G503" s="9"/>
      <c r="H503" s="9"/>
      <c r="I503" s="9"/>
      <c r="J503" s="9"/>
      <c r="K503" s="9"/>
      <c r="L503" s="9"/>
      <c r="M503" s="223"/>
      <c r="N503" s="9"/>
      <c r="O503" s="9"/>
      <c r="P503" s="9"/>
      <c r="Q503" s="9"/>
      <c r="R503" s="9"/>
      <c r="S503" s="223"/>
      <c r="T503" s="223"/>
      <c r="U503" s="223"/>
      <c r="V503" s="9"/>
      <c r="W503" s="9"/>
      <c r="X503" s="9"/>
      <c r="Y503" s="204"/>
      <c r="Z503" s="9"/>
      <c r="AA503" s="9"/>
      <c r="AB503" s="9"/>
      <c r="AC503" s="9"/>
    </row>
    <row r="504" ht="15.75" customHeight="1">
      <c r="A504" s="9"/>
      <c r="B504" s="9"/>
      <c r="C504" s="9"/>
      <c r="D504" s="9"/>
      <c r="E504" s="9"/>
      <c r="F504" s="9"/>
      <c r="G504" s="9"/>
      <c r="H504" s="9"/>
      <c r="I504" s="9"/>
      <c r="J504" s="9"/>
      <c r="K504" s="9"/>
      <c r="L504" s="9"/>
      <c r="M504" s="223"/>
      <c r="N504" s="9"/>
      <c r="O504" s="9"/>
      <c r="P504" s="9"/>
      <c r="Q504" s="9"/>
      <c r="R504" s="9"/>
      <c r="S504" s="223"/>
      <c r="T504" s="223"/>
      <c r="U504" s="223"/>
      <c r="V504" s="9"/>
      <c r="W504" s="9"/>
      <c r="X504" s="9"/>
      <c r="Y504" s="204"/>
      <c r="Z504" s="9"/>
      <c r="AA504" s="9"/>
      <c r="AB504" s="9"/>
      <c r="AC504" s="9"/>
    </row>
    <row r="505" ht="15.75" customHeight="1">
      <c r="A505" s="9"/>
      <c r="B505" s="9"/>
      <c r="C505" s="9"/>
      <c r="D505" s="9"/>
      <c r="E505" s="9"/>
      <c r="F505" s="9"/>
      <c r="G505" s="9"/>
      <c r="H505" s="9"/>
      <c r="I505" s="9"/>
      <c r="J505" s="9"/>
      <c r="K505" s="9"/>
      <c r="L505" s="9"/>
      <c r="M505" s="223"/>
      <c r="N505" s="9"/>
      <c r="O505" s="9"/>
      <c r="P505" s="9"/>
      <c r="Q505" s="9"/>
      <c r="R505" s="9"/>
      <c r="S505" s="223"/>
      <c r="T505" s="223"/>
      <c r="U505" s="223"/>
      <c r="V505" s="9"/>
      <c r="W505" s="9"/>
      <c r="X505" s="9"/>
      <c r="Y505" s="204"/>
      <c r="Z505" s="9"/>
      <c r="AA505" s="9"/>
      <c r="AB505" s="9"/>
      <c r="AC505" s="9"/>
    </row>
    <row r="506" ht="15.75" customHeight="1">
      <c r="A506" s="9"/>
      <c r="B506" s="9"/>
      <c r="C506" s="9"/>
      <c r="D506" s="9"/>
      <c r="E506" s="9"/>
      <c r="F506" s="9"/>
      <c r="G506" s="9"/>
      <c r="H506" s="9"/>
      <c r="I506" s="9"/>
      <c r="J506" s="9"/>
      <c r="K506" s="9"/>
      <c r="L506" s="9"/>
      <c r="M506" s="223"/>
      <c r="N506" s="9"/>
      <c r="O506" s="9"/>
      <c r="P506" s="9"/>
      <c r="Q506" s="9"/>
      <c r="R506" s="9"/>
      <c r="S506" s="223"/>
      <c r="T506" s="223"/>
      <c r="U506" s="223"/>
      <c r="V506" s="9"/>
      <c r="W506" s="9"/>
      <c r="X506" s="9"/>
      <c r="Y506" s="204"/>
      <c r="Z506" s="9"/>
      <c r="AA506" s="9"/>
      <c r="AB506" s="9"/>
      <c r="AC506" s="9"/>
    </row>
    <row r="507" ht="15.75" customHeight="1">
      <c r="A507" s="9"/>
      <c r="B507" s="9"/>
      <c r="C507" s="9"/>
      <c r="D507" s="9"/>
      <c r="E507" s="9"/>
      <c r="F507" s="9"/>
      <c r="G507" s="9"/>
      <c r="H507" s="9"/>
      <c r="I507" s="9"/>
      <c r="J507" s="9"/>
      <c r="K507" s="9"/>
      <c r="L507" s="9"/>
      <c r="M507" s="223"/>
      <c r="N507" s="9"/>
      <c r="O507" s="9"/>
      <c r="P507" s="9"/>
      <c r="Q507" s="9"/>
      <c r="R507" s="9"/>
      <c r="S507" s="223"/>
      <c r="T507" s="223"/>
      <c r="U507" s="223"/>
      <c r="V507" s="9"/>
      <c r="W507" s="9"/>
      <c r="X507" s="9"/>
      <c r="Y507" s="204"/>
      <c r="Z507" s="9"/>
      <c r="AA507" s="9"/>
      <c r="AB507" s="9"/>
      <c r="AC507" s="9"/>
    </row>
    <row r="508" ht="15.75" customHeight="1">
      <c r="A508" s="9"/>
      <c r="B508" s="9"/>
      <c r="C508" s="9"/>
      <c r="D508" s="9"/>
      <c r="E508" s="9"/>
      <c r="F508" s="9"/>
      <c r="G508" s="9"/>
      <c r="H508" s="9"/>
      <c r="I508" s="9"/>
      <c r="J508" s="9"/>
      <c r="K508" s="9"/>
      <c r="L508" s="9"/>
      <c r="M508" s="223"/>
      <c r="N508" s="9"/>
      <c r="O508" s="9"/>
      <c r="P508" s="9"/>
      <c r="Q508" s="9"/>
      <c r="R508" s="9"/>
      <c r="S508" s="223"/>
      <c r="T508" s="223"/>
      <c r="U508" s="223"/>
      <c r="V508" s="9"/>
      <c r="W508" s="9"/>
      <c r="X508" s="9"/>
      <c r="Y508" s="204"/>
      <c r="Z508" s="9"/>
      <c r="AA508" s="9"/>
      <c r="AB508" s="9"/>
      <c r="AC508" s="9"/>
    </row>
    <row r="509" ht="15.75" customHeight="1">
      <c r="A509" s="9"/>
      <c r="B509" s="9"/>
      <c r="C509" s="9"/>
      <c r="D509" s="9"/>
      <c r="E509" s="9"/>
      <c r="F509" s="9"/>
      <c r="G509" s="9"/>
      <c r="H509" s="9"/>
      <c r="I509" s="9"/>
      <c r="J509" s="9"/>
      <c r="K509" s="9"/>
      <c r="L509" s="9"/>
      <c r="M509" s="223"/>
      <c r="N509" s="9"/>
      <c r="O509" s="9"/>
      <c r="P509" s="9"/>
      <c r="Q509" s="9"/>
      <c r="R509" s="9"/>
      <c r="S509" s="223"/>
      <c r="T509" s="223"/>
      <c r="U509" s="223"/>
      <c r="V509" s="9"/>
      <c r="W509" s="9"/>
      <c r="X509" s="9"/>
      <c r="Y509" s="204"/>
      <c r="Z509" s="9"/>
      <c r="AA509" s="9"/>
      <c r="AB509" s="9"/>
      <c r="AC509" s="9"/>
    </row>
    <row r="510" ht="15.75" customHeight="1">
      <c r="A510" s="9"/>
      <c r="B510" s="9"/>
      <c r="C510" s="9"/>
      <c r="D510" s="9"/>
      <c r="E510" s="9"/>
      <c r="F510" s="9"/>
      <c r="G510" s="9"/>
      <c r="H510" s="9"/>
      <c r="I510" s="9"/>
      <c r="J510" s="9"/>
      <c r="K510" s="9"/>
      <c r="L510" s="9"/>
      <c r="M510" s="223"/>
      <c r="N510" s="9"/>
      <c r="O510" s="9"/>
      <c r="P510" s="9"/>
      <c r="Q510" s="9"/>
      <c r="R510" s="9"/>
      <c r="S510" s="223"/>
      <c r="T510" s="223"/>
      <c r="U510" s="223"/>
      <c r="V510" s="9"/>
      <c r="W510" s="9"/>
      <c r="X510" s="9"/>
      <c r="Y510" s="204"/>
      <c r="Z510" s="9"/>
      <c r="AA510" s="9"/>
      <c r="AB510" s="9"/>
      <c r="AC510" s="9"/>
    </row>
    <row r="511" ht="15.75" customHeight="1">
      <c r="A511" s="9"/>
      <c r="B511" s="9"/>
      <c r="C511" s="9"/>
      <c r="D511" s="9"/>
      <c r="E511" s="9"/>
      <c r="F511" s="9"/>
      <c r="G511" s="9"/>
      <c r="H511" s="9"/>
      <c r="I511" s="9"/>
      <c r="J511" s="9"/>
      <c r="K511" s="9"/>
      <c r="L511" s="9"/>
      <c r="M511" s="223"/>
      <c r="N511" s="9"/>
      <c r="O511" s="9"/>
      <c r="P511" s="9"/>
      <c r="Q511" s="9"/>
      <c r="R511" s="9"/>
      <c r="S511" s="223"/>
      <c r="T511" s="223"/>
      <c r="U511" s="223"/>
      <c r="V511" s="9"/>
      <c r="W511" s="9"/>
      <c r="X511" s="9"/>
      <c r="Y511" s="204"/>
      <c r="Z511" s="9"/>
      <c r="AA511" s="9"/>
      <c r="AB511" s="9"/>
      <c r="AC511" s="9"/>
    </row>
    <row r="512" ht="15.75" customHeight="1">
      <c r="A512" s="9"/>
      <c r="B512" s="9"/>
      <c r="C512" s="9"/>
      <c r="D512" s="9"/>
      <c r="E512" s="9"/>
      <c r="F512" s="9"/>
      <c r="G512" s="9"/>
      <c r="H512" s="9"/>
      <c r="I512" s="9"/>
      <c r="J512" s="9"/>
      <c r="K512" s="9"/>
      <c r="L512" s="9"/>
      <c r="M512" s="223"/>
      <c r="N512" s="9"/>
      <c r="O512" s="9"/>
      <c r="P512" s="9"/>
      <c r="Q512" s="9"/>
      <c r="R512" s="9"/>
      <c r="S512" s="223"/>
      <c r="T512" s="223"/>
      <c r="U512" s="223"/>
      <c r="V512" s="9"/>
      <c r="W512" s="9"/>
      <c r="X512" s="9"/>
      <c r="Y512" s="204"/>
      <c r="Z512" s="9"/>
      <c r="AA512" s="9"/>
      <c r="AB512" s="9"/>
      <c r="AC512" s="9"/>
    </row>
    <row r="513" ht="15.75" customHeight="1">
      <c r="A513" s="9"/>
      <c r="B513" s="9"/>
      <c r="C513" s="9"/>
      <c r="D513" s="9"/>
      <c r="E513" s="9"/>
      <c r="F513" s="9"/>
      <c r="G513" s="9"/>
      <c r="H513" s="9"/>
      <c r="I513" s="9"/>
      <c r="J513" s="9"/>
      <c r="K513" s="9"/>
      <c r="L513" s="9"/>
      <c r="M513" s="223"/>
      <c r="N513" s="9"/>
      <c r="O513" s="9"/>
      <c r="P513" s="9"/>
      <c r="Q513" s="9"/>
      <c r="R513" s="9"/>
      <c r="S513" s="223"/>
      <c r="T513" s="223"/>
      <c r="U513" s="223"/>
      <c r="V513" s="9"/>
      <c r="W513" s="9"/>
      <c r="X513" s="9"/>
      <c r="Y513" s="204"/>
      <c r="Z513" s="9"/>
      <c r="AA513" s="9"/>
      <c r="AB513" s="9"/>
      <c r="AC513" s="9"/>
    </row>
    <row r="514" ht="15.75" customHeight="1">
      <c r="A514" s="9"/>
      <c r="B514" s="9"/>
      <c r="C514" s="9"/>
      <c r="D514" s="9"/>
      <c r="E514" s="9"/>
      <c r="F514" s="9"/>
      <c r="G514" s="9"/>
      <c r="H514" s="9"/>
      <c r="I514" s="9"/>
      <c r="J514" s="9"/>
      <c r="K514" s="9"/>
      <c r="L514" s="9"/>
      <c r="M514" s="223"/>
      <c r="N514" s="9"/>
      <c r="O514" s="9"/>
      <c r="P514" s="9"/>
      <c r="Q514" s="9"/>
      <c r="R514" s="9"/>
      <c r="S514" s="223"/>
      <c r="T514" s="223"/>
      <c r="U514" s="223"/>
      <c r="V514" s="9"/>
      <c r="W514" s="9"/>
      <c r="X514" s="9"/>
      <c r="Y514" s="204"/>
      <c r="Z514" s="9"/>
      <c r="AA514" s="9"/>
      <c r="AB514" s="9"/>
      <c r="AC514" s="9"/>
    </row>
    <row r="515" ht="15.75" customHeight="1">
      <c r="A515" s="9"/>
      <c r="B515" s="9"/>
      <c r="C515" s="9"/>
      <c r="D515" s="9"/>
      <c r="E515" s="9"/>
      <c r="F515" s="9"/>
      <c r="G515" s="9"/>
      <c r="H515" s="9"/>
      <c r="I515" s="9"/>
      <c r="J515" s="9"/>
      <c r="K515" s="9"/>
      <c r="L515" s="9"/>
      <c r="M515" s="223"/>
      <c r="N515" s="9"/>
      <c r="O515" s="9"/>
      <c r="P515" s="9"/>
      <c r="Q515" s="9"/>
      <c r="R515" s="9"/>
      <c r="S515" s="223"/>
      <c r="T515" s="223"/>
      <c r="U515" s="223"/>
      <c r="V515" s="9"/>
      <c r="W515" s="9"/>
      <c r="X515" s="9"/>
      <c r="Y515" s="204"/>
      <c r="Z515" s="9"/>
      <c r="AA515" s="9"/>
      <c r="AB515" s="9"/>
      <c r="AC515" s="9"/>
    </row>
    <row r="516" ht="15.75" customHeight="1">
      <c r="A516" s="9"/>
      <c r="B516" s="9"/>
      <c r="C516" s="9"/>
      <c r="D516" s="9"/>
      <c r="E516" s="9"/>
      <c r="F516" s="9"/>
      <c r="G516" s="9"/>
      <c r="H516" s="9"/>
      <c r="I516" s="9"/>
      <c r="J516" s="9"/>
      <c r="K516" s="9"/>
      <c r="L516" s="9"/>
      <c r="M516" s="223"/>
      <c r="N516" s="9"/>
      <c r="O516" s="9"/>
      <c r="P516" s="9"/>
      <c r="Q516" s="9"/>
      <c r="R516" s="9"/>
      <c r="S516" s="223"/>
      <c r="T516" s="223"/>
      <c r="U516" s="223"/>
      <c r="V516" s="9"/>
      <c r="W516" s="9"/>
      <c r="X516" s="9"/>
      <c r="Y516" s="204"/>
      <c r="Z516" s="9"/>
      <c r="AA516" s="9"/>
      <c r="AB516" s="9"/>
      <c r="AC516" s="9"/>
    </row>
    <row r="517" ht="15.75" customHeight="1">
      <c r="A517" s="9"/>
      <c r="B517" s="9"/>
      <c r="C517" s="9"/>
      <c r="D517" s="9"/>
      <c r="E517" s="9"/>
      <c r="F517" s="9"/>
      <c r="G517" s="9"/>
      <c r="H517" s="9"/>
      <c r="I517" s="9"/>
      <c r="J517" s="9"/>
      <c r="K517" s="9"/>
      <c r="L517" s="9"/>
      <c r="M517" s="223"/>
      <c r="N517" s="9"/>
      <c r="O517" s="9"/>
      <c r="P517" s="9"/>
      <c r="Q517" s="9"/>
      <c r="R517" s="9"/>
      <c r="S517" s="223"/>
      <c r="T517" s="223"/>
      <c r="U517" s="223"/>
      <c r="V517" s="9"/>
      <c r="W517" s="9"/>
      <c r="X517" s="9"/>
      <c r="Y517" s="204"/>
      <c r="Z517" s="9"/>
      <c r="AA517" s="9"/>
      <c r="AB517" s="9"/>
      <c r="AC517" s="9"/>
    </row>
    <row r="518" ht="15.75" customHeight="1">
      <c r="A518" s="9"/>
      <c r="B518" s="9"/>
      <c r="C518" s="9"/>
      <c r="D518" s="9"/>
      <c r="E518" s="9"/>
      <c r="F518" s="9"/>
      <c r="G518" s="9"/>
      <c r="H518" s="9"/>
      <c r="I518" s="9"/>
      <c r="J518" s="9"/>
      <c r="K518" s="9"/>
      <c r="L518" s="9"/>
      <c r="M518" s="223"/>
      <c r="N518" s="9"/>
      <c r="O518" s="9"/>
      <c r="P518" s="9"/>
      <c r="Q518" s="9"/>
      <c r="R518" s="9"/>
      <c r="S518" s="223"/>
      <c r="T518" s="223"/>
      <c r="U518" s="223"/>
      <c r="V518" s="9"/>
      <c r="W518" s="9"/>
      <c r="X518" s="9"/>
      <c r="Y518" s="204"/>
      <c r="Z518" s="9"/>
      <c r="AA518" s="9"/>
      <c r="AB518" s="9"/>
      <c r="AC518" s="9"/>
    </row>
    <row r="519" ht="15.75" customHeight="1">
      <c r="A519" s="9"/>
      <c r="B519" s="9"/>
      <c r="C519" s="9"/>
      <c r="D519" s="9"/>
      <c r="E519" s="9"/>
      <c r="F519" s="9"/>
      <c r="G519" s="9"/>
      <c r="H519" s="9"/>
      <c r="I519" s="9"/>
      <c r="J519" s="9"/>
      <c r="K519" s="9"/>
      <c r="L519" s="9"/>
      <c r="M519" s="223"/>
      <c r="N519" s="9"/>
      <c r="O519" s="9"/>
      <c r="P519" s="9"/>
      <c r="Q519" s="9"/>
      <c r="R519" s="9"/>
      <c r="S519" s="223"/>
      <c r="T519" s="223"/>
      <c r="U519" s="223"/>
      <c r="V519" s="9"/>
      <c r="W519" s="9"/>
      <c r="X519" s="9"/>
      <c r="Y519" s="204"/>
      <c r="Z519" s="9"/>
      <c r="AA519" s="9"/>
      <c r="AB519" s="9"/>
      <c r="AC519" s="9"/>
    </row>
    <row r="520" ht="15.75" customHeight="1">
      <c r="A520" s="9"/>
      <c r="B520" s="9"/>
      <c r="C520" s="9"/>
      <c r="D520" s="9"/>
      <c r="E520" s="9"/>
      <c r="F520" s="9"/>
      <c r="G520" s="9"/>
      <c r="H520" s="9"/>
      <c r="I520" s="9"/>
      <c r="J520" s="9"/>
      <c r="K520" s="9"/>
      <c r="L520" s="9"/>
      <c r="M520" s="223"/>
      <c r="N520" s="9"/>
      <c r="O520" s="9"/>
      <c r="P520" s="9"/>
      <c r="Q520" s="9"/>
      <c r="R520" s="9"/>
      <c r="S520" s="223"/>
      <c r="T520" s="223"/>
      <c r="U520" s="223"/>
      <c r="V520" s="9"/>
      <c r="W520" s="9"/>
      <c r="X520" s="9"/>
      <c r="Y520" s="204"/>
      <c r="Z520" s="9"/>
      <c r="AA520" s="9"/>
      <c r="AB520" s="9"/>
      <c r="AC520" s="9"/>
    </row>
    <row r="521" ht="15.75" customHeight="1">
      <c r="A521" s="9"/>
      <c r="B521" s="9"/>
      <c r="C521" s="9"/>
      <c r="D521" s="9"/>
      <c r="E521" s="9"/>
      <c r="F521" s="9"/>
      <c r="G521" s="9"/>
      <c r="H521" s="9"/>
      <c r="I521" s="9"/>
      <c r="J521" s="9"/>
      <c r="K521" s="9"/>
      <c r="L521" s="9"/>
      <c r="M521" s="223"/>
      <c r="N521" s="9"/>
      <c r="O521" s="9"/>
      <c r="P521" s="9"/>
      <c r="Q521" s="9"/>
      <c r="R521" s="9"/>
      <c r="S521" s="223"/>
      <c r="T521" s="223"/>
      <c r="U521" s="223"/>
      <c r="V521" s="9"/>
      <c r="W521" s="9"/>
      <c r="X521" s="9"/>
      <c r="Y521" s="204"/>
      <c r="Z521" s="9"/>
      <c r="AA521" s="9"/>
      <c r="AB521" s="9"/>
      <c r="AC521" s="9"/>
    </row>
    <row r="522" ht="15.75" customHeight="1">
      <c r="A522" s="9"/>
      <c r="B522" s="9"/>
      <c r="C522" s="9"/>
      <c r="D522" s="9"/>
      <c r="E522" s="9"/>
      <c r="F522" s="9"/>
      <c r="G522" s="9"/>
      <c r="H522" s="9"/>
      <c r="I522" s="9"/>
      <c r="J522" s="9"/>
      <c r="K522" s="9"/>
      <c r="L522" s="9"/>
      <c r="M522" s="223"/>
      <c r="N522" s="9"/>
      <c r="O522" s="9"/>
      <c r="P522" s="9"/>
      <c r="Q522" s="9"/>
      <c r="R522" s="9"/>
      <c r="S522" s="223"/>
      <c r="T522" s="223"/>
      <c r="U522" s="223"/>
      <c r="V522" s="9"/>
      <c r="W522" s="9"/>
      <c r="X522" s="9"/>
      <c r="Y522" s="204"/>
      <c r="Z522" s="9"/>
      <c r="AA522" s="9"/>
      <c r="AB522" s="9"/>
      <c r="AC522" s="9"/>
    </row>
    <row r="523" ht="15.75" customHeight="1">
      <c r="A523" s="9"/>
      <c r="B523" s="9"/>
      <c r="C523" s="9"/>
      <c r="D523" s="9"/>
      <c r="E523" s="9"/>
      <c r="F523" s="9"/>
      <c r="G523" s="9"/>
      <c r="H523" s="9"/>
      <c r="I523" s="9"/>
      <c r="J523" s="9"/>
      <c r="K523" s="9"/>
      <c r="L523" s="9"/>
      <c r="M523" s="223"/>
      <c r="N523" s="9"/>
      <c r="O523" s="9"/>
      <c r="P523" s="9"/>
      <c r="Q523" s="9"/>
      <c r="R523" s="9"/>
      <c r="S523" s="223"/>
      <c r="T523" s="223"/>
      <c r="U523" s="223"/>
      <c r="V523" s="9"/>
      <c r="W523" s="9"/>
      <c r="X523" s="9"/>
      <c r="Y523" s="204"/>
      <c r="Z523" s="9"/>
      <c r="AA523" s="9"/>
      <c r="AB523" s="9"/>
      <c r="AC523" s="9"/>
    </row>
    <row r="524" ht="15.75" customHeight="1">
      <c r="A524" s="9"/>
      <c r="B524" s="9"/>
      <c r="C524" s="9"/>
      <c r="D524" s="9"/>
      <c r="E524" s="9"/>
      <c r="F524" s="9"/>
      <c r="G524" s="9"/>
      <c r="H524" s="9"/>
      <c r="I524" s="9"/>
      <c r="J524" s="9"/>
      <c r="K524" s="9"/>
      <c r="L524" s="9"/>
      <c r="M524" s="223"/>
      <c r="N524" s="9"/>
      <c r="O524" s="9"/>
      <c r="P524" s="9"/>
      <c r="Q524" s="9"/>
      <c r="R524" s="9"/>
      <c r="S524" s="223"/>
      <c r="T524" s="223"/>
      <c r="U524" s="223"/>
      <c r="V524" s="9"/>
      <c r="W524" s="9"/>
      <c r="X524" s="9"/>
      <c r="Y524" s="204"/>
      <c r="Z524" s="9"/>
      <c r="AA524" s="9"/>
      <c r="AB524" s="9"/>
      <c r="AC524" s="9"/>
    </row>
    <row r="525" ht="15.75" customHeight="1">
      <c r="A525" s="9"/>
      <c r="B525" s="9"/>
      <c r="C525" s="9"/>
      <c r="D525" s="9"/>
      <c r="E525" s="9"/>
      <c r="F525" s="9"/>
      <c r="G525" s="9"/>
      <c r="H525" s="9"/>
      <c r="I525" s="9"/>
      <c r="J525" s="9"/>
      <c r="K525" s="9"/>
      <c r="L525" s="9"/>
      <c r="M525" s="223"/>
      <c r="N525" s="9"/>
      <c r="O525" s="9"/>
      <c r="P525" s="9"/>
      <c r="Q525" s="9"/>
      <c r="R525" s="9"/>
      <c r="S525" s="223"/>
      <c r="T525" s="223"/>
      <c r="U525" s="223"/>
      <c r="V525" s="9"/>
      <c r="W525" s="9"/>
      <c r="X525" s="9"/>
      <c r="Y525" s="204"/>
      <c r="Z525" s="9"/>
      <c r="AA525" s="9"/>
      <c r="AB525" s="9"/>
      <c r="AC525" s="9"/>
    </row>
    <row r="526" ht="15.75" customHeight="1">
      <c r="A526" s="9"/>
      <c r="B526" s="9"/>
      <c r="C526" s="9"/>
      <c r="D526" s="9"/>
      <c r="E526" s="9"/>
      <c r="F526" s="9"/>
      <c r="G526" s="9"/>
      <c r="H526" s="9"/>
      <c r="I526" s="9"/>
      <c r="J526" s="9"/>
      <c r="K526" s="9"/>
      <c r="L526" s="9"/>
      <c r="M526" s="223"/>
      <c r="N526" s="9"/>
      <c r="O526" s="9"/>
      <c r="P526" s="9"/>
      <c r="Q526" s="9"/>
      <c r="R526" s="9"/>
      <c r="S526" s="223"/>
      <c r="T526" s="223"/>
      <c r="U526" s="223"/>
      <c r="V526" s="9"/>
      <c r="W526" s="9"/>
      <c r="X526" s="9"/>
      <c r="Y526" s="204"/>
      <c r="Z526" s="9"/>
      <c r="AA526" s="9"/>
      <c r="AB526" s="9"/>
      <c r="AC526" s="9"/>
    </row>
    <row r="527" ht="15.75" customHeight="1">
      <c r="A527" s="9"/>
      <c r="B527" s="9"/>
      <c r="C527" s="9"/>
      <c r="D527" s="9"/>
      <c r="E527" s="9"/>
      <c r="F527" s="9"/>
      <c r="G527" s="9"/>
      <c r="H527" s="9"/>
      <c r="I527" s="9"/>
      <c r="J527" s="9"/>
      <c r="K527" s="9"/>
      <c r="L527" s="9"/>
      <c r="M527" s="223"/>
      <c r="N527" s="9"/>
      <c r="O527" s="9"/>
      <c r="P527" s="9"/>
      <c r="Q527" s="9"/>
      <c r="R527" s="9"/>
      <c r="S527" s="223"/>
      <c r="T527" s="223"/>
      <c r="U527" s="223"/>
      <c r="V527" s="9"/>
      <c r="W527" s="9"/>
      <c r="X527" s="9"/>
      <c r="Y527" s="204"/>
      <c r="Z527" s="9"/>
      <c r="AA527" s="9"/>
      <c r="AB527" s="9"/>
      <c r="AC527" s="9"/>
    </row>
    <row r="528" ht="15.75" customHeight="1">
      <c r="A528" s="9"/>
      <c r="B528" s="9"/>
      <c r="C528" s="9"/>
      <c r="D528" s="9"/>
      <c r="E528" s="9"/>
      <c r="F528" s="9"/>
      <c r="G528" s="9"/>
      <c r="H528" s="9"/>
      <c r="I528" s="9"/>
      <c r="J528" s="9"/>
      <c r="K528" s="9"/>
      <c r="L528" s="9"/>
      <c r="M528" s="223"/>
      <c r="N528" s="9"/>
      <c r="O528" s="9"/>
      <c r="P528" s="9"/>
      <c r="Q528" s="9"/>
      <c r="R528" s="9"/>
      <c r="S528" s="223"/>
      <c r="T528" s="223"/>
      <c r="U528" s="223"/>
      <c r="V528" s="9"/>
      <c r="W528" s="9"/>
      <c r="X528" s="9"/>
      <c r="Y528" s="204"/>
      <c r="Z528" s="9"/>
      <c r="AA528" s="9"/>
      <c r="AB528" s="9"/>
      <c r="AC528" s="9"/>
    </row>
    <row r="529" ht="15.75" customHeight="1">
      <c r="A529" s="9"/>
      <c r="B529" s="9"/>
      <c r="C529" s="9"/>
      <c r="D529" s="9"/>
      <c r="E529" s="9"/>
      <c r="F529" s="9"/>
      <c r="G529" s="9"/>
      <c r="H529" s="9"/>
      <c r="I529" s="9"/>
      <c r="J529" s="9"/>
      <c r="K529" s="9"/>
      <c r="L529" s="9"/>
      <c r="M529" s="223"/>
      <c r="N529" s="9"/>
      <c r="O529" s="9"/>
      <c r="P529" s="9"/>
      <c r="Q529" s="9"/>
      <c r="R529" s="9"/>
      <c r="S529" s="223"/>
      <c r="T529" s="223"/>
      <c r="U529" s="223"/>
      <c r="V529" s="9"/>
      <c r="W529" s="9"/>
      <c r="X529" s="9"/>
      <c r="Y529" s="204"/>
      <c r="Z529" s="9"/>
      <c r="AA529" s="9"/>
      <c r="AB529" s="9"/>
      <c r="AC529" s="9"/>
    </row>
    <row r="530" ht="15.75" customHeight="1">
      <c r="A530" s="9"/>
      <c r="B530" s="9"/>
      <c r="C530" s="9"/>
      <c r="D530" s="9"/>
      <c r="E530" s="9"/>
      <c r="F530" s="9"/>
      <c r="G530" s="9"/>
      <c r="H530" s="9"/>
      <c r="I530" s="9"/>
      <c r="J530" s="9"/>
      <c r="K530" s="9"/>
      <c r="L530" s="9"/>
      <c r="M530" s="223"/>
      <c r="N530" s="9"/>
      <c r="O530" s="9"/>
      <c r="P530" s="9"/>
      <c r="Q530" s="9"/>
      <c r="R530" s="9"/>
      <c r="S530" s="223"/>
      <c r="T530" s="223"/>
      <c r="U530" s="223"/>
      <c r="V530" s="9"/>
      <c r="W530" s="9"/>
      <c r="X530" s="9"/>
      <c r="Y530" s="204"/>
      <c r="Z530" s="9"/>
      <c r="AA530" s="9"/>
      <c r="AB530" s="9"/>
      <c r="AC530" s="9"/>
    </row>
    <row r="531" ht="15.75" customHeight="1">
      <c r="A531" s="9"/>
      <c r="B531" s="9"/>
      <c r="C531" s="9"/>
      <c r="D531" s="9"/>
      <c r="E531" s="9"/>
      <c r="F531" s="9"/>
      <c r="G531" s="9"/>
      <c r="H531" s="9"/>
      <c r="I531" s="9"/>
      <c r="J531" s="9"/>
      <c r="K531" s="9"/>
      <c r="L531" s="9"/>
      <c r="M531" s="223"/>
      <c r="N531" s="9"/>
      <c r="O531" s="9"/>
      <c r="P531" s="9"/>
      <c r="Q531" s="9"/>
      <c r="R531" s="9"/>
      <c r="S531" s="223"/>
      <c r="T531" s="223"/>
      <c r="U531" s="223"/>
      <c r="V531" s="9"/>
      <c r="W531" s="9"/>
      <c r="X531" s="9"/>
      <c r="Y531" s="204"/>
      <c r="Z531" s="9"/>
      <c r="AA531" s="9"/>
      <c r="AB531" s="9"/>
      <c r="AC531" s="9"/>
    </row>
    <row r="532" ht="15.75" customHeight="1">
      <c r="A532" s="9"/>
      <c r="B532" s="9"/>
      <c r="C532" s="9"/>
      <c r="D532" s="9"/>
      <c r="E532" s="9"/>
      <c r="F532" s="9"/>
      <c r="G532" s="9"/>
      <c r="H532" s="9"/>
      <c r="I532" s="9"/>
      <c r="J532" s="9"/>
      <c r="K532" s="9"/>
      <c r="L532" s="9"/>
      <c r="M532" s="223"/>
      <c r="N532" s="9"/>
      <c r="O532" s="9"/>
      <c r="P532" s="9"/>
      <c r="Q532" s="9"/>
      <c r="R532" s="9"/>
      <c r="S532" s="223"/>
      <c r="T532" s="223"/>
      <c r="U532" s="223"/>
      <c r="V532" s="9"/>
      <c r="W532" s="9"/>
      <c r="X532" s="9"/>
      <c r="Y532" s="204"/>
      <c r="Z532" s="9"/>
      <c r="AA532" s="9"/>
      <c r="AB532" s="9"/>
      <c r="AC532" s="9"/>
    </row>
    <row r="533" ht="15.75" customHeight="1">
      <c r="A533" s="9"/>
      <c r="B533" s="9"/>
      <c r="C533" s="9"/>
      <c r="D533" s="9"/>
      <c r="E533" s="9"/>
      <c r="F533" s="9"/>
      <c r="G533" s="9"/>
      <c r="H533" s="9"/>
      <c r="I533" s="9"/>
      <c r="J533" s="9"/>
      <c r="K533" s="9"/>
      <c r="L533" s="9"/>
      <c r="M533" s="223"/>
      <c r="N533" s="9"/>
      <c r="O533" s="9"/>
      <c r="P533" s="9"/>
      <c r="Q533" s="9"/>
      <c r="R533" s="9"/>
      <c r="S533" s="223"/>
      <c r="T533" s="223"/>
      <c r="U533" s="223"/>
      <c r="V533" s="9"/>
      <c r="W533" s="9"/>
      <c r="X533" s="9"/>
      <c r="Y533" s="204"/>
      <c r="Z533" s="9"/>
      <c r="AA533" s="9"/>
      <c r="AB533" s="9"/>
      <c r="AC533" s="9"/>
    </row>
    <row r="534" ht="15.75" customHeight="1">
      <c r="A534" s="9"/>
      <c r="B534" s="9"/>
      <c r="C534" s="9"/>
      <c r="D534" s="9"/>
      <c r="E534" s="9"/>
      <c r="F534" s="9"/>
      <c r="G534" s="9"/>
      <c r="H534" s="9"/>
      <c r="I534" s="9"/>
      <c r="J534" s="9"/>
      <c r="K534" s="9"/>
      <c r="L534" s="9"/>
      <c r="M534" s="223"/>
      <c r="N534" s="9"/>
      <c r="O534" s="9"/>
      <c r="P534" s="9"/>
      <c r="Q534" s="9"/>
      <c r="R534" s="9"/>
      <c r="S534" s="223"/>
      <c r="T534" s="223"/>
      <c r="U534" s="223"/>
      <c r="V534" s="9"/>
      <c r="W534" s="9"/>
      <c r="X534" s="9"/>
      <c r="Y534" s="204"/>
      <c r="Z534" s="9"/>
      <c r="AA534" s="9"/>
      <c r="AB534" s="9"/>
      <c r="AC534" s="9"/>
    </row>
    <row r="535" ht="15.75" customHeight="1">
      <c r="A535" s="9"/>
      <c r="B535" s="9"/>
      <c r="C535" s="9"/>
      <c r="D535" s="9"/>
      <c r="E535" s="9"/>
      <c r="F535" s="9"/>
      <c r="G535" s="9"/>
      <c r="H535" s="9"/>
      <c r="I535" s="9"/>
      <c r="J535" s="9"/>
      <c r="K535" s="9"/>
      <c r="L535" s="9"/>
      <c r="M535" s="223"/>
      <c r="N535" s="9"/>
      <c r="O535" s="9"/>
      <c r="P535" s="9"/>
      <c r="Q535" s="9"/>
      <c r="R535" s="9"/>
      <c r="S535" s="223"/>
      <c r="T535" s="223"/>
      <c r="U535" s="223"/>
      <c r="V535" s="9"/>
      <c r="W535" s="9"/>
      <c r="X535" s="9"/>
      <c r="Y535" s="204"/>
      <c r="Z535" s="9"/>
      <c r="AA535" s="9"/>
      <c r="AB535" s="9"/>
      <c r="AC535" s="9"/>
    </row>
    <row r="536" ht="15.75" customHeight="1">
      <c r="A536" s="9"/>
      <c r="B536" s="9"/>
      <c r="C536" s="9"/>
      <c r="D536" s="9"/>
      <c r="E536" s="9"/>
      <c r="F536" s="9"/>
      <c r="G536" s="9"/>
      <c r="H536" s="9"/>
      <c r="I536" s="9"/>
      <c r="J536" s="9"/>
      <c r="K536" s="9"/>
      <c r="L536" s="9"/>
      <c r="M536" s="223"/>
      <c r="N536" s="9"/>
      <c r="O536" s="9"/>
      <c r="P536" s="9"/>
      <c r="Q536" s="9"/>
      <c r="R536" s="9"/>
      <c r="S536" s="223"/>
      <c r="T536" s="223"/>
      <c r="U536" s="223"/>
      <c r="V536" s="9"/>
      <c r="W536" s="9"/>
      <c r="X536" s="9"/>
      <c r="Y536" s="204"/>
      <c r="Z536" s="9"/>
      <c r="AA536" s="9"/>
      <c r="AB536" s="9"/>
      <c r="AC536" s="9"/>
    </row>
    <row r="537" ht="15.75" customHeight="1">
      <c r="A537" s="9"/>
      <c r="B537" s="9"/>
      <c r="C537" s="9"/>
      <c r="D537" s="9"/>
      <c r="E537" s="9"/>
      <c r="F537" s="9"/>
      <c r="G537" s="9"/>
      <c r="H537" s="9"/>
      <c r="I537" s="9"/>
      <c r="J537" s="9"/>
      <c r="K537" s="9"/>
      <c r="L537" s="9"/>
      <c r="M537" s="223"/>
      <c r="N537" s="9"/>
      <c r="O537" s="9"/>
      <c r="P537" s="9"/>
      <c r="Q537" s="9"/>
      <c r="R537" s="9"/>
      <c r="S537" s="223"/>
      <c r="T537" s="223"/>
      <c r="U537" s="223"/>
      <c r="V537" s="9"/>
      <c r="W537" s="9"/>
      <c r="X537" s="9"/>
      <c r="Y537" s="204"/>
      <c r="Z537" s="9"/>
      <c r="AA537" s="9"/>
      <c r="AB537" s="9"/>
      <c r="AC537" s="9"/>
    </row>
    <row r="538" ht="15.75" customHeight="1">
      <c r="A538" s="9"/>
      <c r="B538" s="9"/>
      <c r="C538" s="9"/>
      <c r="D538" s="9"/>
      <c r="E538" s="9"/>
      <c r="F538" s="9"/>
      <c r="G538" s="9"/>
      <c r="H538" s="9"/>
      <c r="I538" s="9"/>
      <c r="J538" s="9"/>
      <c r="K538" s="9"/>
      <c r="L538" s="9"/>
      <c r="M538" s="223"/>
      <c r="N538" s="9"/>
      <c r="O538" s="9"/>
      <c r="P538" s="9"/>
      <c r="Q538" s="9"/>
      <c r="R538" s="9"/>
      <c r="S538" s="223"/>
      <c r="T538" s="223"/>
      <c r="U538" s="223"/>
      <c r="V538" s="9"/>
      <c r="W538" s="9"/>
      <c r="X538" s="9"/>
      <c r="Y538" s="204"/>
      <c r="Z538" s="9"/>
      <c r="AA538" s="9"/>
      <c r="AB538" s="9"/>
      <c r="AC538" s="9"/>
    </row>
    <row r="539" ht="15.75" customHeight="1">
      <c r="A539" s="9"/>
      <c r="B539" s="9"/>
      <c r="C539" s="9"/>
      <c r="D539" s="9"/>
      <c r="E539" s="9"/>
      <c r="F539" s="9"/>
      <c r="G539" s="9"/>
      <c r="H539" s="9"/>
      <c r="I539" s="9"/>
      <c r="J539" s="9"/>
      <c r="K539" s="9"/>
      <c r="L539" s="9"/>
      <c r="M539" s="223"/>
      <c r="N539" s="9"/>
      <c r="O539" s="9"/>
      <c r="P539" s="9"/>
      <c r="Q539" s="9"/>
      <c r="R539" s="9"/>
      <c r="S539" s="223"/>
      <c r="T539" s="223"/>
      <c r="U539" s="223"/>
      <c r="V539" s="9"/>
      <c r="W539" s="9"/>
      <c r="X539" s="9"/>
      <c r="Y539" s="204"/>
      <c r="Z539" s="9"/>
      <c r="AA539" s="9"/>
      <c r="AB539" s="9"/>
      <c r="AC539" s="9"/>
    </row>
    <row r="540" ht="15.75" customHeight="1">
      <c r="A540" s="9"/>
      <c r="B540" s="9"/>
      <c r="C540" s="9"/>
      <c r="D540" s="9"/>
      <c r="E540" s="9"/>
      <c r="F540" s="9"/>
      <c r="G540" s="9"/>
      <c r="H540" s="9"/>
      <c r="I540" s="9"/>
      <c r="J540" s="9"/>
      <c r="K540" s="9"/>
      <c r="L540" s="9"/>
      <c r="M540" s="223"/>
      <c r="N540" s="9"/>
      <c r="O540" s="9"/>
      <c r="P540" s="9"/>
      <c r="Q540" s="9"/>
      <c r="R540" s="9"/>
      <c r="S540" s="223"/>
      <c r="T540" s="223"/>
      <c r="U540" s="223"/>
      <c r="V540" s="9"/>
      <c r="W540" s="9"/>
      <c r="X540" s="9"/>
      <c r="Y540" s="204"/>
      <c r="Z540" s="9"/>
      <c r="AA540" s="9"/>
      <c r="AB540" s="9"/>
      <c r="AC540" s="9"/>
    </row>
    <row r="541" ht="15.75" customHeight="1">
      <c r="A541" s="9"/>
      <c r="B541" s="9"/>
      <c r="C541" s="9"/>
      <c r="D541" s="9"/>
      <c r="E541" s="9"/>
      <c r="F541" s="9"/>
      <c r="G541" s="9"/>
      <c r="H541" s="9"/>
      <c r="I541" s="9"/>
      <c r="J541" s="9"/>
      <c r="K541" s="9"/>
      <c r="L541" s="9"/>
      <c r="M541" s="223"/>
      <c r="N541" s="9"/>
      <c r="O541" s="9"/>
      <c r="P541" s="9"/>
      <c r="Q541" s="9"/>
      <c r="R541" s="9"/>
      <c r="S541" s="223"/>
      <c r="T541" s="223"/>
      <c r="U541" s="223"/>
      <c r="V541" s="9"/>
      <c r="W541" s="9"/>
      <c r="X541" s="9"/>
      <c r="Y541" s="204"/>
      <c r="Z541" s="9"/>
      <c r="AA541" s="9"/>
      <c r="AB541" s="9"/>
      <c r="AC541" s="9"/>
    </row>
    <row r="542" ht="15.75" customHeight="1">
      <c r="A542" s="9"/>
      <c r="B542" s="9"/>
      <c r="C542" s="9"/>
      <c r="D542" s="9"/>
      <c r="E542" s="9"/>
      <c r="F542" s="9"/>
      <c r="G542" s="9"/>
      <c r="H542" s="9"/>
      <c r="I542" s="9"/>
      <c r="J542" s="9"/>
      <c r="K542" s="9"/>
      <c r="L542" s="9"/>
      <c r="M542" s="223"/>
      <c r="N542" s="9"/>
      <c r="O542" s="9"/>
      <c r="P542" s="9"/>
      <c r="Q542" s="9"/>
      <c r="R542" s="9"/>
      <c r="S542" s="223"/>
      <c r="T542" s="223"/>
      <c r="U542" s="223"/>
      <c r="V542" s="9"/>
      <c r="W542" s="9"/>
      <c r="X542" s="9"/>
      <c r="Y542" s="204"/>
      <c r="Z542" s="9"/>
      <c r="AA542" s="9"/>
      <c r="AB542" s="9"/>
      <c r="AC542" s="9"/>
    </row>
    <row r="543" ht="15.75" customHeight="1">
      <c r="A543" s="9"/>
      <c r="B543" s="9"/>
      <c r="C543" s="9"/>
      <c r="D543" s="9"/>
      <c r="E543" s="9"/>
      <c r="F543" s="9"/>
      <c r="G543" s="9"/>
      <c r="H543" s="9"/>
      <c r="I543" s="9"/>
      <c r="J543" s="9"/>
      <c r="K543" s="9"/>
      <c r="L543" s="9"/>
      <c r="M543" s="223"/>
      <c r="N543" s="9"/>
      <c r="O543" s="9"/>
      <c r="P543" s="9"/>
      <c r="Q543" s="9"/>
      <c r="R543" s="9"/>
      <c r="S543" s="223"/>
      <c r="T543" s="223"/>
      <c r="U543" s="223"/>
      <c r="V543" s="9"/>
      <c r="W543" s="9"/>
      <c r="X543" s="9"/>
      <c r="Y543" s="204"/>
      <c r="Z543" s="9"/>
      <c r="AA543" s="9"/>
      <c r="AB543" s="9"/>
      <c r="AC543" s="9"/>
    </row>
    <row r="544" ht="15.75" customHeight="1">
      <c r="A544" s="9"/>
      <c r="B544" s="9"/>
      <c r="C544" s="9"/>
      <c r="D544" s="9"/>
      <c r="E544" s="9"/>
      <c r="F544" s="9"/>
      <c r="G544" s="9"/>
      <c r="H544" s="9"/>
      <c r="I544" s="9"/>
      <c r="J544" s="9"/>
      <c r="K544" s="9"/>
      <c r="L544" s="9"/>
      <c r="M544" s="223"/>
      <c r="N544" s="9"/>
      <c r="O544" s="9"/>
      <c r="P544" s="9"/>
      <c r="Q544" s="9"/>
      <c r="R544" s="9"/>
      <c r="S544" s="223"/>
      <c r="T544" s="223"/>
      <c r="U544" s="223"/>
      <c r="V544" s="9"/>
      <c r="W544" s="9"/>
      <c r="X544" s="9"/>
      <c r="Y544" s="204"/>
      <c r="Z544" s="9"/>
      <c r="AA544" s="9"/>
      <c r="AB544" s="9"/>
      <c r="AC544" s="9"/>
    </row>
    <row r="545" ht="15.75" customHeight="1">
      <c r="A545" s="9"/>
      <c r="B545" s="9"/>
      <c r="C545" s="9"/>
      <c r="D545" s="9"/>
      <c r="E545" s="9"/>
      <c r="F545" s="9"/>
      <c r="G545" s="9"/>
      <c r="H545" s="9"/>
      <c r="I545" s="9"/>
      <c r="J545" s="9"/>
      <c r="K545" s="9"/>
      <c r="L545" s="9"/>
      <c r="M545" s="223"/>
      <c r="N545" s="9"/>
      <c r="O545" s="9"/>
      <c r="P545" s="9"/>
      <c r="Q545" s="9"/>
      <c r="R545" s="9"/>
      <c r="S545" s="223"/>
      <c r="T545" s="223"/>
      <c r="U545" s="223"/>
      <c r="V545" s="9"/>
      <c r="W545" s="9"/>
      <c r="X545" s="9"/>
      <c r="Y545" s="204"/>
      <c r="Z545" s="9"/>
      <c r="AA545" s="9"/>
      <c r="AB545" s="9"/>
      <c r="AC545" s="9"/>
    </row>
    <row r="546" ht="15.75" customHeight="1">
      <c r="A546" s="9"/>
      <c r="B546" s="9"/>
      <c r="C546" s="9"/>
      <c r="D546" s="9"/>
      <c r="E546" s="9"/>
      <c r="F546" s="9"/>
      <c r="G546" s="9"/>
      <c r="H546" s="9"/>
      <c r="I546" s="9"/>
      <c r="J546" s="9"/>
      <c r="K546" s="9"/>
      <c r="L546" s="9"/>
      <c r="M546" s="223"/>
      <c r="N546" s="9"/>
      <c r="O546" s="9"/>
      <c r="P546" s="9"/>
      <c r="Q546" s="9"/>
      <c r="R546" s="9"/>
      <c r="S546" s="223"/>
      <c r="T546" s="223"/>
      <c r="U546" s="223"/>
      <c r="V546" s="9"/>
      <c r="W546" s="9"/>
      <c r="X546" s="9"/>
      <c r="Y546" s="204"/>
      <c r="Z546" s="9"/>
      <c r="AA546" s="9"/>
      <c r="AB546" s="9"/>
      <c r="AC546" s="9"/>
    </row>
    <row r="547" ht="15.75" customHeight="1">
      <c r="A547" s="9"/>
      <c r="B547" s="9"/>
      <c r="C547" s="9"/>
      <c r="D547" s="9"/>
      <c r="E547" s="9"/>
      <c r="F547" s="9"/>
      <c r="G547" s="9"/>
      <c r="H547" s="9"/>
      <c r="I547" s="9"/>
      <c r="J547" s="9"/>
      <c r="K547" s="9"/>
      <c r="L547" s="9"/>
      <c r="M547" s="223"/>
      <c r="N547" s="9"/>
      <c r="O547" s="9"/>
      <c r="P547" s="9"/>
      <c r="Q547" s="9"/>
      <c r="R547" s="9"/>
      <c r="S547" s="223"/>
      <c r="T547" s="223"/>
      <c r="U547" s="223"/>
      <c r="V547" s="9"/>
      <c r="W547" s="9"/>
      <c r="X547" s="9"/>
      <c r="Y547" s="204"/>
      <c r="Z547" s="9"/>
      <c r="AA547" s="9"/>
      <c r="AB547" s="9"/>
      <c r="AC547" s="9"/>
    </row>
    <row r="548" ht="15.75" customHeight="1">
      <c r="A548" s="9"/>
      <c r="B548" s="9"/>
      <c r="C548" s="9"/>
      <c r="D548" s="9"/>
      <c r="E548" s="9"/>
      <c r="F548" s="9"/>
      <c r="G548" s="9"/>
      <c r="H548" s="9"/>
      <c r="I548" s="9"/>
      <c r="J548" s="9"/>
      <c r="K548" s="9"/>
      <c r="L548" s="9"/>
      <c r="M548" s="223"/>
      <c r="N548" s="9"/>
      <c r="O548" s="9"/>
      <c r="P548" s="9"/>
      <c r="Q548" s="9"/>
      <c r="R548" s="9"/>
      <c r="S548" s="223"/>
      <c r="T548" s="223"/>
      <c r="U548" s="223"/>
      <c r="V548" s="9"/>
      <c r="W548" s="9"/>
      <c r="X548" s="9"/>
      <c r="Y548" s="204"/>
      <c r="Z548" s="9"/>
      <c r="AA548" s="9"/>
      <c r="AB548" s="9"/>
      <c r="AC548" s="9"/>
    </row>
    <row r="549" ht="15.75" customHeight="1">
      <c r="A549" s="9"/>
      <c r="B549" s="9"/>
      <c r="C549" s="9"/>
      <c r="D549" s="9"/>
      <c r="E549" s="9"/>
      <c r="F549" s="9"/>
      <c r="G549" s="9"/>
      <c r="H549" s="9"/>
      <c r="I549" s="9"/>
      <c r="J549" s="9"/>
      <c r="K549" s="9"/>
      <c r="L549" s="9"/>
      <c r="M549" s="223"/>
      <c r="N549" s="9"/>
      <c r="O549" s="9"/>
      <c r="P549" s="9"/>
      <c r="Q549" s="9"/>
      <c r="R549" s="9"/>
      <c r="S549" s="223"/>
      <c r="T549" s="223"/>
      <c r="U549" s="223"/>
      <c r="V549" s="9"/>
      <c r="W549" s="9"/>
      <c r="X549" s="9"/>
      <c r="Y549" s="204"/>
      <c r="Z549" s="9"/>
      <c r="AA549" s="9"/>
      <c r="AB549" s="9"/>
      <c r="AC549" s="9"/>
    </row>
    <row r="550" ht="15.75" customHeight="1">
      <c r="A550" s="9"/>
      <c r="B550" s="9"/>
      <c r="C550" s="9"/>
      <c r="D550" s="9"/>
      <c r="E550" s="9"/>
      <c r="F550" s="9"/>
      <c r="G550" s="9"/>
      <c r="H550" s="9"/>
      <c r="I550" s="9"/>
      <c r="J550" s="9"/>
      <c r="K550" s="9"/>
      <c r="L550" s="9"/>
      <c r="M550" s="223"/>
      <c r="N550" s="9"/>
      <c r="O550" s="9"/>
      <c r="P550" s="9"/>
      <c r="Q550" s="9"/>
      <c r="R550" s="9"/>
      <c r="S550" s="223"/>
      <c r="T550" s="223"/>
      <c r="U550" s="223"/>
      <c r="V550" s="9"/>
      <c r="W550" s="9"/>
      <c r="X550" s="9"/>
      <c r="Y550" s="204"/>
      <c r="Z550" s="9"/>
      <c r="AA550" s="9"/>
      <c r="AB550" s="9"/>
      <c r="AC550" s="9"/>
    </row>
    <row r="551" ht="15.75" customHeight="1">
      <c r="A551" s="9"/>
      <c r="B551" s="9"/>
      <c r="C551" s="9"/>
      <c r="D551" s="9"/>
      <c r="E551" s="9"/>
      <c r="F551" s="9"/>
      <c r="G551" s="9"/>
      <c r="H551" s="9"/>
      <c r="I551" s="9"/>
      <c r="J551" s="9"/>
      <c r="K551" s="9"/>
      <c r="L551" s="9"/>
      <c r="M551" s="223"/>
      <c r="N551" s="9"/>
      <c r="O551" s="9"/>
      <c r="P551" s="9"/>
      <c r="Q551" s="9"/>
      <c r="R551" s="9"/>
      <c r="S551" s="223"/>
      <c r="T551" s="223"/>
      <c r="U551" s="223"/>
      <c r="V551" s="9"/>
      <c r="W551" s="9"/>
      <c r="X551" s="9"/>
      <c r="Y551" s="204"/>
      <c r="Z551" s="9"/>
      <c r="AA551" s="9"/>
      <c r="AB551" s="9"/>
      <c r="AC551" s="9"/>
    </row>
    <row r="552" ht="15.75" customHeight="1">
      <c r="A552" s="9"/>
      <c r="B552" s="9"/>
      <c r="C552" s="9"/>
      <c r="D552" s="9"/>
      <c r="E552" s="9"/>
      <c r="F552" s="9"/>
      <c r="G552" s="9"/>
      <c r="H552" s="9"/>
      <c r="I552" s="9"/>
      <c r="J552" s="9"/>
      <c r="K552" s="9"/>
      <c r="L552" s="9"/>
      <c r="M552" s="223"/>
      <c r="N552" s="9"/>
      <c r="O552" s="9"/>
      <c r="P552" s="9"/>
      <c r="Q552" s="9"/>
      <c r="R552" s="9"/>
      <c r="S552" s="223"/>
      <c r="T552" s="223"/>
      <c r="U552" s="223"/>
      <c r="V552" s="9"/>
      <c r="W552" s="9"/>
      <c r="X552" s="9"/>
      <c r="Y552" s="204"/>
      <c r="Z552" s="9"/>
      <c r="AA552" s="9"/>
      <c r="AB552" s="9"/>
      <c r="AC552" s="9"/>
    </row>
    <row r="553" ht="15.75" customHeight="1">
      <c r="A553" s="9"/>
      <c r="B553" s="9"/>
      <c r="C553" s="9"/>
      <c r="D553" s="9"/>
      <c r="E553" s="9"/>
      <c r="F553" s="9"/>
      <c r="G553" s="9"/>
      <c r="H553" s="9"/>
      <c r="I553" s="9"/>
      <c r="J553" s="9"/>
      <c r="K553" s="9"/>
      <c r="L553" s="9"/>
      <c r="M553" s="223"/>
      <c r="N553" s="9"/>
      <c r="O553" s="9"/>
      <c r="P553" s="9"/>
      <c r="Q553" s="9"/>
      <c r="R553" s="9"/>
      <c r="S553" s="223"/>
      <c r="T553" s="223"/>
      <c r="U553" s="223"/>
      <c r="V553" s="9"/>
      <c r="W553" s="9"/>
      <c r="X553" s="9"/>
      <c r="Y553" s="204"/>
      <c r="Z553" s="9"/>
      <c r="AA553" s="9"/>
      <c r="AB553" s="9"/>
      <c r="AC553" s="9"/>
    </row>
    <row r="554" ht="15.75" customHeight="1">
      <c r="A554" s="9"/>
      <c r="B554" s="9"/>
      <c r="C554" s="9"/>
      <c r="D554" s="9"/>
      <c r="E554" s="9"/>
      <c r="F554" s="9"/>
      <c r="G554" s="9"/>
      <c r="H554" s="9"/>
      <c r="I554" s="9"/>
      <c r="J554" s="9"/>
      <c r="K554" s="9"/>
      <c r="L554" s="9"/>
      <c r="M554" s="223"/>
      <c r="N554" s="9"/>
      <c r="O554" s="9"/>
      <c r="P554" s="9"/>
      <c r="Q554" s="9"/>
      <c r="R554" s="9"/>
      <c r="S554" s="223"/>
      <c r="T554" s="223"/>
      <c r="U554" s="223"/>
      <c r="V554" s="9"/>
      <c r="W554" s="9"/>
      <c r="X554" s="9"/>
      <c r="Y554" s="204"/>
      <c r="Z554" s="9"/>
      <c r="AA554" s="9"/>
      <c r="AB554" s="9"/>
      <c r="AC554" s="9"/>
    </row>
    <row r="555" ht="15.75" customHeight="1">
      <c r="A555" s="9"/>
      <c r="B555" s="9"/>
      <c r="C555" s="9"/>
      <c r="D555" s="9"/>
      <c r="E555" s="9"/>
      <c r="F555" s="9"/>
      <c r="G555" s="9"/>
      <c r="H555" s="9"/>
      <c r="I555" s="9"/>
      <c r="J555" s="9"/>
      <c r="K555" s="9"/>
      <c r="L555" s="9"/>
      <c r="M555" s="223"/>
      <c r="N555" s="9"/>
      <c r="O555" s="9"/>
      <c r="P555" s="9"/>
      <c r="Q555" s="9"/>
      <c r="R555" s="9"/>
      <c r="S555" s="223"/>
      <c r="T555" s="223"/>
      <c r="U555" s="223"/>
      <c r="V555" s="9"/>
      <c r="W555" s="9"/>
      <c r="X555" s="9"/>
      <c r="Y555" s="204"/>
      <c r="Z555" s="9"/>
      <c r="AA555" s="9"/>
      <c r="AB555" s="9"/>
      <c r="AC555" s="9"/>
    </row>
    <row r="556" ht="15.75" customHeight="1">
      <c r="A556" s="9"/>
      <c r="B556" s="9"/>
      <c r="C556" s="9"/>
      <c r="D556" s="9"/>
      <c r="E556" s="9"/>
      <c r="F556" s="9"/>
      <c r="G556" s="9"/>
      <c r="H556" s="9"/>
      <c r="I556" s="9"/>
      <c r="J556" s="9"/>
      <c r="K556" s="9"/>
      <c r="L556" s="9"/>
      <c r="M556" s="223"/>
      <c r="N556" s="9"/>
      <c r="O556" s="9"/>
      <c r="P556" s="9"/>
      <c r="Q556" s="9"/>
      <c r="R556" s="9"/>
      <c r="S556" s="223"/>
      <c r="T556" s="223"/>
      <c r="U556" s="223"/>
      <c r="V556" s="9"/>
      <c r="W556" s="9"/>
      <c r="X556" s="9"/>
      <c r="Y556" s="204"/>
      <c r="Z556" s="9"/>
      <c r="AA556" s="9"/>
      <c r="AB556" s="9"/>
      <c r="AC556" s="9"/>
    </row>
    <row r="557" ht="15.75" customHeight="1">
      <c r="A557" s="9"/>
      <c r="B557" s="9"/>
      <c r="C557" s="9"/>
      <c r="D557" s="9"/>
      <c r="E557" s="9"/>
      <c r="F557" s="9"/>
      <c r="G557" s="9"/>
      <c r="H557" s="9"/>
      <c r="I557" s="9"/>
      <c r="J557" s="9"/>
      <c r="K557" s="9"/>
      <c r="L557" s="9"/>
      <c r="M557" s="223"/>
      <c r="N557" s="9"/>
      <c r="O557" s="9"/>
      <c r="P557" s="9"/>
      <c r="Q557" s="9"/>
      <c r="R557" s="9"/>
      <c r="S557" s="223"/>
      <c r="T557" s="223"/>
      <c r="U557" s="223"/>
      <c r="V557" s="9"/>
      <c r="W557" s="9"/>
      <c r="X557" s="9"/>
      <c r="Y557" s="204"/>
      <c r="Z557" s="9"/>
      <c r="AA557" s="9"/>
      <c r="AB557" s="9"/>
      <c r="AC557" s="9"/>
    </row>
    <row r="558" ht="15.75" customHeight="1">
      <c r="A558" s="9"/>
      <c r="B558" s="9"/>
      <c r="C558" s="9"/>
      <c r="D558" s="9"/>
      <c r="E558" s="9"/>
      <c r="F558" s="9"/>
      <c r="G558" s="9"/>
      <c r="H558" s="9"/>
      <c r="I558" s="9"/>
      <c r="J558" s="9"/>
      <c r="K558" s="9"/>
      <c r="L558" s="9"/>
      <c r="M558" s="223"/>
      <c r="N558" s="9"/>
      <c r="O558" s="9"/>
      <c r="P558" s="9"/>
      <c r="Q558" s="9"/>
      <c r="R558" s="9"/>
      <c r="S558" s="223"/>
      <c r="T558" s="223"/>
      <c r="U558" s="223"/>
      <c r="V558" s="9"/>
      <c r="W558" s="9"/>
      <c r="X558" s="9"/>
      <c r="Y558" s="204"/>
      <c r="Z558" s="9"/>
      <c r="AA558" s="9"/>
      <c r="AB558" s="9"/>
      <c r="AC558" s="9"/>
    </row>
    <row r="559" ht="15.75" customHeight="1">
      <c r="A559" s="9"/>
      <c r="B559" s="9"/>
      <c r="C559" s="9"/>
      <c r="D559" s="9"/>
      <c r="E559" s="9"/>
      <c r="F559" s="9"/>
      <c r="G559" s="9"/>
      <c r="H559" s="9"/>
      <c r="I559" s="9"/>
      <c r="J559" s="9"/>
      <c r="K559" s="9"/>
      <c r="L559" s="9"/>
      <c r="M559" s="223"/>
      <c r="N559" s="9"/>
      <c r="O559" s="9"/>
      <c r="P559" s="9"/>
      <c r="Q559" s="9"/>
      <c r="R559" s="9"/>
      <c r="S559" s="223"/>
      <c r="T559" s="223"/>
      <c r="U559" s="223"/>
      <c r="V559" s="9"/>
      <c r="W559" s="9"/>
      <c r="X559" s="9"/>
      <c r="Y559" s="204"/>
      <c r="Z559" s="9"/>
      <c r="AA559" s="9"/>
      <c r="AB559" s="9"/>
      <c r="AC559" s="9"/>
    </row>
    <row r="560" ht="15.75" customHeight="1">
      <c r="A560" s="9"/>
      <c r="B560" s="9"/>
      <c r="C560" s="9"/>
      <c r="D560" s="9"/>
      <c r="E560" s="9"/>
      <c r="F560" s="9"/>
      <c r="G560" s="9"/>
      <c r="H560" s="9"/>
      <c r="I560" s="9"/>
      <c r="J560" s="9"/>
      <c r="K560" s="9"/>
      <c r="L560" s="9"/>
      <c r="M560" s="223"/>
      <c r="N560" s="9"/>
      <c r="O560" s="9"/>
      <c r="P560" s="9"/>
      <c r="Q560" s="9"/>
      <c r="R560" s="9"/>
      <c r="S560" s="223"/>
      <c r="T560" s="223"/>
      <c r="U560" s="223"/>
      <c r="V560" s="9"/>
      <c r="W560" s="9"/>
      <c r="X560" s="9"/>
      <c r="Y560" s="204"/>
      <c r="Z560" s="9"/>
      <c r="AA560" s="9"/>
      <c r="AB560" s="9"/>
      <c r="AC560" s="9"/>
    </row>
    <row r="561" ht="15.75" customHeight="1">
      <c r="A561" s="9"/>
      <c r="B561" s="9"/>
      <c r="C561" s="9"/>
      <c r="D561" s="9"/>
      <c r="E561" s="9"/>
      <c r="F561" s="9"/>
      <c r="G561" s="9"/>
      <c r="H561" s="9"/>
      <c r="I561" s="9"/>
      <c r="J561" s="9"/>
      <c r="K561" s="9"/>
      <c r="L561" s="9"/>
      <c r="M561" s="223"/>
      <c r="N561" s="9"/>
      <c r="O561" s="9"/>
      <c r="P561" s="9"/>
      <c r="Q561" s="9"/>
      <c r="R561" s="9"/>
      <c r="S561" s="223"/>
      <c r="T561" s="223"/>
      <c r="U561" s="223"/>
      <c r="V561" s="9"/>
      <c r="W561" s="9"/>
      <c r="X561" s="9"/>
      <c r="Y561" s="204"/>
      <c r="Z561" s="9"/>
      <c r="AA561" s="9"/>
      <c r="AB561" s="9"/>
      <c r="AC561" s="9"/>
    </row>
    <row r="562" ht="15.75" customHeight="1">
      <c r="A562" s="9"/>
      <c r="B562" s="9"/>
      <c r="C562" s="9"/>
      <c r="D562" s="9"/>
      <c r="E562" s="9"/>
      <c r="F562" s="9"/>
      <c r="G562" s="9"/>
      <c r="H562" s="9"/>
      <c r="I562" s="9"/>
      <c r="J562" s="9"/>
      <c r="K562" s="9"/>
      <c r="L562" s="9"/>
      <c r="M562" s="223"/>
      <c r="N562" s="9"/>
      <c r="O562" s="9"/>
      <c r="P562" s="9"/>
      <c r="Q562" s="9"/>
      <c r="R562" s="9"/>
      <c r="S562" s="223"/>
      <c r="T562" s="223"/>
      <c r="U562" s="223"/>
      <c r="V562" s="9"/>
      <c r="W562" s="9"/>
      <c r="X562" s="9"/>
      <c r="Y562" s="204"/>
      <c r="Z562" s="9"/>
      <c r="AA562" s="9"/>
      <c r="AB562" s="9"/>
      <c r="AC562" s="9"/>
    </row>
    <row r="563" ht="15.75" customHeight="1">
      <c r="A563" s="9"/>
      <c r="B563" s="9"/>
      <c r="C563" s="9"/>
      <c r="D563" s="9"/>
      <c r="E563" s="9"/>
      <c r="F563" s="9"/>
      <c r="G563" s="9"/>
      <c r="H563" s="9"/>
      <c r="I563" s="9"/>
      <c r="J563" s="9"/>
      <c r="K563" s="9"/>
      <c r="L563" s="9"/>
      <c r="M563" s="223"/>
      <c r="N563" s="9"/>
      <c r="O563" s="9"/>
      <c r="P563" s="9"/>
      <c r="Q563" s="9"/>
      <c r="R563" s="9"/>
      <c r="S563" s="223"/>
      <c r="T563" s="223"/>
      <c r="U563" s="223"/>
      <c r="V563" s="9"/>
      <c r="W563" s="9"/>
      <c r="X563" s="9"/>
      <c r="Y563" s="204"/>
      <c r="Z563" s="9"/>
      <c r="AA563" s="9"/>
      <c r="AB563" s="9"/>
      <c r="AC563" s="9"/>
    </row>
    <row r="564" ht="15.75" customHeight="1">
      <c r="A564" s="9"/>
      <c r="B564" s="9"/>
      <c r="C564" s="9"/>
      <c r="D564" s="9"/>
      <c r="E564" s="9"/>
      <c r="F564" s="9"/>
      <c r="G564" s="9"/>
      <c r="H564" s="9"/>
      <c r="I564" s="9"/>
      <c r="J564" s="9"/>
      <c r="K564" s="9"/>
      <c r="L564" s="9"/>
      <c r="M564" s="223"/>
      <c r="N564" s="9"/>
      <c r="O564" s="9"/>
      <c r="P564" s="9"/>
      <c r="Q564" s="9"/>
      <c r="R564" s="9"/>
      <c r="S564" s="223"/>
      <c r="T564" s="223"/>
      <c r="U564" s="223"/>
      <c r="V564" s="9"/>
      <c r="W564" s="9"/>
      <c r="X564" s="9"/>
      <c r="Y564" s="204"/>
      <c r="Z564" s="9"/>
      <c r="AA564" s="9"/>
      <c r="AB564" s="9"/>
      <c r="AC564" s="9"/>
    </row>
    <row r="565" ht="15.75" customHeight="1">
      <c r="A565" s="9"/>
      <c r="B565" s="9"/>
      <c r="C565" s="9"/>
      <c r="D565" s="9"/>
      <c r="E565" s="9"/>
      <c r="F565" s="9"/>
      <c r="G565" s="9"/>
      <c r="H565" s="9"/>
      <c r="I565" s="9"/>
      <c r="J565" s="9"/>
      <c r="K565" s="9"/>
      <c r="L565" s="9"/>
      <c r="M565" s="223"/>
      <c r="N565" s="9"/>
      <c r="O565" s="9"/>
      <c r="P565" s="9"/>
      <c r="Q565" s="9"/>
      <c r="R565" s="9"/>
      <c r="S565" s="223"/>
      <c r="T565" s="223"/>
      <c r="U565" s="223"/>
      <c r="V565" s="9"/>
      <c r="W565" s="9"/>
      <c r="X565" s="9"/>
      <c r="Y565" s="204"/>
      <c r="Z565" s="9"/>
      <c r="AA565" s="9"/>
      <c r="AB565" s="9"/>
      <c r="AC565" s="9"/>
    </row>
    <row r="566" ht="15.75" customHeight="1">
      <c r="A566" s="9"/>
      <c r="B566" s="9"/>
      <c r="C566" s="9"/>
      <c r="D566" s="9"/>
      <c r="E566" s="9"/>
      <c r="F566" s="9"/>
      <c r="G566" s="9"/>
      <c r="H566" s="9"/>
      <c r="I566" s="9"/>
      <c r="J566" s="9"/>
      <c r="K566" s="9"/>
      <c r="L566" s="9"/>
      <c r="M566" s="223"/>
      <c r="N566" s="9"/>
      <c r="O566" s="9"/>
      <c r="P566" s="9"/>
      <c r="Q566" s="9"/>
      <c r="R566" s="9"/>
      <c r="S566" s="223"/>
      <c r="T566" s="223"/>
      <c r="U566" s="223"/>
      <c r="V566" s="9"/>
      <c r="W566" s="9"/>
      <c r="X566" s="9"/>
      <c r="Y566" s="204"/>
      <c r="Z566" s="9"/>
      <c r="AA566" s="9"/>
      <c r="AB566" s="9"/>
      <c r="AC566" s="9"/>
    </row>
    <row r="567" ht="15.75" customHeight="1">
      <c r="A567" s="9"/>
      <c r="B567" s="9"/>
      <c r="C567" s="9"/>
      <c r="D567" s="9"/>
      <c r="E567" s="9"/>
      <c r="F567" s="9"/>
      <c r="G567" s="9"/>
      <c r="H567" s="9"/>
      <c r="I567" s="9"/>
      <c r="J567" s="9"/>
      <c r="K567" s="9"/>
      <c r="L567" s="9"/>
      <c r="M567" s="223"/>
      <c r="N567" s="9"/>
      <c r="O567" s="9"/>
      <c r="P567" s="9"/>
      <c r="Q567" s="9"/>
      <c r="R567" s="9"/>
      <c r="S567" s="223"/>
      <c r="T567" s="223"/>
      <c r="U567" s="223"/>
      <c r="V567" s="9"/>
      <c r="W567" s="9"/>
      <c r="X567" s="9"/>
      <c r="Y567" s="204"/>
      <c r="Z567" s="9"/>
      <c r="AA567" s="9"/>
      <c r="AB567" s="9"/>
      <c r="AC567" s="9"/>
    </row>
    <row r="568" ht="15.75" customHeight="1">
      <c r="A568" s="9"/>
      <c r="B568" s="9"/>
      <c r="C568" s="9"/>
      <c r="D568" s="9"/>
      <c r="E568" s="9"/>
      <c r="F568" s="9"/>
      <c r="G568" s="9"/>
      <c r="H568" s="9"/>
      <c r="I568" s="9"/>
      <c r="J568" s="9"/>
      <c r="K568" s="9"/>
      <c r="L568" s="9"/>
      <c r="M568" s="223"/>
      <c r="N568" s="9"/>
      <c r="O568" s="9"/>
      <c r="P568" s="9"/>
      <c r="Q568" s="9"/>
      <c r="R568" s="9"/>
      <c r="S568" s="223"/>
      <c r="T568" s="223"/>
      <c r="U568" s="223"/>
      <c r="V568" s="9"/>
      <c r="W568" s="9"/>
      <c r="X568" s="9"/>
      <c r="Y568" s="204"/>
      <c r="Z568" s="9"/>
      <c r="AA568" s="9"/>
      <c r="AB568" s="9"/>
      <c r="AC568" s="9"/>
    </row>
    <row r="569" ht="15.75" customHeight="1">
      <c r="A569" s="9"/>
      <c r="B569" s="9"/>
      <c r="C569" s="9"/>
      <c r="D569" s="9"/>
      <c r="E569" s="9"/>
      <c r="F569" s="9"/>
      <c r="G569" s="9"/>
      <c r="H569" s="9"/>
      <c r="I569" s="9"/>
      <c r="J569" s="9"/>
      <c r="K569" s="9"/>
      <c r="L569" s="9"/>
      <c r="M569" s="223"/>
      <c r="N569" s="9"/>
      <c r="O569" s="9"/>
      <c r="P569" s="9"/>
      <c r="Q569" s="9"/>
      <c r="R569" s="9"/>
      <c r="S569" s="223"/>
      <c r="T569" s="223"/>
      <c r="U569" s="223"/>
      <c r="V569" s="9"/>
      <c r="W569" s="9"/>
      <c r="X569" s="9"/>
      <c r="Y569" s="204"/>
      <c r="Z569" s="9"/>
      <c r="AA569" s="9"/>
      <c r="AB569" s="9"/>
      <c r="AC569" s="9"/>
    </row>
    <row r="570" ht="15.75" customHeight="1">
      <c r="A570" s="9"/>
      <c r="B570" s="9"/>
      <c r="C570" s="9"/>
      <c r="D570" s="9"/>
      <c r="E570" s="9"/>
      <c r="F570" s="9"/>
      <c r="G570" s="9"/>
      <c r="H570" s="9"/>
      <c r="I570" s="9"/>
      <c r="J570" s="9"/>
      <c r="K570" s="9"/>
      <c r="L570" s="9"/>
      <c r="M570" s="223"/>
      <c r="N570" s="9"/>
      <c r="O570" s="9"/>
      <c r="P570" s="9"/>
      <c r="Q570" s="9"/>
      <c r="R570" s="9"/>
      <c r="S570" s="223"/>
      <c r="T570" s="223"/>
      <c r="U570" s="223"/>
      <c r="V570" s="9"/>
      <c r="W570" s="9"/>
      <c r="X570" s="9"/>
      <c r="Y570" s="204"/>
      <c r="Z570" s="9"/>
      <c r="AA570" s="9"/>
      <c r="AB570" s="9"/>
      <c r="AC570" s="9"/>
    </row>
    <row r="571" ht="15.75" customHeight="1">
      <c r="A571" s="9"/>
      <c r="B571" s="9"/>
      <c r="C571" s="9"/>
      <c r="D571" s="9"/>
      <c r="E571" s="9"/>
      <c r="F571" s="9"/>
      <c r="G571" s="9"/>
      <c r="H571" s="9"/>
      <c r="I571" s="9"/>
      <c r="J571" s="9"/>
      <c r="K571" s="9"/>
      <c r="L571" s="9"/>
      <c r="M571" s="223"/>
      <c r="N571" s="9"/>
      <c r="O571" s="9"/>
      <c r="P571" s="9"/>
      <c r="Q571" s="9"/>
      <c r="R571" s="9"/>
      <c r="S571" s="223"/>
      <c r="T571" s="223"/>
      <c r="U571" s="223"/>
      <c r="V571" s="9"/>
      <c r="W571" s="9"/>
      <c r="X571" s="9"/>
      <c r="Y571" s="204"/>
      <c r="Z571" s="9"/>
      <c r="AA571" s="9"/>
      <c r="AB571" s="9"/>
      <c r="AC571" s="9"/>
    </row>
    <row r="572" ht="15.75" customHeight="1">
      <c r="A572" s="9"/>
      <c r="B572" s="9"/>
      <c r="C572" s="9"/>
      <c r="D572" s="9"/>
      <c r="E572" s="9"/>
      <c r="F572" s="9"/>
      <c r="G572" s="9"/>
      <c r="H572" s="9"/>
      <c r="I572" s="9"/>
      <c r="J572" s="9"/>
      <c r="K572" s="9"/>
      <c r="L572" s="9"/>
      <c r="M572" s="223"/>
      <c r="N572" s="9"/>
      <c r="O572" s="9"/>
      <c r="P572" s="9"/>
      <c r="Q572" s="9"/>
      <c r="R572" s="9"/>
      <c r="S572" s="223"/>
      <c r="T572" s="223"/>
      <c r="U572" s="223"/>
      <c r="V572" s="9"/>
      <c r="W572" s="9"/>
      <c r="X572" s="9"/>
      <c r="Y572" s="204"/>
      <c r="Z572" s="9"/>
      <c r="AA572" s="9"/>
      <c r="AB572" s="9"/>
      <c r="AC572" s="9"/>
    </row>
    <row r="573" ht="15.75" customHeight="1">
      <c r="A573" s="9"/>
      <c r="B573" s="9"/>
      <c r="C573" s="9"/>
      <c r="D573" s="9"/>
      <c r="E573" s="9"/>
      <c r="F573" s="9"/>
      <c r="G573" s="9"/>
      <c r="H573" s="9"/>
      <c r="I573" s="9"/>
      <c r="J573" s="9"/>
      <c r="K573" s="9"/>
      <c r="L573" s="9"/>
      <c r="M573" s="223"/>
      <c r="N573" s="9"/>
      <c r="O573" s="9"/>
      <c r="P573" s="9"/>
      <c r="Q573" s="9"/>
      <c r="R573" s="9"/>
      <c r="S573" s="223"/>
      <c r="T573" s="223"/>
      <c r="U573" s="223"/>
      <c r="V573" s="9"/>
      <c r="W573" s="9"/>
      <c r="X573" s="9"/>
      <c r="Y573" s="204"/>
      <c r="Z573" s="9"/>
      <c r="AA573" s="9"/>
      <c r="AB573" s="9"/>
      <c r="AC573" s="9"/>
    </row>
    <row r="574" ht="15.75" customHeight="1">
      <c r="A574" s="9"/>
      <c r="B574" s="9"/>
      <c r="C574" s="9"/>
      <c r="D574" s="9"/>
      <c r="E574" s="9"/>
      <c r="F574" s="9"/>
      <c r="G574" s="9"/>
      <c r="H574" s="9"/>
      <c r="I574" s="9"/>
      <c r="J574" s="9"/>
      <c r="K574" s="9"/>
      <c r="L574" s="9"/>
      <c r="M574" s="223"/>
      <c r="N574" s="9"/>
      <c r="O574" s="9"/>
      <c r="P574" s="9"/>
      <c r="Q574" s="9"/>
      <c r="R574" s="9"/>
      <c r="S574" s="223"/>
      <c r="T574" s="223"/>
      <c r="U574" s="223"/>
      <c r="V574" s="9"/>
      <c r="W574" s="9"/>
      <c r="X574" s="9"/>
      <c r="Y574" s="204"/>
      <c r="Z574" s="9"/>
      <c r="AA574" s="9"/>
      <c r="AB574" s="9"/>
      <c r="AC574" s="9"/>
    </row>
    <row r="575" ht="15.75" customHeight="1">
      <c r="A575" s="9"/>
      <c r="B575" s="9"/>
      <c r="C575" s="9"/>
      <c r="D575" s="9"/>
      <c r="E575" s="9"/>
      <c r="F575" s="9"/>
      <c r="G575" s="9"/>
      <c r="H575" s="9"/>
      <c r="I575" s="9"/>
      <c r="J575" s="9"/>
      <c r="K575" s="9"/>
      <c r="L575" s="9"/>
      <c r="M575" s="223"/>
      <c r="N575" s="9"/>
      <c r="O575" s="9"/>
      <c r="P575" s="9"/>
      <c r="Q575" s="9"/>
      <c r="R575" s="9"/>
      <c r="S575" s="223"/>
      <c r="T575" s="223"/>
      <c r="U575" s="223"/>
      <c r="V575" s="9"/>
      <c r="W575" s="9"/>
      <c r="X575" s="9"/>
      <c r="Y575" s="204"/>
      <c r="Z575" s="9"/>
      <c r="AA575" s="9"/>
      <c r="AB575" s="9"/>
      <c r="AC575" s="9"/>
    </row>
    <row r="576" ht="15.75" customHeight="1">
      <c r="A576" s="9"/>
      <c r="B576" s="9"/>
      <c r="C576" s="9"/>
      <c r="D576" s="9"/>
      <c r="E576" s="9"/>
      <c r="F576" s="9"/>
      <c r="G576" s="9"/>
      <c r="H576" s="9"/>
      <c r="I576" s="9"/>
      <c r="J576" s="9"/>
      <c r="K576" s="9"/>
      <c r="L576" s="9"/>
      <c r="M576" s="223"/>
      <c r="N576" s="9"/>
      <c r="O576" s="9"/>
      <c r="P576" s="9"/>
      <c r="Q576" s="9"/>
      <c r="R576" s="9"/>
      <c r="S576" s="223"/>
      <c r="T576" s="223"/>
      <c r="U576" s="223"/>
      <c r="V576" s="9"/>
      <c r="W576" s="9"/>
      <c r="X576" s="9"/>
      <c r="Y576" s="204"/>
      <c r="Z576" s="9"/>
      <c r="AA576" s="9"/>
      <c r="AB576" s="9"/>
      <c r="AC576" s="9"/>
    </row>
    <row r="577" ht="15.75" customHeight="1">
      <c r="A577" s="9"/>
      <c r="B577" s="9"/>
      <c r="C577" s="9"/>
      <c r="D577" s="9"/>
      <c r="E577" s="9"/>
      <c r="F577" s="9"/>
      <c r="G577" s="9"/>
      <c r="H577" s="9"/>
      <c r="I577" s="9"/>
      <c r="J577" s="9"/>
      <c r="K577" s="9"/>
      <c r="L577" s="9"/>
      <c r="M577" s="223"/>
      <c r="N577" s="9"/>
      <c r="O577" s="9"/>
      <c r="P577" s="9"/>
      <c r="Q577" s="9"/>
      <c r="R577" s="9"/>
      <c r="S577" s="223"/>
      <c r="T577" s="223"/>
      <c r="U577" s="223"/>
      <c r="V577" s="9"/>
      <c r="W577" s="9"/>
      <c r="X577" s="9"/>
      <c r="Y577" s="204"/>
      <c r="Z577" s="9"/>
      <c r="AA577" s="9"/>
      <c r="AB577" s="9"/>
      <c r="AC577" s="9"/>
    </row>
    <row r="578" ht="15.75" customHeight="1">
      <c r="A578" s="9"/>
      <c r="B578" s="9"/>
      <c r="C578" s="9"/>
      <c r="D578" s="9"/>
      <c r="E578" s="9"/>
      <c r="F578" s="9"/>
      <c r="G578" s="9"/>
      <c r="H578" s="9"/>
      <c r="I578" s="9"/>
      <c r="J578" s="9"/>
      <c r="K578" s="9"/>
      <c r="L578" s="9"/>
      <c r="M578" s="223"/>
      <c r="N578" s="9"/>
      <c r="O578" s="9"/>
      <c r="P578" s="9"/>
      <c r="Q578" s="9"/>
      <c r="R578" s="9"/>
      <c r="S578" s="223"/>
      <c r="T578" s="223"/>
      <c r="U578" s="223"/>
      <c r="V578" s="9"/>
      <c r="W578" s="9"/>
      <c r="X578" s="9"/>
      <c r="Y578" s="204"/>
      <c r="Z578" s="9"/>
      <c r="AA578" s="9"/>
      <c r="AB578" s="9"/>
      <c r="AC578" s="9"/>
    </row>
    <row r="579" ht="15.75" customHeight="1">
      <c r="A579" s="9"/>
      <c r="B579" s="9"/>
      <c r="C579" s="9"/>
      <c r="D579" s="9"/>
      <c r="E579" s="9"/>
      <c r="F579" s="9"/>
      <c r="G579" s="9"/>
      <c r="H579" s="9"/>
      <c r="I579" s="9"/>
      <c r="J579" s="9"/>
      <c r="K579" s="9"/>
      <c r="L579" s="9"/>
      <c r="M579" s="223"/>
      <c r="N579" s="9"/>
      <c r="O579" s="9"/>
      <c r="P579" s="9"/>
      <c r="Q579" s="9"/>
      <c r="R579" s="9"/>
      <c r="S579" s="223"/>
      <c r="T579" s="223"/>
      <c r="U579" s="223"/>
      <c r="V579" s="9"/>
      <c r="W579" s="9"/>
      <c r="X579" s="9"/>
      <c r="Y579" s="204"/>
      <c r="Z579" s="9"/>
      <c r="AA579" s="9"/>
      <c r="AB579" s="9"/>
      <c r="AC579" s="9"/>
    </row>
    <row r="580" ht="15.75" customHeight="1">
      <c r="A580" s="9"/>
      <c r="B580" s="9"/>
      <c r="C580" s="9"/>
      <c r="D580" s="9"/>
      <c r="E580" s="9"/>
      <c r="F580" s="9"/>
      <c r="G580" s="9"/>
      <c r="H580" s="9"/>
      <c r="I580" s="9"/>
      <c r="J580" s="9"/>
      <c r="K580" s="9"/>
      <c r="L580" s="9"/>
      <c r="M580" s="223"/>
      <c r="N580" s="9"/>
      <c r="O580" s="9"/>
      <c r="P580" s="9"/>
      <c r="Q580" s="9"/>
      <c r="R580" s="9"/>
      <c r="S580" s="223"/>
      <c r="T580" s="223"/>
      <c r="U580" s="223"/>
      <c r="V580" s="9"/>
      <c r="W580" s="9"/>
      <c r="X580" s="9"/>
      <c r="Y580" s="204"/>
      <c r="Z580" s="9"/>
      <c r="AA580" s="9"/>
      <c r="AB580" s="9"/>
      <c r="AC580" s="9"/>
    </row>
    <row r="581" ht="15.75" customHeight="1">
      <c r="A581" s="9"/>
      <c r="B581" s="9"/>
      <c r="C581" s="9"/>
      <c r="D581" s="9"/>
      <c r="E581" s="9"/>
      <c r="F581" s="9"/>
      <c r="G581" s="9"/>
      <c r="H581" s="9"/>
      <c r="I581" s="9"/>
      <c r="J581" s="9"/>
      <c r="K581" s="9"/>
      <c r="L581" s="9"/>
      <c r="M581" s="223"/>
      <c r="N581" s="9"/>
      <c r="O581" s="9"/>
      <c r="P581" s="9"/>
      <c r="Q581" s="9"/>
      <c r="R581" s="9"/>
      <c r="S581" s="223"/>
      <c r="T581" s="223"/>
      <c r="U581" s="223"/>
      <c r="V581" s="9"/>
      <c r="W581" s="9"/>
      <c r="X581" s="9"/>
      <c r="Y581" s="204"/>
      <c r="Z581" s="9"/>
      <c r="AA581" s="9"/>
      <c r="AB581" s="9"/>
      <c r="AC581" s="9"/>
    </row>
    <row r="582" ht="15.75" customHeight="1">
      <c r="A582" s="9"/>
      <c r="B582" s="9"/>
      <c r="C582" s="9"/>
      <c r="D582" s="9"/>
      <c r="E582" s="9"/>
      <c r="F582" s="9"/>
      <c r="G582" s="9"/>
      <c r="H582" s="9"/>
      <c r="I582" s="9"/>
      <c r="J582" s="9"/>
      <c r="K582" s="9"/>
      <c r="L582" s="9"/>
      <c r="M582" s="223"/>
      <c r="N582" s="9"/>
      <c r="O582" s="9"/>
      <c r="P582" s="9"/>
      <c r="Q582" s="9"/>
      <c r="R582" s="9"/>
      <c r="S582" s="223"/>
      <c r="T582" s="223"/>
      <c r="U582" s="223"/>
      <c r="V582" s="9"/>
      <c r="W582" s="9"/>
      <c r="X582" s="9"/>
      <c r="Y582" s="204"/>
      <c r="Z582" s="9"/>
      <c r="AA582" s="9"/>
      <c r="AB582" s="9"/>
      <c r="AC582" s="9"/>
    </row>
    <row r="583" ht="15.75" customHeight="1">
      <c r="A583" s="9"/>
      <c r="B583" s="9"/>
      <c r="C583" s="9"/>
      <c r="D583" s="9"/>
      <c r="E583" s="9"/>
      <c r="F583" s="9"/>
      <c r="G583" s="9"/>
      <c r="H583" s="9"/>
      <c r="I583" s="9"/>
      <c r="J583" s="9"/>
      <c r="K583" s="9"/>
      <c r="L583" s="9"/>
      <c r="M583" s="223"/>
      <c r="N583" s="9"/>
      <c r="O583" s="9"/>
      <c r="P583" s="9"/>
      <c r="Q583" s="9"/>
      <c r="R583" s="9"/>
      <c r="S583" s="223"/>
      <c r="T583" s="223"/>
      <c r="U583" s="223"/>
      <c r="V583" s="9"/>
      <c r="W583" s="9"/>
      <c r="X583" s="9"/>
      <c r="Y583" s="204"/>
      <c r="Z583" s="9"/>
      <c r="AA583" s="9"/>
      <c r="AB583" s="9"/>
      <c r="AC583" s="9"/>
    </row>
    <row r="584" ht="15.75" customHeight="1">
      <c r="A584" s="9"/>
      <c r="B584" s="9"/>
      <c r="C584" s="9"/>
      <c r="D584" s="9"/>
      <c r="E584" s="9"/>
      <c r="F584" s="9"/>
      <c r="G584" s="9"/>
      <c r="H584" s="9"/>
      <c r="I584" s="9"/>
      <c r="J584" s="9"/>
      <c r="K584" s="9"/>
      <c r="L584" s="9"/>
      <c r="M584" s="223"/>
      <c r="N584" s="9"/>
      <c r="O584" s="9"/>
      <c r="P584" s="9"/>
      <c r="Q584" s="9"/>
      <c r="R584" s="9"/>
      <c r="S584" s="223"/>
      <c r="T584" s="223"/>
      <c r="U584" s="223"/>
      <c r="V584" s="9"/>
      <c r="W584" s="9"/>
      <c r="X584" s="9"/>
      <c r="Y584" s="204"/>
      <c r="Z584" s="9"/>
      <c r="AA584" s="9"/>
      <c r="AB584" s="9"/>
      <c r="AC584" s="9"/>
    </row>
    <row r="585" ht="15.75" customHeight="1">
      <c r="A585" s="9"/>
      <c r="B585" s="9"/>
      <c r="C585" s="9"/>
      <c r="D585" s="9"/>
      <c r="E585" s="9"/>
      <c r="F585" s="9"/>
      <c r="G585" s="9"/>
      <c r="H585" s="9"/>
      <c r="I585" s="9"/>
      <c r="J585" s="9"/>
      <c r="K585" s="9"/>
      <c r="L585" s="9"/>
      <c r="M585" s="223"/>
      <c r="N585" s="9"/>
      <c r="O585" s="9"/>
      <c r="P585" s="9"/>
      <c r="Q585" s="9"/>
      <c r="R585" s="9"/>
      <c r="S585" s="223"/>
      <c r="T585" s="223"/>
      <c r="U585" s="223"/>
      <c r="V585" s="9"/>
      <c r="W585" s="9"/>
      <c r="X585" s="9"/>
      <c r="Y585" s="204"/>
      <c r="Z585" s="9"/>
      <c r="AA585" s="9"/>
      <c r="AB585" s="9"/>
      <c r="AC585" s="9"/>
    </row>
    <row r="586" ht="15.75" customHeight="1">
      <c r="A586" s="9"/>
      <c r="B586" s="9"/>
      <c r="C586" s="9"/>
      <c r="D586" s="9"/>
      <c r="E586" s="9"/>
      <c r="F586" s="9"/>
      <c r="G586" s="9"/>
      <c r="H586" s="9"/>
      <c r="I586" s="9"/>
      <c r="J586" s="9"/>
      <c r="K586" s="9"/>
      <c r="L586" s="9"/>
      <c r="M586" s="223"/>
      <c r="N586" s="9"/>
      <c r="O586" s="9"/>
      <c r="P586" s="9"/>
      <c r="Q586" s="9"/>
      <c r="R586" s="9"/>
      <c r="S586" s="223"/>
      <c r="T586" s="223"/>
      <c r="U586" s="223"/>
      <c r="V586" s="9"/>
      <c r="W586" s="9"/>
      <c r="X586" s="9"/>
      <c r="Y586" s="204"/>
      <c r="Z586" s="9"/>
      <c r="AA586" s="9"/>
      <c r="AB586" s="9"/>
      <c r="AC586" s="9"/>
    </row>
    <row r="587" ht="15.75" customHeight="1">
      <c r="A587" s="9"/>
      <c r="B587" s="9"/>
      <c r="C587" s="9"/>
      <c r="D587" s="9"/>
      <c r="E587" s="9"/>
      <c r="F587" s="9"/>
      <c r="G587" s="9"/>
      <c r="H587" s="9"/>
      <c r="I587" s="9"/>
      <c r="J587" s="9"/>
      <c r="K587" s="9"/>
      <c r="L587" s="9"/>
      <c r="M587" s="223"/>
      <c r="N587" s="9"/>
      <c r="O587" s="9"/>
      <c r="P587" s="9"/>
      <c r="Q587" s="9"/>
      <c r="R587" s="9"/>
      <c r="S587" s="223"/>
      <c r="T587" s="223"/>
      <c r="U587" s="223"/>
      <c r="V587" s="9"/>
      <c r="W587" s="9"/>
      <c r="X587" s="9"/>
      <c r="Y587" s="204"/>
      <c r="Z587" s="9"/>
      <c r="AA587" s="9"/>
      <c r="AB587" s="9"/>
      <c r="AC587" s="9"/>
    </row>
    <row r="588" ht="15.75" customHeight="1">
      <c r="A588" s="9"/>
      <c r="B588" s="9"/>
      <c r="C588" s="9"/>
      <c r="D588" s="9"/>
      <c r="E588" s="9"/>
      <c r="F588" s="9"/>
      <c r="G588" s="9"/>
      <c r="H588" s="9"/>
      <c r="I588" s="9"/>
      <c r="J588" s="9"/>
      <c r="K588" s="9"/>
      <c r="L588" s="9"/>
      <c r="M588" s="223"/>
      <c r="N588" s="9"/>
      <c r="O588" s="9"/>
      <c r="P588" s="9"/>
      <c r="Q588" s="9"/>
      <c r="R588" s="9"/>
      <c r="S588" s="223"/>
      <c r="T588" s="223"/>
      <c r="U588" s="223"/>
      <c r="V588" s="9"/>
      <c r="W588" s="9"/>
      <c r="X588" s="9"/>
      <c r="Y588" s="204"/>
      <c r="Z588" s="9"/>
      <c r="AA588" s="9"/>
      <c r="AB588" s="9"/>
      <c r="AC588" s="9"/>
    </row>
    <row r="589" ht="15.75" customHeight="1">
      <c r="A589" s="9"/>
      <c r="B589" s="9"/>
      <c r="C589" s="9"/>
      <c r="D589" s="9"/>
      <c r="E589" s="9"/>
      <c r="F589" s="9"/>
      <c r="G589" s="9"/>
      <c r="H589" s="9"/>
      <c r="I589" s="9"/>
      <c r="J589" s="9"/>
      <c r="K589" s="9"/>
      <c r="L589" s="9"/>
      <c r="M589" s="223"/>
      <c r="N589" s="9"/>
      <c r="O589" s="9"/>
      <c r="P589" s="9"/>
      <c r="Q589" s="9"/>
      <c r="R589" s="9"/>
      <c r="S589" s="223"/>
      <c r="T589" s="223"/>
      <c r="U589" s="223"/>
      <c r="V589" s="9"/>
      <c r="W589" s="9"/>
      <c r="X589" s="9"/>
      <c r="Y589" s="204"/>
      <c r="Z589" s="9"/>
      <c r="AA589" s="9"/>
      <c r="AB589" s="9"/>
      <c r="AC589" s="9"/>
    </row>
    <row r="590" ht="15.75" customHeight="1">
      <c r="A590" s="9"/>
      <c r="B590" s="9"/>
      <c r="C590" s="9"/>
      <c r="D590" s="9"/>
      <c r="E590" s="9"/>
      <c r="F590" s="9"/>
      <c r="G590" s="9"/>
      <c r="H590" s="9"/>
      <c r="I590" s="9"/>
      <c r="J590" s="9"/>
      <c r="K590" s="9"/>
      <c r="L590" s="9"/>
      <c r="M590" s="223"/>
      <c r="N590" s="9"/>
      <c r="O590" s="9"/>
      <c r="P590" s="9"/>
      <c r="Q590" s="9"/>
      <c r="R590" s="9"/>
      <c r="S590" s="223"/>
      <c r="T590" s="223"/>
      <c r="U590" s="223"/>
      <c r="V590" s="9"/>
      <c r="W590" s="9"/>
      <c r="X590" s="9"/>
      <c r="Y590" s="204"/>
      <c r="Z590" s="9"/>
      <c r="AA590" s="9"/>
      <c r="AB590" s="9"/>
      <c r="AC590" s="9"/>
    </row>
    <row r="591" ht="15.75" customHeight="1">
      <c r="A591" s="9"/>
      <c r="B591" s="9"/>
      <c r="C591" s="9"/>
      <c r="D591" s="9"/>
      <c r="E591" s="9"/>
      <c r="F591" s="9"/>
      <c r="G591" s="9"/>
      <c r="H591" s="9"/>
      <c r="I591" s="9"/>
      <c r="J591" s="9"/>
      <c r="K591" s="9"/>
      <c r="L591" s="9"/>
      <c r="M591" s="223"/>
      <c r="N591" s="9"/>
      <c r="O591" s="9"/>
      <c r="P591" s="9"/>
      <c r="Q591" s="9"/>
      <c r="R591" s="9"/>
      <c r="S591" s="223"/>
      <c r="T591" s="223"/>
      <c r="U591" s="223"/>
      <c r="V591" s="9"/>
      <c r="W591" s="9"/>
      <c r="X591" s="9"/>
      <c r="Y591" s="204"/>
      <c r="Z591" s="9"/>
      <c r="AA591" s="9"/>
      <c r="AB591" s="9"/>
      <c r="AC591" s="9"/>
    </row>
    <row r="592" ht="15.75" customHeight="1">
      <c r="A592" s="9"/>
      <c r="B592" s="9"/>
      <c r="C592" s="9"/>
      <c r="D592" s="9"/>
      <c r="E592" s="9"/>
      <c r="F592" s="9"/>
      <c r="G592" s="9"/>
      <c r="H592" s="9"/>
      <c r="I592" s="9"/>
      <c r="J592" s="9"/>
      <c r="K592" s="9"/>
      <c r="L592" s="9"/>
      <c r="M592" s="223"/>
      <c r="N592" s="9"/>
      <c r="O592" s="9"/>
      <c r="P592" s="9"/>
      <c r="Q592" s="9"/>
      <c r="R592" s="9"/>
      <c r="S592" s="223"/>
      <c r="T592" s="223"/>
      <c r="U592" s="223"/>
      <c r="V592" s="9"/>
      <c r="W592" s="9"/>
      <c r="X592" s="9"/>
      <c r="Y592" s="204"/>
      <c r="Z592" s="9"/>
      <c r="AA592" s="9"/>
      <c r="AB592" s="9"/>
      <c r="AC592" s="9"/>
    </row>
    <row r="593" ht="15.75" customHeight="1">
      <c r="A593" s="9"/>
      <c r="B593" s="9"/>
      <c r="C593" s="9"/>
      <c r="D593" s="9"/>
      <c r="E593" s="9"/>
      <c r="F593" s="9"/>
      <c r="G593" s="9"/>
      <c r="H593" s="9"/>
      <c r="I593" s="9"/>
      <c r="J593" s="9"/>
      <c r="K593" s="9"/>
      <c r="L593" s="9"/>
      <c r="M593" s="223"/>
      <c r="N593" s="9"/>
      <c r="O593" s="9"/>
      <c r="P593" s="9"/>
      <c r="Q593" s="9"/>
      <c r="R593" s="9"/>
      <c r="S593" s="223"/>
      <c r="T593" s="223"/>
      <c r="U593" s="223"/>
      <c r="V593" s="9"/>
      <c r="W593" s="9"/>
      <c r="X593" s="9"/>
      <c r="Y593" s="204"/>
      <c r="Z593" s="9"/>
      <c r="AA593" s="9"/>
      <c r="AB593" s="9"/>
      <c r="AC593" s="9"/>
    </row>
    <row r="594" ht="15.75" customHeight="1">
      <c r="A594" s="9"/>
      <c r="B594" s="9"/>
      <c r="C594" s="9"/>
      <c r="D594" s="9"/>
      <c r="E594" s="9"/>
      <c r="F594" s="9"/>
      <c r="G594" s="9"/>
      <c r="H594" s="9"/>
      <c r="I594" s="9"/>
      <c r="J594" s="9"/>
      <c r="K594" s="9"/>
      <c r="L594" s="9"/>
      <c r="M594" s="223"/>
      <c r="N594" s="9"/>
      <c r="O594" s="9"/>
      <c r="P594" s="9"/>
      <c r="Q594" s="9"/>
      <c r="R594" s="9"/>
      <c r="S594" s="223"/>
      <c r="T594" s="223"/>
      <c r="U594" s="223"/>
      <c r="V594" s="9"/>
      <c r="W594" s="9"/>
      <c r="X594" s="9"/>
      <c r="Y594" s="204"/>
      <c r="Z594" s="9"/>
      <c r="AA594" s="9"/>
      <c r="AB594" s="9"/>
      <c r="AC594" s="9"/>
    </row>
    <row r="595" ht="15.75" customHeight="1">
      <c r="A595" s="9"/>
      <c r="B595" s="9"/>
      <c r="C595" s="9"/>
      <c r="D595" s="9"/>
      <c r="E595" s="9"/>
      <c r="F595" s="9"/>
      <c r="G595" s="9"/>
      <c r="H595" s="9"/>
      <c r="I595" s="9"/>
      <c r="J595" s="9"/>
      <c r="K595" s="9"/>
      <c r="L595" s="9"/>
      <c r="M595" s="223"/>
      <c r="N595" s="9"/>
      <c r="O595" s="9"/>
      <c r="P595" s="9"/>
      <c r="Q595" s="9"/>
      <c r="R595" s="9"/>
      <c r="S595" s="223"/>
      <c r="T595" s="223"/>
      <c r="U595" s="223"/>
      <c r="V595" s="9"/>
      <c r="W595" s="9"/>
      <c r="X595" s="9"/>
      <c r="Y595" s="204"/>
      <c r="Z595" s="9"/>
      <c r="AA595" s="9"/>
      <c r="AB595" s="9"/>
      <c r="AC595" s="9"/>
    </row>
    <row r="596" ht="15.75" customHeight="1">
      <c r="A596" s="9"/>
      <c r="B596" s="9"/>
      <c r="C596" s="9"/>
      <c r="D596" s="9"/>
      <c r="E596" s="9"/>
      <c r="F596" s="9"/>
      <c r="G596" s="9"/>
      <c r="H596" s="9"/>
      <c r="I596" s="9"/>
      <c r="J596" s="9"/>
      <c r="K596" s="9"/>
      <c r="L596" s="9"/>
      <c r="M596" s="223"/>
      <c r="N596" s="9"/>
      <c r="O596" s="9"/>
      <c r="P596" s="9"/>
      <c r="Q596" s="9"/>
      <c r="R596" s="9"/>
      <c r="S596" s="223"/>
      <c r="T596" s="223"/>
      <c r="U596" s="223"/>
      <c r="V596" s="9"/>
      <c r="W596" s="9"/>
      <c r="X596" s="9"/>
      <c r="Y596" s="204"/>
      <c r="Z596" s="9"/>
      <c r="AA596" s="9"/>
      <c r="AB596" s="9"/>
      <c r="AC596" s="9"/>
    </row>
    <row r="597" ht="15.75" customHeight="1">
      <c r="A597" s="9"/>
      <c r="B597" s="9"/>
      <c r="C597" s="9"/>
      <c r="D597" s="9"/>
      <c r="E597" s="9"/>
      <c r="F597" s="9"/>
      <c r="G597" s="9"/>
      <c r="H597" s="9"/>
      <c r="I597" s="9"/>
      <c r="J597" s="9"/>
      <c r="K597" s="9"/>
      <c r="L597" s="9"/>
      <c r="M597" s="223"/>
      <c r="N597" s="9"/>
      <c r="O597" s="9"/>
      <c r="P597" s="9"/>
      <c r="Q597" s="9"/>
      <c r="R597" s="9"/>
      <c r="S597" s="223"/>
      <c r="T597" s="223"/>
      <c r="U597" s="223"/>
      <c r="V597" s="9"/>
      <c r="W597" s="9"/>
      <c r="X597" s="9"/>
      <c r="Y597" s="204"/>
      <c r="Z597" s="9"/>
      <c r="AA597" s="9"/>
      <c r="AB597" s="9"/>
      <c r="AC597" s="9"/>
    </row>
    <row r="598" ht="15.75" customHeight="1">
      <c r="A598" s="9"/>
      <c r="B598" s="9"/>
      <c r="C598" s="9"/>
      <c r="D598" s="9"/>
      <c r="E598" s="9"/>
      <c r="F598" s="9"/>
      <c r="G598" s="9"/>
      <c r="H598" s="9"/>
      <c r="I598" s="9"/>
      <c r="J598" s="9"/>
      <c r="K598" s="9"/>
      <c r="L598" s="9"/>
      <c r="M598" s="223"/>
      <c r="N598" s="9"/>
      <c r="O598" s="9"/>
      <c r="P598" s="9"/>
      <c r="Q598" s="9"/>
      <c r="R598" s="9"/>
      <c r="S598" s="223"/>
      <c r="T598" s="223"/>
      <c r="U598" s="223"/>
      <c r="V598" s="9"/>
      <c r="W598" s="9"/>
      <c r="X598" s="9"/>
      <c r="Y598" s="204"/>
      <c r="Z598" s="9"/>
      <c r="AA598" s="9"/>
      <c r="AB598" s="9"/>
      <c r="AC598" s="9"/>
    </row>
    <row r="599" ht="15.75" customHeight="1">
      <c r="A599" s="9"/>
      <c r="B599" s="9"/>
      <c r="C599" s="9"/>
      <c r="D599" s="9"/>
      <c r="E599" s="9"/>
      <c r="F599" s="9"/>
      <c r="G599" s="9"/>
      <c r="H599" s="9"/>
      <c r="I599" s="9"/>
      <c r="J599" s="9"/>
      <c r="K599" s="9"/>
      <c r="L599" s="9"/>
      <c r="M599" s="223"/>
      <c r="N599" s="9"/>
      <c r="O599" s="9"/>
      <c r="P599" s="9"/>
      <c r="Q599" s="9"/>
      <c r="R599" s="9"/>
      <c r="S599" s="223"/>
      <c r="T599" s="223"/>
      <c r="U599" s="223"/>
      <c r="V599" s="9"/>
      <c r="W599" s="9"/>
      <c r="X599" s="9"/>
      <c r="Y599" s="204"/>
      <c r="Z599" s="9"/>
      <c r="AA599" s="9"/>
      <c r="AB599" s="9"/>
      <c r="AC599" s="9"/>
    </row>
    <row r="600" ht="15.75" customHeight="1">
      <c r="A600" s="9"/>
      <c r="B600" s="9"/>
      <c r="C600" s="9"/>
      <c r="D600" s="9"/>
      <c r="E600" s="9"/>
      <c r="F600" s="9"/>
      <c r="G600" s="9"/>
      <c r="H600" s="9"/>
      <c r="I600" s="9"/>
      <c r="J600" s="9"/>
      <c r="K600" s="9"/>
      <c r="L600" s="9"/>
      <c r="M600" s="223"/>
      <c r="N600" s="9"/>
      <c r="O600" s="9"/>
      <c r="P600" s="9"/>
      <c r="Q600" s="9"/>
      <c r="R600" s="9"/>
      <c r="S600" s="223"/>
      <c r="T600" s="223"/>
      <c r="U600" s="223"/>
      <c r="V600" s="9"/>
      <c r="W600" s="9"/>
      <c r="X600" s="9"/>
      <c r="Y600" s="204"/>
      <c r="Z600" s="9"/>
      <c r="AA600" s="9"/>
      <c r="AB600" s="9"/>
      <c r="AC600" s="9"/>
    </row>
    <row r="601" ht="15.75" customHeight="1">
      <c r="A601" s="9"/>
      <c r="B601" s="9"/>
      <c r="C601" s="9"/>
      <c r="D601" s="9"/>
      <c r="E601" s="9"/>
      <c r="F601" s="9"/>
      <c r="G601" s="9"/>
      <c r="H601" s="9"/>
      <c r="I601" s="9"/>
      <c r="J601" s="9"/>
      <c r="K601" s="9"/>
      <c r="L601" s="9"/>
      <c r="M601" s="223"/>
      <c r="N601" s="9"/>
      <c r="O601" s="9"/>
      <c r="P601" s="9"/>
      <c r="Q601" s="9"/>
      <c r="R601" s="9"/>
      <c r="S601" s="223"/>
      <c r="T601" s="223"/>
      <c r="U601" s="223"/>
      <c r="V601" s="9"/>
      <c r="W601" s="9"/>
      <c r="X601" s="9"/>
      <c r="Y601" s="204"/>
      <c r="Z601" s="9"/>
      <c r="AA601" s="9"/>
      <c r="AB601" s="9"/>
      <c r="AC601" s="9"/>
    </row>
    <row r="602" ht="15.75" customHeight="1">
      <c r="A602" s="9"/>
      <c r="B602" s="9"/>
      <c r="C602" s="9"/>
      <c r="D602" s="9"/>
      <c r="E602" s="9"/>
      <c r="F602" s="9"/>
      <c r="G602" s="9"/>
      <c r="H602" s="9"/>
      <c r="I602" s="9"/>
      <c r="J602" s="9"/>
      <c r="K602" s="9"/>
      <c r="L602" s="9"/>
      <c r="M602" s="223"/>
      <c r="N602" s="9"/>
      <c r="O602" s="9"/>
      <c r="P602" s="9"/>
      <c r="Q602" s="9"/>
      <c r="R602" s="9"/>
      <c r="S602" s="223"/>
      <c r="T602" s="223"/>
      <c r="U602" s="223"/>
      <c r="V602" s="9"/>
      <c r="W602" s="9"/>
      <c r="X602" s="9"/>
      <c r="Y602" s="204"/>
      <c r="Z602" s="9"/>
      <c r="AA602" s="9"/>
      <c r="AB602" s="9"/>
      <c r="AC602" s="9"/>
    </row>
    <row r="603" ht="15.75" customHeight="1">
      <c r="A603" s="9"/>
      <c r="B603" s="9"/>
      <c r="C603" s="9"/>
      <c r="D603" s="9"/>
      <c r="E603" s="9"/>
      <c r="F603" s="9"/>
      <c r="G603" s="9"/>
      <c r="H603" s="9"/>
      <c r="I603" s="9"/>
      <c r="J603" s="9"/>
      <c r="K603" s="9"/>
      <c r="L603" s="9"/>
      <c r="M603" s="223"/>
      <c r="N603" s="9"/>
      <c r="O603" s="9"/>
      <c r="P603" s="9"/>
      <c r="Q603" s="9"/>
      <c r="R603" s="9"/>
      <c r="S603" s="223"/>
      <c r="T603" s="223"/>
      <c r="U603" s="223"/>
      <c r="V603" s="9"/>
      <c r="W603" s="9"/>
      <c r="X603" s="9"/>
      <c r="Y603" s="204"/>
      <c r="Z603" s="9"/>
      <c r="AA603" s="9"/>
      <c r="AB603" s="9"/>
      <c r="AC603" s="9"/>
    </row>
    <row r="604" ht="15.75" customHeight="1">
      <c r="A604" s="9"/>
      <c r="B604" s="9"/>
      <c r="C604" s="9"/>
      <c r="D604" s="9"/>
      <c r="E604" s="9"/>
      <c r="F604" s="9"/>
      <c r="G604" s="9"/>
      <c r="H604" s="9"/>
      <c r="I604" s="9"/>
      <c r="J604" s="9"/>
      <c r="K604" s="9"/>
      <c r="L604" s="9"/>
      <c r="M604" s="223"/>
      <c r="N604" s="9"/>
      <c r="O604" s="9"/>
      <c r="P604" s="9"/>
      <c r="Q604" s="9"/>
      <c r="R604" s="9"/>
      <c r="S604" s="223"/>
      <c r="T604" s="223"/>
      <c r="U604" s="223"/>
      <c r="V604" s="9"/>
      <c r="W604" s="9"/>
      <c r="X604" s="9"/>
      <c r="Y604" s="204"/>
      <c r="Z604" s="9"/>
      <c r="AA604" s="9"/>
      <c r="AB604" s="9"/>
      <c r="AC604" s="9"/>
    </row>
    <row r="605" ht="15.75" customHeight="1">
      <c r="A605" s="9"/>
      <c r="B605" s="9"/>
      <c r="C605" s="9"/>
      <c r="D605" s="9"/>
      <c r="E605" s="9"/>
      <c r="F605" s="9"/>
      <c r="G605" s="9"/>
      <c r="H605" s="9"/>
      <c r="I605" s="9"/>
      <c r="J605" s="9"/>
      <c r="K605" s="9"/>
      <c r="L605" s="9"/>
      <c r="M605" s="223"/>
      <c r="N605" s="9"/>
      <c r="O605" s="9"/>
      <c r="P605" s="9"/>
      <c r="Q605" s="9"/>
      <c r="R605" s="9"/>
      <c r="S605" s="223"/>
      <c r="T605" s="223"/>
      <c r="U605" s="223"/>
      <c r="V605" s="9"/>
      <c r="W605" s="9"/>
      <c r="X605" s="9"/>
      <c r="Y605" s="204"/>
      <c r="Z605" s="9"/>
      <c r="AA605" s="9"/>
      <c r="AB605" s="9"/>
      <c r="AC605" s="9"/>
    </row>
    <row r="606" ht="15.75" customHeight="1">
      <c r="A606" s="9"/>
      <c r="B606" s="9"/>
      <c r="C606" s="9"/>
      <c r="D606" s="9"/>
      <c r="E606" s="9"/>
      <c r="F606" s="9"/>
      <c r="G606" s="9"/>
      <c r="H606" s="9"/>
      <c r="I606" s="9"/>
      <c r="J606" s="9"/>
      <c r="K606" s="9"/>
      <c r="L606" s="9"/>
      <c r="M606" s="223"/>
      <c r="N606" s="9"/>
      <c r="O606" s="9"/>
      <c r="P606" s="9"/>
      <c r="Q606" s="9"/>
      <c r="R606" s="9"/>
      <c r="S606" s="223"/>
      <c r="T606" s="223"/>
      <c r="U606" s="223"/>
      <c r="V606" s="9"/>
      <c r="W606" s="9"/>
      <c r="X606" s="9"/>
      <c r="Y606" s="204"/>
      <c r="Z606" s="9"/>
      <c r="AA606" s="9"/>
      <c r="AB606" s="9"/>
      <c r="AC606" s="9"/>
    </row>
    <row r="607" ht="15.75" customHeight="1">
      <c r="A607" s="9"/>
      <c r="B607" s="9"/>
      <c r="C607" s="9"/>
      <c r="D607" s="9"/>
      <c r="E607" s="9"/>
      <c r="F607" s="9"/>
      <c r="G607" s="9"/>
      <c r="H607" s="9"/>
      <c r="I607" s="9"/>
      <c r="J607" s="9"/>
      <c r="K607" s="9"/>
      <c r="L607" s="9"/>
      <c r="M607" s="223"/>
      <c r="N607" s="9"/>
      <c r="O607" s="9"/>
      <c r="P607" s="9"/>
      <c r="Q607" s="9"/>
      <c r="R607" s="9"/>
      <c r="S607" s="223"/>
      <c r="T607" s="223"/>
      <c r="U607" s="223"/>
      <c r="V607" s="9"/>
      <c r="W607" s="9"/>
      <c r="X607" s="9"/>
      <c r="Y607" s="204"/>
      <c r="Z607" s="9"/>
      <c r="AA607" s="9"/>
      <c r="AB607" s="9"/>
      <c r="AC607" s="9"/>
    </row>
    <row r="608" ht="15.75" customHeight="1">
      <c r="A608" s="9"/>
      <c r="B608" s="9"/>
      <c r="C608" s="9"/>
      <c r="D608" s="9"/>
      <c r="E608" s="9"/>
      <c r="F608" s="9"/>
      <c r="G608" s="9"/>
      <c r="H608" s="9"/>
      <c r="I608" s="9"/>
      <c r="J608" s="9"/>
      <c r="K608" s="9"/>
      <c r="L608" s="9"/>
      <c r="M608" s="223"/>
      <c r="N608" s="9"/>
      <c r="O608" s="9"/>
      <c r="P608" s="9"/>
      <c r="Q608" s="9"/>
      <c r="R608" s="9"/>
      <c r="S608" s="223"/>
      <c r="T608" s="223"/>
      <c r="U608" s="223"/>
      <c r="V608" s="9"/>
      <c r="W608" s="9"/>
      <c r="X608" s="9"/>
      <c r="Y608" s="204"/>
      <c r="Z608" s="9"/>
      <c r="AA608" s="9"/>
      <c r="AB608" s="9"/>
      <c r="AC608" s="9"/>
    </row>
    <row r="609" ht="15.75" customHeight="1">
      <c r="A609" s="9"/>
      <c r="B609" s="9"/>
      <c r="C609" s="9"/>
      <c r="D609" s="9"/>
      <c r="E609" s="9"/>
      <c r="F609" s="9"/>
      <c r="G609" s="9"/>
      <c r="H609" s="9"/>
      <c r="I609" s="9"/>
      <c r="J609" s="9"/>
      <c r="K609" s="9"/>
      <c r="L609" s="9"/>
      <c r="M609" s="223"/>
      <c r="N609" s="9"/>
      <c r="O609" s="9"/>
      <c r="P609" s="9"/>
      <c r="Q609" s="9"/>
      <c r="R609" s="9"/>
      <c r="S609" s="223"/>
      <c r="T609" s="223"/>
      <c r="U609" s="223"/>
      <c r="V609" s="9"/>
      <c r="W609" s="9"/>
      <c r="X609" s="9"/>
      <c r="Y609" s="204"/>
      <c r="Z609" s="9"/>
      <c r="AA609" s="9"/>
      <c r="AB609" s="9"/>
      <c r="AC609" s="9"/>
    </row>
    <row r="610" ht="15.75" customHeight="1">
      <c r="A610" s="9"/>
      <c r="B610" s="9"/>
      <c r="C610" s="9"/>
      <c r="D610" s="9"/>
      <c r="E610" s="9"/>
      <c r="F610" s="9"/>
      <c r="G610" s="9"/>
      <c r="H610" s="9"/>
      <c r="I610" s="9"/>
      <c r="J610" s="9"/>
      <c r="K610" s="9"/>
      <c r="L610" s="9"/>
      <c r="M610" s="223"/>
      <c r="N610" s="9"/>
      <c r="O610" s="9"/>
      <c r="P610" s="9"/>
      <c r="Q610" s="9"/>
      <c r="R610" s="9"/>
      <c r="S610" s="223"/>
      <c r="T610" s="223"/>
      <c r="U610" s="223"/>
      <c r="V610" s="9"/>
      <c r="W610" s="9"/>
      <c r="X610" s="9"/>
      <c r="Y610" s="204"/>
      <c r="Z610" s="9"/>
      <c r="AA610" s="9"/>
      <c r="AB610" s="9"/>
      <c r="AC610" s="9"/>
    </row>
    <row r="611" ht="15.75" customHeight="1">
      <c r="A611" s="9"/>
      <c r="B611" s="9"/>
      <c r="C611" s="9"/>
      <c r="D611" s="9"/>
      <c r="E611" s="9"/>
      <c r="F611" s="9"/>
      <c r="G611" s="9"/>
      <c r="H611" s="9"/>
      <c r="I611" s="9"/>
      <c r="J611" s="9"/>
      <c r="K611" s="9"/>
      <c r="L611" s="9"/>
      <c r="M611" s="223"/>
      <c r="N611" s="9"/>
      <c r="O611" s="9"/>
      <c r="P611" s="9"/>
      <c r="Q611" s="9"/>
      <c r="R611" s="9"/>
      <c r="S611" s="223"/>
      <c r="T611" s="223"/>
      <c r="U611" s="223"/>
      <c r="V611" s="9"/>
      <c r="W611" s="9"/>
      <c r="X611" s="9"/>
      <c r="Y611" s="204"/>
      <c r="Z611" s="9"/>
      <c r="AA611" s="9"/>
      <c r="AB611" s="9"/>
      <c r="AC611" s="9"/>
    </row>
    <row r="612" ht="15.75" customHeight="1">
      <c r="A612" s="9"/>
      <c r="B612" s="9"/>
      <c r="C612" s="9"/>
      <c r="D612" s="9"/>
      <c r="E612" s="9"/>
      <c r="F612" s="9"/>
      <c r="G612" s="9"/>
      <c r="H612" s="9"/>
      <c r="I612" s="9"/>
      <c r="J612" s="9"/>
      <c r="K612" s="9"/>
      <c r="L612" s="9"/>
      <c r="M612" s="223"/>
      <c r="N612" s="9"/>
      <c r="O612" s="9"/>
      <c r="P612" s="9"/>
      <c r="Q612" s="9"/>
      <c r="R612" s="9"/>
      <c r="S612" s="223"/>
      <c r="T612" s="223"/>
      <c r="U612" s="223"/>
      <c r="V612" s="9"/>
      <c r="W612" s="9"/>
      <c r="X612" s="9"/>
      <c r="Y612" s="204"/>
      <c r="Z612" s="9"/>
      <c r="AA612" s="9"/>
      <c r="AB612" s="9"/>
      <c r="AC612" s="9"/>
    </row>
    <row r="613" ht="15.75" customHeight="1">
      <c r="A613" s="9"/>
      <c r="B613" s="9"/>
      <c r="C613" s="9"/>
      <c r="D613" s="9"/>
      <c r="E613" s="9"/>
      <c r="F613" s="9"/>
      <c r="G613" s="9"/>
      <c r="H613" s="9"/>
      <c r="I613" s="9"/>
      <c r="J613" s="9"/>
      <c r="K613" s="9"/>
      <c r="L613" s="9"/>
      <c r="M613" s="223"/>
      <c r="N613" s="9"/>
      <c r="O613" s="9"/>
      <c r="P613" s="9"/>
      <c r="Q613" s="9"/>
      <c r="R613" s="9"/>
      <c r="S613" s="223"/>
      <c r="T613" s="223"/>
      <c r="U613" s="223"/>
      <c r="V613" s="9"/>
      <c r="W613" s="9"/>
      <c r="X613" s="9"/>
      <c r="Y613" s="204"/>
      <c r="Z613" s="9"/>
      <c r="AA613" s="9"/>
      <c r="AB613" s="9"/>
      <c r="AC613" s="9"/>
    </row>
    <row r="614" ht="15.75" customHeight="1">
      <c r="A614" s="9"/>
      <c r="B614" s="9"/>
      <c r="C614" s="9"/>
      <c r="D614" s="9"/>
      <c r="E614" s="9"/>
      <c r="F614" s="9"/>
      <c r="G614" s="9"/>
      <c r="H614" s="9"/>
      <c r="I614" s="9"/>
      <c r="J614" s="9"/>
      <c r="K614" s="9"/>
      <c r="L614" s="9"/>
      <c r="M614" s="223"/>
      <c r="N614" s="9"/>
      <c r="O614" s="9"/>
      <c r="P614" s="9"/>
      <c r="Q614" s="9"/>
      <c r="R614" s="9"/>
      <c r="S614" s="223"/>
      <c r="T614" s="223"/>
      <c r="U614" s="223"/>
      <c r="V614" s="9"/>
      <c r="W614" s="9"/>
      <c r="X614" s="9"/>
      <c r="Y614" s="204"/>
      <c r="Z614" s="9"/>
      <c r="AA614" s="9"/>
      <c r="AB614" s="9"/>
      <c r="AC614" s="9"/>
    </row>
    <row r="615" ht="15.75" customHeight="1">
      <c r="A615" s="9"/>
      <c r="B615" s="9"/>
      <c r="C615" s="9"/>
      <c r="D615" s="9"/>
      <c r="E615" s="9"/>
      <c r="F615" s="9"/>
      <c r="G615" s="9"/>
      <c r="H615" s="9"/>
      <c r="I615" s="9"/>
      <c r="J615" s="9"/>
      <c r="K615" s="9"/>
      <c r="L615" s="9"/>
      <c r="M615" s="223"/>
      <c r="N615" s="9"/>
      <c r="O615" s="9"/>
      <c r="P615" s="9"/>
      <c r="Q615" s="9"/>
      <c r="R615" s="9"/>
      <c r="S615" s="223"/>
      <c r="T615" s="223"/>
      <c r="U615" s="223"/>
      <c r="V615" s="9"/>
      <c r="W615" s="9"/>
      <c r="X615" s="9"/>
      <c r="Y615" s="204"/>
      <c r="Z615" s="9"/>
      <c r="AA615" s="9"/>
      <c r="AB615" s="9"/>
      <c r="AC615" s="9"/>
    </row>
    <row r="616" ht="15.75" customHeight="1">
      <c r="A616" s="9"/>
      <c r="B616" s="9"/>
      <c r="C616" s="9"/>
      <c r="D616" s="9"/>
      <c r="E616" s="9"/>
      <c r="F616" s="9"/>
      <c r="G616" s="9"/>
      <c r="H616" s="9"/>
      <c r="I616" s="9"/>
      <c r="J616" s="9"/>
      <c r="K616" s="9"/>
      <c r="L616" s="9"/>
      <c r="M616" s="223"/>
      <c r="N616" s="9"/>
      <c r="O616" s="9"/>
      <c r="P616" s="9"/>
      <c r="Q616" s="9"/>
      <c r="R616" s="9"/>
      <c r="S616" s="223"/>
      <c r="T616" s="223"/>
      <c r="U616" s="223"/>
      <c r="V616" s="9"/>
      <c r="W616" s="9"/>
      <c r="X616" s="9"/>
      <c r="Y616" s="204"/>
      <c r="Z616" s="9"/>
      <c r="AA616" s="9"/>
      <c r="AB616" s="9"/>
      <c r="AC616" s="9"/>
    </row>
    <row r="617" ht="15.75" customHeight="1">
      <c r="A617" s="9"/>
      <c r="B617" s="9"/>
      <c r="C617" s="9"/>
      <c r="D617" s="9"/>
      <c r="E617" s="9"/>
      <c r="F617" s="9"/>
      <c r="G617" s="9"/>
      <c r="H617" s="9"/>
      <c r="I617" s="9"/>
      <c r="J617" s="9"/>
      <c r="K617" s="9"/>
      <c r="L617" s="9"/>
      <c r="M617" s="223"/>
      <c r="N617" s="9"/>
      <c r="O617" s="9"/>
      <c r="P617" s="9"/>
      <c r="Q617" s="9"/>
      <c r="R617" s="9"/>
      <c r="S617" s="223"/>
      <c r="T617" s="223"/>
      <c r="U617" s="223"/>
      <c r="V617" s="9"/>
      <c r="W617" s="9"/>
      <c r="X617" s="9"/>
      <c r="Y617" s="204"/>
      <c r="Z617" s="9"/>
      <c r="AA617" s="9"/>
      <c r="AB617" s="9"/>
      <c r="AC617" s="9"/>
    </row>
    <row r="618" ht="15.75" customHeight="1">
      <c r="A618" s="9"/>
      <c r="B618" s="9"/>
      <c r="C618" s="9"/>
      <c r="D618" s="9"/>
      <c r="E618" s="9"/>
      <c r="F618" s="9"/>
      <c r="G618" s="9"/>
      <c r="H618" s="9"/>
      <c r="I618" s="9"/>
      <c r="J618" s="9"/>
      <c r="K618" s="9"/>
      <c r="L618" s="9"/>
      <c r="M618" s="223"/>
      <c r="N618" s="9"/>
      <c r="O618" s="9"/>
      <c r="P618" s="9"/>
      <c r="Q618" s="9"/>
      <c r="R618" s="9"/>
      <c r="S618" s="223"/>
      <c r="T618" s="223"/>
      <c r="U618" s="223"/>
      <c r="V618" s="9"/>
      <c r="W618" s="9"/>
      <c r="X618" s="9"/>
      <c r="Y618" s="204"/>
      <c r="Z618" s="9"/>
      <c r="AA618" s="9"/>
      <c r="AB618" s="9"/>
      <c r="AC618" s="9"/>
    </row>
    <row r="619" ht="15.75" customHeight="1">
      <c r="A619" s="9"/>
      <c r="B619" s="9"/>
      <c r="C619" s="9"/>
      <c r="D619" s="9"/>
      <c r="E619" s="9"/>
      <c r="F619" s="9"/>
      <c r="G619" s="9"/>
      <c r="H619" s="9"/>
      <c r="I619" s="9"/>
      <c r="J619" s="9"/>
      <c r="K619" s="9"/>
      <c r="L619" s="9"/>
      <c r="M619" s="223"/>
      <c r="N619" s="9"/>
      <c r="O619" s="9"/>
      <c r="P619" s="9"/>
      <c r="Q619" s="9"/>
      <c r="R619" s="9"/>
      <c r="S619" s="223"/>
      <c r="T619" s="223"/>
      <c r="U619" s="223"/>
      <c r="V619" s="9"/>
      <c r="W619" s="9"/>
      <c r="X619" s="9"/>
      <c r="Y619" s="204"/>
      <c r="Z619" s="9"/>
      <c r="AA619" s="9"/>
      <c r="AB619" s="9"/>
      <c r="AC619" s="9"/>
    </row>
    <row r="620" ht="15.75" customHeight="1">
      <c r="A620" s="9"/>
      <c r="B620" s="9"/>
      <c r="C620" s="9"/>
      <c r="D620" s="9"/>
      <c r="E620" s="9"/>
      <c r="F620" s="9"/>
      <c r="G620" s="9"/>
      <c r="H620" s="9"/>
      <c r="I620" s="9"/>
      <c r="J620" s="9"/>
      <c r="K620" s="9"/>
      <c r="L620" s="9"/>
      <c r="M620" s="223"/>
      <c r="N620" s="9"/>
      <c r="O620" s="9"/>
      <c r="P620" s="9"/>
      <c r="Q620" s="9"/>
      <c r="R620" s="9"/>
      <c r="S620" s="223"/>
      <c r="T620" s="223"/>
      <c r="U620" s="223"/>
      <c r="V620" s="9"/>
      <c r="W620" s="9"/>
      <c r="X620" s="9"/>
      <c r="Y620" s="204"/>
      <c r="Z620" s="9"/>
      <c r="AA620" s="9"/>
      <c r="AB620" s="9"/>
      <c r="AC620" s="9"/>
    </row>
    <row r="621" ht="15.75" customHeight="1">
      <c r="A621" s="9"/>
      <c r="B621" s="9"/>
      <c r="C621" s="9"/>
      <c r="D621" s="9"/>
      <c r="E621" s="9"/>
      <c r="F621" s="9"/>
      <c r="G621" s="9"/>
      <c r="H621" s="9"/>
      <c r="I621" s="9"/>
      <c r="J621" s="9"/>
      <c r="K621" s="9"/>
      <c r="L621" s="9"/>
      <c r="M621" s="223"/>
      <c r="N621" s="9"/>
      <c r="O621" s="9"/>
      <c r="P621" s="9"/>
      <c r="Q621" s="9"/>
      <c r="R621" s="9"/>
      <c r="S621" s="223"/>
      <c r="T621" s="223"/>
      <c r="U621" s="223"/>
      <c r="V621" s="9"/>
      <c r="W621" s="9"/>
      <c r="X621" s="9"/>
      <c r="Y621" s="204"/>
      <c r="Z621" s="9"/>
      <c r="AA621" s="9"/>
      <c r="AB621" s="9"/>
      <c r="AC621" s="9"/>
    </row>
    <row r="622" ht="15.75" customHeight="1">
      <c r="A622" s="9"/>
      <c r="B622" s="9"/>
      <c r="C622" s="9"/>
      <c r="D622" s="9"/>
      <c r="E622" s="9"/>
      <c r="F622" s="9"/>
      <c r="G622" s="9"/>
      <c r="H622" s="9"/>
      <c r="I622" s="9"/>
      <c r="J622" s="9"/>
      <c r="K622" s="9"/>
      <c r="L622" s="9"/>
      <c r="M622" s="223"/>
      <c r="N622" s="9"/>
      <c r="O622" s="9"/>
      <c r="P622" s="9"/>
      <c r="Q622" s="9"/>
      <c r="R622" s="9"/>
      <c r="S622" s="223"/>
      <c r="T622" s="223"/>
      <c r="U622" s="223"/>
      <c r="V622" s="9"/>
      <c r="W622" s="9"/>
      <c r="X622" s="9"/>
      <c r="Y622" s="204"/>
      <c r="Z622" s="9"/>
      <c r="AA622" s="9"/>
      <c r="AB622" s="9"/>
      <c r="AC622" s="9"/>
    </row>
    <row r="623" ht="15.75" customHeight="1">
      <c r="A623" s="9"/>
      <c r="B623" s="9"/>
      <c r="C623" s="9"/>
      <c r="D623" s="9"/>
      <c r="E623" s="9"/>
      <c r="F623" s="9"/>
      <c r="G623" s="9"/>
      <c r="H623" s="9"/>
      <c r="I623" s="9"/>
      <c r="J623" s="9"/>
      <c r="K623" s="9"/>
      <c r="L623" s="9"/>
      <c r="M623" s="223"/>
      <c r="N623" s="9"/>
      <c r="O623" s="9"/>
      <c r="P623" s="9"/>
      <c r="Q623" s="9"/>
      <c r="R623" s="9"/>
      <c r="S623" s="223"/>
      <c r="T623" s="223"/>
      <c r="U623" s="223"/>
      <c r="V623" s="9"/>
      <c r="W623" s="9"/>
      <c r="X623" s="9"/>
      <c r="Y623" s="204"/>
      <c r="Z623" s="9"/>
      <c r="AA623" s="9"/>
      <c r="AB623" s="9"/>
      <c r="AC623" s="9"/>
    </row>
    <row r="624" ht="15.75" customHeight="1">
      <c r="A624" s="9"/>
      <c r="B624" s="9"/>
      <c r="C624" s="9"/>
      <c r="D624" s="9"/>
      <c r="E624" s="9"/>
      <c r="F624" s="9"/>
      <c r="G624" s="9"/>
      <c r="H624" s="9"/>
      <c r="I624" s="9"/>
      <c r="J624" s="9"/>
      <c r="K624" s="9"/>
      <c r="L624" s="9"/>
      <c r="M624" s="223"/>
      <c r="N624" s="9"/>
      <c r="O624" s="9"/>
      <c r="P624" s="9"/>
      <c r="Q624" s="9"/>
      <c r="R624" s="9"/>
      <c r="S624" s="223"/>
      <c r="T624" s="223"/>
      <c r="U624" s="223"/>
      <c r="V624" s="9"/>
      <c r="W624" s="9"/>
      <c r="X624" s="9"/>
      <c r="Y624" s="204"/>
      <c r="Z624" s="9"/>
      <c r="AA624" s="9"/>
      <c r="AB624" s="9"/>
      <c r="AC624" s="9"/>
    </row>
    <row r="625" ht="15.75" customHeight="1">
      <c r="A625" s="9"/>
      <c r="B625" s="9"/>
      <c r="C625" s="9"/>
      <c r="D625" s="9"/>
      <c r="E625" s="9"/>
      <c r="F625" s="9"/>
      <c r="G625" s="9"/>
      <c r="H625" s="9"/>
      <c r="I625" s="9"/>
      <c r="J625" s="9"/>
      <c r="K625" s="9"/>
      <c r="L625" s="9"/>
      <c r="M625" s="223"/>
      <c r="N625" s="9"/>
      <c r="O625" s="9"/>
      <c r="P625" s="9"/>
      <c r="Q625" s="9"/>
      <c r="R625" s="9"/>
      <c r="S625" s="223"/>
      <c r="T625" s="223"/>
      <c r="U625" s="223"/>
      <c r="V625" s="9"/>
      <c r="W625" s="9"/>
      <c r="X625" s="9"/>
      <c r="Y625" s="204"/>
      <c r="Z625" s="9"/>
      <c r="AA625" s="9"/>
      <c r="AB625" s="9"/>
      <c r="AC625" s="9"/>
    </row>
    <row r="626" ht="15.75" customHeight="1">
      <c r="A626" s="9"/>
      <c r="B626" s="9"/>
      <c r="C626" s="9"/>
      <c r="D626" s="9"/>
      <c r="E626" s="9"/>
      <c r="F626" s="9"/>
      <c r="G626" s="9"/>
      <c r="H626" s="9"/>
      <c r="I626" s="9"/>
      <c r="J626" s="9"/>
      <c r="K626" s="9"/>
      <c r="L626" s="9"/>
      <c r="M626" s="223"/>
      <c r="N626" s="9"/>
      <c r="O626" s="9"/>
      <c r="P626" s="9"/>
      <c r="Q626" s="9"/>
      <c r="R626" s="9"/>
      <c r="S626" s="223"/>
      <c r="T626" s="223"/>
      <c r="U626" s="223"/>
      <c r="V626" s="9"/>
      <c r="W626" s="9"/>
      <c r="X626" s="9"/>
      <c r="Y626" s="204"/>
      <c r="Z626" s="9"/>
      <c r="AA626" s="9"/>
      <c r="AB626" s="9"/>
      <c r="AC626" s="9"/>
    </row>
    <row r="627" ht="15.75" customHeight="1">
      <c r="A627" s="9"/>
      <c r="B627" s="9"/>
      <c r="C627" s="9"/>
      <c r="D627" s="9"/>
      <c r="E627" s="9"/>
      <c r="F627" s="9"/>
      <c r="G627" s="9"/>
      <c r="H627" s="9"/>
      <c r="I627" s="9"/>
      <c r="J627" s="9"/>
      <c r="K627" s="9"/>
      <c r="L627" s="9"/>
      <c r="M627" s="223"/>
      <c r="N627" s="9"/>
      <c r="O627" s="9"/>
      <c r="P627" s="9"/>
      <c r="Q627" s="9"/>
      <c r="R627" s="9"/>
      <c r="S627" s="223"/>
      <c r="T627" s="223"/>
      <c r="U627" s="223"/>
      <c r="V627" s="9"/>
      <c r="W627" s="9"/>
      <c r="X627" s="9"/>
      <c r="Y627" s="204"/>
      <c r="Z627" s="9"/>
      <c r="AA627" s="9"/>
      <c r="AB627" s="9"/>
      <c r="AC627" s="9"/>
    </row>
    <row r="628" ht="15.75" customHeight="1">
      <c r="A628" s="9"/>
      <c r="B628" s="9"/>
      <c r="C628" s="9"/>
      <c r="D628" s="9"/>
      <c r="E628" s="9"/>
      <c r="F628" s="9"/>
      <c r="G628" s="9"/>
      <c r="H628" s="9"/>
      <c r="I628" s="9"/>
      <c r="J628" s="9"/>
      <c r="K628" s="9"/>
      <c r="L628" s="9"/>
      <c r="M628" s="223"/>
      <c r="N628" s="9"/>
      <c r="O628" s="9"/>
      <c r="P628" s="9"/>
      <c r="Q628" s="9"/>
      <c r="R628" s="9"/>
      <c r="S628" s="223"/>
      <c r="T628" s="223"/>
      <c r="U628" s="223"/>
      <c r="V628" s="9"/>
      <c r="W628" s="9"/>
      <c r="X628" s="9"/>
      <c r="Y628" s="204"/>
      <c r="Z628" s="9"/>
      <c r="AA628" s="9"/>
      <c r="AB628" s="9"/>
      <c r="AC628" s="9"/>
    </row>
    <row r="629" ht="15.75" customHeight="1">
      <c r="A629" s="9"/>
      <c r="B629" s="9"/>
      <c r="C629" s="9"/>
      <c r="D629" s="9"/>
      <c r="E629" s="9"/>
      <c r="F629" s="9"/>
      <c r="G629" s="9"/>
      <c r="H629" s="9"/>
      <c r="I629" s="9"/>
      <c r="J629" s="9"/>
      <c r="K629" s="9"/>
      <c r="L629" s="9"/>
      <c r="M629" s="223"/>
      <c r="N629" s="9"/>
      <c r="O629" s="9"/>
      <c r="P629" s="9"/>
      <c r="Q629" s="9"/>
      <c r="R629" s="9"/>
      <c r="S629" s="223"/>
      <c r="T629" s="223"/>
      <c r="U629" s="223"/>
      <c r="V629" s="9"/>
      <c r="W629" s="9"/>
      <c r="X629" s="9"/>
      <c r="Y629" s="204"/>
      <c r="Z629" s="9"/>
      <c r="AA629" s="9"/>
      <c r="AB629" s="9"/>
      <c r="AC629" s="9"/>
    </row>
    <row r="630" ht="15.75" customHeight="1">
      <c r="A630" s="9"/>
      <c r="B630" s="9"/>
      <c r="C630" s="9"/>
      <c r="D630" s="9"/>
      <c r="E630" s="9"/>
      <c r="F630" s="9"/>
      <c r="G630" s="9"/>
      <c r="H630" s="9"/>
      <c r="I630" s="9"/>
      <c r="J630" s="9"/>
      <c r="K630" s="9"/>
      <c r="L630" s="9"/>
      <c r="M630" s="223"/>
      <c r="N630" s="9"/>
      <c r="O630" s="9"/>
      <c r="P630" s="9"/>
      <c r="Q630" s="9"/>
      <c r="R630" s="9"/>
      <c r="S630" s="223"/>
      <c r="T630" s="223"/>
      <c r="U630" s="223"/>
      <c r="V630" s="9"/>
      <c r="W630" s="9"/>
      <c r="X630" s="9"/>
      <c r="Y630" s="204"/>
      <c r="Z630" s="9"/>
      <c r="AA630" s="9"/>
      <c r="AB630" s="9"/>
      <c r="AC630" s="9"/>
    </row>
    <row r="631" ht="15.75" customHeight="1">
      <c r="A631" s="9"/>
      <c r="B631" s="9"/>
      <c r="C631" s="9"/>
      <c r="D631" s="9"/>
      <c r="E631" s="9"/>
      <c r="F631" s="9"/>
      <c r="G631" s="9"/>
      <c r="H631" s="9"/>
      <c r="I631" s="9"/>
      <c r="J631" s="9"/>
      <c r="K631" s="9"/>
      <c r="L631" s="9"/>
      <c r="M631" s="223"/>
      <c r="N631" s="9"/>
      <c r="O631" s="9"/>
      <c r="P631" s="9"/>
      <c r="Q631" s="9"/>
      <c r="R631" s="9"/>
      <c r="S631" s="223"/>
      <c r="T631" s="223"/>
      <c r="U631" s="223"/>
      <c r="V631" s="9"/>
      <c r="W631" s="9"/>
      <c r="X631" s="9"/>
      <c r="Y631" s="204"/>
      <c r="Z631" s="9"/>
      <c r="AA631" s="9"/>
      <c r="AB631" s="9"/>
      <c r="AC631" s="9"/>
    </row>
    <row r="632" ht="15.75" customHeight="1">
      <c r="A632" s="9"/>
      <c r="B632" s="9"/>
      <c r="C632" s="9"/>
      <c r="D632" s="9"/>
      <c r="E632" s="9"/>
      <c r="F632" s="9"/>
      <c r="G632" s="9"/>
      <c r="H632" s="9"/>
      <c r="I632" s="9"/>
      <c r="J632" s="9"/>
      <c r="K632" s="9"/>
      <c r="L632" s="9"/>
      <c r="M632" s="223"/>
      <c r="N632" s="9"/>
      <c r="O632" s="9"/>
      <c r="P632" s="9"/>
      <c r="Q632" s="9"/>
      <c r="R632" s="9"/>
      <c r="S632" s="223"/>
      <c r="T632" s="223"/>
      <c r="U632" s="223"/>
      <c r="V632" s="9"/>
      <c r="W632" s="9"/>
      <c r="X632" s="9"/>
      <c r="Y632" s="204"/>
      <c r="Z632" s="9"/>
      <c r="AA632" s="9"/>
      <c r="AB632" s="9"/>
      <c r="AC632" s="9"/>
    </row>
    <row r="633" ht="15.75" customHeight="1">
      <c r="A633" s="9"/>
      <c r="B633" s="9"/>
      <c r="C633" s="9"/>
      <c r="D633" s="9"/>
      <c r="E633" s="9"/>
      <c r="F633" s="9"/>
      <c r="G633" s="9"/>
      <c r="H633" s="9"/>
      <c r="I633" s="9"/>
      <c r="J633" s="9"/>
      <c r="K633" s="9"/>
      <c r="L633" s="9"/>
      <c r="M633" s="223"/>
      <c r="N633" s="9"/>
      <c r="O633" s="9"/>
      <c r="P633" s="9"/>
      <c r="Q633" s="9"/>
      <c r="R633" s="9"/>
      <c r="S633" s="223"/>
      <c r="T633" s="223"/>
      <c r="U633" s="223"/>
      <c r="V633" s="9"/>
      <c r="W633" s="9"/>
      <c r="X633" s="9"/>
      <c r="Y633" s="204"/>
      <c r="Z633" s="9"/>
      <c r="AA633" s="9"/>
      <c r="AB633" s="9"/>
      <c r="AC633" s="9"/>
    </row>
    <row r="634" ht="15.75" customHeight="1">
      <c r="A634" s="9"/>
      <c r="B634" s="9"/>
      <c r="C634" s="9"/>
      <c r="D634" s="9"/>
      <c r="E634" s="9"/>
      <c r="F634" s="9"/>
      <c r="G634" s="9"/>
      <c r="H634" s="9"/>
      <c r="I634" s="9"/>
      <c r="J634" s="9"/>
      <c r="K634" s="9"/>
      <c r="L634" s="9"/>
      <c r="M634" s="223"/>
      <c r="N634" s="9"/>
      <c r="O634" s="9"/>
      <c r="P634" s="9"/>
      <c r="Q634" s="9"/>
      <c r="R634" s="9"/>
      <c r="S634" s="223"/>
      <c r="T634" s="223"/>
      <c r="U634" s="223"/>
      <c r="V634" s="9"/>
      <c r="W634" s="9"/>
      <c r="X634" s="9"/>
      <c r="Y634" s="204"/>
      <c r="Z634" s="9"/>
      <c r="AA634" s="9"/>
      <c r="AB634" s="9"/>
      <c r="AC634" s="9"/>
    </row>
    <row r="635" ht="15.75" customHeight="1">
      <c r="A635" s="9"/>
      <c r="B635" s="9"/>
      <c r="C635" s="9"/>
      <c r="D635" s="9"/>
      <c r="E635" s="9"/>
      <c r="F635" s="9"/>
      <c r="G635" s="9"/>
      <c r="H635" s="9"/>
      <c r="I635" s="9"/>
      <c r="J635" s="9"/>
      <c r="K635" s="9"/>
      <c r="L635" s="9"/>
      <c r="M635" s="223"/>
      <c r="N635" s="9"/>
      <c r="O635" s="9"/>
      <c r="P635" s="9"/>
      <c r="Q635" s="9"/>
      <c r="R635" s="9"/>
      <c r="S635" s="223"/>
      <c r="T635" s="223"/>
      <c r="U635" s="223"/>
      <c r="V635" s="9"/>
      <c r="W635" s="9"/>
      <c r="X635" s="9"/>
      <c r="Y635" s="204"/>
      <c r="Z635" s="9"/>
      <c r="AA635" s="9"/>
      <c r="AB635" s="9"/>
      <c r="AC635" s="9"/>
    </row>
    <row r="636" ht="15.75" customHeight="1">
      <c r="A636" s="9"/>
      <c r="B636" s="9"/>
      <c r="C636" s="9"/>
      <c r="D636" s="9"/>
      <c r="E636" s="9"/>
      <c r="F636" s="9"/>
      <c r="G636" s="9"/>
      <c r="H636" s="9"/>
      <c r="I636" s="9"/>
      <c r="J636" s="9"/>
      <c r="K636" s="9"/>
      <c r="L636" s="9"/>
      <c r="M636" s="223"/>
      <c r="N636" s="9"/>
      <c r="O636" s="9"/>
      <c r="P636" s="9"/>
      <c r="Q636" s="9"/>
      <c r="R636" s="9"/>
      <c r="S636" s="223"/>
      <c r="T636" s="223"/>
      <c r="U636" s="223"/>
      <c r="V636" s="9"/>
      <c r="W636" s="9"/>
      <c r="X636" s="9"/>
      <c r="Y636" s="204"/>
      <c r="Z636" s="9"/>
      <c r="AA636" s="9"/>
      <c r="AB636" s="9"/>
      <c r="AC636" s="9"/>
    </row>
    <row r="637" ht="15.75" customHeight="1">
      <c r="A637" s="9"/>
      <c r="B637" s="9"/>
      <c r="C637" s="9"/>
      <c r="D637" s="9"/>
      <c r="E637" s="9"/>
      <c r="F637" s="9"/>
      <c r="G637" s="9"/>
      <c r="H637" s="9"/>
      <c r="I637" s="9"/>
      <c r="J637" s="9"/>
      <c r="K637" s="9"/>
      <c r="L637" s="9"/>
      <c r="M637" s="223"/>
      <c r="N637" s="9"/>
      <c r="O637" s="9"/>
      <c r="P637" s="9"/>
      <c r="Q637" s="9"/>
      <c r="R637" s="9"/>
      <c r="S637" s="223"/>
      <c r="T637" s="223"/>
      <c r="U637" s="223"/>
      <c r="V637" s="9"/>
      <c r="W637" s="9"/>
      <c r="X637" s="9"/>
      <c r="Y637" s="204"/>
      <c r="Z637" s="9"/>
      <c r="AA637" s="9"/>
      <c r="AB637" s="9"/>
      <c r="AC637" s="9"/>
    </row>
    <row r="638" ht="15.75" customHeight="1">
      <c r="A638" s="9"/>
      <c r="B638" s="9"/>
      <c r="C638" s="9"/>
      <c r="D638" s="9"/>
      <c r="E638" s="9"/>
      <c r="F638" s="9"/>
      <c r="G638" s="9"/>
      <c r="H638" s="9"/>
      <c r="I638" s="9"/>
      <c r="J638" s="9"/>
      <c r="K638" s="9"/>
      <c r="L638" s="9"/>
      <c r="M638" s="223"/>
      <c r="N638" s="9"/>
      <c r="O638" s="9"/>
      <c r="P638" s="9"/>
      <c r="Q638" s="9"/>
      <c r="R638" s="9"/>
      <c r="S638" s="223"/>
      <c r="T638" s="223"/>
      <c r="U638" s="223"/>
      <c r="V638" s="9"/>
      <c r="W638" s="9"/>
      <c r="X638" s="9"/>
      <c r="Y638" s="204"/>
      <c r="Z638" s="9"/>
      <c r="AA638" s="9"/>
      <c r="AB638" s="9"/>
      <c r="AC638" s="9"/>
    </row>
    <row r="639" ht="15.75" customHeight="1">
      <c r="A639" s="9"/>
      <c r="B639" s="9"/>
      <c r="C639" s="9"/>
      <c r="D639" s="9"/>
      <c r="E639" s="9"/>
      <c r="F639" s="9"/>
      <c r="G639" s="9"/>
      <c r="H639" s="9"/>
      <c r="I639" s="9"/>
      <c r="J639" s="9"/>
      <c r="K639" s="9"/>
      <c r="L639" s="9"/>
      <c r="M639" s="223"/>
      <c r="N639" s="9"/>
      <c r="O639" s="9"/>
      <c r="P639" s="9"/>
      <c r="Q639" s="9"/>
      <c r="R639" s="9"/>
      <c r="S639" s="223"/>
      <c r="T639" s="223"/>
      <c r="U639" s="223"/>
      <c r="V639" s="9"/>
      <c r="W639" s="9"/>
      <c r="X639" s="9"/>
      <c r="Y639" s="204"/>
      <c r="Z639" s="9"/>
      <c r="AA639" s="9"/>
      <c r="AB639" s="9"/>
      <c r="AC639" s="9"/>
    </row>
    <row r="640" ht="15.75" customHeight="1">
      <c r="A640" s="9"/>
      <c r="B640" s="9"/>
      <c r="C640" s="9"/>
      <c r="D640" s="9"/>
      <c r="E640" s="9"/>
      <c r="F640" s="9"/>
      <c r="G640" s="9"/>
      <c r="H640" s="9"/>
      <c r="I640" s="9"/>
      <c r="J640" s="9"/>
      <c r="K640" s="9"/>
      <c r="L640" s="9"/>
      <c r="M640" s="223"/>
      <c r="N640" s="9"/>
      <c r="O640" s="9"/>
      <c r="P640" s="9"/>
      <c r="Q640" s="9"/>
      <c r="R640" s="9"/>
      <c r="S640" s="223"/>
      <c r="T640" s="223"/>
      <c r="U640" s="223"/>
      <c r="V640" s="9"/>
      <c r="W640" s="9"/>
      <c r="X640" s="9"/>
      <c r="Y640" s="204"/>
      <c r="Z640" s="9"/>
      <c r="AA640" s="9"/>
      <c r="AB640" s="9"/>
      <c r="AC640" s="9"/>
    </row>
    <row r="641" ht="15.75" customHeight="1">
      <c r="A641" s="9"/>
      <c r="B641" s="9"/>
      <c r="C641" s="9"/>
      <c r="D641" s="9"/>
      <c r="E641" s="9"/>
      <c r="F641" s="9"/>
      <c r="G641" s="9"/>
      <c r="H641" s="9"/>
      <c r="I641" s="9"/>
      <c r="J641" s="9"/>
      <c r="K641" s="9"/>
      <c r="L641" s="9"/>
      <c r="M641" s="223"/>
      <c r="N641" s="9"/>
      <c r="O641" s="9"/>
      <c r="P641" s="9"/>
      <c r="Q641" s="9"/>
      <c r="R641" s="9"/>
      <c r="S641" s="223"/>
      <c r="T641" s="223"/>
      <c r="U641" s="223"/>
      <c r="V641" s="9"/>
      <c r="W641" s="9"/>
      <c r="X641" s="9"/>
      <c r="Y641" s="204"/>
      <c r="Z641" s="9"/>
      <c r="AA641" s="9"/>
      <c r="AB641" s="9"/>
      <c r="AC641" s="9"/>
    </row>
    <row r="642" ht="15.75" customHeight="1">
      <c r="A642" s="9"/>
      <c r="B642" s="9"/>
      <c r="C642" s="9"/>
      <c r="D642" s="9"/>
      <c r="E642" s="9"/>
      <c r="F642" s="9"/>
      <c r="G642" s="9"/>
      <c r="H642" s="9"/>
      <c r="I642" s="9"/>
      <c r="J642" s="9"/>
      <c r="K642" s="9"/>
      <c r="L642" s="9"/>
      <c r="M642" s="223"/>
      <c r="N642" s="9"/>
      <c r="O642" s="9"/>
      <c r="P642" s="9"/>
      <c r="Q642" s="9"/>
      <c r="R642" s="9"/>
      <c r="S642" s="223"/>
      <c r="T642" s="223"/>
      <c r="U642" s="223"/>
      <c r="V642" s="9"/>
      <c r="W642" s="9"/>
      <c r="X642" s="9"/>
      <c r="Y642" s="204"/>
      <c r="Z642" s="9"/>
      <c r="AA642" s="9"/>
      <c r="AB642" s="9"/>
      <c r="AC642" s="9"/>
    </row>
    <row r="643" ht="15.75" customHeight="1">
      <c r="A643" s="9"/>
      <c r="B643" s="9"/>
      <c r="C643" s="9"/>
      <c r="D643" s="9"/>
      <c r="E643" s="9"/>
      <c r="F643" s="9"/>
      <c r="G643" s="9"/>
      <c r="H643" s="9"/>
      <c r="I643" s="9"/>
      <c r="J643" s="9"/>
      <c r="K643" s="9"/>
      <c r="L643" s="9"/>
      <c r="M643" s="223"/>
      <c r="N643" s="9"/>
      <c r="O643" s="9"/>
      <c r="P643" s="9"/>
      <c r="Q643" s="9"/>
      <c r="R643" s="9"/>
      <c r="S643" s="223"/>
      <c r="T643" s="223"/>
      <c r="U643" s="223"/>
      <c r="V643" s="9"/>
      <c r="W643" s="9"/>
      <c r="X643" s="9"/>
      <c r="Y643" s="204"/>
      <c r="Z643" s="9"/>
      <c r="AA643" s="9"/>
      <c r="AB643" s="9"/>
      <c r="AC643" s="9"/>
    </row>
    <row r="644" ht="15.75" customHeight="1">
      <c r="A644" s="9"/>
      <c r="B644" s="9"/>
      <c r="C644" s="9"/>
      <c r="D644" s="9"/>
      <c r="E644" s="9"/>
      <c r="F644" s="9"/>
      <c r="G644" s="9"/>
      <c r="H644" s="9"/>
      <c r="I644" s="9"/>
      <c r="J644" s="9"/>
      <c r="K644" s="9"/>
      <c r="L644" s="9"/>
      <c r="M644" s="223"/>
      <c r="N644" s="9"/>
      <c r="O644" s="9"/>
      <c r="P644" s="9"/>
      <c r="Q644" s="9"/>
      <c r="R644" s="9"/>
      <c r="S644" s="223"/>
      <c r="T644" s="223"/>
      <c r="U644" s="223"/>
      <c r="V644" s="9"/>
      <c r="W644" s="9"/>
      <c r="X644" s="9"/>
      <c r="Y644" s="204"/>
      <c r="Z644" s="9"/>
      <c r="AA644" s="9"/>
      <c r="AB644" s="9"/>
      <c r="AC644" s="9"/>
    </row>
    <row r="645" ht="15.75" customHeight="1">
      <c r="A645" s="9"/>
      <c r="B645" s="9"/>
      <c r="C645" s="9"/>
      <c r="D645" s="9"/>
      <c r="E645" s="9"/>
      <c r="F645" s="9"/>
      <c r="G645" s="9"/>
      <c r="H645" s="9"/>
      <c r="I645" s="9"/>
      <c r="J645" s="9"/>
      <c r="K645" s="9"/>
      <c r="L645" s="9"/>
      <c r="M645" s="223"/>
      <c r="N645" s="9"/>
      <c r="O645" s="9"/>
      <c r="P645" s="9"/>
      <c r="Q645" s="9"/>
      <c r="R645" s="9"/>
      <c r="S645" s="223"/>
      <c r="T645" s="223"/>
      <c r="U645" s="223"/>
      <c r="V645" s="9"/>
      <c r="W645" s="9"/>
      <c r="X645" s="9"/>
      <c r="Y645" s="204"/>
      <c r="Z645" s="9"/>
      <c r="AA645" s="9"/>
      <c r="AB645" s="9"/>
      <c r="AC645" s="9"/>
    </row>
    <row r="646" ht="15.75" customHeight="1">
      <c r="A646" s="9"/>
      <c r="B646" s="9"/>
      <c r="C646" s="9"/>
      <c r="D646" s="9"/>
      <c r="E646" s="9"/>
      <c r="F646" s="9"/>
      <c r="G646" s="9"/>
      <c r="H646" s="9"/>
      <c r="I646" s="9"/>
      <c r="J646" s="9"/>
      <c r="K646" s="9"/>
      <c r="L646" s="9"/>
      <c r="M646" s="223"/>
      <c r="N646" s="9"/>
      <c r="O646" s="9"/>
      <c r="P646" s="9"/>
      <c r="Q646" s="9"/>
      <c r="R646" s="9"/>
      <c r="S646" s="223"/>
      <c r="T646" s="223"/>
      <c r="U646" s="223"/>
      <c r="V646" s="9"/>
      <c r="W646" s="9"/>
      <c r="X646" s="9"/>
      <c r="Y646" s="204"/>
      <c r="Z646" s="9"/>
      <c r="AA646" s="9"/>
      <c r="AB646" s="9"/>
      <c r="AC646" s="9"/>
    </row>
    <row r="647" ht="15.75" customHeight="1">
      <c r="A647" s="9"/>
      <c r="B647" s="9"/>
      <c r="C647" s="9"/>
      <c r="D647" s="9"/>
      <c r="E647" s="9"/>
      <c r="F647" s="9"/>
      <c r="G647" s="9"/>
      <c r="H647" s="9"/>
      <c r="I647" s="9"/>
      <c r="J647" s="9"/>
      <c r="K647" s="9"/>
      <c r="L647" s="9"/>
      <c r="M647" s="223"/>
      <c r="N647" s="9"/>
      <c r="O647" s="9"/>
      <c r="P647" s="9"/>
      <c r="Q647" s="9"/>
      <c r="R647" s="9"/>
      <c r="S647" s="223"/>
      <c r="T647" s="223"/>
      <c r="U647" s="223"/>
      <c r="V647" s="9"/>
      <c r="W647" s="9"/>
      <c r="X647" s="9"/>
      <c r="Y647" s="204"/>
      <c r="Z647" s="9"/>
      <c r="AA647" s="9"/>
      <c r="AB647" s="9"/>
      <c r="AC647" s="9"/>
    </row>
    <row r="648" ht="15.75" customHeight="1">
      <c r="A648" s="9"/>
      <c r="B648" s="9"/>
      <c r="C648" s="9"/>
      <c r="D648" s="9"/>
      <c r="E648" s="9"/>
      <c r="F648" s="9"/>
      <c r="G648" s="9"/>
      <c r="H648" s="9"/>
      <c r="I648" s="9"/>
      <c r="J648" s="9"/>
      <c r="K648" s="9"/>
      <c r="L648" s="9"/>
      <c r="M648" s="223"/>
      <c r="N648" s="9"/>
      <c r="O648" s="9"/>
      <c r="P648" s="9"/>
      <c r="Q648" s="9"/>
      <c r="R648" s="9"/>
      <c r="S648" s="223"/>
      <c r="T648" s="223"/>
      <c r="U648" s="223"/>
      <c r="V648" s="9"/>
      <c r="W648" s="9"/>
      <c r="X648" s="9"/>
      <c r="Y648" s="204"/>
      <c r="Z648" s="9"/>
      <c r="AA648" s="9"/>
      <c r="AB648" s="9"/>
      <c r="AC648" s="9"/>
    </row>
    <row r="649" ht="15.75" customHeight="1">
      <c r="A649" s="9"/>
      <c r="B649" s="9"/>
      <c r="C649" s="9"/>
      <c r="D649" s="9"/>
      <c r="E649" s="9"/>
      <c r="F649" s="9"/>
      <c r="G649" s="9"/>
      <c r="H649" s="9"/>
      <c r="I649" s="9"/>
      <c r="J649" s="9"/>
      <c r="K649" s="9"/>
      <c r="L649" s="9"/>
      <c r="M649" s="223"/>
      <c r="N649" s="9"/>
      <c r="O649" s="9"/>
      <c r="P649" s="9"/>
      <c r="Q649" s="9"/>
      <c r="R649" s="9"/>
      <c r="S649" s="223"/>
      <c r="T649" s="223"/>
      <c r="U649" s="223"/>
      <c r="V649" s="9"/>
      <c r="W649" s="9"/>
      <c r="X649" s="9"/>
      <c r="Y649" s="204"/>
      <c r="Z649" s="9"/>
      <c r="AA649" s="9"/>
      <c r="AB649" s="9"/>
      <c r="AC649" s="9"/>
    </row>
    <row r="650" ht="15.75" customHeight="1">
      <c r="A650" s="9"/>
      <c r="B650" s="9"/>
      <c r="C650" s="9"/>
      <c r="D650" s="9"/>
      <c r="E650" s="9"/>
      <c r="F650" s="9"/>
      <c r="G650" s="9"/>
      <c r="H650" s="9"/>
      <c r="I650" s="9"/>
      <c r="J650" s="9"/>
      <c r="K650" s="9"/>
      <c r="L650" s="9"/>
      <c r="M650" s="223"/>
      <c r="N650" s="9"/>
      <c r="O650" s="9"/>
      <c r="P650" s="9"/>
      <c r="Q650" s="9"/>
      <c r="R650" s="9"/>
      <c r="S650" s="223"/>
      <c r="T650" s="223"/>
      <c r="U650" s="223"/>
      <c r="V650" s="9"/>
      <c r="W650" s="9"/>
      <c r="X650" s="9"/>
      <c r="Y650" s="204"/>
      <c r="Z650" s="9"/>
      <c r="AA650" s="9"/>
      <c r="AB650" s="9"/>
      <c r="AC650" s="9"/>
    </row>
    <row r="651" ht="15.75" customHeight="1">
      <c r="A651" s="9"/>
      <c r="B651" s="9"/>
      <c r="C651" s="9"/>
      <c r="D651" s="9"/>
      <c r="E651" s="9"/>
      <c r="F651" s="9"/>
      <c r="G651" s="9"/>
      <c r="H651" s="9"/>
      <c r="I651" s="9"/>
      <c r="J651" s="9"/>
      <c r="K651" s="9"/>
      <c r="L651" s="9"/>
      <c r="M651" s="223"/>
      <c r="N651" s="9"/>
      <c r="O651" s="9"/>
      <c r="P651" s="9"/>
      <c r="Q651" s="9"/>
      <c r="R651" s="9"/>
      <c r="S651" s="223"/>
      <c r="T651" s="223"/>
      <c r="U651" s="223"/>
      <c r="V651" s="9"/>
      <c r="W651" s="9"/>
      <c r="X651" s="9"/>
      <c r="Y651" s="204"/>
      <c r="Z651" s="9"/>
      <c r="AA651" s="9"/>
      <c r="AB651" s="9"/>
      <c r="AC651" s="9"/>
    </row>
    <row r="652" ht="15.75" customHeight="1">
      <c r="A652" s="9"/>
      <c r="B652" s="9"/>
      <c r="C652" s="9"/>
      <c r="D652" s="9"/>
      <c r="E652" s="9"/>
      <c r="F652" s="9"/>
      <c r="G652" s="9"/>
      <c r="H652" s="9"/>
      <c r="I652" s="9"/>
      <c r="J652" s="9"/>
      <c r="K652" s="9"/>
      <c r="L652" s="9"/>
      <c r="M652" s="223"/>
      <c r="N652" s="9"/>
      <c r="O652" s="9"/>
      <c r="P652" s="9"/>
      <c r="Q652" s="9"/>
      <c r="R652" s="9"/>
      <c r="S652" s="223"/>
      <c r="T652" s="223"/>
      <c r="U652" s="223"/>
      <c r="V652" s="9"/>
      <c r="W652" s="9"/>
      <c r="X652" s="9"/>
      <c r="Y652" s="204"/>
      <c r="Z652" s="9"/>
      <c r="AA652" s="9"/>
      <c r="AB652" s="9"/>
      <c r="AC652" s="9"/>
    </row>
    <row r="653" ht="15.75" customHeight="1">
      <c r="A653" s="9"/>
      <c r="B653" s="9"/>
      <c r="C653" s="9"/>
      <c r="D653" s="9"/>
      <c r="E653" s="9"/>
      <c r="F653" s="9"/>
      <c r="G653" s="9"/>
      <c r="H653" s="9"/>
      <c r="I653" s="9"/>
      <c r="J653" s="9"/>
      <c r="K653" s="9"/>
      <c r="L653" s="9"/>
      <c r="M653" s="223"/>
      <c r="N653" s="9"/>
      <c r="O653" s="9"/>
      <c r="P653" s="9"/>
      <c r="Q653" s="9"/>
      <c r="R653" s="9"/>
      <c r="S653" s="223"/>
      <c r="T653" s="223"/>
      <c r="U653" s="223"/>
      <c r="V653" s="9"/>
      <c r="W653" s="9"/>
      <c r="X653" s="9"/>
      <c r="Y653" s="204"/>
      <c r="Z653" s="9"/>
      <c r="AA653" s="9"/>
      <c r="AB653" s="9"/>
      <c r="AC653" s="9"/>
    </row>
    <row r="654" ht="15.75" customHeight="1">
      <c r="A654" s="9"/>
      <c r="B654" s="9"/>
      <c r="C654" s="9"/>
      <c r="D654" s="9"/>
      <c r="E654" s="9"/>
      <c r="F654" s="9"/>
      <c r="G654" s="9"/>
      <c r="H654" s="9"/>
      <c r="I654" s="9"/>
      <c r="J654" s="9"/>
      <c r="K654" s="9"/>
      <c r="L654" s="9"/>
      <c r="M654" s="223"/>
      <c r="N654" s="9"/>
      <c r="O654" s="9"/>
      <c r="P654" s="9"/>
      <c r="Q654" s="9"/>
      <c r="R654" s="9"/>
      <c r="S654" s="223"/>
      <c r="T654" s="223"/>
      <c r="U654" s="223"/>
      <c r="V654" s="9"/>
      <c r="W654" s="9"/>
      <c r="X654" s="9"/>
      <c r="Y654" s="204"/>
      <c r="Z654" s="9"/>
      <c r="AA654" s="9"/>
      <c r="AB654" s="9"/>
      <c r="AC654" s="9"/>
    </row>
    <row r="655" ht="15.75" customHeight="1">
      <c r="A655" s="9"/>
      <c r="B655" s="9"/>
      <c r="C655" s="9"/>
      <c r="D655" s="9"/>
      <c r="E655" s="9"/>
      <c r="F655" s="9"/>
      <c r="G655" s="9"/>
      <c r="H655" s="9"/>
      <c r="I655" s="9"/>
      <c r="J655" s="9"/>
      <c r="K655" s="9"/>
      <c r="L655" s="9"/>
      <c r="M655" s="223"/>
      <c r="N655" s="9"/>
      <c r="O655" s="9"/>
      <c r="P655" s="9"/>
      <c r="Q655" s="9"/>
      <c r="R655" s="9"/>
      <c r="S655" s="223"/>
      <c r="T655" s="223"/>
      <c r="U655" s="223"/>
      <c r="V655" s="9"/>
      <c r="W655" s="9"/>
      <c r="X655" s="9"/>
      <c r="Y655" s="204"/>
      <c r="Z655" s="9"/>
      <c r="AA655" s="9"/>
      <c r="AB655" s="9"/>
      <c r="AC655" s="9"/>
    </row>
    <row r="656" ht="15.75" customHeight="1">
      <c r="A656" s="9"/>
      <c r="B656" s="9"/>
      <c r="C656" s="9"/>
      <c r="D656" s="9"/>
      <c r="E656" s="9"/>
      <c r="F656" s="9"/>
      <c r="G656" s="9"/>
      <c r="H656" s="9"/>
      <c r="I656" s="9"/>
      <c r="J656" s="9"/>
      <c r="K656" s="9"/>
      <c r="L656" s="9"/>
      <c r="M656" s="223"/>
      <c r="N656" s="9"/>
      <c r="O656" s="9"/>
      <c r="P656" s="9"/>
      <c r="Q656" s="9"/>
      <c r="R656" s="9"/>
      <c r="S656" s="223"/>
      <c r="T656" s="223"/>
      <c r="U656" s="223"/>
      <c r="V656" s="9"/>
      <c r="W656" s="9"/>
      <c r="X656" s="9"/>
      <c r="Y656" s="204"/>
      <c r="Z656" s="9"/>
      <c r="AA656" s="9"/>
      <c r="AB656" s="9"/>
      <c r="AC656" s="9"/>
    </row>
    <row r="657" ht="15.75" customHeight="1">
      <c r="A657" s="9"/>
      <c r="B657" s="9"/>
      <c r="C657" s="9"/>
      <c r="D657" s="9"/>
      <c r="E657" s="9"/>
      <c r="F657" s="9"/>
      <c r="G657" s="9"/>
      <c r="H657" s="9"/>
      <c r="I657" s="9"/>
      <c r="J657" s="9"/>
      <c r="K657" s="9"/>
      <c r="L657" s="9"/>
      <c r="M657" s="223"/>
      <c r="N657" s="9"/>
      <c r="O657" s="9"/>
      <c r="P657" s="9"/>
      <c r="Q657" s="9"/>
      <c r="R657" s="9"/>
      <c r="S657" s="223"/>
      <c r="T657" s="223"/>
      <c r="U657" s="223"/>
      <c r="V657" s="9"/>
      <c r="W657" s="9"/>
      <c r="X657" s="9"/>
      <c r="Y657" s="204"/>
      <c r="Z657" s="9"/>
      <c r="AA657" s="9"/>
      <c r="AB657" s="9"/>
      <c r="AC657" s="9"/>
    </row>
    <row r="658" ht="15.75" customHeight="1">
      <c r="A658" s="9"/>
      <c r="B658" s="9"/>
      <c r="C658" s="9"/>
      <c r="D658" s="9"/>
      <c r="E658" s="9"/>
      <c r="F658" s="9"/>
      <c r="G658" s="9"/>
      <c r="H658" s="9"/>
      <c r="I658" s="9"/>
      <c r="J658" s="9"/>
      <c r="K658" s="9"/>
      <c r="L658" s="9"/>
      <c r="M658" s="223"/>
      <c r="N658" s="9"/>
      <c r="O658" s="9"/>
      <c r="P658" s="9"/>
      <c r="Q658" s="9"/>
      <c r="R658" s="9"/>
      <c r="S658" s="223"/>
      <c r="T658" s="223"/>
      <c r="U658" s="223"/>
      <c r="V658" s="9"/>
      <c r="W658" s="9"/>
      <c r="X658" s="9"/>
      <c r="Y658" s="204"/>
      <c r="Z658" s="9"/>
      <c r="AA658" s="9"/>
      <c r="AB658" s="9"/>
      <c r="AC658" s="9"/>
    </row>
    <row r="659" ht="15.75" customHeight="1">
      <c r="A659" s="9"/>
      <c r="B659" s="9"/>
      <c r="C659" s="9"/>
      <c r="D659" s="9"/>
      <c r="E659" s="9"/>
      <c r="F659" s="9"/>
      <c r="G659" s="9"/>
      <c r="H659" s="9"/>
      <c r="I659" s="9"/>
      <c r="J659" s="9"/>
      <c r="K659" s="9"/>
      <c r="L659" s="9"/>
      <c r="M659" s="223"/>
      <c r="N659" s="9"/>
      <c r="O659" s="9"/>
      <c r="P659" s="9"/>
      <c r="Q659" s="9"/>
      <c r="R659" s="9"/>
      <c r="S659" s="223"/>
      <c r="T659" s="223"/>
      <c r="U659" s="223"/>
      <c r="V659" s="9"/>
      <c r="W659" s="9"/>
      <c r="X659" s="9"/>
      <c r="Y659" s="204"/>
      <c r="Z659" s="9"/>
      <c r="AA659" s="9"/>
      <c r="AB659" s="9"/>
      <c r="AC659" s="9"/>
    </row>
    <row r="660" ht="15.75" customHeight="1">
      <c r="A660" s="9"/>
      <c r="B660" s="9"/>
      <c r="C660" s="9"/>
      <c r="D660" s="9"/>
      <c r="E660" s="9"/>
      <c r="F660" s="9"/>
      <c r="G660" s="9"/>
      <c r="H660" s="9"/>
      <c r="I660" s="9"/>
      <c r="J660" s="9"/>
      <c r="K660" s="9"/>
      <c r="L660" s="9"/>
      <c r="M660" s="223"/>
      <c r="N660" s="9"/>
      <c r="O660" s="9"/>
      <c r="P660" s="9"/>
      <c r="Q660" s="9"/>
      <c r="R660" s="9"/>
      <c r="S660" s="223"/>
      <c r="T660" s="223"/>
      <c r="U660" s="223"/>
      <c r="V660" s="9"/>
      <c r="W660" s="9"/>
      <c r="X660" s="9"/>
      <c r="Y660" s="204"/>
      <c r="Z660" s="9"/>
      <c r="AA660" s="9"/>
      <c r="AB660" s="9"/>
      <c r="AC660" s="9"/>
    </row>
    <row r="661" ht="15.75" customHeight="1">
      <c r="A661" s="9"/>
      <c r="B661" s="9"/>
      <c r="C661" s="9"/>
      <c r="D661" s="9"/>
      <c r="E661" s="9"/>
      <c r="F661" s="9"/>
      <c r="G661" s="9"/>
      <c r="H661" s="9"/>
      <c r="I661" s="9"/>
      <c r="J661" s="9"/>
      <c r="K661" s="9"/>
      <c r="L661" s="9"/>
      <c r="M661" s="223"/>
      <c r="N661" s="9"/>
      <c r="O661" s="9"/>
      <c r="P661" s="9"/>
      <c r="Q661" s="9"/>
      <c r="R661" s="9"/>
      <c r="S661" s="223"/>
      <c r="T661" s="223"/>
      <c r="U661" s="223"/>
      <c r="V661" s="9"/>
      <c r="W661" s="9"/>
      <c r="X661" s="9"/>
      <c r="Y661" s="204"/>
      <c r="Z661" s="9"/>
      <c r="AA661" s="9"/>
      <c r="AB661" s="9"/>
      <c r="AC661" s="9"/>
    </row>
    <row r="662" ht="15.75" customHeight="1">
      <c r="A662" s="9"/>
      <c r="B662" s="9"/>
      <c r="C662" s="9"/>
      <c r="D662" s="9"/>
      <c r="E662" s="9"/>
      <c r="F662" s="9"/>
      <c r="G662" s="9"/>
      <c r="H662" s="9"/>
      <c r="I662" s="9"/>
      <c r="J662" s="9"/>
      <c r="K662" s="9"/>
      <c r="L662" s="9"/>
      <c r="M662" s="223"/>
      <c r="N662" s="9"/>
      <c r="O662" s="9"/>
      <c r="P662" s="9"/>
      <c r="Q662" s="9"/>
      <c r="R662" s="9"/>
      <c r="S662" s="223"/>
      <c r="T662" s="223"/>
      <c r="U662" s="223"/>
      <c r="V662" s="9"/>
      <c r="W662" s="9"/>
      <c r="X662" s="9"/>
      <c r="Y662" s="204"/>
      <c r="Z662" s="9"/>
      <c r="AA662" s="9"/>
      <c r="AB662" s="9"/>
      <c r="AC662" s="9"/>
    </row>
    <row r="663" ht="15.75" customHeight="1">
      <c r="A663" s="9"/>
      <c r="B663" s="9"/>
      <c r="C663" s="9"/>
      <c r="D663" s="9"/>
      <c r="E663" s="9"/>
      <c r="F663" s="9"/>
      <c r="G663" s="9"/>
      <c r="H663" s="9"/>
      <c r="I663" s="9"/>
      <c r="J663" s="9"/>
      <c r="K663" s="9"/>
      <c r="L663" s="9"/>
      <c r="M663" s="223"/>
      <c r="N663" s="9"/>
      <c r="O663" s="9"/>
      <c r="P663" s="9"/>
      <c r="Q663" s="9"/>
      <c r="R663" s="9"/>
      <c r="S663" s="223"/>
      <c r="T663" s="223"/>
      <c r="U663" s="223"/>
      <c r="V663" s="9"/>
      <c r="W663" s="9"/>
      <c r="X663" s="9"/>
      <c r="Y663" s="204"/>
      <c r="Z663" s="9"/>
      <c r="AA663" s="9"/>
      <c r="AB663" s="9"/>
      <c r="AC663" s="9"/>
    </row>
    <row r="664" ht="15.75" customHeight="1">
      <c r="A664" s="9"/>
      <c r="B664" s="9"/>
      <c r="C664" s="9"/>
      <c r="D664" s="9"/>
      <c r="E664" s="9"/>
      <c r="F664" s="9"/>
      <c r="G664" s="9"/>
      <c r="H664" s="9"/>
      <c r="I664" s="9"/>
      <c r="J664" s="9"/>
      <c r="K664" s="9"/>
      <c r="L664" s="9"/>
      <c r="M664" s="223"/>
      <c r="N664" s="9"/>
      <c r="O664" s="9"/>
      <c r="P664" s="9"/>
      <c r="Q664" s="9"/>
      <c r="R664" s="9"/>
      <c r="S664" s="223"/>
      <c r="T664" s="223"/>
      <c r="U664" s="223"/>
      <c r="V664" s="9"/>
      <c r="W664" s="9"/>
      <c r="X664" s="9"/>
      <c r="Y664" s="204"/>
      <c r="Z664" s="9"/>
      <c r="AA664" s="9"/>
      <c r="AB664" s="9"/>
      <c r="AC664" s="9"/>
    </row>
    <row r="665" ht="15.75" customHeight="1">
      <c r="A665" s="9"/>
      <c r="B665" s="9"/>
      <c r="C665" s="9"/>
      <c r="D665" s="9"/>
      <c r="E665" s="9"/>
      <c r="F665" s="9"/>
      <c r="G665" s="9"/>
      <c r="H665" s="9"/>
      <c r="I665" s="9"/>
      <c r="J665" s="9"/>
      <c r="K665" s="9"/>
      <c r="L665" s="9"/>
      <c r="M665" s="223"/>
      <c r="N665" s="9"/>
      <c r="O665" s="9"/>
      <c r="P665" s="9"/>
      <c r="Q665" s="9"/>
      <c r="R665" s="9"/>
      <c r="S665" s="223"/>
      <c r="T665" s="223"/>
      <c r="U665" s="223"/>
      <c r="V665" s="9"/>
      <c r="W665" s="9"/>
      <c r="X665" s="9"/>
      <c r="Y665" s="204"/>
      <c r="Z665" s="9"/>
      <c r="AA665" s="9"/>
      <c r="AB665" s="9"/>
      <c r="AC665" s="9"/>
    </row>
    <row r="666" ht="15.75" customHeight="1">
      <c r="A666" s="9"/>
      <c r="B666" s="9"/>
      <c r="C666" s="9"/>
      <c r="D666" s="9"/>
      <c r="E666" s="9"/>
      <c r="F666" s="9"/>
      <c r="G666" s="9"/>
      <c r="H666" s="9"/>
      <c r="I666" s="9"/>
      <c r="J666" s="9"/>
      <c r="K666" s="9"/>
      <c r="L666" s="9"/>
      <c r="M666" s="223"/>
      <c r="N666" s="9"/>
      <c r="O666" s="9"/>
      <c r="P666" s="9"/>
      <c r="Q666" s="9"/>
      <c r="R666" s="9"/>
      <c r="S666" s="223"/>
      <c r="T666" s="223"/>
      <c r="U666" s="223"/>
      <c r="V666" s="9"/>
      <c r="W666" s="9"/>
      <c r="X666" s="9"/>
      <c r="Y666" s="204"/>
      <c r="Z666" s="9"/>
      <c r="AA666" s="9"/>
      <c r="AB666" s="9"/>
      <c r="AC666" s="9"/>
    </row>
    <row r="667" ht="15.75" customHeight="1">
      <c r="A667" s="9"/>
      <c r="B667" s="9"/>
      <c r="C667" s="9"/>
      <c r="D667" s="9"/>
      <c r="E667" s="9"/>
      <c r="F667" s="9"/>
      <c r="G667" s="9"/>
      <c r="H667" s="9"/>
      <c r="I667" s="9"/>
      <c r="J667" s="9"/>
      <c r="K667" s="9"/>
      <c r="L667" s="9"/>
      <c r="M667" s="223"/>
      <c r="N667" s="9"/>
      <c r="O667" s="9"/>
      <c r="P667" s="9"/>
      <c r="Q667" s="9"/>
      <c r="R667" s="9"/>
      <c r="S667" s="223"/>
      <c r="T667" s="223"/>
      <c r="U667" s="223"/>
      <c r="V667" s="9"/>
      <c r="W667" s="9"/>
      <c r="X667" s="9"/>
      <c r="Y667" s="204"/>
      <c r="Z667" s="9"/>
      <c r="AA667" s="9"/>
      <c r="AB667" s="9"/>
      <c r="AC667" s="9"/>
    </row>
    <row r="668" ht="15.75" customHeight="1">
      <c r="A668" s="9"/>
      <c r="B668" s="9"/>
      <c r="C668" s="9"/>
      <c r="D668" s="9"/>
      <c r="E668" s="9"/>
      <c r="F668" s="9"/>
      <c r="G668" s="9"/>
      <c r="H668" s="9"/>
      <c r="I668" s="9"/>
      <c r="J668" s="9"/>
      <c r="K668" s="9"/>
      <c r="L668" s="9"/>
      <c r="M668" s="223"/>
      <c r="N668" s="9"/>
      <c r="O668" s="9"/>
      <c r="P668" s="9"/>
      <c r="Q668" s="9"/>
      <c r="R668" s="9"/>
      <c r="S668" s="223"/>
      <c r="T668" s="223"/>
      <c r="U668" s="223"/>
      <c r="V668" s="9"/>
      <c r="W668" s="9"/>
      <c r="X668" s="9"/>
      <c r="Y668" s="204"/>
      <c r="Z668" s="9"/>
      <c r="AA668" s="9"/>
      <c r="AB668" s="9"/>
      <c r="AC668" s="9"/>
    </row>
    <row r="669" ht="15.75" customHeight="1">
      <c r="A669" s="9"/>
      <c r="B669" s="9"/>
      <c r="C669" s="9"/>
      <c r="D669" s="9"/>
      <c r="E669" s="9"/>
      <c r="F669" s="9"/>
      <c r="G669" s="9"/>
      <c r="H669" s="9"/>
      <c r="I669" s="9"/>
      <c r="J669" s="9"/>
      <c r="K669" s="9"/>
      <c r="L669" s="9"/>
      <c r="M669" s="223"/>
      <c r="N669" s="9"/>
      <c r="O669" s="9"/>
      <c r="P669" s="9"/>
      <c r="Q669" s="9"/>
      <c r="R669" s="9"/>
      <c r="S669" s="223"/>
      <c r="T669" s="223"/>
      <c r="U669" s="223"/>
      <c r="V669" s="9"/>
      <c r="W669" s="9"/>
      <c r="X669" s="9"/>
      <c r="Y669" s="204"/>
      <c r="Z669" s="9"/>
      <c r="AA669" s="9"/>
      <c r="AB669" s="9"/>
      <c r="AC669" s="9"/>
    </row>
    <row r="670" ht="15.75" customHeight="1">
      <c r="A670" s="9"/>
      <c r="B670" s="9"/>
      <c r="C670" s="9"/>
      <c r="D670" s="9"/>
      <c r="E670" s="9"/>
      <c r="F670" s="9"/>
      <c r="G670" s="9"/>
      <c r="H670" s="9"/>
      <c r="I670" s="9"/>
      <c r="J670" s="9"/>
      <c r="K670" s="9"/>
      <c r="L670" s="9"/>
      <c r="M670" s="223"/>
      <c r="N670" s="9"/>
      <c r="O670" s="9"/>
      <c r="P670" s="9"/>
      <c r="Q670" s="9"/>
      <c r="R670" s="9"/>
      <c r="S670" s="223"/>
      <c r="T670" s="223"/>
      <c r="U670" s="223"/>
      <c r="V670" s="9"/>
      <c r="W670" s="9"/>
      <c r="X670" s="9"/>
      <c r="Y670" s="204"/>
      <c r="Z670" s="9"/>
      <c r="AA670" s="9"/>
      <c r="AB670" s="9"/>
      <c r="AC670" s="9"/>
    </row>
    <row r="671" ht="15.75" customHeight="1">
      <c r="A671" s="9"/>
      <c r="B671" s="9"/>
      <c r="C671" s="9"/>
      <c r="D671" s="9"/>
      <c r="E671" s="9"/>
      <c r="F671" s="9"/>
      <c r="G671" s="9"/>
      <c r="H671" s="9"/>
      <c r="I671" s="9"/>
      <c r="J671" s="9"/>
      <c r="K671" s="9"/>
      <c r="L671" s="9"/>
      <c r="M671" s="223"/>
      <c r="N671" s="9"/>
      <c r="O671" s="9"/>
      <c r="P671" s="9"/>
      <c r="Q671" s="9"/>
      <c r="R671" s="9"/>
      <c r="S671" s="223"/>
      <c r="T671" s="223"/>
      <c r="U671" s="223"/>
      <c r="V671" s="9"/>
      <c r="W671" s="9"/>
      <c r="X671" s="9"/>
      <c r="Y671" s="204"/>
      <c r="Z671" s="9"/>
      <c r="AA671" s="9"/>
      <c r="AB671" s="9"/>
      <c r="AC671" s="9"/>
    </row>
    <row r="672" ht="15.75" customHeight="1">
      <c r="A672" s="9"/>
      <c r="B672" s="9"/>
      <c r="C672" s="9"/>
      <c r="D672" s="9"/>
      <c r="E672" s="9"/>
      <c r="F672" s="9"/>
      <c r="G672" s="9"/>
      <c r="H672" s="9"/>
      <c r="I672" s="9"/>
      <c r="J672" s="9"/>
      <c r="K672" s="9"/>
      <c r="L672" s="9"/>
      <c r="M672" s="223"/>
      <c r="N672" s="9"/>
      <c r="O672" s="9"/>
      <c r="P672" s="9"/>
      <c r="Q672" s="9"/>
      <c r="R672" s="9"/>
      <c r="S672" s="223"/>
      <c r="T672" s="223"/>
      <c r="U672" s="223"/>
      <c r="V672" s="9"/>
      <c r="W672" s="9"/>
      <c r="X672" s="9"/>
      <c r="Y672" s="204"/>
      <c r="Z672" s="9"/>
      <c r="AA672" s="9"/>
      <c r="AB672" s="9"/>
      <c r="AC672" s="9"/>
    </row>
    <row r="673" ht="15.75" customHeight="1">
      <c r="A673" s="9"/>
      <c r="B673" s="9"/>
      <c r="C673" s="9"/>
      <c r="D673" s="9"/>
      <c r="E673" s="9"/>
      <c r="F673" s="9"/>
      <c r="G673" s="9"/>
      <c r="H673" s="9"/>
      <c r="I673" s="9"/>
      <c r="J673" s="9"/>
      <c r="K673" s="9"/>
      <c r="L673" s="9"/>
      <c r="M673" s="223"/>
      <c r="N673" s="9"/>
      <c r="O673" s="9"/>
      <c r="P673" s="9"/>
      <c r="Q673" s="9"/>
      <c r="R673" s="9"/>
      <c r="S673" s="223"/>
      <c r="T673" s="223"/>
      <c r="U673" s="223"/>
      <c r="V673" s="9"/>
      <c r="W673" s="9"/>
      <c r="X673" s="9"/>
      <c r="Y673" s="204"/>
      <c r="Z673" s="9"/>
      <c r="AA673" s="9"/>
      <c r="AB673" s="9"/>
      <c r="AC673" s="9"/>
    </row>
    <row r="674" ht="15.75" customHeight="1">
      <c r="A674" s="9"/>
      <c r="B674" s="9"/>
      <c r="C674" s="9"/>
      <c r="D674" s="9"/>
      <c r="E674" s="9"/>
      <c r="F674" s="9"/>
      <c r="G674" s="9"/>
      <c r="H674" s="9"/>
      <c r="I674" s="9"/>
      <c r="J674" s="9"/>
      <c r="K674" s="9"/>
      <c r="L674" s="9"/>
      <c r="M674" s="223"/>
      <c r="N674" s="9"/>
      <c r="O674" s="9"/>
      <c r="P674" s="9"/>
      <c r="Q674" s="9"/>
      <c r="R674" s="9"/>
      <c r="S674" s="223"/>
      <c r="T674" s="223"/>
      <c r="U674" s="223"/>
      <c r="V674" s="9"/>
      <c r="W674" s="9"/>
      <c r="X674" s="9"/>
      <c r="Y674" s="204"/>
      <c r="Z674" s="9"/>
      <c r="AA674" s="9"/>
      <c r="AB674" s="9"/>
      <c r="AC674" s="9"/>
    </row>
    <row r="675" ht="15.75" customHeight="1">
      <c r="A675" s="9"/>
      <c r="B675" s="9"/>
      <c r="C675" s="9"/>
      <c r="D675" s="9"/>
      <c r="E675" s="9"/>
      <c r="F675" s="9"/>
      <c r="G675" s="9"/>
      <c r="H675" s="9"/>
      <c r="I675" s="9"/>
      <c r="J675" s="9"/>
      <c r="K675" s="9"/>
      <c r="L675" s="9"/>
      <c r="M675" s="223"/>
      <c r="N675" s="9"/>
      <c r="O675" s="9"/>
      <c r="P675" s="9"/>
      <c r="Q675" s="9"/>
      <c r="R675" s="9"/>
      <c r="S675" s="223"/>
      <c r="T675" s="223"/>
      <c r="U675" s="223"/>
      <c r="V675" s="9"/>
      <c r="W675" s="9"/>
      <c r="X675" s="9"/>
      <c r="Y675" s="204"/>
      <c r="Z675" s="9"/>
      <c r="AA675" s="9"/>
      <c r="AB675" s="9"/>
      <c r="AC675" s="9"/>
    </row>
    <row r="676" ht="15.75" customHeight="1">
      <c r="A676" s="9"/>
      <c r="B676" s="9"/>
      <c r="C676" s="9"/>
      <c r="D676" s="9"/>
      <c r="E676" s="9"/>
      <c r="F676" s="9"/>
      <c r="G676" s="9"/>
      <c r="H676" s="9"/>
      <c r="I676" s="9"/>
      <c r="J676" s="9"/>
      <c r="K676" s="9"/>
      <c r="L676" s="9"/>
      <c r="M676" s="223"/>
      <c r="N676" s="9"/>
      <c r="O676" s="9"/>
      <c r="P676" s="9"/>
      <c r="Q676" s="9"/>
      <c r="R676" s="9"/>
      <c r="S676" s="223"/>
      <c r="T676" s="223"/>
      <c r="U676" s="223"/>
      <c r="V676" s="9"/>
      <c r="W676" s="9"/>
      <c r="X676" s="9"/>
      <c r="Y676" s="204"/>
      <c r="Z676" s="9"/>
      <c r="AA676" s="9"/>
      <c r="AB676" s="9"/>
      <c r="AC676" s="9"/>
    </row>
    <row r="677" ht="15.75" customHeight="1">
      <c r="A677" s="9"/>
      <c r="B677" s="9"/>
      <c r="C677" s="9"/>
      <c r="D677" s="9"/>
      <c r="E677" s="9"/>
      <c r="F677" s="9"/>
      <c r="G677" s="9"/>
      <c r="H677" s="9"/>
      <c r="I677" s="9"/>
      <c r="J677" s="9"/>
      <c r="K677" s="9"/>
      <c r="L677" s="9"/>
      <c r="M677" s="223"/>
      <c r="N677" s="9"/>
      <c r="O677" s="9"/>
      <c r="P677" s="9"/>
      <c r="Q677" s="9"/>
      <c r="R677" s="9"/>
      <c r="S677" s="223"/>
      <c r="T677" s="223"/>
      <c r="U677" s="223"/>
      <c r="V677" s="9"/>
      <c r="W677" s="9"/>
      <c r="X677" s="9"/>
      <c r="Y677" s="204"/>
      <c r="Z677" s="9"/>
      <c r="AA677" s="9"/>
      <c r="AB677" s="9"/>
      <c r="AC677" s="9"/>
    </row>
    <row r="678" ht="15.75" customHeight="1">
      <c r="A678" s="9"/>
      <c r="B678" s="9"/>
      <c r="C678" s="9"/>
      <c r="D678" s="9"/>
      <c r="E678" s="9"/>
      <c r="F678" s="9"/>
      <c r="G678" s="9"/>
      <c r="H678" s="9"/>
      <c r="I678" s="9"/>
      <c r="J678" s="9"/>
      <c r="K678" s="9"/>
      <c r="L678" s="9"/>
      <c r="M678" s="223"/>
      <c r="N678" s="9"/>
      <c r="O678" s="9"/>
      <c r="P678" s="9"/>
      <c r="Q678" s="9"/>
      <c r="R678" s="9"/>
      <c r="S678" s="223"/>
      <c r="T678" s="223"/>
      <c r="U678" s="223"/>
      <c r="V678" s="9"/>
      <c r="W678" s="9"/>
      <c r="X678" s="9"/>
      <c r="Y678" s="204"/>
      <c r="Z678" s="9"/>
      <c r="AA678" s="9"/>
      <c r="AB678" s="9"/>
      <c r="AC678" s="9"/>
    </row>
    <row r="679" ht="15.75" customHeight="1">
      <c r="A679" s="9"/>
      <c r="B679" s="9"/>
      <c r="C679" s="9"/>
      <c r="D679" s="9"/>
      <c r="E679" s="9"/>
      <c r="F679" s="9"/>
      <c r="G679" s="9"/>
      <c r="H679" s="9"/>
      <c r="I679" s="9"/>
      <c r="J679" s="9"/>
      <c r="K679" s="9"/>
      <c r="L679" s="9"/>
      <c r="M679" s="223"/>
      <c r="N679" s="9"/>
      <c r="O679" s="9"/>
      <c r="P679" s="9"/>
      <c r="Q679" s="9"/>
      <c r="R679" s="9"/>
      <c r="S679" s="223"/>
      <c r="T679" s="223"/>
      <c r="U679" s="223"/>
      <c r="V679" s="9"/>
      <c r="W679" s="9"/>
      <c r="X679" s="9"/>
      <c r="Y679" s="204"/>
      <c r="Z679" s="9"/>
      <c r="AA679" s="9"/>
      <c r="AB679" s="9"/>
      <c r="AC679" s="9"/>
    </row>
    <row r="680" ht="15.75" customHeight="1">
      <c r="A680" s="9"/>
      <c r="B680" s="9"/>
      <c r="C680" s="9"/>
      <c r="D680" s="9"/>
      <c r="E680" s="9"/>
      <c r="F680" s="9"/>
      <c r="G680" s="9"/>
      <c r="H680" s="9"/>
      <c r="I680" s="9"/>
      <c r="J680" s="9"/>
      <c r="K680" s="9"/>
      <c r="L680" s="9"/>
      <c r="M680" s="223"/>
      <c r="N680" s="9"/>
      <c r="O680" s="9"/>
      <c r="P680" s="9"/>
      <c r="Q680" s="9"/>
      <c r="R680" s="9"/>
      <c r="S680" s="223"/>
      <c r="T680" s="223"/>
      <c r="U680" s="223"/>
      <c r="V680" s="9"/>
      <c r="W680" s="9"/>
      <c r="X680" s="9"/>
      <c r="Y680" s="204"/>
      <c r="Z680" s="9"/>
      <c r="AA680" s="9"/>
      <c r="AB680" s="9"/>
      <c r="AC680" s="9"/>
    </row>
    <row r="681" ht="15.75" customHeight="1">
      <c r="A681" s="9"/>
      <c r="B681" s="9"/>
      <c r="C681" s="9"/>
      <c r="D681" s="9"/>
      <c r="E681" s="9"/>
      <c r="F681" s="9"/>
      <c r="G681" s="9"/>
      <c r="H681" s="9"/>
      <c r="I681" s="9"/>
      <c r="J681" s="9"/>
      <c r="K681" s="9"/>
      <c r="L681" s="9"/>
      <c r="M681" s="223"/>
      <c r="N681" s="9"/>
      <c r="O681" s="9"/>
      <c r="P681" s="9"/>
      <c r="Q681" s="9"/>
      <c r="R681" s="9"/>
      <c r="S681" s="223"/>
      <c r="T681" s="223"/>
      <c r="U681" s="223"/>
      <c r="V681" s="9"/>
      <c r="W681" s="9"/>
      <c r="X681" s="9"/>
      <c r="Y681" s="204"/>
      <c r="Z681" s="9"/>
      <c r="AA681" s="9"/>
      <c r="AB681" s="9"/>
      <c r="AC681" s="9"/>
    </row>
    <row r="682" ht="15.75" customHeight="1">
      <c r="A682" s="9"/>
      <c r="B682" s="9"/>
      <c r="C682" s="9"/>
      <c r="D682" s="9"/>
      <c r="E682" s="9"/>
      <c r="F682" s="9"/>
      <c r="G682" s="9"/>
      <c r="H682" s="9"/>
      <c r="I682" s="9"/>
      <c r="J682" s="9"/>
      <c r="K682" s="9"/>
      <c r="L682" s="9"/>
      <c r="M682" s="223"/>
      <c r="N682" s="9"/>
      <c r="O682" s="9"/>
      <c r="P682" s="9"/>
      <c r="Q682" s="9"/>
      <c r="R682" s="9"/>
      <c r="S682" s="223"/>
      <c r="T682" s="223"/>
      <c r="U682" s="223"/>
      <c r="V682" s="9"/>
      <c r="W682" s="9"/>
      <c r="X682" s="9"/>
      <c r="Y682" s="204"/>
      <c r="Z682" s="9"/>
      <c r="AA682" s="9"/>
      <c r="AB682" s="9"/>
      <c r="AC682" s="9"/>
    </row>
    <row r="683" ht="15.75" customHeight="1">
      <c r="A683" s="9"/>
      <c r="B683" s="9"/>
      <c r="C683" s="9"/>
      <c r="D683" s="9"/>
      <c r="E683" s="9"/>
      <c r="F683" s="9"/>
      <c r="G683" s="9"/>
      <c r="H683" s="9"/>
      <c r="I683" s="9"/>
      <c r="J683" s="9"/>
      <c r="K683" s="9"/>
      <c r="L683" s="9"/>
      <c r="M683" s="223"/>
      <c r="N683" s="9"/>
      <c r="O683" s="9"/>
      <c r="P683" s="9"/>
      <c r="Q683" s="9"/>
      <c r="R683" s="9"/>
      <c r="S683" s="223"/>
      <c r="T683" s="223"/>
      <c r="U683" s="223"/>
      <c r="V683" s="9"/>
      <c r="W683" s="9"/>
      <c r="X683" s="9"/>
      <c r="Y683" s="204"/>
      <c r="Z683" s="9"/>
      <c r="AA683" s="9"/>
      <c r="AB683" s="9"/>
      <c r="AC683" s="9"/>
    </row>
    <row r="684" ht="15.75" customHeight="1">
      <c r="A684" s="9"/>
      <c r="B684" s="9"/>
      <c r="C684" s="9"/>
      <c r="D684" s="9"/>
      <c r="E684" s="9"/>
      <c r="F684" s="9"/>
      <c r="G684" s="9"/>
      <c r="H684" s="9"/>
      <c r="I684" s="9"/>
      <c r="J684" s="9"/>
      <c r="K684" s="9"/>
      <c r="L684" s="9"/>
      <c r="M684" s="223"/>
      <c r="N684" s="9"/>
      <c r="O684" s="9"/>
      <c r="P684" s="9"/>
      <c r="Q684" s="9"/>
      <c r="R684" s="9"/>
      <c r="S684" s="223"/>
      <c r="T684" s="223"/>
      <c r="U684" s="223"/>
      <c r="V684" s="9"/>
      <c r="W684" s="9"/>
      <c r="X684" s="9"/>
      <c r="Y684" s="204"/>
      <c r="Z684" s="9"/>
      <c r="AA684" s="9"/>
      <c r="AB684" s="9"/>
      <c r="AC684" s="9"/>
    </row>
    <row r="685" ht="15.75" customHeight="1">
      <c r="A685" s="9"/>
      <c r="B685" s="9"/>
      <c r="C685" s="9"/>
      <c r="D685" s="9"/>
      <c r="E685" s="9"/>
      <c r="F685" s="9"/>
      <c r="G685" s="9"/>
      <c r="H685" s="9"/>
      <c r="I685" s="9"/>
      <c r="J685" s="9"/>
      <c r="K685" s="9"/>
      <c r="L685" s="9"/>
      <c r="M685" s="223"/>
      <c r="N685" s="9"/>
      <c r="O685" s="9"/>
      <c r="P685" s="9"/>
      <c r="Q685" s="9"/>
      <c r="R685" s="9"/>
      <c r="S685" s="223"/>
      <c r="T685" s="223"/>
      <c r="U685" s="223"/>
      <c r="V685" s="9"/>
      <c r="W685" s="9"/>
      <c r="X685" s="9"/>
      <c r="Y685" s="204"/>
      <c r="Z685" s="9"/>
      <c r="AA685" s="9"/>
      <c r="AB685" s="9"/>
      <c r="AC685" s="9"/>
    </row>
    <row r="686" ht="15.75" customHeight="1">
      <c r="A686" s="9"/>
      <c r="B686" s="9"/>
      <c r="C686" s="9"/>
      <c r="D686" s="9"/>
      <c r="E686" s="9"/>
      <c r="F686" s="9"/>
      <c r="G686" s="9"/>
      <c r="H686" s="9"/>
      <c r="I686" s="9"/>
      <c r="J686" s="9"/>
      <c r="K686" s="9"/>
      <c r="L686" s="9"/>
      <c r="M686" s="223"/>
      <c r="N686" s="9"/>
      <c r="O686" s="9"/>
      <c r="P686" s="9"/>
      <c r="Q686" s="9"/>
      <c r="R686" s="9"/>
      <c r="S686" s="223"/>
      <c r="T686" s="223"/>
      <c r="U686" s="223"/>
      <c r="V686" s="9"/>
      <c r="W686" s="9"/>
      <c r="X686" s="9"/>
      <c r="Y686" s="204"/>
      <c r="Z686" s="9"/>
      <c r="AA686" s="9"/>
      <c r="AB686" s="9"/>
      <c r="AC686" s="9"/>
    </row>
    <row r="687" ht="15.75" customHeight="1">
      <c r="A687" s="9"/>
      <c r="B687" s="9"/>
      <c r="C687" s="9"/>
      <c r="D687" s="9"/>
      <c r="E687" s="9"/>
      <c r="F687" s="9"/>
      <c r="G687" s="9"/>
      <c r="H687" s="9"/>
      <c r="I687" s="9"/>
      <c r="J687" s="9"/>
      <c r="K687" s="9"/>
      <c r="L687" s="9"/>
      <c r="M687" s="223"/>
      <c r="N687" s="9"/>
      <c r="O687" s="9"/>
      <c r="P687" s="9"/>
      <c r="Q687" s="9"/>
      <c r="R687" s="9"/>
      <c r="S687" s="223"/>
      <c r="T687" s="223"/>
      <c r="U687" s="223"/>
      <c r="V687" s="9"/>
      <c r="W687" s="9"/>
      <c r="X687" s="9"/>
      <c r="Y687" s="204"/>
      <c r="Z687" s="9"/>
      <c r="AA687" s="9"/>
      <c r="AB687" s="9"/>
      <c r="AC687" s="9"/>
    </row>
    <row r="688" ht="15.75" customHeight="1">
      <c r="A688" s="9"/>
      <c r="B688" s="9"/>
      <c r="C688" s="9"/>
      <c r="D688" s="9"/>
      <c r="E688" s="9"/>
      <c r="F688" s="9"/>
      <c r="G688" s="9"/>
      <c r="H688" s="9"/>
      <c r="I688" s="9"/>
      <c r="J688" s="9"/>
      <c r="K688" s="9"/>
      <c r="L688" s="9"/>
      <c r="M688" s="223"/>
      <c r="N688" s="9"/>
      <c r="O688" s="9"/>
      <c r="P688" s="9"/>
      <c r="Q688" s="9"/>
      <c r="R688" s="9"/>
      <c r="S688" s="223"/>
      <c r="T688" s="223"/>
      <c r="U688" s="223"/>
      <c r="V688" s="9"/>
      <c r="W688" s="9"/>
      <c r="X688" s="9"/>
      <c r="Y688" s="204"/>
      <c r="Z688" s="9"/>
      <c r="AA688" s="9"/>
      <c r="AB688" s="9"/>
      <c r="AC688" s="9"/>
    </row>
    <row r="689" ht="15.75" customHeight="1">
      <c r="A689" s="9"/>
      <c r="B689" s="9"/>
      <c r="C689" s="9"/>
      <c r="D689" s="9"/>
      <c r="E689" s="9"/>
      <c r="F689" s="9"/>
      <c r="G689" s="9"/>
      <c r="H689" s="9"/>
      <c r="I689" s="9"/>
      <c r="J689" s="9"/>
      <c r="K689" s="9"/>
      <c r="L689" s="9"/>
      <c r="M689" s="223"/>
      <c r="N689" s="9"/>
      <c r="O689" s="9"/>
      <c r="P689" s="9"/>
      <c r="Q689" s="9"/>
      <c r="R689" s="9"/>
      <c r="S689" s="223"/>
      <c r="T689" s="223"/>
      <c r="U689" s="223"/>
      <c r="V689" s="9"/>
      <c r="W689" s="9"/>
      <c r="X689" s="9"/>
      <c r="Y689" s="204"/>
      <c r="Z689" s="9"/>
      <c r="AA689" s="9"/>
      <c r="AB689" s="9"/>
      <c r="AC689" s="9"/>
    </row>
    <row r="690" ht="15.75" customHeight="1">
      <c r="A690" s="9"/>
      <c r="B690" s="9"/>
      <c r="C690" s="9"/>
      <c r="D690" s="9"/>
      <c r="E690" s="9"/>
      <c r="F690" s="9"/>
      <c r="G690" s="9"/>
      <c r="H690" s="9"/>
      <c r="I690" s="9"/>
      <c r="J690" s="9"/>
      <c r="K690" s="9"/>
      <c r="L690" s="9"/>
      <c r="M690" s="223"/>
      <c r="N690" s="9"/>
      <c r="O690" s="9"/>
      <c r="P690" s="9"/>
      <c r="Q690" s="9"/>
      <c r="R690" s="9"/>
      <c r="S690" s="223"/>
      <c r="T690" s="223"/>
      <c r="U690" s="223"/>
      <c r="V690" s="9"/>
      <c r="W690" s="9"/>
      <c r="X690" s="9"/>
      <c r="Y690" s="204"/>
      <c r="Z690" s="9"/>
      <c r="AA690" s="9"/>
      <c r="AB690" s="9"/>
      <c r="AC690" s="9"/>
    </row>
    <row r="691" ht="15.75" customHeight="1">
      <c r="A691" s="9"/>
      <c r="B691" s="9"/>
      <c r="C691" s="9"/>
      <c r="D691" s="9"/>
      <c r="E691" s="9"/>
      <c r="F691" s="9"/>
      <c r="G691" s="9"/>
      <c r="H691" s="9"/>
      <c r="I691" s="9"/>
      <c r="J691" s="9"/>
      <c r="K691" s="9"/>
      <c r="L691" s="9"/>
      <c r="M691" s="223"/>
      <c r="N691" s="9"/>
      <c r="O691" s="9"/>
      <c r="P691" s="9"/>
      <c r="Q691" s="9"/>
      <c r="R691" s="9"/>
      <c r="S691" s="223"/>
      <c r="T691" s="223"/>
      <c r="U691" s="223"/>
      <c r="V691" s="9"/>
      <c r="W691" s="9"/>
      <c r="X691" s="9"/>
      <c r="Y691" s="204"/>
      <c r="Z691" s="9"/>
      <c r="AA691" s="9"/>
      <c r="AB691" s="9"/>
      <c r="AC691" s="9"/>
    </row>
    <row r="692" ht="15.75" customHeight="1">
      <c r="A692" s="9"/>
      <c r="B692" s="9"/>
      <c r="C692" s="9"/>
      <c r="D692" s="9"/>
      <c r="E692" s="9"/>
      <c r="F692" s="9"/>
      <c r="G692" s="9"/>
      <c r="H692" s="9"/>
      <c r="I692" s="9"/>
      <c r="J692" s="9"/>
      <c r="K692" s="9"/>
      <c r="L692" s="9"/>
      <c r="M692" s="223"/>
      <c r="N692" s="9"/>
      <c r="O692" s="9"/>
      <c r="P692" s="9"/>
      <c r="Q692" s="9"/>
      <c r="R692" s="9"/>
      <c r="S692" s="223"/>
      <c r="T692" s="223"/>
      <c r="U692" s="223"/>
      <c r="V692" s="9"/>
      <c r="W692" s="9"/>
      <c r="X692" s="9"/>
      <c r="Y692" s="204"/>
      <c r="Z692" s="9"/>
      <c r="AA692" s="9"/>
      <c r="AB692" s="9"/>
      <c r="AC692" s="9"/>
    </row>
    <row r="693" ht="15.75" customHeight="1">
      <c r="A693" s="9"/>
      <c r="B693" s="9"/>
      <c r="C693" s="9"/>
      <c r="D693" s="9"/>
      <c r="E693" s="9"/>
      <c r="F693" s="9"/>
      <c r="G693" s="9"/>
      <c r="H693" s="9"/>
      <c r="I693" s="9"/>
      <c r="J693" s="9"/>
      <c r="K693" s="9"/>
      <c r="L693" s="9"/>
      <c r="M693" s="223"/>
      <c r="N693" s="9"/>
      <c r="O693" s="9"/>
      <c r="P693" s="9"/>
      <c r="Q693" s="9"/>
      <c r="R693" s="9"/>
      <c r="S693" s="223"/>
      <c r="T693" s="223"/>
      <c r="U693" s="223"/>
      <c r="V693" s="9"/>
      <c r="W693" s="9"/>
      <c r="X693" s="9"/>
      <c r="Y693" s="204"/>
      <c r="Z693" s="9"/>
      <c r="AA693" s="9"/>
      <c r="AB693" s="9"/>
      <c r="AC693" s="9"/>
    </row>
    <row r="694" ht="15.75" customHeight="1">
      <c r="A694" s="9"/>
      <c r="B694" s="9"/>
      <c r="C694" s="9"/>
      <c r="D694" s="9"/>
      <c r="E694" s="9"/>
      <c r="F694" s="9"/>
      <c r="G694" s="9"/>
      <c r="H694" s="9"/>
      <c r="I694" s="9"/>
      <c r="J694" s="9"/>
      <c r="K694" s="9"/>
      <c r="L694" s="9"/>
      <c r="M694" s="223"/>
      <c r="N694" s="9"/>
      <c r="O694" s="9"/>
      <c r="P694" s="9"/>
      <c r="Q694" s="9"/>
      <c r="R694" s="9"/>
      <c r="S694" s="223"/>
      <c r="T694" s="223"/>
      <c r="U694" s="223"/>
      <c r="V694" s="9"/>
      <c r="W694" s="9"/>
      <c r="X694" s="9"/>
      <c r="Y694" s="204"/>
      <c r="Z694" s="9"/>
      <c r="AA694" s="9"/>
      <c r="AB694" s="9"/>
      <c r="AC694" s="9"/>
    </row>
    <row r="695" ht="15.75" customHeight="1">
      <c r="A695" s="9"/>
      <c r="B695" s="9"/>
      <c r="C695" s="9"/>
      <c r="D695" s="9"/>
      <c r="E695" s="9"/>
      <c r="F695" s="9"/>
      <c r="G695" s="9"/>
      <c r="H695" s="9"/>
      <c r="I695" s="9"/>
      <c r="J695" s="9"/>
      <c r="K695" s="9"/>
      <c r="L695" s="9"/>
      <c r="M695" s="223"/>
      <c r="N695" s="9"/>
      <c r="O695" s="9"/>
      <c r="P695" s="9"/>
      <c r="Q695" s="9"/>
      <c r="R695" s="9"/>
      <c r="S695" s="223"/>
      <c r="T695" s="223"/>
      <c r="U695" s="223"/>
      <c r="V695" s="9"/>
      <c r="W695" s="9"/>
      <c r="X695" s="9"/>
      <c r="Y695" s="204"/>
      <c r="Z695" s="9"/>
      <c r="AA695" s="9"/>
      <c r="AB695" s="9"/>
      <c r="AC695" s="9"/>
    </row>
    <row r="696" ht="15.75" customHeight="1">
      <c r="A696" s="9"/>
      <c r="B696" s="9"/>
      <c r="C696" s="9"/>
      <c r="D696" s="9"/>
      <c r="E696" s="9"/>
      <c r="F696" s="9"/>
      <c r="G696" s="9"/>
      <c r="H696" s="9"/>
      <c r="I696" s="9"/>
      <c r="J696" s="9"/>
      <c r="K696" s="9"/>
      <c r="L696" s="9"/>
      <c r="M696" s="223"/>
      <c r="N696" s="9"/>
      <c r="O696" s="9"/>
      <c r="P696" s="9"/>
      <c r="Q696" s="9"/>
      <c r="R696" s="9"/>
      <c r="S696" s="223"/>
      <c r="T696" s="223"/>
      <c r="U696" s="223"/>
      <c r="V696" s="9"/>
      <c r="W696" s="9"/>
      <c r="X696" s="9"/>
      <c r="Y696" s="204"/>
      <c r="Z696" s="9"/>
      <c r="AA696" s="9"/>
      <c r="AB696" s="9"/>
      <c r="AC696" s="9"/>
    </row>
    <row r="697" ht="15.75" customHeight="1">
      <c r="A697" s="9"/>
      <c r="B697" s="9"/>
      <c r="C697" s="9"/>
      <c r="D697" s="9"/>
      <c r="E697" s="9"/>
      <c r="F697" s="9"/>
      <c r="G697" s="9"/>
      <c r="H697" s="9"/>
      <c r="I697" s="9"/>
      <c r="J697" s="9"/>
      <c r="K697" s="9"/>
      <c r="L697" s="9"/>
      <c r="M697" s="223"/>
      <c r="N697" s="9"/>
      <c r="O697" s="9"/>
      <c r="P697" s="9"/>
      <c r="Q697" s="9"/>
      <c r="R697" s="9"/>
      <c r="S697" s="223"/>
      <c r="T697" s="223"/>
      <c r="U697" s="223"/>
      <c r="V697" s="9"/>
      <c r="W697" s="9"/>
      <c r="X697" s="9"/>
      <c r="Y697" s="204"/>
      <c r="Z697" s="9"/>
      <c r="AA697" s="9"/>
      <c r="AB697" s="9"/>
      <c r="AC697" s="9"/>
    </row>
    <row r="698" ht="15.75" customHeight="1">
      <c r="A698" s="9"/>
      <c r="B698" s="9"/>
      <c r="C698" s="9"/>
      <c r="D698" s="9"/>
      <c r="E698" s="9"/>
      <c r="F698" s="9"/>
      <c r="G698" s="9"/>
      <c r="H698" s="9"/>
      <c r="I698" s="9"/>
      <c r="J698" s="9"/>
      <c r="K698" s="9"/>
      <c r="L698" s="9"/>
      <c r="M698" s="223"/>
      <c r="N698" s="9"/>
      <c r="O698" s="9"/>
      <c r="P698" s="9"/>
      <c r="Q698" s="9"/>
      <c r="R698" s="9"/>
      <c r="S698" s="223"/>
      <c r="T698" s="223"/>
      <c r="U698" s="223"/>
      <c r="V698" s="9"/>
      <c r="W698" s="9"/>
      <c r="X698" s="9"/>
      <c r="Y698" s="204"/>
      <c r="Z698" s="9"/>
      <c r="AA698" s="9"/>
      <c r="AB698" s="9"/>
      <c r="AC698" s="9"/>
    </row>
    <row r="699" ht="15.75" customHeight="1">
      <c r="A699" s="9"/>
      <c r="B699" s="9"/>
      <c r="C699" s="9"/>
      <c r="D699" s="9"/>
      <c r="E699" s="9"/>
      <c r="F699" s="9"/>
      <c r="G699" s="9"/>
      <c r="H699" s="9"/>
      <c r="I699" s="9"/>
      <c r="J699" s="9"/>
      <c r="K699" s="9"/>
      <c r="L699" s="9"/>
      <c r="M699" s="223"/>
      <c r="N699" s="9"/>
      <c r="O699" s="9"/>
      <c r="P699" s="9"/>
      <c r="Q699" s="9"/>
      <c r="R699" s="9"/>
      <c r="S699" s="223"/>
      <c r="T699" s="223"/>
      <c r="U699" s="223"/>
      <c r="V699" s="9"/>
      <c r="W699" s="9"/>
      <c r="X699" s="9"/>
      <c r="Y699" s="204"/>
      <c r="Z699" s="9"/>
      <c r="AA699" s="9"/>
      <c r="AB699" s="9"/>
      <c r="AC699" s="9"/>
    </row>
    <row r="700" ht="15.75" customHeight="1">
      <c r="A700" s="9"/>
      <c r="B700" s="9"/>
      <c r="C700" s="9"/>
      <c r="D700" s="9"/>
      <c r="E700" s="9"/>
      <c r="F700" s="9"/>
      <c r="G700" s="9"/>
      <c r="H700" s="9"/>
      <c r="I700" s="9"/>
      <c r="J700" s="9"/>
      <c r="K700" s="9"/>
      <c r="L700" s="9"/>
      <c r="M700" s="223"/>
      <c r="N700" s="9"/>
      <c r="O700" s="9"/>
      <c r="P700" s="9"/>
      <c r="Q700" s="9"/>
      <c r="R700" s="9"/>
      <c r="S700" s="223"/>
      <c r="T700" s="223"/>
      <c r="U700" s="223"/>
      <c r="V700" s="9"/>
      <c r="W700" s="9"/>
      <c r="X700" s="9"/>
      <c r="Y700" s="204"/>
      <c r="Z700" s="9"/>
      <c r="AA700" s="9"/>
      <c r="AB700" s="9"/>
      <c r="AC700" s="9"/>
    </row>
    <row r="701" ht="15.75" customHeight="1">
      <c r="A701" s="9"/>
      <c r="B701" s="9"/>
      <c r="C701" s="9"/>
      <c r="D701" s="9"/>
      <c r="E701" s="9"/>
      <c r="F701" s="9"/>
      <c r="G701" s="9"/>
      <c r="H701" s="9"/>
      <c r="I701" s="9"/>
      <c r="J701" s="9"/>
      <c r="K701" s="9"/>
      <c r="L701" s="9"/>
      <c r="M701" s="223"/>
      <c r="N701" s="9"/>
      <c r="O701" s="9"/>
      <c r="P701" s="9"/>
      <c r="Q701" s="9"/>
      <c r="R701" s="9"/>
      <c r="S701" s="223"/>
      <c r="T701" s="223"/>
      <c r="U701" s="223"/>
      <c r="V701" s="9"/>
      <c r="W701" s="9"/>
      <c r="X701" s="9"/>
      <c r="Y701" s="204"/>
      <c r="Z701" s="9"/>
      <c r="AA701" s="9"/>
      <c r="AB701" s="9"/>
      <c r="AC701" s="9"/>
    </row>
    <row r="702" ht="15.75" customHeight="1">
      <c r="A702" s="9"/>
      <c r="B702" s="9"/>
      <c r="C702" s="9"/>
      <c r="D702" s="9"/>
      <c r="E702" s="9"/>
      <c r="F702" s="9"/>
      <c r="G702" s="9"/>
      <c r="H702" s="9"/>
      <c r="I702" s="9"/>
      <c r="J702" s="9"/>
      <c r="K702" s="9"/>
      <c r="L702" s="9"/>
      <c r="M702" s="223"/>
      <c r="N702" s="9"/>
      <c r="O702" s="9"/>
      <c r="P702" s="9"/>
      <c r="Q702" s="9"/>
      <c r="R702" s="9"/>
      <c r="S702" s="223"/>
      <c r="T702" s="223"/>
      <c r="U702" s="223"/>
      <c r="V702" s="9"/>
      <c r="W702" s="9"/>
      <c r="X702" s="9"/>
      <c r="Y702" s="204"/>
      <c r="Z702" s="9"/>
      <c r="AA702" s="9"/>
      <c r="AB702" s="9"/>
      <c r="AC702" s="9"/>
    </row>
    <row r="703" ht="15.75" customHeight="1">
      <c r="A703" s="9"/>
      <c r="B703" s="9"/>
      <c r="C703" s="9"/>
      <c r="D703" s="9"/>
      <c r="E703" s="9"/>
      <c r="F703" s="9"/>
      <c r="G703" s="9"/>
      <c r="H703" s="9"/>
      <c r="I703" s="9"/>
      <c r="J703" s="9"/>
      <c r="K703" s="9"/>
      <c r="L703" s="9"/>
      <c r="M703" s="223"/>
      <c r="N703" s="9"/>
      <c r="O703" s="9"/>
      <c r="P703" s="9"/>
      <c r="Q703" s="9"/>
      <c r="R703" s="9"/>
      <c r="S703" s="223"/>
      <c r="T703" s="223"/>
      <c r="U703" s="223"/>
      <c r="V703" s="9"/>
      <c r="W703" s="9"/>
      <c r="X703" s="9"/>
      <c r="Y703" s="204"/>
      <c r="Z703" s="9"/>
      <c r="AA703" s="9"/>
      <c r="AB703" s="9"/>
      <c r="AC703" s="9"/>
    </row>
    <row r="704" ht="15.75" customHeight="1">
      <c r="A704" s="9"/>
      <c r="B704" s="9"/>
      <c r="C704" s="9"/>
      <c r="D704" s="9"/>
      <c r="E704" s="9"/>
      <c r="F704" s="9"/>
      <c r="G704" s="9"/>
      <c r="H704" s="9"/>
      <c r="I704" s="9"/>
      <c r="J704" s="9"/>
      <c r="K704" s="9"/>
      <c r="L704" s="9"/>
      <c r="M704" s="223"/>
      <c r="N704" s="9"/>
      <c r="O704" s="9"/>
      <c r="P704" s="9"/>
      <c r="Q704" s="9"/>
      <c r="R704" s="9"/>
      <c r="S704" s="223"/>
      <c r="T704" s="223"/>
      <c r="U704" s="223"/>
      <c r="V704" s="9"/>
      <c r="W704" s="9"/>
      <c r="X704" s="9"/>
      <c r="Y704" s="204"/>
      <c r="Z704" s="9"/>
      <c r="AA704" s="9"/>
      <c r="AB704" s="9"/>
      <c r="AC704" s="9"/>
    </row>
    <row r="705" ht="15.75" customHeight="1">
      <c r="A705" s="9"/>
      <c r="B705" s="9"/>
      <c r="C705" s="9"/>
      <c r="D705" s="9"/>
      <c r="E705" s="9"/>
      <c r="F705" s="9"/>
      <c r="G705" s="9"/>
      <c r="H705" s="9"/>
      <c r="I705" s="9"/>
      <c r="J705" s="9"/>
      <c r="K705" s="9"/>
      <c r="L705" s="9"/>
      <c r="M705" s="223"/>
      <c r="N705" s="9"/>
      <c r="O705" s="9"/>
      <c r="P705" s="9"/>
      <c r="Q705" s="9"/>
      <c r="R705" s="9"/>
      <c r="S705" s="223"/>
      <c r="T705" s="223"/>
      <c r="U705" s="223"/>
      <c r="V705" s="9"/>
      <c r="W705" s="9"/>
      <c r="X705" s="9"/>
      <c r="Y705" s="204"/>
      <c r="Z705" s="9"/>
      <c r="AA705" s="9"/>
      <c r="AB705" s="9"/>
      <c r="AC705" s="9"/>
    </row>
    <row r="706" ht="15.75" customHeight="1">
      <c r="A706" s="9"/>
      <c r="B706" s="9"/>
      <c r="C706" s="9"/>
      <c r="D706" s="9"/>
      <c r="E706" s="9"/>
      <c r="F706" s="9"/>
      <c r="G706" s="9"/>
      <c r="H706" s="9"/>
      <c r="I706" s="9"/>
      <c r="J706" s="9"/>
      <c r="K706" s="9"/>
      <c r="L706" s="9"/>
      <c r="M706" s="223"/>
      <c r="N706" s="9"/>
      <c r="O706" s="9"/>
      <c r="P706" s="9"/>
      <c r="Q706" s="9"/>
      <c r="R706" s="9"/>
      <c r="S706" s="223"/>
      <c r="T706" s="223"/>
      <c r="U706" s="223"/>
      <c r="V706" s="9"/>
      <c r="W706" s="9"/>
      <c r="X706" s="9"/>
      <c r="Y706" s="204"/>
      <c r="Z706" s="9"/>
      <c r="AA706" s="9"/>
      <c r="AB706" s="9"/>
      <c r="AC706" s="9"/>
    </row>
    <row r="707" ht="15.75" customHeight="1">
      <c r="A707" s="9"/>
      <c r="B707" s="9"/>
      <c r="C707" s="9"/>
      <c r="D707" s="9"/>
      <c r="E707" s="9"/>
      <c r="F707" s="9"/>
      <c r="G707" s="9"/>
      <c r="H707" s="9"/>
      <c r="I707" s="9"/>
      <c r="J707" s="9"/>
      <c r="K707" s="9"/>
      <c r="L707" s="9"/>
      <c r="M707" s="223"/>
      <c r="N707" s="9"/>
      <c r="O707" s="9"/>
      <c r="P707" s="9"/>
      <c r="Q707" s="9"/>
      <c r="R707" s="9"/>
      <c r="S707" s="223"/>
      <c r="T707" s="223"/>
      <c r="U707" s="223"/>
      <c r="V707" s="9"/>
      <c r="W707" s="9"/>
      <c r="X707" s="9"/>
      <c r="Y707" s="204"/>
      <c r="Z707" s="9"/>
      <c r="AA707" s="9"/>
      <c r="AB707" s="9"/>
      <c r="AC707" s="9"/>
    </row>
    <row r="708" ht="15.75" customHeight="1">
      <c r="A708" s="9"/>
      <c r="B708" s="9"/>
      <c r="C708" s="9"/>
      <c r="D708" s="9"/>
      <c r="E708" s="9"/>
      <c r="F708" s="9"/>
      <c r="G708" s="9"/>
      <c r="H708" s="9"/>
      <c r="I708" s="9"/>
      <c r="J708" s="9"/>
      <c r="K708" s="9"/>
      <c r="L708" s="9"/>
      <c r="M708" s="223"/>
      <c r="N708" s="9"/>
      <c r="O708" s="9"/>
      <c r="P708" s="9"/>
      <c r="Q708" s="9"/>
      <c r="R708" s="9"/>
      <c r="S708" s="223"/>
      <c r="T708" s="223"/>
      <c r="U708" s="223"/>
      <c r="V708" s="9"/>
      <c r="W708" s="9"/>
      <c r="X708" s="9"/>
      <c r="Y708" s="204"/>
      <c r="Z708" s="9"/>
      <c r="AA708" s="9"/>
      <c r="AB708" s="9"/>
      <c r="AC708" s="9"/>
    </row>
    <row r="709" ht="15.75" customHeight="1">
      <c r="A709" s="9"/>
      <c r="B709" s="9"/>
      <c r="C709" s="9"/>
      <c r="D709" s="9"/>
      <c r="E709" s="9"/>
      <c r="F709" s="9"/>
      <c r="G709" s="9"/>
      <c r="H709" s="9"/>
      <c r="I709" s="9"/>
      <c r="J709" s="9"/>
      <c r="K709" s="9"/>
      <c r="L709" s="9"/>
      <c r="M709" s="223"/>
      <c r="N709" s="9"/>
      <c r="O709" s="9"/>
      <c r="P709" s="9"/>
      <c r="Q709" s="9"/>
      <c r="R709" s="9"/>
      <c r="S709" s="223"/>
      <c r="T709" s="223"/>
      <c r="U709" s="223"/>
      <c r="V709" s="9"/>
      <c r="W709" s="9"/>
      <c r="X709" s="9"/>
      <c r="Y709" s="204"/>
      <c r="Z709" s="9"/>
      <c r="AA709" s="9"/>
      <c r="AB709" s="9"/>
      <c r="AC709" s="9"/>
    </row>
    <row r="710" ht="15.75" customHeight="1">
      <c r="A710" s="9"/>
      <c r="B710" s="9"/>
      <c r="C710" s="9"/>
      <c r="D710" s="9"/>
      <c r="E710" s="9"/>
      <c r="F710" s="9"/>
      <c r="G710" s="9"/>
      <c r="H710" s="9"/>
      <c r="I710" s="9"/>
      <c r="J710" s="9"/>
      <c r="K710" s="9"/>
      <c r="L710" s="9"/>
      <c r="M710" s="223"/>
      <c r="N710" s="9"/>
      <c r="O710" s="9"/>
      <c r="P710" s="9"/>
      <c r="Q710" s="9"/>
      <c r="R710" s="9"/>
      <c r="S710" s="223"/>
      <c r="T710" s="223"/>
      <c r="U710" s="223"/>
      <c r="V710" s="9"/>
      <c r="W710" s="9"/>
      <c r="X710" s="9"/>
      <c r="Y710" s="204"/>
      <c r="Z710" s="9"/>
      <c r="AA710" s="9"/>
      <c r="AB710" s="9"/>
      <c r="AC710" s="9"/>
    </row>
    <row r="711" ht="15.75" customHeight="1">
      <c r="A711" s="9"/>
      <c r="B711" s="9"/>
      <c r="C711" s="9"/>
      <c r="D711" s="9"/>
      <c r="E711" s="9"/>
      <c r="F711" s="9"/>
      <c r="G711" s="9"/>
      <c r="H711" s="9"/>
      <c r="I711" s="9"/>
      <c r="J711" s="9"/>
      <c r="K711" s="9"/>
      <c r="L711" s="9"/>
      <c r="M711" s="223"/>
      <c r="N711" s="9"/>
      <c r="O711" s="9"/>
      <c r="P711" s="9"/>
      <c r="Q711" s="9"/>
      <c r="R711" s="9"/>
      <c r="S711" s="223"/>
      <c r="T711" s="223"/>
      <c r="U711" s="223"/>
      <c r="V711" s="9"/>
      <c r="W711" s="9"/>
      <c r="X711" s="9"/>
      <c r="Y711" s="204"/>
      <c r="Z711" s="9"/>
      <c r="AA711" s="9"/>
      <c r="AB711" s="9"/>
      <c r="AC711" s="9"/>
    </row>
    <row r="712" ht="15.75" customHeight="1">
      <c r="A712" s="9"/>
      <c r="B712" s="9"/>
      <c r="C712" s="9"/>
      <c r="D712" s="9"/>
      <c r="E712" s="9"/>
      <c r="F712" s="9"/>
      <c r="G712" s="9"/>
      <c r="H712" s="9"/>
      <c r="I712" s="9"/>
      <c r="J712" s="9"/>
      <c r="K712" s="9"/>
      <c r="L712" s="9"/>
      <c r="M712" s="223"/>
      <c r="N712" s="9"/>
      <c r="O712" s="9"/>
      <c r="P712" s="9"/>
      <c r="Q712" s="9"/>
      <c r="R712" s="9"/>
      <c r="S712" s="223"/>
      <c r="T712" s="223"/>
      <c r="U712" s="223"/>
      <c r="V712" s="9"/>
      <c r="W712" s="9"/>
      <c r="X712" s="9"/>
      <c r="Y712" s="204"/>
      <c r="Z712" s="9"/>
      <c r="AA712" s="9"/>
      <c r="AB712" s="9"/>
      <c r="AC712" s="9"/>
    </row>
    <row r="713" ht="15.75" customHeight="1">
      <c r="A713" s="9"/>
      <c r="B713" s="9"/>
      <c r="C713" s="9"/>
      <c r="D713" s="9"/>
      <c r="E713" s="9"/>
      <c r="F713" s="9"/>
      <c r="G713" s="9"/>
      <c r="H713" s="9"/>
      <c r="I713" s="9"/>
      <c r="J713" s="9"/>
      <c r="K713" s="9"/>
      <c r="L713" s="9"/>
      <c r="M713" s="223"/>
      <c r="N713" s="9"/>
      <c r="O713" s="9"/>
      <c r="P713" s="9"/>
      <c r="Q713" s="9"/>
      <c r="R713" s="9"/>
      <c r="S713" s="223"/>
      <c r="T713" s="223"/>
      <c r="U713" s="223"/>
      <c r="V713" s="9"/>
      <c r="W713" s="9"/>
      <c r="X713" s="9"/>
      <c r="Y713" s="204"/>
      <c r="Z713" s="9"/>
      <c r="AA713" s="9"/>
      <c r="AB713" s="9"/>
      <c r="AC713" s="9"/>
    </row>
    <row r="714" ht="15.75" customHeight="1">
      <c r="A714" s="9"/>
      <c r="B714" s="9"/>
      <c r="C714" s="9"/>
      <c r="D714" s="9"/>
      <c r="E714" s="9"/>
      <c r="F714" s="9"/>
      <c r="G714" s="9"/>
      <c r="H714" s="9"/>
      <c r="I714" s="9"/>
      <c r="J714" s="9"/>
      <c r="K714" s="9"/>
      <c r="L714" s="9"/>
      <c r="M714" s="223"/>
      <c r="N714" s="9"/>
      <c r="O714" s="9"/>
      <c r="P714" s="9"/>
      <c r="Q714" s="9"/>
      <c r="R714" s="9"/>
      <c r="S714" s="223"/>
      <c r="T714" s="223"/>
      <c r="U714" s="223"/>
      <c r="V714" s="9"/>
      <c r="W714" s="9"/>
      <c r="X714" s="9"/>
      <c r="Y714" s="204"/>
      <c r="Z714" s="9"/>
      <c r="AA714" s="9"/>
      <c r="AB714" s="9"/>
      <c r="AC714" s="9"/>
    </row>
    <row r="715" ht="15.75" customHeight="1">
      <c r="A715" s="9"/>
      <c r="B715" s="9"/>
      <c r="C715" s="9"/>
      <c r="D715" s="9"/>
      <c r="E715" s="9"/>
      <c r="F715" s="9"/>
      <c r="G715" s="9"/>
      <c r="H715" s="9"/>
      <c r="I715" s="9"/>
      <c r="J715" s="9"/>
      <c r="K715" s="9"/>
      <c r="L715" s="9"/>
      <c r="M715" s="223"/>
      <c r="N715" s="9"/>
      <c r="O715" s="9"/>
      <c r="P715" s="9"/>
      <c r="Q715" s="9"/>
      <c r="R715" s="9"/>
      <c r="S715" s="223"/>
      <c r="T715" s="223"/>
      <c r="U715" s="223"/>
      <c r="V715" s="9"/>
      <c r="W715" s="9"/>
      <c r="X715" s="9"/>
      <c r="Y715" s="204"/>
      <c r="Z715" s="9"/>
      <c r="AA715" s="9"/>
      <c r="AB715" s="9"/>
      <c r="AC715" s="9"/>
    </row>
    <row r="716" ht="15.75" customHeight="1">
      <c r="A716" s="9"/>
      <c r="B716" s="9"/>
      <c r="C716" s="9"/>
      <c r="D716" s="9"/>
      <c r="E716" s="9"/>
      <c r="F716" s="9"/>
      <c r="G716" s="9"/>
      <c r="H716" s="9"/>
      <c r="I716" s="9"/>
      <c r="J716" s="9"/>
      <c r="K716" s="9"/>
      <c r="L716" s="9"/>
      <c r="M716" s="223"/>
      <c r="N716" s="9"/>
      <c r="O716" s="9"/>
      <c r="P716" s="9"/>
      <c r="Q716" s="9"/>
      <c r="R716" s="9"/>
      <c r="S716" s="223"/>
      <c r="T716" s="223"/>
      <c r="U716" s="223"/>
      <c r="V716" s="9"/>
      <c r="W716" s="9"/>
      <c r="X716" s="9"/>
      <c r="Y716" s="204"/>
      <c r="Z716" s="9"/>
      <c r="AA716" s="9"/>
      <c r="AB716" s="9"/>
      <c r="AC716" s="9"/>
    </row>
    <row r="717" ht="15.75" customHeight="1">
      <c r="A717" s="9"/>
      <c r="B717" s="9"/>
      <c r="C717" s="9"/>
      <c r="D717" s="9"/>
      <c r="E717" s="9"/>
      <c r="F717" s="9"/>
      <c r="G717" s="9"/>
      <c r="H717" s="9"/>
      <c r="I717" s="9"/>
      <c r="J717" s="9"/>
      <c r="K717" s="9"/>
      <c r="L717" s="9"/>
      <c r="M717" s="223"/>
      <c r="N717" s="9"/>
      <c r="O717" s="9"/>
      <c r="P717" s="9"/>
      <c r="Q717" s="9"/>
      <c r="R717" s="9"/>
      <c r="S717" s="223"/>
      <c r="T717" s="223"/>
      <c r="U717" s="223"/>
      <c r="V717" s="9"/>
      <c r="W717" s="9"/>
      <c r="X717" s="9"/>
      <c r="Y717" s="204"/>
      <c r="Z717" s="9"/>
      <c r="AA717" s="9"/>
      <c r="AB717" s="9"/>
      <c r="AC717" s="9"/>
    </row>
    <row r="718" ht="15.75" customHeight="1">
      <c r="A718" s="9"/>
      <c r="B718" s="9"/>
      <c r="C718" s="9"/>
      <c r="D718" s="9"/>
      <c r="E718" s="9"/>
      <c r="F718" s="9"/>
      <c r="G718" s="9"/>
      <c r="H718" s="9"/>
      <c r="I718" s="9"/>
      <c r="J718" s="9"/>
      <c r="K718" s="9"/>
      <c r="L718" s="9"/>
      <c r="M718" s="223"/>
      <c r="N718" s="9"/>
      <c r="O718" s="9"/>
      <c r="P718" s="9"/>
      <c r="Q718" s="9"/>
      <c r="R718" s="9"/>
      <c r="S718" s="223"/>
      <c r="T718" s="223"/>
      <c r="U718" s="223"/>
      <c r="V718" s="9"/>
      <c r="W718" s="9"/>
      <c r="X718" s="9"/>
      <c r="Y718" s="204"/>
      <c r="Z718" s="9"/>
      <c r="AA718" s="9"/>
      <c r="AB718" s="9"/>
      <c r="AC718" s="9"/>
    </row>
    <row r="719" ht="15.75" customHeight="1">
      <c r="A719" s="9"/>
      <c r="B719" s="9"/>
      <c r="C719" s="9"/>
      <c r="D719" s="9"/>
      <c r="E719" s="9"/>
      <c r="F719" s="9"/>
      <c r="G719" s="9"/>
      <c r="H719" s="9"/>
      <c r="I719" s="9"/>
      <c r="J719" s="9"/>
      <c r="K719" s="9"/>
      <c r="L719" s="9"/>
      <c r="M719" s="223"/>
      <c r="N719" s="9"/>
      <c r="O719" s="9"/>
      <c r="P719" s="9"/>
      <c r="Q719" s="9"/>
      <c r="R719" s="9"/>
      <c r="S719" s="223"/>
      <c r="T719" s="223"/>
      <c r="U719" s="223"/>
      <c r="V719" s="9"/>
      <c r="W719" s="9"/>
      <c r="X719" s="9"/>
      <c r="Y719" s="204"/>
      <c r="Z719" s="9"/>
      <c r="AA719" s="9"/>
      <c r="AB719" s="9"/>
      <c r="AC719" s="9"/>
    </row>
    <row r="720" ht="15.75" customHeight="1">
      <c r="A720" s="9"/>
      <c r="B720" s="9"/>
      <c r="C720" s="9"/>
      <c r="D720" s="9"/>
      <c r="E720" s="9"/>
      <c r="F720" s="9"/>
      <c r="G720" s="9"/>
      <c r="H720" s="9"/>
      <c r="I720" s="9"/>
      <c r="J720" s="9"/>
      <c r="K720" s="9"/>
      <c r="L720" s="9"/>
      <c r="M720" s="223"/>
      <c r="N720" s="9"/>
      <c r="O720" s="9"/>
      <c r="P720" s="9"/>
      <c r="Q720" s="9"/>
      <c r="R720" s="9"/>
      <c r="S720" s="223"/>
      <c r="T720" s="223"/>
      <c r="U720" s="223"/>
      <c r="V720" s="9"/>
      <c r="W720" s="9"/>
      <c r="X720" s="9"/>
      <c r="Y720" s="204"/>
      <c r="Z720" s="9"/>
      <c r="AA720" s="9"/>
      <c r="AB720" s="9"/>
      <c r="AC720" s="9"/>
    </row>
    <row r="721" ht="15.75" customHeight="1">
      <c r="A721" s="9"/>
      <c r="B721" s="9"/>
      <c r="C721" s="9"/>
      <c r="D721" s="9"/>
      <c r="E721" s="9"/>
      <c r="F721" s="9"/>
      <c r="G721" s="9"/>
      <c r="H721" s="9"/>
      <c r="I721" s="9"/>
      <c r="J721" s="9"/>
      <c r="K721" s="9"/>
      <c r="L721" s="9"/>
      <c r="M721" s="223"/>
      <c r="N721" s="9"/>
      <c r="O721" s="9"/>
      <c r="P721" s="9"/>
      <c r="Q721" s="9"/>
      <c r="R721" s="9"/>
      <c r="S721" s="223"/>
      <c r="T721" s="223"/>
      <c r="U721" s="223"/>
      <c r="V721" s="9"/>
      <c r="W721" s="9"/>
      <c r="X721" s="9"/>
      <c r="Y721" s="204"/>
      <c r="Z721" s="9"/>
      <c r="AA721" s="9"/>
      <c r="AB721" s="9"/>
      <c r="AC721" s="9"/>
    </row>
    <row r="722" ht="15.75" customHeight="1">
      <c r="A722" s="9"/>
      <c r="B722" s="9"/>
      <c r="C722" s="9"/>
      <c r="D722" s="9"/>
      <c r="E722" s="9"/>
      <c r="F722" s="9"/>
      <c r="G722" s="9"/>
      <c r="H722" s="9"/>
      <c r="I722" s="9"/>
      <c r="J722" s="9"/>
      <c r="K722" s="9"/>
      <c r="L722" s="9"/>
      <c r="M722" s="223"/>
      <c r="N722" s="9"/>
      <c r="O722" s="9"/>
      <c r="P722" s="9"/>
      <c r="Q722" s="9"/>
      <c r="R722" s="9"/>
      <c r="S722" s="223"/>
      <c r="T722" s="223"/>
      <c r="U722" s="223"/>
      <c r="V722" s="9"/>
      <c r="W722" s="9"/>
      <c r="X722" s="9"/>
      <c r="Y722" s="204"/>
      <c r="Z722" s="9"/>
      <c r="AA722" s="9"/>
      <c r="AB722" s="9"/>
      <c r="AC722" s="9"/>
    </row>
    <row r="723" ht="15.75" customHeight="1">
      <c r="A723" s="9"/>
      <c r="B723" s="9"/>
      <c r="C723" s="9"/>
      <c r="D723" s="9"/>
      <c r="E723" s="9"/>
      <c r="F723" s="9"/>
      <c r="G723" s="9"/>
      <c r="H723" s="9"/>
      <c r="I723" s="9"/>
      <c r="J723" s="9"/>
      <c r="K723" s="9"/>
      <c r="L723" s="9"/>
      <c r="M723" s="223"/>
      <c r="N723" s="9"/>
      <c r="O723" s="9"/>
      <c r="P723" s="9"/>
      <c r="Q723" s="9"/>
      <c r="R723" s="9"/>
      <c r="S723" s="223"/>
      <c r="T723" s="223"/>
      <c r="U723" s="223"/>
      <c r="V723" s="9"/>
      <c r="W723" s="9"/>
      <c r="X723" s="9"/>
      <c r="Y723" s="204"/>
      <c r="Z723" s="9"/>
      <c r="AA723" s="9"/>
      <c r="AB723" s="9"/>
      <c r="AC723" s="9"/>
    </row>
    <row r="724" ht="15.75" customHeight="1">
      <c r="A724" s="9"/>
      <c r="B724" s="9"/>
      <c r="C724" s="9"/>
      <c r="D724" s="9"/>
      <c r="E724" s="9"/>
      <c r="F724" s="9"/>
      <c r="G724" s="9"/>
      <c r="H724" s="9"/>
      <c r="I724" s="9"/>
      <c r="J724" s="9"/>
      <c r="K724" s="9"/>
      <c r="L724" s="9"/>
      <c r="M724" s="223"/>
      <c r="N724" s="9"/>
      <c r="O724" s="9"/>
      <c r="P724" s="9"/>
      <c r="Q724" s="9"/>
      <c r="R724" s="9"/>
      <c r="S724" s="223"/>
      <c r="T724" s="223"/>
      <c r="U724" s="223"/>
      <c r="V724" s="9"/>
      <c r="W724" s="9"/>
      <c r="X724" s="9"/>
      <c r="Y724" s="204"/>
      <c r="Z724" s="9"/>
      <c r="AA724" s="9"/>
      <c r="AB724" s="9"/>
      <c r="AC724" s="9"/>
    </row>
    <row r="725" ht="15.75" customHeight="1">
      <c r="A725" s="9"/>
      <c r="B725" s="9"/>
      <c r="C725" s="9"/>
      <c r="D725" s="9"/>
      <c r="E725" s="9"/>
      <c r="F725" s="9"/>
      <c r="G725" s="9"/>
      <c r="H725" s="9"/>
      <c r="I725" s="9"/>
      <c r="J725" s="9"/>
      <c r="K725" s="9"/>
      <c r="L725" s="9"/>
      <c r="M725" s="223"/>
      <c r="N725" s="9"/>
      <c r="O725" s="9"/>
      <c r="P725" s="9"/>
      <c r="Q725" s="9"/>
      <c r="R725" s="9"/>
      <c r="S725" s="223"/>
      <c r="T725" s="223"/>
      <c r="U725" s="223"/>
      <c r="V725" s="9"/>
      <c r="W725" s="9"/>
      <c r="X725" s="9"/>
      <c r="Y725" s="204"/>
      <c r="Z725" s="9"/>
      <c r="AA725" s="9"/>
      <c r="AB725" s="9"/>
      <c r="AC725" s="9"/>
    </row>
    <row r="726" ht="15.75" customHeight="1">
      <c r="A726" s="9"/>
      <c r="B726" s="9"/>
      <c r="C726" s="9"/>
      <c r="D726" s="9"/>
      <c r="E726" s="9"/>
      <c r="F726" s="9"/>
      <c r="G726" s="9"/>
      <c r="H726" s="9"/>
      <c r="I726" s="9"/>
      <c r="J726" s="9"/>
      <c r="K726" s="9"/>
      <c r="L726" s="9"/>
      <c r="M726" s="223"/>
      <c r="N726" s="9"/>
      <c r="O726" s="9"/>
      <c r="P726" s="9"/>
      <c r="Q726" s="9"/>
      <c r="R726" s="9"/>
      <c r="S726" s="223"/>
      <c r="T726" s="223"/>
      <c r="U726" s="223"/>
      <c r="V726" s="9"/>
      <c r="W726" s="9"/>
      <c r="X726" s="9"/>
      <c r="Y726" s="204"/>
      <c r="Z726" s="9"/>
      <c r="AA726" s="9"/>
      <c r="AB726" s="9"/>
      <c r="AC726" s="9"/>
    </row>
    <row r="727" ht="15.75" customHeight="1">
      <c r="A727" s="9"/>
      <c r="B727" s="9"/>
      <c r="C727" s="9"/>
      <c r="D727" s="9"/>
      <c r="E727" s="9"/>
      <c r="F727" s="9"/>
      <c r="G727" s="9"/>
      <c r="H727" s="9"/>
      <c r="I727" s="9"/>
      <c r="J727" s="9"/>
      <c r="K727" s="9"/>
      <c r="L727" s="9"/>
      <c r="M727" s="223"/>
      <c r="N727" s="9"/>
      <c r="O727" s="9"/>
      <c r="P727" s="9"/>
      <c r="Q727" s="9"/>
      <c r="R727" s="9"/>
      <c r="S727" s="223"/>
      <c r="T727" s="223"/>
      <c r="U727" s="223"/>
      <c r="V727" s="9"/>
      <c r="W727" s="9"/>
      <c r="X727" s="9"/>
      <c r="Y727" s="204"/>
      <c r="Z727" s="9"/>
      <c r="AA727" s="9"/>
      <c r="AB727" s="9"/>
      <c r="AC727" s="9"/>
    </row>
    <row r="728" ht="15.75" customHeight="1">
      <c r="A728" s="9"/>
      <c r="B728" s="9"/>
      <c r="C728" s="9"/>
      <c r="D728" s="9"/>
      <c r="E728" s="9"/>
      <c r="F728" s="9"/>
      <c r="G728" s="9"/>
      <c r="H728" s="9"/>
      <c r="I728" s="9"/>
      <c r="J728" s="9"/>
      <c r="K728" s="9"/>
      <c r="L728" s="9"/>
      <c r="M728" s="223"/>
      <c r="N728" s="9"/>
      <c r="O728" s="9"/>
      <c r="P728" s="9"/>
      <c r="Q728" s="9"/>
      <c r="R728" s="9"/>
      <c r="S728" s="223"/>
      <c r="T728" s="223"/>
      <c r="U728" s="223"/>
      <c r="V728" s="9"/>
      <c r="W728" s="9"/>
      <c r="X728" s="9"/>
      <c r="Y728" s="204"/>
      <c r="Z728" s="9"/>
      <c r="AA728" s="9"/>
      <c r="AB728" s="9"/>
      <c r="AC728" s="9"/>
    </row>
    <row r="729" ht="15.75" customHeight="1">
      <c r="A729" s="9"/>
      <c r="B729" s="9"/>
      <c r="C729" s="9"/>
      <c r="D729" s="9"/>
      <c r="E729" s="9"/>
      <c r="F729" s="9"/>
      <c r="G729" s="9"/>
      <c r="H729" s="9"/>
      <c r="I729" s="9"/>
      <c r="J729" s="9"/>
      <c r="K729" s="9"/>
      <c r="L729" s="9"/>
      <c r="M729" s="223"/>
      <c r="N729" s="9"/>
      <c r="O729" s="9"/>
      <c r="P729" s="9"/>
      <c r="Q729" s="9"/>
      <c r="R729" s="9"/>
      <c r="S729" s="223"/>
      <c r="T729" s="223"/>
      <c r="U729" s="223"/>
      <c r="V729" s="9"/>
      <c r="W729" s="9"/>
      <c r="X729" s="9"/>
      <c r="Y729" s="204"/>
      <c r="Z729" s="9"/>
      <c r="AA729" s="9"/>
      <c r="AB729" s="9"/>
      <c r="AC729" s="9"/>
    </row>
    <row r="730" ht="15.75" customHeight="1">
      <c r="A730" s="9"/>
      <c r="B730" s="9"/>
      <c r="C730" s="9"/>
      <c r="D730" s="9"/>
      <c r="E730" s="9"/>
      <c r="F730" s="9"/>
      <c r="G730" s="9"/>
      <c r="H730" s="9"/>
      <c r="I730" s="9"/>
      <c r="J730" s="9"/>
      <c r="K730" s="9"/>
      <c r="L730" s="9"/>
      <c r="M730" s="223"/>
      <c r="N730" s="9"/>
      <c r="O730" s="9"/>
      <c r="P730" s="9"/>
      <c r="Q730" s="9"/>
      <c r="R730" s="9"/>
      <c r="S730" s="223"/>
      <c r="T730" s="223"/>
      <c r="U730" s="223"/>
      <c r="V730" s="9"/>
      <c r="W730" s="9"/>
      <c r="X730" s="9"/>
      <c r="Y730" s="204"/>
      <c r="Z730" s="9"/>
      <c r="AA730" s="9"/>
      <c r="AB730" s="9"/>
      <c r="AC730" s="9"/>
    </row>
    <row r="731" ht="15.75" customHeight="1">
      <c r="A731" s="9"/>
      <c r="B731" s="9"/>
      <c r="C731" s="9"/>
      <c r="D731" s="9"/>
      <c r="E731" s="9"/>
      <c r="F731" s="9"/>
      <c r="G731" s="9"/>
      <c r="H731" s="9"/>
      <c r="I731" s="9"/>
      <c r="J731" s="9"/>
      <c r="K731" s="9"/>
      <c r="L731" s="9"/>
      <c r="M731" s="223"/>
      <c r="N731" s="9"/>
      <c r="O731" s="9"/>
      <c r="P731" s="9"/>
      <c r="Q731" s="9"/>
      <c r="R731" s="9"/>
      <c r="S731" s="223"/>
      <c r="T731" s="223"/>
      <c r="U731" s="223"/>
      <c r="V731" s="9"/>
      <c r="W731" s="9"/>
      <c r="X731" s="9"/>
      <c r="Y731" s="204"/>
      <c r="Z731" s="9"/>
      <c r="AA731" s="9"/>
      <c r="AB731" s="9"/>
      <c r="AC731" s="9"/>
    </row>
    <row r="732" ht="15.75" customHeight="1">
      <c r="A732" s="9"/>
      <c r="B732" s="9"/>
      <c r="C732" s="9"/>
      <c r="D732" s="9"/>
      <c r="E732" s="9"/>
      <c r="F732" s="9"/>
      <c r="G732" s="9"/>
      <c r="H732" s="9"/>
      <c r="I732" s="9"/>
      <c r="J732" s="9"/>
      <c r="K732" s="9"/>
      <c r="L732" s="9"/>
      <c r="M732" s="223"/>
      <c r="N732" s="9"/>
      <c r="O732" s="9"/>
      <c r="P732" s="9"/>
      <c r="Q732" s="9"/>
      <c r="R732" s="9"/>
      <c r="S732" s="223"/>
      <c r="T732" s="223"/>
      <c r="U732" s="223"/>
      <c r="V732" s="9"/>
      <c r="W732" s="9"/>
      <c r="X732" s="9"/>
      <c r="Y732" s="204"/>
      <c r="Z732" s="9"/>
      <c r="AA732" s="9"/>
      <c r="AB732" s="9"/>
      <c r="AC732" s="9"/>
    </row>
    <row r="733" ht="15.75" customHeight="1">
      <c r="A733" s="9"/>
      <c r="B733" s="9"/>
      <c r="C733" s="9"/>
      <c r="D733" s="9"/>
      <c r="E733" s="9"/>
      <c r="F733" s="9"/>
      <c r="G733" s="9"/>
      <c r="H733" s="9"/>
      <c r="I733" s="9"/>
      <c r="J733" s="9"/>
      <c r="K733" s="9"/>
      <c r="L733" s="9"/>
      <c r="M733" s="223"/>
      <c r="N733" s="9"/>
      <c r="O733" s="9"/>
      <c r="P733" s="9"/>
      <c r="Q733" s="9"/>
      <c r="R733" s="9"/>
      <c r="S733" s="223"/>
      <c r="T733" s="223"/>
      <c r="U733" s="223"/>
      <c r="V733" s="9"/>
      <c r="W733" s="9"/>
      <c r="X733" s="9"/>
      <c r="Y733" s="204"/>
      <c r="Z733" s="9"/>
      <c r="AA733" s="9"/>
      <c r="AB733" s="9"/>
      <c r="AC733" s="9"/>
    </row>
    <row r="734" ht="15.75" customHeight="1">
      <c r="A734" s="9"/>
      <c r="B734" s="9"/>
      <c r="C734" s="9"/>
      <c r="D734" s="9"/>
      <c r="E734" s="9"/>
      <c r="F734" s="9"/>
      <c r="G734" s="9"/>
      <c r="H734" s="9"/>
      <c r="I734" s="9"/>
      <c r="J734" s="9"/>
      <c r="K734" s="9"/>
      <c r="L734" s="9"/>
      <c r="M734" s="223"/>
      <c r="N734" s="9"/>
      <c r="O734" s="9"/>
      <c r="P734" s="9"/>
      <c r="Q734" s="9"/>
      <c r="R734" s="9"/>
      <c r="S734" s="223"/>
      <c r="T734" s="223"/>
      <c r="U734" s="223"/>
      <c r="V734" s="9"/>
      <c r="W734" s="9"/>
      <c r="X734" s="9"/>
      <c r="Y734" s="204"/>
      <c r="Z734" s="9"/>
      <c r="AA734" s="9"/>
      <c r="AB734" s="9"/>
      <c r="AC734" s="9"/>
    </row>
    <row r="735" ht="15.75" customHeight="1">
      <c r="A735" s="9"/>
      <c r="B735" s="9"/>
      <c r="C735" s="9"/>
      <c r="D735" s="9"/>
      <c r="E735" s="9"/>
      <c r="F735" s="9"/>
      <c r="G735" s="9"/>
      <c r="H735" s="9"/>
      <c r="I735" s="9"/>
      <c r="J735" s="9"/>
      <c r="K735" s="9"/>
      <c r="L735" s="9"/>
      <c r="M735" s="223"/>
      <c r="N735" s="9"/>
      <c r="O735" s="9"/>
      <c r="P735" s="9"/>
      <c r="Q735" s="9"/>
      <c r="R735" s="9"/>
      <c r="S735" s="223"/>
      <c r="T735" s="223"/>
      <c r="U735" s="223"/>
      <c r="V735" s="9"/>
      <c r="W735" s="9"/>
      <c r="X735" s="9"/>
      <c r="Y735" s="204"/>
      <c r="Z735" s="9"/>
      <c r="AA735" s="9"/>
      <c r="AB735" s="9"/>
      <c r="AC735" s="9"/>
    </row>
    <row r="736" ht="15.75" customHeight="1">
      <c r="A736" s="9"/>
      <c r="B736" s="9"/>
      <c r="C736" s="9"/>
      <c r="D736" s="9"/>
      <c r="E736" s="9"/>
      <c r="F736" s="9"/>
      <c r="G736" s="9"/>
      <c r="H736" s="9"/>
      <c r="I736" s="9"/>
      <c r="J736" s="9"/>
      <c r="K736" s="9"/>
      <c r="L736" s="9"/>
      <c r="M736" s="223"/>
      <c r="N736" s="9"/>
      <c r="O736" s="9"/>
      <c r="P736" s="9"/>
      <c r="Q736" s="9"/>
      <c r="R736" s="9"/>
      <c r="S736" s="223"/>
      <c r="T736" s="223"/>
      <c r="U736" s="223"/>
      <c r="V736" s="9"/>
      <c r="W736" s="9"/>
      <c r="X736" s="9"/>
      <c r="Y736" s="204"/>
      <c r="Z736" s="9"/>
      <c r="AA736" s="9"/>
      <c r="AB736" s="9"/>
      <c r="AC736" s="9"/>
    </row>
    <row r="737" ht="15.75" customHeight="1">
      <c r="A737" s="9"/>
      <c r="B737" s="9"/>
      <c r="C737" s="9"/>
      <c r="D737" s="9"/>
      <c r="E737" s="9"/>
      <c r="F737" s="9"/>
      <c r="G737" s="9"/>
      <c r="H737" s="9"/>
      <c r="I737" s="9"/>
      <c r="J737" s="9"/>
      <c r="K737" s="9"/>
      <c r="L737" s="9"/>
      <c r="M737" s="223"/>
      <c r="N737" s="9"/>
      <c r="O737" s="9"/>
      <c r="P737" s="9"/>
      <c r="Q737" s="9"/>
      <c r="R737" s="9"/>
      <c r="S737" s="223"/>
      <c r="T737" s="223"/>
      <c r="U737" s="223"/>
      <c r="V737" s="9"/>
      <c r="W737" s="9"/>
      <c r="X737" s="9"/>
      <c r="Y737" s="204"/>
      <c r="Z737" s="9"/>
      <c r="AA737" s="9"/>
      <c r="AB737" s="9"/>
      <c r="AC737" s="9"/>
    </row>
    <row r="738" ht="15.75" customHeight="1">
      <c r="A738" s="9"/>
      <c r="B738" s="9"/>
      <c r="C738" s="9"/>
      <c r="D738" s="9"/>
      <c r="E738" s="9"/>
      <c r="F738" s="9"/>
      <c r="G738" s="9"/>
      <c r="H738" s="9"/>
      <c r="I738" s="9"/>
      <c r="J738" s="9"/>
      <c r="K738" s="9"/>
      <c r="L738" s="9"/>
      <c r="M738" s="223"/>
      <c r="N738" s="9"/>
      <c r="O738" s="9"/>
      <c r="P738" s="9"/>
      <c r="Q738" s="9"/>
      <c r="R738" s="9"/>
      <c r="S738" s="223"/>
      <c r="T738" s="223"/>
      <c r="U738" s="223"/>
      <c r="V738" s="9"/>
      <c r="W738" s="9"/>
      <c r="X738" s="9"/>
      <c r="Y738" s="204"/>
      <c r="Z738" s="9"/>
      <c r="AA738" s="9"/>
      <c r="AB738" s="9"/>
      <c r="AC738" s="9"/>
    </row>
    <row r="739" ht="15.75" customHeight="1">
      <c r="A739" s="9"/>
      <c r="B739" s="9"/>
      <c r="C739" s="9"/>
      <c r="D739" s="9"/>
      <c r="E739" s="9"/>
      <c r="F739" s="9"/>
      <c r="G739" s="9"/>
      <c r="H739" s="9"/>
      <c r="I739" s="9"/>
      <c r="J739" s="9"/>
      <c r="K739" s="9"/>
      <c r="L739" s="9"/>
      <c r="M739" s="223"/>
      <c r="N739" s="9"/>
      <c r="O739" s="9"/>
      <c r="P739" s="9"/>
      <c r="Q739" s="9"/>
      <c r="R739" s="9"/>
      <c r="S739" s="223"/>
      <c r="T739" s="223"/>
      <c r="U739" s="223"/>
      <c r="V739" s="9"/>
      <c r="W739" s="9"/>
      <c r="X739" s="9"/>
      <c r="Y739" s="204"/>
      <c r="Z739" s="9"/>
      <c r="AA739" s="9"/>
      <c r="AB739" s="9"/>
      <c r="AC739" s="9"/>
    </row>
    <row r="740" ht="15.75" customHeight="1">
      <c r="A740" s="9"/>
      <c r="B740" s="9"/>
      <c r="C740" s="9"/>
      <c r="D740" s="9"/>
      <c r="E740" s="9"/>
      <c r="F740" s="9"/>
      <c r="G740" s="9"/>
      <c r="H740" s="9"/>
      <c r="I740" s="9"/>
      <c r="J740" s="9"/>
      <c r="K740" s="9"/>
      <c r="L740" s="9"/>
      <c r="M740" s="223"/>
      <c r="N740" s="9"/>
      <c r="O740" s="9"/>
      <c r="P740" s="9"/>
      <c r="Q740" s="9"/>
      <c r="R740" s="9"/>
      <c r="S740" s="223"/>
      <c r="T740" s="223"/>
      <c r="U740" s="223"/>
      <c r="V740" s="9"/>
      <c r="W740" s="9"/>
      <c r="X740" s="9"/>
      <c r="Y740" s="204"/>
      <c r="Z740" s="9"/>
      <c r="AA740" s="9"/>
      <c r="AB740" s="9"/>
      <c r="AC740" s="9"/>
    </row>
    <row r="741" ht="15.75" customHeight="1">
      <c r="A741" s="9"/>
      <c r="B741" s="9"/>
      <c r="C741" s="9"/>
      <c r="D741" s="9"/>
      <c r="E741" s="9"/>
      <c r="F741" s="9"/>
      <c r="G741" s="9"/>
      <c r="H741" s="9"/>
      <c r="I741" s="9"/>
      <c r="J741" s="9"/>
      <c r="K741" s="9"/>
      <c r="L741" s="9"/>
      <c r="M741" s="223"/>
      <c r="N741" s="9"/>
      <c r="O741" s="9"/>
      <c r="P741" s="9"/>
      <c r="Q741" s="9"/>
      <c r="R741" s="9"/>
      <c r="S741" s="223"/>
      <c r="T741" s="223"/>
      <c r="U741" s="223"/>
      <c r="V741" s="9"/>
      <c r="W741" s="9"/>
      <c r="X741" s="9"/>
      <c r="Y741" s="204"/>
      <c r="Z741" s="9"/>
      <c r="AA741" s="9"/>
      <c r="AB741" s="9"/>
      <c r="AC741" s="9"/>
    </row>
    <row r="742" ht="15.75" customHeight="1">
      <c r="A742" s="9"/>
      <c r="B742" s="9"/>
      <c r="C742" s="9"/>
      <c r="D742" s="9"/>
      <c r="E742" s="9"/>
      <c r="F742" s="9"/>
      <c r="G742" s="9"/>
      <c r="H742" s="9"/>
      <c r="I742" s="9"/>
      <c r="J742" s="9"/>
      <c r="K742" s="9"/>
      <c r="L742" s="9"/>
      <c r="M742" s="223"/>
      <c r="N742" s="9"/>
      <c r="O742" s="9"/>
      <c r="P742" s="9"/>
      <c r="Q742" s="9"/>
      <c r="R742" s="9"/>
      <c r="S742" s="223"/>
      <c r="T742" s="223"/>
      <c r="U742" s="223"/>
      <c r="V742" s="9"/>
      <c r="W742" s="9"/>
      <c r="X742" s="9"/>
      <c r="Y742" s="204"/>
      <c r="Z742" s="9"/>
      <c r="AA742" s="9"/>
      <c r="AB742" s="9"/>
      <c r="AC742" s="9"/>
    </row>
    <row r="743" ht="15.75" customHeight="1">
      <c r="A743" s="9"/>
      <c r="B743" s="9"/>
      <c r="C743" s="9"/>
      <c r="D743" s="9"/>
      <c r="E743" s="9"/>
      <c r="F743" s="9"/>
      <c r="G743" s="9"/>
      <c r="H743" s="9"/>
      <c r="I743" s="9"/>
      <c r="J743" s="9"/>
      <c r="K743" s="9"/>
      <c r="L743" s="9"/>
      <c r="M743" s="223"/>
      <c r="N743" s="9"/>
      <c r="O743" s="9"/>
      <c r="P743" s="9"/>
      <c r="Q743" s="9"/>
      <c r="R743" s="9"/>
      <c r="S743" s="223"/>
      <c r="T743" s="223"/>
      <c r="U743" s="223"/>
      <c r="V743" s="9"/>
      <c r="W743" s="9"/>
      <c r="X743" s="9"/>
      <c r="Y743" s="204"/>
      <c r="Z743" s="9"/>
      <c r="AA743" s="9"/>
      <c r="AB743" s="9"/>
      <c r="AC743" s="9"/>
    </row>
    <row r="744" ht="15.75" customHeight="1">
      <c r="A744" s="9"/>
      <c r="B744" s="9"/>
      <c r="C744" s="9"/>
      <c r="D744" s="9"/>
      <c r="E744" s="9"/>
      <c r="F744" s="9"/>
      <c r="G744" s="9"/>
      <c r="H744" s="9"/>
      <c r="I744" s="9"/>
      <c r="J744" s="9"/>
      <c r="K744" s="9"/>
      <c r="L744" s="9"/>
      <c r="M744" s="223"/>
      <c r="N744" s="9"/>
      <c r="O744" s="9"/>
      <c r="P744" s="9"/>
      <c r="Q744" s="9"/>
      <c r="R744" s="9"/>
      <c r="S744" s="223"/>
      <c r="T744" s="223"/>
      <c r="U744" s="223"/>
      <c r="V744" s="9"/>
      <c r="W744" s="9"/>
      <c r="X744" s="9"/>
      <c r="Y744" s="204"/>
      <c r="Z744" s="9"/>
      <c r="AA744" s="9"/>
      <c r="AB744" s="9"/>
      <c r="AC744" s="9"/>
    </row>
    <row r="745" ht="15.75" customHeight="1">
      <c r="A745" s="9"/>
      <c r="B745" s="9"/>
      <c r="C745" s="9"/>
      <c r="D745" s="9"/>
      <c r="E745" s="9"/>
      <c r="F745" s="9"/>
      <c r="G745" s="9"/>
      <c r="H745" s="9"/>
      <c r="I745" s="9"/>
      <c r="J745" s="9"/>
      <c r="K745" s="9"/>
      <c r="L745" s="9"/>
      <c r="M745" s="223"/>
      <c r="N745" s="9"/>
      <c r="O745" s="9"/>
      <c r="P745" s="9"/>
      <c r="Q745" s="9"/>
      <c r="R745" s="9"/>
      <c r="S745" s="223"/>
      <c r="T745" s="223"/>
      <c r="U745" s="223"/>
      <c r="V745" s="9"/>
      <c r="W745" s="9"/>
      <c r="X745" s="9"/>
      <c r="Y745" s="204"/>
      <c r="Z745" s="9"/>
      <c r="AA745" s="9"/>
      <c r="AB745" s="9"/>
      <c r="AC745" s="9"/>
    </row>
    <row r="746" ht="15.75" customHeight="1">
      <c r="A746" s="9"/>
      <c r="B746" s="9"/>
      <c r="C746" s="9"/>
      <c r="D746" s="9"/>
      <c r="E746" s="9"/>
      <c r="F746" s="9"/>
      <c r="G746" s="9"/>
      <c r="H746" s="9"/>
      <c r="I746" s="9"/>
      <c r="J746" s="9"/>
      <c r="K746" s="9"/>
      <c r="L746" s="9"/>
      <c r="M746" s="223"/>
      <c r="N746" s="9"/>
      <c r="O746" s="9"/>
      <c r="P746" s="9"/>
      <c r="Q746" s="9"/>
      <c r="R746" s="9"/>
      <c r="S746" s="223"/>
      <c r="T746" s="223"/>
      <c r="U746" s="223"/>
      <c r="V746" s="9"/>
      <c r="W746" s="9"/>
      <c r="X746" s="9"/>
      <c r="Y746" s="204"/>
      <c r="Z746" s="9"/>
      <c r="AA746" s="9"/>
      <c r="AB746" s="9"/>
      <c r="AC746" s="9"/>
    </row>
    <row r="747" ht="15.75" customHeight="1">
      <c r="A747" s="9"/>
      <c r="B747" s="9"/>
      <c r="C747" s="9"/>
      <c r="D747" s="9"/>
      <c r="E747" s="9"/>
      <c r="F747" s="9"/>
      <c r="G747" s="9"/>
      <c r="H747" s="9"/>
      <c r="I747" s="9"/>
      <c r="J747" s="9"/>
      <c r="K747" s="9"/>
      <c r="L747" s="9"/>
      <c r="M747" s="223"/>
      <c r="N747" s="9"/>
      <c r="O747" s="9"/>
      <c r="P747" s="9"/>
      <c r="Q747" s="9"/>
      <c r="R747" s="9"/>
      <c r="S747" s="223"/>
      <c r="T747" s="223"/>
      <c r="U747" s="223"/>
      <c r="V747" s="9"/>
      <c r="W747" s="9"/>
      <c r="X747" s="9"/>
      <c r="Y747" s="204"/>
      <c r="Z747" s="9"/>
      <c r="AA747" s="9"/>
      <c r="AB747" s="9"/>
      <c r="AC747" s="9"/>
    </row>
    <row r="748" ht="15.75" customHeight="1">
      <c r="A748" s="9"/>
      <c r="B748" s="9"/>
      <c r="C748" s="9"/>
      <c r="D748" s="9"/>
      <c r="E748" s="9"/>
      <c r="F748" s="9"/>
      <c r="G748" s="9"/>
      <c r="H748" s="9"/>
      <c r="I748" s="9"/>
      <c r="J748" s="9"/>
      <c r="K748" s="9"/>
      <c r="L748" s="9"/>
      <c r="M748" s="223"/>
      <c r="N748" s="9"/>
      <c r="O748" s="9"/>
      <c r="P748" s="9"/>
      <c r="Q748" s="9"/>
      <c r="R748" s="9"/>
      <c r="S748" s="223"/>
      <c r="T748" s="223"/>
      <c r="U748" s="223"/>
      <c r="V748" s="9"/>
      <c r="W748" s="9"/>
      <c r="X748" s="9"/>
      <c r="Y748" s="204"/>
      <c r="Z748" s="9"/>
      <c r="AA748" s="9"/>
      <c r="AB748" s="9"/>
      <c r="AC748" s="9"/>
    </row>
    <row r="749" ht="15.75" customHeight="1">
      <c r="A749" s="9"/>
      <c r="B749" s="9"/>
      <c r="C749" s="9"/>
      <c r="D749" s="9"/>
      <c r="E749" s="9"/>
      <c r="F749" s="9"/>
      <c r="G749" s="9"/>
      <c r="H749" s="9"/>
      <c r="I749" s="9"/>
      <c r="J749" s="9"/>
      <c r="K749" s="9"/>
      <c r="L749" s="9"/>
      <c r="M749" s="223"/>
      <c r="N749" s="9"/>
      <c r="O749" s="9"/>
      <c r="P749" s="9"/>
      <c r="Q749" s="9"/>
      <c r="R749" s="9"/>
      <c r="S749" s="223"/>
      <c r="T749" s="223"/>
      <c r="U749" s="223"/>
      <c r="V749" s="9"/>
      <c r="W749" s="9"/>
      <c r="X749" s="9"/>
      <c r="Y749" s="204"/>
      <c r="Z749" s="9"/>
      <c r="AA749" s="9"/>
      <c r="AB749" s="9"/>
      <c r="AC749" s="9"/>
    </row>
    <row r="750" ht="15.75" customHeight="1">
      <c r="A750" s="9"/>
      <c r="B750" s="9"/>
      <c r="C750" s="9"/>
      <c r="D750" s="9"/>
      <c r="E750" s="9"/>
      <c r="F750" s="9"/>
      <c r="G750" s="9"/>
      <c r="H750" s="9"/>
      <c r="I750" s="9"/>
      <c r="J750" s="9"/>
      <c r="K750" s="9"/>
      <c r="L750" s="9"/>
      <c r="M750" s="223"/>
      <c r="N750" s="9"/>
      <c r="O750" s="9"/>
      <c r="P750" s="9"/>
      <c r="Q750" s="9"/>
      <c r="R750" s="9"/>
      <c r="S750" s="223"/>
      <c r="T750" s="223"/>
      <c r="U750" s="223"/>
      <c r="V750" s="9"/>
      <c r="W750" s="9"/>
      <c r="X750" s="9"/>
      <c r="Y750" s="204"/>
      <c r="Z750" s="9"/>
      <c r="AA750" s="9"/>
      <c r="AB750" s="9"/>
      <c r="AC750" s="9"/>
    </row>
    <row r="751" ht="15.75" customHeight="1">
      <c r="A751" s="9"/>
      <c r="B751" s="9"/>
      <c r="C751" s="9"/>
      <c r="D751" s="9"/>
      <c r="E751" s="9"/>
      <c r="F751" s="9"/>
      <c r="G751" s="9"/>
      <c r="H751" s="9"/>
      <c r="I751" s="9"/>
      <c r="J751" s="9"/>
      <c r="K751" s="9"/>
      <c r="L751" s="9"/>
      <c r="M751" s="223"/>
      <c r="N751" s="9"/>
      <c r="O751" s="9"/>
      <c r="P751" s="9"/>
      <c r="Q751" s="9"/>
      <c r="R751" s="9"/>
      <c r="S751" s="223"/>
      <c r="T751" s="223"/>
      <c r="U751" s="223"/>
      <c r="V751" s="9"/>
      <c r="W751" s="9"/>
      <c r="X751" s="9"/>
      <c r="Y751" s="204"/>
      <c r="Z751" s="9"/>
      <c r="AA751" s="9"/>
      <c r="AB751" s="9"/>
      <c r="AC751" s="9"/>
    </row>
    <row r="752" ht="15.75" customHeight="1">
      <c r="A752" s="9"/>
      <c r="B752" s="9"/>
      <c r="C752" s="9"/>
      <c r="D752" s="9"/>
      <c r="E752" s="9"/>
      <c r="F752" s="9"/>
      <c r="G752" s="9"/>
      <c r="H752" s="9"/>
      <c r="I752" s="9"/>
      <c r="J752" s="9"/>
      <c r="K752" s="9"/>
      <c r="L752" s="9"/>
      <c r="M752" s="223"/>
      <c r="N752" s="9"/>
      <c r="O752" s="9"/>
      <c r="P752" s="9"/>
      <c r="Q752" s="9"/>
      <c r="R752" s="9"/>
      <c r="S752" s="223"/>
      <c r="T752" s="223"/>
      <c r="U752" s="223"/>
      <c r="V752" s="9"/>
      <c r="W752" s="9"/>
      <c r="X752" s="9"/>
      <c r="Y752" s="204"/>
      <c r="Z752" s="9"/>
      <c r="AA752" s="9"/>
      <c r="AB752" s="9"/>
      <c r="AC752" s="9"/>
    </row>
    <row r="753" ht="15.75" customHeight="1">
      <c r="A753" s="9"/>
      <c r="B753" s="9"/>
      <c r="C753" s="9"/>
      <c r="D753" s="9"/>
      <c r="E753" s="9"/>
      <c r="F753" s="9"/>
      <c r="G753" s="9"/>
      <c r="H753" s="9"/>
      <c r="I753" s="9"/>
      <c r="J753" s="9"/>
      <c r="K753" s="9"/>
      <c r="L753" s="9"/>
      <c r="M753" s="223"/>
      <c r="N753" s="9"/>
      <c r="O753" s="9"/>
      <c r="P753" s="9"/>
      <c r="Q753" s="9"/>
      <c r="R753" s="9"/>
      <c r="S753" s="223"/>
      <c r="T753" s="223"/>
      <c r="U753" s="223"/>
      <c r="V753" s="9"/>
      <c r="W753" s="9"/>
      <c r="X753" s="9"/>
      <c r="Y753" s="204"/>
      <c r="Z753" s="9"/>
      <c r="AA753" s="9"/>
      <c r="AB753" s="9"/>
      <c r="AC753" s="9"/>
    </row>
    <row r="754" ht="15.75" customHeight="1">
      <c r="A754" s="9"/>
      <c r="B754" s="9"/>
      <c r="C754" s="9"/>
      <c r="D754" s="9"/>
      <c r="E754" s="9"/>
      <c r="F754" s="9"/>
      <c r="G754" s="9"/>
      <c r="H754" s="9"/>
      <c r="I754" s="9"/>
      <c r="J754" s="9"/>
      <c r="K754" s="9"/>
      <c r="L754" s="9"/>
      <c r="M754" s="223"/>
      <c r="N754" s="9"/>
      <c r="O754" s="9"/>
      <c r="P754" s="9"/>
      <c r="Q754" s="9"/>
      <c r="R754" s="9"/>
      <c r="S754" s="223"/>
      <c r="T754" s="223"/>
      <c r="U754" s="223"/>
      <c r="V754" s="9"/>
      <c r="W754" s="9"/>
      <c r="X754" s="9"/>
      <c r="Y754" s="204"/>
      <c r="Z754" s="9"/>
      <c r="AA754" s="9"/>
      <c r="AB754" s="9"/>
      <c r="AC754" s="9"/>
    </row>
    <row r="755" ht="15.75" customHeight="1">
      <c r="A755" s="9"/>
      <c r="B755" s="9"/>
      <c r="C755" s="9"/>
      <c r="D755" s="9"/>
      <c r="E755" s="9"/>
      <c r="F755" s="9"/>
      <c r="G755" s="9"/>
      <c r="H755" s="9"/>
      <c r="I755" s="9"/>
      <c r="J755" s="9"/>
      <c r="K755" s="9"/>
      <c r="L755" s="9"/>
      <c r="M755" s="223"/>
      <c r="N755" s="9"/>
      <c r="O755" s="9"/>
      <c r="P755" s="9"/>
      <c r="Q755" s="9"/>
      <c r="R755" s="9"/>
      <c r="S755" s="223"/>
      <c r="T755" s="223"/>
      <c r="U755" s="223"/>
      <c r="V755" s="9"/>
      <c r="W755" s="9"/>
      <c r="X755" s="9"/>
      <c r="Y755" s="204"/>
      <c r="Z755" s="9"/>
      <c r="AA755" s="9"/>
      <c r="AB755" s="9"/>
      <c r="AC755" s="9"/>
    </row>
    <row r="756" ht="15.75" customHeight="1">
      <c r="A756" s="9"/>
      <c r="B756" s="9"/>
      <c r="C756" s="9"/>
      <c r="D756" s="9"/>
      <c r="E756" s="9"/>
      <c r="F756" s="9"/>
      <c r="G756" s="9"/>
      <c r="H756" s="9"/>
      <c r="I756" s="9"/>
      <c r="J756" s="9"/>
      <c r="K756" s="9"/>
      <c r="L756" s="9"/>
      <c r="M756" s="223"/>
      <c r="N756" s="9"/>
      <c r="O756" s="9"/>
      <c r="P756" s="9"/>
      <c r="Q756" s="9"/>
      <c r="R756" s="9"/>
      <c r="S756" s="223"/>
      <c r="T756" s="223"/>
      <c r="U756" s="223"/>
      <c r="V756" s="9"/>
      <c r="W756" s="9"/>
      <c r="X756" s="9"/>
      <c r="Y756" s="204"/>
      <c r="Z756" s="9"/>
      <c r="AA756" s="9"/>
      <c r="AB756" s="9"/>
      <c r="AC756" s="9"/>
    </row>
    <row r="757" ht="15.75" customHeight="1">
      <c r="A757" s="9"/>
      <c r="B757" s="9"/>
      <c r="C757" s="9"/>
      <c r="D757" s="9"/>
      <c r="E757" s="9"/>
      <c r="F757" s="9"/>
      <c r="G757" s="9"/>
      <c r="H757" s="9"/>
      <c r="I757" s="9"/>
      <c r="J757" s="9"/>
      <c r="K757" s="9"/>
      <c r="L757" s="9"/>
      <c r="M757" s="223"/>
      <c r="N757" s="9"/>
      <c r="O757" s="9"/>
      <c r="P757" s="9"/>
      <c r="Q757" s="9"/>
      <c r="R757" s="9"/>
      <c r="S757" s="223"/>
      <c r="T757" s="223"/>
      <c r="U757" s="223"/>
      <c r="V757" s="9"/>
      <c r="W757" s="9"/>
      <c r="X757" s="9"/>
      <c r="Y757" s="204"/>
      <c r="Z757" s="9"/>
      <c r="AA757" s="9"/>
      <c r="AB757" s="9"/>
      <c r="AC757" s="9"/>
    </row>
    <row r="758" ht="15.75" customHeight="1">
      <c r="A758" s="9"/>
      <c r="B758" s="9"/>
      <c r="C758" s="9"/>
      <c r="D758" s="9"/>
      <c r="E758" s="9"/>
      <c r="F758" s="9"/>
      <c r="G758" s="9"/>
      <c r="H758" s="9"/>
      <c r="I758" s="9"/>
      <c r="J758" s="9"/>
      <c r="K758" s="9"/>
      <c r="L758" s="9"/>
      <c r="M758" s="223"/>
      <c r="N758" s="9"/>
      <c r="O758" s="9"/>
      <c r="P758" s="9"/>
      <c r="Q758" s="9"/>
      <c r="R758" s="9"/>
      <c r="S758" s="223"/>
      <c r="T758" s="223"/>
      <c r="U758" s="223"/>
      <c r="V758" s="9"/>
      <c r="W758" s="9"/>
      <c r="X758" s="9"/>
      <c r="Y758" s="204"/>
      <c r="Z758" s="9"/>
      <c r="AA758" s="9"/>
      <c r="AB758" s="9"/>
      <c r="AC758" s="9"/>
    </row>
    <row r="759" ht="15.75" customHeight="1">
      <c r="A759" s="9"/>
      <c r="B759" s="9"/>
      <c r="C759" s="9"/>
      <c r="D759" s="9"/>
      <c r="E759" s="9"/>
      <c r="F759" s="9"/>
      <c r="G759" s="9"/>
      <c r="H759" s="9"/>
      <c r="I759" s="9"/>
      <c r="J759" s="9"/>
      <c r="K759" s="9"/>
      <c r="L759" s="9"/>
      <c r="M759" s="223"/>
      <c r="N759" s="9"/>
      <c r="O759" s="9"/>
      <c r="P759" s="9"/>
      <c r="Q759" s="9"/>
      <c r="R759" s="9"/>
      <c r="S759" s="223"/>
      <c r="T759" s="223"/>
      <c r="U759" s="223"/>
      <c r="V759" s="9"/>
      <c r="W759" s="9"/>
      <c r="X759" s="9"/>
      <c r="Y759" s="204"/>
      <c r="Z759" s="9"/>
      <c r="AA759" s="9"/>
      <c r="AB759" s="9"/>
      <c r="AC759" s="9"/>
    </row>
    <row r="760" ht="15.75" customHeight="1">
      <c r="A760" s="9"/>
      <c r="B760" s="9"/>
      <c r="C760" s="9"/>
      <c r="D760" s="9"/>
      <c r="E760" s="9"/>
      <c r="F760" s="9"/>
      <c r="G760" s="9"/>
      <c r="H760" s="9"/>
      <c r="I760" s="9"/>
      <c r="J760" s="9"/>
      <c r="K760" s="9"/>
      <c r="L760" s="9"/>
      <c r="M760" s="223"/>
      <c r="N760" s="9"/>
      <c r="O760" s="9"/>
      <c r="P760" s="9"/>
      <c r="Q760" s="9"/>
      <c r="R760" s="9"/>
      <c r="S760" s="223"/>
      <c r="T760" s="223"/>
      <c r="U760" s="223"/>
      <c r="V760" s="9"/>
      <c r="W760" s="9"/>
      <c r="X760" s="9"/>
      <c r="Y760" s="204"/>
      <c r="Z760" s="9"/>
      <c r="AA760" s="9"/>
      <c r="AB760" s="9"/>
      <c r="AC760" s="9"/>
    </row>
    <row r="761" ht="15.75" customHeight="1">
      <c r="A761" s="9"/>
      <c r="B761" s="9"/>
      <c r="C761" s="9"/>
      <c r="D761" s="9"/>
      <c r="E761" s="9"/>
      <c r="F761" s="9"/>
      <c r="G761" s="9"/>
      <c r="H761" s="9"/>
      <c r="I761" s="9"/>
      <c r="J761" s="9"/>
      <c r="K761" s="9"/>
      <c r="L761" s="9"/>
      <c r="M761" s="223"/>
      <c r="N761" s="9"/>
      <c r="O761" s="9"/>
      <c r="P761" s="9"/>
      <c r="Q761" s="9"/>
      <c r="R761" s="9"/>
      <c r="S761" s="223"/>
      <c r="T761" s="223"/>
      <c r="U761" s="223"/>
      <c r="V761" s="9"/>
      <c r="W761" s="9"/>
      <c r="X761" s="9"/>
      <c r="Y761" s="204"/>
      <c r="Z761" s="9"/>
      <c r="AA761" s="9"/>
      <c r="AB761" s="9"/>
      <c r="AC761" s="9"/>
    </row>
    <row r="762" ht="15.75" customHeight="1">
      <c r="A762" s="9"/>
      <c r="B762" s="9"/>
      <c r="C762" s="9"/>
      <c r="D762" s="9"/>
      <c r="E762" s="9"/>
      <c r="F762" s="9"/>
      <c r="G762" s="9"/>
      <c r="H762" s="9"/>
      <c r="I762" s="9"/>
      <c r="J762" s="9"/>
      <c r="K762" s="9"/>
      <c r="L762" s="9"/>
      <c r="M762" s="223"/>
      <c r="N762" s="9"/>
      <c r="O762" s="9"/>
      <c r="P762" s="9"/>
      <c r="Q762" s="9"/>
      <c r="R762" s="9"/>
      <c r="S762" s="223"/>
      <c r="T762" s="223"/>
      <c r="U762" s="223"/>
      <c r="V762" s="9"/>
      <c r="W762" s="9"/>
      <c r="X762" s="9"/>
      <c r="Y762" s="204"/>
      <c r="Z762" s="9"/>
      <c r="AA762" s="9"/>
      <c r="AB762" s="9"/>
      <c r="AC762" s="9"/>
    </row>
    <row r="763" ht="15.75" customHeight="1">
      <c r="A763" s="9"/>
      <c r="B763" s="9"/>
      <c r="C763" s="9"/>
      <c r="D763" s="9"/>
      <c r="E763" s="9"/>
      <c r="F763" s="9"/>
      <c r="G763" s="9"/>
      <c r="H763" s="9"/>
      <c r="I763" s="9"/>
      <c r="J763" s="9"/>
      <c r="K763" s="9"/>
      <c r="L763" s="9"/>
      <c r="M763" s="223"/>
      <c r="N763" s="9"/>
      <c r="O763" s="9"/>
      <c r="P763" s="9"/>
      <c r="Q763" s="9"/>
      <c r="R763" s="9"/>
      <c r="S763" s="223"/>
      <c r="T763" s="223"/>
      <c r="U763" s="223"/>
      <c r="V763" s="9"/>
      <c r="W763" s="9"/>
      <c r="X763" s="9"/>
      <c r="Y763" s="204"/>
      <c r="Z763" s="9"/>
      <c r="AA763" s="9"/>
      <c r="AB763" s="9"/>
      <c r="AC763" s="9"/>
    </row>
    <row r="764" ht="15.75" customHeight="1">
      <c r="A764" s="9"/>
      <c r="B764" s="9"/>
      <c r="C764" s="9"/>
      <c r="D764" s="9"/>
      <c r="E764" s="9"/>
      <c r="F764" s="9"/>
      <c r="G764" s="9"/>
      <c r="H764" s="9"/>
      <c r="I764" s="9"/>
      <c r="J764" s="9"/>
      <c r="K764" s="9"/>
      <c r="L764" s="9"/>
      <c r="M764" s="223"/>
      <c r="N764" s="9"/>
      <c r="O764" s="9"/>
      <c r="P764" s="9"/>
      <c r="Q764" s="9"/>
      <c r="R764" s="9"/>
      <c r="S764" s="223"/>
      <c r="T764" s="223"/>
      <c r="U764" s="223"/>
      <c r="V764" s="9"/>
      <c r="W764" s="9"/>
      <c r="X764" s="9"/>
      <c r="Y764" s="204"/>
      <c r="Z764" s="9"/>
      <c r="AA764" s="9"/>
      <c r="AB764" s="9"/>
      <c r="AC764" s="9"/>
    </row>
    <row r="765" ht="15.75" customHeight="1">
      <c r="A765" s="9"/>
      <c r="B765" s="9"/>
      <c r="C765" s="9"/>
      <c r="D765" s="9"/>
      <c r="E765" s="9"/>
      <c r="F765" s="9"/>
      <c r="G765" s="9"/>
      <c r="H765" s="9"/>
      <c r="I765" s="9"/>
      <c r="J765" s="9"/>
      <c r="K765" s="9"/>
      <c r="L765" s="9"/>
      <c r="M765" s="223"/>
      <c r="N765" s="9"/>
      <c r="O765" s="9"/>
      <c r="P765" s="9"/>
      <c r="Q765" s="9"/>
      <c r="R765" s="9"/>
      <c r="S765" s="223"/>
      <c r="T765" s="223"/>
      <c r="U765" s="223"/>
      <c r="V765" s="9"/>
      <c r="W765" s="9"/>
      <c r="X765" s="9"/>
      <c r="Y765" s="204"/>
      <c r="Z765" s="9"/>
      <c r="AA765" s="9"/>
      <c r="AB765" s="9"/>
      <c r="AC765" s="9"/>
    </row>
    <row r="766" ht="15.75" customHeight="1">
      <c r="A766" s="9"/>
      <c r="B766" s="9"/>
      <c r="C766" s="9"/>
      <c r="D766" s="9"/>
      <c r="E766" s="9"/>
      <c r="F766" s="9"/>
      <c r="G766" s="9"/>
      <c r="H766" s="9"/>
      <c r="I766" s="9"/>
      <c r="J766" s="9"/>
      <c r="K766" s="9"/>
      <c r="L766" s="9"/>
      <c r="M766" s="223"/>
      <c r="N766" s="9"/>
      <c r="O766" s="9"/>
      <c r="P766" s="9"/>
      <c r="Q766" s="9"/>
      <c r="R766" s="9"/>
      <c r="S766" s="223"/>
      <c r="T766" s="223"/>
      <c r="U766" s="223"/>
      <c r="V766" s="9"/>
      <c r="W766" s="9"/>
      <c r="X766" s="9"/>
      <c r="Y766" s="204"/>
      <c r="Z766" s="9"/>
      <c r="AA766" s="9"/>
      <c r="AB766" s="9"/>
      <c r="AC766" s="9"/>
    </row>
    <row r="767" ht="15.75" customHeight="1">
      <c r="A767" s="9"/>
      <c r="B767" s="9"/>
      <c r="C767" s="9"/>
      <c r="D767" s="9"/>
      <c r="E767" s="9"/>
      <c r="F767" s="9"/>
      <c r="G767" s="9"/>
      <c r="H767" s="9"/>
      <c r="I767" s="9"/>
      <c r="J767" s="9"/>
      <c r="K767" s="9"/>
      <c r="L767" s="9"/>
      <c r="M767" s="223"/>
      <c r="N767" s="9"/>
      <c r="O767" s="9"/>
      <c r="P767" s="9"/>
      <c r="Q767" s="9"/>
      <c r="R767" s="9"/>
      <c r="S767" s="223"/>
      <c r="T767" s="223"/>
      <c r="U767" s="223"/>
      <c r="V767" s="9"/>
      <c r="W767" s="9"/>
      <c r="X767" s="9"/>
      <c r="Y767" s="204"/>
      <c r="Z767" s="9"/>
      <c r="AA767" s="9"/>
      <c r="AB767" s="9"/>
      <c r="AC767" s="9"/>
    </row>
    <row r="768" ht="15.75" customHeight="1">
      <c r="A768" s="9"/>
      <c r="B768" s="9"/>
      <c r="C768" s="9"/>
      <c r="D768" s="9"/>
      <c r="E768" s="9"/>
      <c r="F768" s="9"/>
      <c r="G768" s="9"/>
      <c r="H768" s="9"/>
      <c r="I768" s="9"/>
      <c r="J768" s="9"/>
      <c r="K768" s="9"/>
      <c r="L768" s="9"/>
      <c r="M768" s="223"/>
      <c r="N768" s="9"/>
      <c r="O768" s="9"/>
      <c r="P768" s="9"/>
      <c r="Q768" s="9"/>
      <c r="R768" s="9"/>
      <c r="S768" s="223"/>
      <c r="T768" s="223"/>
      <c r="U768" s="223"/>
      <c r="V768" s="9"/>
      <c r="W768" s="9"/>
      <c r="X768" s="9"/>
      <c r="Y768" s="204"/>
      <c r="Z768" s="9"/>
      <c r="AA768" s="9"/>
      <c r="AB768" s="9"/>
      <c r="AC768" s="9"/>
    </row>
    <row r="769" ht="15.75" customHeight="1">
      <c r="A769" s="9"/>
      <c r="B769" s="9"/>
      <c r="C769" s="9"/>
      <c r="D769" s="9"/>
      <c r="E769" s="9"/>
      <c r="F769" s="9"/>
      <c r="G769" s="9"/>
      <c r="H769" s="9"/>
      <c r="I769" s="9"/>
      <c r="J769" s="9"/>
      <c r="K769" s="9"/>
      <c r="L769" s="9"/>
      <c r="M769" s="223"/>
      <c r="N769" s="9"/>
      <c r="O769" s="9"/>
      <c r="P769" s="9"/>
      <c r="Q769" s="9"/>
      <c r="R769" s="9"/>
      <c r="S769" s="223"/>
      <c r="T769" s="223"/>
      <c r="U769" s="223"/>
      <c r="V769" s="9"/>
      <c r="W769" s="9"/>
      <c r="X769" s="9"/>
      <c r="Y769" s="204"/>
      <c r="Z769" s="9"/>
      <c r="AA769" s="9"/>
      <c r="AB769" s="9"/>
      <c r="AC769" s="9"/>
    </row>
    <row r="770" ht="15.75" customHeight="1">
      <c r="A770" s="9"/>
      <c r="B770" s="9"/>
      <c r="C770" s="9"/>
      <c r="D770" s="9"/>
      <c r="E770" s="9"/>
      <c r="F770" s="9"/>
      <c r="G770" s="9"/>
      <c r="H770" s="9"/>
      <c r="I770" s="9"/>
      <c r="J770" s="9"/>
      <c r="K770" s="9"/>
      <c r="L770" s="9"/>
      <c r="M770" s="223"/>
      <c r="N770" s="9"/>
      <c r="O770" s="9"/>
      <c r="P770" s="9"/>
      <c r="Q770" s="9"/>
      <c r="R770" s="9"/>
      <c r="S770" s="223"/>
      <c r="T770" s="223"/>
      <c r="U770" s="223"/>
      <c r="V770" s="9"/>
      <c r="W770" s="9"/>
      <c r="X770" s="9"/>
      <c r="Y770" s="204"/>
      <c r="Z770" s="9"/>
      <c r="AA770" s="9"/>
      <c r="AB770" s="9"/>
      <c r="AC770" s="9"/>
    </row>
    <row r="771" ht="15.75" customHeight="1">
      <c r="A771" s="9"/>
      <c r="B771" s="9"/>
      <c r="C771" s="9"/>
      <c r="D771" s="9"/>
      <c r="E771" s="9"/>
      <c r="F771" s="9"/>
      <c r="G771" s="9"/>
      <c r="H771" s="9"/>
      <c r="I771" s="9"/>
      <c r="J771" s="9"/>
      <c r="K771" s="9"/>
      <c r="L771" s="9"/>
      <c r="M771" s="223"/>
      <c r="N771" s="9"/>
      <c r="O771" s="9"/>
      <c r="P771" s="9"/>
      <c r="Q771" s="9"/>
      <c r="R771" s="9"/>
      <c r="S771" s="223"/>
      <c r="T771" s="223"/>
      <c r="U771" s="223"/>
      <c r="V771" s="9"/>
      <c r="W771" s="9"/>
      <c r="X771" s="9"/>
      <c r="Y771" s="204"/>
      <c r="Z771" s="9"/>
      <c r="AA771" s="9"/>
      <c r="AB771" s="9"/>
      <c r="AC771" s="9"/>
    </row>
    <row r="772" ht="15.75" customHeight="1">
      <c r="A772" s="9"/>
      <c r="B772" s="9"/>
      <c r="C772" s="9"/>
      <c r="D772" s="9"/>
      <c r="E772" s="9"/>
      <c r="F772" s="9"/>
      <c r="G772" s="9"/>
      <c r="H772" s="9"/>
      <c r="I772" s="9"/>
      <c r="J772" s="9"/>
      <c r="K772" s="9"/>
      <c r="L772" s="9"/>
      <c r="M772" s="223"/>
      <c r="N772" s="9"/>
      <c r="O772" s="9"/>
      <c r="P772" s="9"/>
      <c r="Q772" s="9"/>
      <c r="R772" s="9"/>
      <c r="S772" s="223"/>
      <c r="T772" s="223"/>
      <c r="U772" s="223"/>
      <c r="V772" s="9"/>
      <c r="W772" s="9"/>
      <c r="X772" s="9"/>
      <c r="Y772" s="204"/>
      <c r="Z772" s="9"/>
      <c r="AA772" s="9"/>
      <c r="AB772" s="9"/>
      <c r="AC772" s="9"/>
    </row>
    <row r="773" ht="15.75" customHeight="1">
      <c r="A773" s="9"/>
      <c r="B773" s="9"/>
      <c r="C773" s="9"/>
      <c r="D773" s="9"/>
      <c r="E773" s="9"/>
      <c r="F773" s="9"/>
      <c r="G773" s="9"/>
      <c r="H773" s="9"/>
      <c r="I773" s="9"/>
      <c r="J773" s="9"/>
      <c r="K773" s="9"/>
      <c r="L773" s="9"/>
      <c r="M773" s="223"/>
      <c r="N773" s="9"/>
      <c r="O773" s="9"/>
      <c r="P773" s="9"/>
      <c r="Q773" s="9"/>
      <c r="R773" s="9"/>
      <c r="S773" s="223"/>
      <c r="T773" s="223"/>
      <c r="U773" s="223"/>
      <c r="V773" s="9"/>
      <c r="W773" s="9"/>
      <c r="X773" s="9"/>
      <c r="Y773" s="204"/>
      <c r="Z773" s="9"/>
      <c r="AA773" s="9"/>
      <c r="AB773" s="9"/>
      <c r="AC773" s="9"/>
    </row>
    <row r="774" ht="15.75" customHeight="1">
      <c r="A774" s="9"/>
      <c r="B774" s="9"/>
      <c r="C774" s="9"/>
      <c r="D774" s="9"/>
      <c r="E774" s="9"/>
      <c r="F774" s="9"/>
      <c r="G774" s="9"/>
      <c r="H774" s="9"/>
      <c r="I774" s="9"/>
      <c r="J774" s="9"/>
      <c r="K774" s="9"/>
      <c r="L774" s="9"/>
      <c r="M774" s="223"/>
      <c r="N774" s="9"/>
      <c r="O774" s="9"/>
      <c r="P774" s="9"/>
      <c r="Q774" s="9"/>
      <c r="R774" s="9"/>
      <c r="S774" s="223"/>
      <c r="T774" s="223"/>
      <c r="U774" s="223"/>
      <c r="V774" s="9"/>
      <c r="W774" s="9"/>
      <c r="X774" s="9"/>
      <c r="Y774" s="204"/>
      <c r="Z774" s="9"/>
      <c r="AA774" s="9"/>
      <c r="AB774" s="9"/>
      <c r="AC774" s="9"/>
    </row>
    <row r="775" ht="15.75" customHeight="1">
      <c r="A775" s="9"/>
      <c r="B775" s="9"/>
      <c r="C775" s="9"/>
      <c r="D775" s="9"/>
      <c r="E775" s="9"/>
      <c r="F775" s="9"/>
      <c r="G775" s="9"/>
      <c r="H775" s="9"/>
      <c r="I775" s="9"/>
      <c r="J775" s="9"/>
      <c r="K775" s="9"/>
      <c r="L775" s="9"/>
      <c r="M775" s="223"/>
      <c r="N775" s="9"/>
      <c r="O775" s="9"/>
      <c r="P775" s="9"/>
      <c r="Q775" s="9"/>
      <c r="R775" s="9"/>
      <c r="S775" s="223"/>
      <c r="T775" s="223"/>
      <c r="U775" s="223"/>
      <c r="V775" s="9"/>
      <c r="W775" s="9"/>
      <c r="X775" s="9"/>
      <c r="Y775" s="204"/>
      <c r="Z775" s="9"/>
      <c r="AA775" s="9"/>
      <c r="AB775" s="9"/>
      <c r="AC775" s="9"/>
    </row>
    <row r="776" ht="15.75" customHeight="1">
      <c r="A776" s="9"/>
      <c r="B776" s="9"/>
      <c r="C776" s="9"/>
      <c r="D776" s="9"/>
      <c r="E776" s="9"/>
      <c r="F776" s="9"/>
      <c r="G776" s="9"/>
      <c r="H776" s="9"/>
      <c r="I776" s="9"/>
      <c r="J776" s="9"/>
      <c r="K776" s="9"/>
      <c r="L776" s="9"/>
      <c r="M776" s="223"/>
      <c r="N776" s="9"/>
      <c r="O776" s="9"/>
      <c r="P776" s="9"/>
      <c r="Q776" s="9"/>
      <c r="R776" s="9"/>
      <c r="S776" s="223"/>
      <c r="T776" s="223"/>
      <c r="U776" s="223"/>
      <c r="V776" s="9"/>
      <c r="W776" s="9"/>
      <c r="X776" s="9"/>
      <c r="Y776" s="204"/>
      <c r="Z776" s="9"/>
      <c r="AA776" s="9"/>
      <c r="AB776" s="9"/>
      <c r="AC776" s="9"/>
    </row>
    <row r="777" ht="15.75" customHeight="1">
      <c r="A777" s="9"/>
      <c r="B777" s="9"/>
      <c r="C777" s="9"/>
      <c r="D777" s="9"/>
      <c r="E777" s="9"/>
      <c r="F777" s="9"/>
      <c r="G777" s="9"/>
      <c r="H777" s="9"/>
      <c r="I777" s="9"/>
      <c r="J777" s="9"/>
      <c r="K777" s="9"/>
      <c r="L777" s="9"/>
      <c r="M777" s="223"/>
      <c r="N777" s="9"/>
      <c r="O777" s="9"/>
      <c r="P777" s="9"/>
      <c r="Q777" s="9"/>
      <c r="R777" s="9"/>
      <c r="S777" s="223"/>
      <c r="T777" s="223"/>
      <c r="U777" s="223"/>
      <c r="V777" s="9"/>
      <c r="W777" s="9"/>
      <c r="X777" s="9"/>
      <c r="Y777" s="204"/>
      <c r="Z777" s="9"/>
      <c r="AA777" s="9"/>
      <c r="AB777" s="9"/>
      <c r="AC777" s="9"/>
    </row>
    <row r="778" ht="15.75" customHeight="1">
      <c r="A778" s="9"/>
      <c r="B778" s="9"/>
      <c r="C778" s="9"/>
      <c r="D778" s="9"/>
      <c r="E778" s="9"/>
      <c r="F778" s="9"/>
      <c r="G778" s="9"/>
      <c r="H778" s="9"/>
      <c r="I778" s="9"/>
      <c r="J778" s="9"/>
      <c r="K778" s="9"/>
      <c r="L778" s="9"/>
      <c r="M778" s="223"/>
      <c r="N778" s="9"/>
      <c r="O778" s="9"/>
      <c r="P778" s="9"/>
      <c r="Q778" s="9"/>
      <c r="R778" s="9"/>
      <c r="S778" s="223"/>
      <c r="T778" s="223"/>
      <c r="U778" s="223"/>
      <c r="V778" s="9"/>
      <c r="W778" s="9"/>
      <c r="X778" s="9"/>
      <c r="Y778" s="204"/>
      <c r="Z778" s="9"/>
      <c r="AA778" s="9"/>
      <c r="AB778" s="9"/>
      <c r="AC778" s="9"/>
    </row>
    <row r="779" ht="15.75" customHeight="1">
      <c r="A779" s="9"/>
      <c r="B779" s="9"/>
      <c r="C779" s="9"/>
      <c r="D779" s="9"/>
      <c r="E779" s="9"/>
      <c r="F779" s="9"/>
      <c r="G779" s="9"/>
      <c r="H779" s="9"/>
      <c r="I779" s="9"/>
      <c r="J779" s="9"/>
      <c r="K779" s="9"/>
      <c r="L779" s="9"/>
      <c r="M779" s="223"/>
      <c r="N779" s="9"/>
      <c r="O779" s="9"/>
      <c r="P779" s="9"/>
      <c r="Q779" s="9"/>
      <c r="R779" s="9"/>
      <c r="S779" s="223"/>
      <c r="T779" s="223"/>
      <c r="U779" s="223"/>
      <c r="V779" s="9"/>
      <c r="W779" s="9"/>
      <c r="X779" s="9"/>
      <c r="Y779" s="204"/>
      <c r="Z779" s="9"/>
      <c r="AA779" s="9"/>
      <c r="AB779" s="9"/>
      <c r="AC779" s="9"/>
    </row>
    <row r="780" ht="15.75" customHeight="1">
      <c r="A780" s="9"/>
      <c r="B780" s="9"/>
      <c r="C780" s="9"/>
      <c r="D780" s="9"/>
      <c r="E780" s="9"/>
      <c r="F780" s="9"/>
      <c r="G780" s="9"/>
      <c r="H780" s="9"/>
      <c r="I780" s="9"/>
      <c r="J780" s="9"/>
      <c r="K780" s="9"/>
      <c r="L780" s="9"/>
      <c r="M780" s="223"/>
      <c r="N780" s="9"/>
      <c r="O780" s="9"/>
      <c r="P780" s="9"/>
      <c r="Q780" s="9"/>
      <c r="R780" s="9"/>
      <c r="S780" s="223"/>
      <c r="T780" s="223"/>
      <c r="U780" s="223"/>
      <c r="V780" s="9"/>
      <c r="W780" s="9"/>
      <c r="X780" s="9"/>
      <c r="Y780" s="204"/>
      <c r="Z780" s="9"/>
      <c r="AA780" s="9"/>
      <c r="AB780" s="9"/>
      <c r="AC780" s="9"/>
    </row>
    <row r="781" ht="15.75" customHeight="1">
      <c r="A781" s="9"/>
      <c r="B781" s="9"/>
      <c r="C781" s="9"/>
      <c r="D781" s="9"/>
      <c r="E781" s="9"/>
      <c r="F781" s="9"/>
      <c r="G781" s="9"/>
      <c r="H781" s="9"/>
      <c r="I781" s="9"/>
      <c r="J781" s="9"/>
      <c r="K781" s="9"/>
      <c r="L781" s="9"/>
      <c r="M781" s="223"/>
      <c r="N781" s="9"/>
      <c r="O781" s="9"/>
      <c r="P781" s="9"/>
      <c r="Q781" s="9"/>
      <c r="R781" s="9"/>
      <c r="S781" s="223"/>
      <c r="T781" s="223"/>
      <c r="U781" s="223"/>
      <c r="V781" s="9"/>
      <c r="W781" s="9"/>
      <c r="X781" s="9"/>
      <c r="Y781" s="204"/>
      <c r="Z781" s="9"/>
      <c r="AA781" s="9"/>
      <c r="AB781" s="9"/>
      <c r="AC781" s="9"/>
    </row>
    <row r="782" ht="15.75" customHeight="1">
      <c r="A782" s="9"/>
      <c r="B782" s="9"/>
      <c r="C782" s="9"/>
      <c r="D782" s="9"/>
      <c r="E782" s="9"/>
      <c r="F782" s="9"/>
      <c r="G782" s="9"/>
      <c r="H782" s="9"/>
      <c r="I782" s="9"/>
      <c r="J782" s="9"/>
      <c r="K782" s="9"/>
      <c r="L782" s="9"/>
      <c r="M782" s="223"/>
      <c r="N782" s="9"/>
      <c r="O782" s="9"/>
      <c r="P782" s="9"/>
      <c r="Q782" s="9"/>
      <c r="R782" s="9"/>
      <c r="S782" s="223"/>
      <c r="T782" s="223"/>
      <c r="U782" s="223"/>
      <c r="V782" s="9"/>
      <c r="W782" s="9"/>
      <c r="X782" s="9"/>
      <c r="Y782" s="204"/>
      <c r="Z782" s="9"/>
      <c r="AA782" s="9"/>
      <c r="AB782" s="9"/>
      <c r="AC782" s="9"/>
    </row>
    <row r="783" ht="15.75" customHeight="1">
      <c r="A783" s="9"/>
      <c r="B783" s="9"/>
      <c r="C783" s="9"/>
      <c r="D783" s="9"/>
      <c r="E783" s="9"/>
      <c r="F783" s="9"/>
      <c r="G783" s="9"/>
      <c r="H783" s="9"/>
      <c r="I783" s="9"/>
      <c r="J783" s="9"/>
      <c r="K783" s="9"/>
      <c r="L783" s="9"/>
      <c r="M783" s="223"/>
      <c r="N783" s="9"/>
      <c r="O783" s="9"/>
      <c r="P783" s="9"/>
      <c r="Q783" s="9"/>
      <c r="R783" s="9"/>
      <c r="S783" s="223"/>
      <c r="T783" s="223"/>
      <c r="U783" s="223"/>
      <c r="V783" s="9"/>
      <c r="W783" s="9"/>
      <c r="X783" s="9"/>
      <c r="Y783" s="204"/>
      <c r="Z783" s="9"/>
      <c r="AA783" s="9"/>
      <c r="AB783" s="9"/>
      <c r="AC783" s="9"/>
    </row>
    <row r="784" ht="15.75" customHeight="1">
      <c r="A784" s="9"/>
      <c r="B784" s="9"/>
      <c r="C784" s="9"/>
      <c r="D784" s="9"/>
      <c r="E784" s="9"/>
      <c r="F784" s="9"/>
      <c r="G784" s="9"/>
      <c r="H784" s="9"/>
      <c r="I784" s="9"/>
      <c r="J784" s="9"/>
      <c r="K784" s="9"/>
      <c r="L784" s="9"/>
      <c r="M784" s="223"/>
      <c r="N784" s="9"/>
      <c r="O784" s="9"/>
      <c r="P784" s="9"/>
      <c r="Q784" s="9"/>
      <c r="R784" s="9"/>
      <c r="S784" s="223"/>
      <c r="T784" s="223"/>
      <c r="U784" s="223"/>
      <c r="V784" s="9"/>
      <c r="W784" s="9"/>
      <c r="X784" s="9"/>
      <c r="Y784" s="204"/>
      <c r="Z784" s="9"/>
      <c r="AA784" s="9"/>
      <c r="AB784" s="9"/>
      <c r="AC784" s="9"/>
    </row>
    <row r="785" ht="15.75" customHeight="1">
      <c r="A785" s="9"/>
      <c r="B785" s="9"/>
      <c r="C785" s="9"/>
      <c r="D785" s="9"/>
      <c r="E785" s="9"/>
      <c r="F785" s="9"/>
      <c r="G785" s="9"/>
      <c r="H785" s="9"/>
      <c r="I785" s="9"/>
      <c r="J785" s="9"/>
      <c r="K785" s="9"/>
      <c r="L785" s="9"/>
      <c r="M785" s="223"/>
      <c r="N785" s="9"/>
      <c r="O785" s="9"/>
      <c r="P785" s="9"/>
      <c r="Q785" s="9"/>
      <c r="R785" s="9"/>
      <c r="S785" s="223"/>
      <c r="T785" s="223"/>
      <c r="U785" s="223"/>
      <c r="V785" s="9"/>
      <c r="W785" s="9"/>
      <c r="X785" s="9"/>
      <c r="Y785" s="204"/>
      <c r="Z785" s="9"/>
      <c r="AA785" s="9"/>
      <c r="AB785" s="9"/>
      <c r="AC785" s="9"/>
    </row>
    <row r="786" ht="15.75" customHeight="1">
      <c r="A786" s="9"/>
      <c r="B786" s="9"/>
      <c r="C786" s="9"/>
      <c r="D786" s="9"/>
      <c r="E786" s="9"/>
      <c r="F786" s="9"/>
      <c r="G786" s="9"/>
      <c r="H786" s="9"/>
      <c r="I786" s="9"/>
      <c r="J786" s="9"/>
      <c r="K786" s="9"/>
      <c r="L786" s="9"/>
      <c r="M786" s="223"/>
      <c r="N786" s="9"/>
      <c r="O786" s="9"/>
      <c r="P786" s="9"/>
      <c r="Q786" s="9"/>
      <c r="R786" s="9"/>
      <c r="S786" s="223"/>
      <c r="T786" s="223"/>
      <c r="U786" s="223"/>
      <c r="V786" s="9"/>
      <c r="W786" s="9"/>
      <c r="X786" s="9"/>
      <c r="Y786" s="204"/>
      <c r="Z786" s="9"/>
      <c r="AA786" s="9"/>
      <c r="AB786" s="9"/>
      <c r="AC786" s="9"/>
    </row>
    <row r="787" ht="15.75" customHeight="1">
      <c r="A787" s="9"/>
      <c r="B787" s="9"/>
      <c r="C787" s="9"/>
      <c r="D787" s="9"/>
      <c r="E787" s="9"/>
      <c r="F787" s="9"/>
      <c r="G787" s="9"/>
      <c r="H787" s="9"/>
      <c r="I787" s="9"/>
      <c r="J787" s="9"/>
      <c r="K787" s="9"/>
      <c r="L787" s="9"/>
      <c r="M787" s="223"/>
      <c r="N787" s="9"/>
      <c r="O787" s="9"/>
      <c r="P787" s="9"/>
      <c r="Q787" s="9"/>
      <c r="R787" s="9"/>
      <c r="S787" s="223"/>
      <c r="T787" s="223"/>
      <c r="U787" s="223"/>
      <c r="V787" s="9"/>
      <c r="W787" s="9"/>
      <c r="X787" s="9"/>
      <c r="Y787" s="204"/>
      <c r="Z787" s="9"/>
      <c r="AA787" s="9"/>
      <c r="AB787" s="9"/>
      <c r="AC787" s="9"/>
    </row>
    <row r="788" ht="15.75" customHeight="1">
      <c r="A788" s="9"/>
      <c r="B788" s="9"/>
      <c r="C788" s="9"/>
      <c r="D788" s="9"/>
      <c r="E788" s="9"/>
      <c r="F788" s="9"/>
      <c r="G788" s="9"/>
      <c r="H788" s="9"/>
      <c r="I788" s="9"/>
      <c r="J788" s="9"/>
      <c r="K788" s="9"/>
      <c r="L788" s="9"/>
      <c r="M788" s="223"/>
      <c r="N788" s="9"/>
      <c r="O788" s="9"/>
      <c r="P788" s="9"/>
      <c r="Q788" s="9"/>
      <c r="R788" s="9"/>
      <c r="S788" s="223"/>
      <c r="T788" s="223"/>
      <c r="U788" s="223"/>
      <c r="V788" s="9"/>
      <c r="W788" s="9"/>
      <c r="X788" s="9"/>
      <c r="Y788" s="204"/>
      <c r="Z788" s="9"/>
      <c r="AA788" s="9"/>
      <c r="AB788" s="9"/>
      <c r="AC788" s="9"/>
    </row>
    <row r="789" ht="15.75" customHeight="1">
      <c r="A789" s="9"/>
      <c r="B789" s="9"/>
      <c r="C789" s="9"/>
      <c r="D789" s="9"/>
      <c r="E789" s="9"/>
      <c r="F789" s="9"/>
      <c r="G789" s="9"/>
      <c r="H789" s="9"/>
      <c r="I789" s="9"/>
      <c r="J789" s="9"/>
      <c r="K789" s="9"/>
      <c r="L789" s="9"/>
      <c r="M789" s="223"/>
      <c r="N789" s="9"/>
      <c r="O789" s="9"/>
      <c r="P789" s="9"/>
      <c r="Q789" s="9"/>
      <c r="R789" s="9"/>
      <c r="S789" s="223"/>
      <c r="T789" s="223"/>
      <c r="U789" s="223"/>
      <c r="V789" s="9"/>
      <c r="W789" s="9"/>
      <c r="X789" s="9"/>
      <c r="Y789" s="204"/>
      <c r="Z789" s="9"/>
      <c r="AA789" s="9"/>
      <c r="AB789" s="9"/>
      <c r="AC789" s="9"/>
    </row>
    <row r="790" ht="15.75" customHeight="1">
      <c r="A790" s="9"/>
      <c r="B790" s="9"/>
      <c r="C790" s="9"/>
      <c r="D790" s="9"/>
      <c r="E790" s="9"/>
      <c r="F790" s="9"/>
      <c r="G790" s="9"/>
      <c r="H790" s="9"/>
      <c r="I790" s="9"/>
      <c r="J790" s="9"/>
      <c r="K790" s="9"/>
      <c r="L790" s="9"/>
      <c r="M790" s="223"/>
      <c r="N790" s="9"/>
      <c r="O790" s="9"/>
      <c r="P790" s="9"/>
      <c r="Q790" s="9"/>
      <c r="R790" s="9"/>
      <c r="S790" s="223"/>
      <c r="T790" s="223"/>
      <c r="U790" s="223"/>
      <c r="V790" s="9"/>
      <c r="W790" s="9"/>
      <c r="X790" s="9"/>
      <c r="Y790" s="204"/>
      <c r="Z790" s="9"/>
      <c r="AA790" s="9"/>
      <c r="AB790" s="9"/>
      <c r="AC790" s="9"/>
    </row>
    <row r="791" ht="15.75" customHeight="1">
      <c r="A791" s="9"/>
      <c r="B791" s="9"/>
      <c r="C791" s="9"/>
      <c r="D791" s="9"/>
      <c r="E791" s="9"/>
      <c r="F791" s="9"/>
      <c r="G791" s="9"/>
      <c r="H791" s="9"/>
      <c r="I791" s="9"/>
      <c r="J791" s="9"/>
      <c r="K791" s="9"/>
      <c r="L791" s="9"/>
      <c r="M791" s="223"/>
      <c r="N791" s="9"/>
      <c r="O791" s="9"/>
      <c r="P791" s="9"/>
      <c r="Q791" s="9"/>
      <c r="R791" s="9"/>
      <c r="S791" s="223"/>
      <c r="T791" s="223"/>
      <c r="U791" s="223"/>
      <c r="V791" s="9"/>
      <c r="W791" s="9"/>
      <c r="X791" s="9"/>
      <c r="Y791" s="204"/>
      <c r="Z791" s="9"/>
      <c r="AA791" s="9"/>
      <c r="AB791" s="9"/>
      <c r="AC791" s="9"/>
    </row>
    <row r="792" ht="15.75" customHeight="1">
      <c r="A792" s="9"/>
      <c r="B792" s="9"/>
      <c r="C792" s="9"/>
      <c r="D792" s="9"/>
      <c r="E792" s="9"/>
      <c r="F792" s="9"/>
      <c r="G792" s="9"/>
      <c r="H792" s="9"/>
      <c r="I792" s="9"/>
      <c r="J792" s="9"/>
      <c r="K792" s="9"/>
      <c r="L792" s="9"/>
      <c r="M792" s="223"/>
      <c r="N792" s="9"/>
      <c r="O792" s="9"/>
      <c r="P792" s="9"/>
      <c r="Q792" s="9"/>
      <c r="R792" s="9"/>
      <c r="S792" s="223"/>
      <c r="T792" s="223"/>
      <c r="U792" s="223"/>
      <c r="V792" s="9"/>
      <c r="W792" s="9"/>
      <c r="X792" s="9"/>
      <c r="Y792" s="204"/>
      <c r="Z792" s="9"/>
      <c r="AA792" s="9"/>
      <c r="AB792" s="9"/>
      <c r="AC792" s="9"/>
    </row>
    <row r="793" ht="15.75" customHeight="1">
      <c r="A793" s="9"/>
      <c r="B793" s="9"/>
      <c r="C793" s="9"/>
      <c r="D793" s="9"/>
      <c r="E793" s="9"/>
      <c r="F793" s="9"/>
      <c r="G793" s="9"/>
      <c r="H793" s="9"/>
      <c r="I793" s="9"/>
      <c r="J793" s="9"/>
      <c r="K793" s="9"/>
      <c r="L793" s="9"/>
      <c r="M793" s="223"/>
      <c r="N793" s="9"/>
      <c r="O793" s="9"/>
      <c r="P793" s="9"/>
      <c r="Q793" s="9"/>
      <c r="R793" s="9"/>
      <c r="S793" s="223"/>
      <c r="T793" s="223"/>
      <c r="U793" s="223"/>
      <c r="V793" s="9"/>
      <c r="W793" s="9"/>
      <c r="X793" s="9"/>
      <c r="Y793" s="204"/>
      <c r="Z793" s="9"/>
      <c r="AA793" s="9"/>
      <c r="AB793" s="9"/>
      <c r="AC793" s="9"/>
    </row>
    <row r="794" ht="15.75" customHeight="1">
      <c r="A794" s="9"/>
      <c r="B794" s="9"/>
      <c r="C794" s="9"/>
      <c r="D794" s="9"/>
      <c r="E794" s="9"/>
      <c r="F794" s="9"/>
      <c r="G794" s="9"/>
      <c r="H794" s="9"/>
      <c r="I794" s="9"/>
      <c r="J794" s="9"/>
      <c r="K794" s="9"/>
      <c r="L794" s="9"/>
      <c r="M794" s="223"/>
      <c r="N794" s="9"/>
      <c r="O794" s="9"/>
      <c r="P794" s="9"/>
      <c r="Q794" s="9"/>
      <c r="R794" s="9"/>
      <c r="S794" s="223"/>
      <c r="T794" s="223"/>
      <c r="U794" s="223"/>
      <c r="V794" s="9"/>
      <c r="W794" s="9"/>
      <c r="X794" s="9"/>
      <c r="Y794" s="204"/>
      <c r="Z794" s="9"/>
      <c r="AA794" s="9"/>
      <c r="AB794" s="9"/>
      <c r="AC794" s="9"/>
    </row>
    <row r="795" ht="15.75" customHeight="1">
      <c r="A795" s="9"/>
      <c r="B795" s="9"/>
      <c r="C795" s="9"/>
      <c r="D795" s="9"/>
      <c r="E795" s="9"/>
      <c r="F795" s="9"/>
      <c r="G795" s="9"/>
      <c r="H795" s="9"/>
      <c r="I795" s="9"/>
      <c r="J795" s="9"/>
      <c r="K795" s="9"/>
      <c r="L795" s="9"/>
      <c r="M795" s="223"/>
      <c r="N795" s="9"/>
      <c r="O795" s="9"/>
      <c r="P795" s="9"/>
      <c r="Q795" s="9"/>
      <c r="R795" s="9"/>
      <c r="S795" s="223"/>
      <c r="T795" s="223"/>
      <c r="U795" s="223"/>
      <c r="V795" s="9"/>
      <c r="W795" s="9"/>
      <c r="X795" s="9"/>
      <c r="Y795" s="204"/>
      <c r="Z795" s="9"/>
      <c r="AA795" s="9"/>
      <c r="AB795" s="9"/>
      <c r="AC795" s="9"/>
    </row>
    <row r="796" ht="15.75" customHeight="1">
      <c r="A796" s="9"/>
      <c r="B796" s="9"/>
      <c r="C796" s="9"/>
      <c r="D796" s="9"/>
      <c r="E796" s="9"/>
      <c r="F796" s="9"/>
      <c r="G796" s="9"/>
      <c r="H796" s="9"/>
      <c r="I796" s="9"/>
      <c r="J796" s="9"/>
      <c r="K796" s="9"/>
      <c r="L796" s="9"/>
      <c r="M796" s="223"/>
      <c r="N796" s="9"/>
      <c r="O796" s="9"/>
      <c r="P796" s="9"/>
      <c r="Q796" s="9"/>
      <c r="R796" s="9"/>
      <c r="S796" s="223"/>
      <c r="T796" s="223"/>
      <c r="U796" s="223"/>
      <c r="V796" s="9"/>
      <c r="W796" s="9"/>
      <c r="X796" s="9"/>
      <c r="Y796" s="204"/>
      <c r="Z796" s="9"/>
      <c r="AA796" s="9"/>
      <c r="AB796" s="9"/>
      <c r="AC796" s="9"/>
    </row>
    <row r="797" ht="15.75" customHeight="1">
      <c r="A797" s="9"/>
      <c r="B797" s="9"/>
      <c r="C797" s="9"/>
      <c r="D797" s="9"/>
      <c r="E797" s="9"/>
      <c r="F797" s="9"/>
      <c r="G797" s="9"/>
      <c r="H797" s="9"/>
      <c r="I797" s="9"/>
      <c r="J797" s="9"/>
      <c r="K797" s="9"/>
      <c r="L797" s="9"/>
      <c r="M797" s="223"/>
      <c r="N797" s="9"/>
      <c r="O797" s="9"/>
      <c r="P797" s="9"/>
      <c r="Q797" s="9"/>
      <c r="R797" s="9"/>
      <c r="S797" s="223"/>
      <c r="T797" s="223"/>
      <c r="U797" s="223"/>
      <c r="V797" s="9"/>
      <c r="W797" s="9"/>
      <c r="X797" s="9"/>
      <c r="Y797" s="204"/>
      <c r="Z797" s="9"/>
      <c r="AA797" s="9"/>
      <c r="AB797" s="9"/>
      <c r="AC797" s="9"/>
    </row>
    <row r="798" ht="15.75" customHeight="1">
      <c r="A798" s="9"/>
      <c r="B798" s="9"/>
      <c r="C798" s="9"/>
      <c r="D798" s="9"/>
      <c r="E798" s="9"/>
      <c r="F798" s="9"/>
      <c r="G798" s="9"/>
      <c r="H798" s="9"/>
      <c r="I798" s="9"/>
      <c r="J798" s="9"/>
      <c r="K798" s="9"/>
      <c r="L798" s="9"/>
      <c r="M798" s="223"/>
      <c r="N798" s="9"/>
      <c r="O798" s="9"/>
      <c r="P798" s="9"/>
      <c r="Q798" s="9"/>
      <c r="R798" s="9"/>
      <c r="S798" s="223"/>
      <c r="T798" s="223"/>
      <c r="U798" s="223"/>
      <c r="V798" s="9"/>
      <c r="W798" s="9"/>
      <c r="X798" s="9"/>
      <c r="Y798" s="204"/>
      <c r="Z798" s="9"/>
      <c r="AA798" s="9"/>
      <c r="AB798" s="9"/>
      <c r="AC798" s="9"/>
    </row>
    <row r="799" ht="15.75" customHeight="1">
      <c r="A799" s="9"/>
      <c r="B799" s="9"/>
      <c r="C799" s="9"/>
      <c r="D799" s="9"/>
      <c r="E799" s="9"/>
      <c r="F799" s="9"/>
      <c r="G799" s="9"/>
      <c r="H799" s="9"/>
      <c r="I799" s="9"/>
      <c r="J799" s="9"/>
      <c r="K799" s="9"/>
      <c r="L799" s="9"/>
      <c r="M799" s="223"/>
      <c r="N799" s="9"/>
      <c r="O799" s="9"/>
      <c r="P799" s="9"/>
      <c r="Q799" s="9"/>
      <c r="R799" s="9"/>
      <c r="S799" s="223"/>
      <c r="T799" s="223"/>
      <c r="U799" s="223"/>
      <c r="V799" s="9"/>
      <c r="W799" s="9"/>
      <c r="X799" s="9"/>
      <c r="Y799" s="204"/>
      <c r="Z799" s="9"/>
      <c r="AA799" s="9"/>
      <c r="AB799" s="9"/>
      <c r="AC799" s="9"/>
    </row>
    <row r="800" ht="15.75" customHeight="1">
      <c r="A800" s="9"/>
      <c r="B800" s="9"/>
      <c r="C800" s="9"/>
      <c r="D800" s="9"/>
      <c r="E800" s="9"/>
      <c r="F800" s="9"/>
      <c r="G800" s="9"/>
      <c r="H800" s="9"/>
      <c r="I800" s="9"/>
      <c r="J800" s="9"/>
      <c r="K800" s="9"/>
      <c r="L800" s="9"/>
      <c r="M800" s="223"/>
      <c r="N800" s="9"/>
      <c r="O800" s="9"/>
      <c r="P800" s="9"/>
      <c r="Q800" s="9"/>
      <c r="R800" s="9"/>
      <c r="S800" s="223"/>
      <c r="T800" s="223"/>
      <c r="U800" s="223"/>
      <c r="V800" s="9"/>
      <c r="W800" s="9"/>
      <c r="X800" s="9"/>
      <c r="Y800" s="204"/>
      <c r="Z800" s="9"/>
      <c r="AA800" s="9"/>
      <c r="AB800" s="9"/>
      <c r="AC800" s="9"/>
    </row>
    <row r="801" ht="15.75" customHeight="1">
      <c r="A801" s="9"/>
      <c r="B801" s="9"/>
      <c r="C801" s="9"/>
      <c r="D801" s="9"/>
      <c r="E801" s="9"/>
      <c r="F801" s="9"/>
      <c r="G801" s="9"/>
      <c r="H801" s="9"/>
      <c r="I801" s="9"/>
      <c r="J801" s="9"/>
      <c r="K801" s="9"/>
      <c r="L801" s="9"/>
      <c r="M801" s="223"/>
      <c r="N801" s="9"/>
      <c r="O801" s="9"/>
      <c r="P801" s="9"/>
      <c r="Q801" s="9"/>
      <c r="R801" s="9"/>
      <c r="S801" s="223"/>
      <c r="T801" s="223"/>
      <c r="U801" s="223"/>
      <c r="V801" s="9"/>
      <c r="W801" s="9"/>
      <c r="X801" s="9"/>
      <c r="Y801" s="204"/>
      <c r="Z801" s="9"/>
      <c r="AA801" s="9"/>
      <c r="AB801" s="9"/>
      <c r="AC801" s="9"/>
    </row>
    <row r="802" ht="15.75" customHeight="1">
      <c r="A802" s="9"/>
      <c r="B802" s="9"/>
      <c r="C802" s="9"/>
      <c r="D802" s="9"/>
      <c r="E802" s="9"/>
      <c r="F802" s="9"/>
      <c r="G802" s="9"/>
      <c r="H802" s="9"/>
      <c r="I802" s="9"/>
      <c r="J802" s="9"/>
      <c r="K802" s="9"/>
      <c r="L802" s="9"/>
      <c r="M802" s="223"/>
      <c r="N802" s="9"/>
      <c r="O802" s="9"/>
      <c r="P802" s="9"/>
      <c r="Q802" s="9"/>
      <c r="R802" s="9"/>
      <c r="S802" s="223"/>
      <c r="T802" s="223"/>
      <c r="U802" s="223"/>
      <c r="V802" s="9"/>
      <c r="W802" s="9"/>
      <c r="X802" s="9"/>
      <c r="Y802" s="204"/>
      <c r="Z802" s="9"/>
      <c r="AA802" s="9"/>
      <c r="AB802" s="9"/>
      <c r="AC802" s="9"/>
    </row>
    <row r="803" ht="15.75" customHeight="1">
      <c r="A803" s="9"/>
      <c r="B803" s="9"/>
      <c r="C803" s="9"/>
      <c r="D803" s="9"/>
      <c r="E803" s="9"/>
      <c r="F803" s="9"/>
      <c r="G803" s="9"/>
      <c r="H803" s="9"/>
      <c r="I803" s="9"/>
      <c r="J803" s="9"/>
      <c r="K803" s="9"/>
      <c r="L803" s="9"/>
      <c r="M803" s="223"/>
      <c r="N803" s="9"/>
      <c r="O803" s="9"/>
      <c r="P803" s="9"/>
      <c r="Q803" s="9"/>
      <c r="R803" s="9"/>
      <c r="S803" s="223"/>
      <c r="T803" s="223"/>
      <c r="U803" s="223"/>
      <c r="V803" s="9"/>
      <c r="W803" s="9"/>
      <c r="X803" s="9"/>
      <c r="Y803" s="204"/>
      <c r="Z803" s="9"/>
      <c r="AA803" s="9"/>
      <c r="AB803" s="9"/>
      <c r="AC803" s="9"/>
    </row>
    <row r="804" ht="15.75" customHeight="1">
      <c r="A804" s="9"/>
      <c r="B804" s="9"/>
      <c r="C804" s="9"/>
      <c r="D804" s="9"/>
      <c r="E804" s="9"/>
      <c r="F804" s="9"/>
      <c r="G804" s="9"/>
      <c r="H804" s="9"/>
      <c r="I804" s="9"/>
      <c r="J804" s="9"/>
      <c r="K804" s="9"/>
      <c r="L804" s="9"/>
      <c r="M804" s="223"/>
      <c r="N804" s="9"/>
      <c r="O804" s="9"/>
      <c r="P804" s="9"/>
      <c r="Q804" s="9"/>
      <c r="R804" s="9"/>
      <c r="S804" s="223"/>
      <c r="T804" s="223"/>
      <c r="U804" s="223"/>
      <c r="V804" s="9"/>
      <c r="W804" s="9"/>
      <c r="X804" s="9"/>
      <c r="Y804" s="204"/>
      <c r="Z804" s="9"/>
      <c r="AA804" s="9"/>
      <c r="AB804" s="9"/>
      <c r="AC804" s="9"/>
    </row>
    <row r="805" ht="15.75" customHeight="1">
      <c r="A805" s="9"/>
      <c r="B805" s="9"/>
      <c r="C805" s="9"/>
      <c r="D805" s="9"/>
      <c r="E805" s="9"/>
      <c r="F805" s="9"/>
      <c r="G805" s="9"/>
      <c r="H805" s="9"/>
      <c r="I805" s="9"/>
      <c r="J805" s="9"/>
      <c r="K805" s="9"/>
      <c r="L805" s="9"/>
      <c r="M805" s="223"/>
      <c r="N805" s="9"/>
      <c r="O805" s="9"/>
      <c r="P805" s="9"/>
      <c r="Q805" s="9"/>
      <c r="R805" s="9"/>
      <c r="S805" s="223"/>
      <c r="T805" s="223"/>
      <c r="U805" s="223"/>
      <c r="V805" s="9"/>
      <c r="W805" s="9"/>
      <c r="X805" s="9"/>
      <c r="Y805" s="204"/>
      <c r="Z805" s="9"/>
      <c r="AA805" s="9"/>
      <c r="AB805" s="9"/>
      <c r="AC805" s="9"/>
    </row>
    <row r="806" ht="15.75" customHeight="1">
      <c r="A806" s="9"/>
      <c r="B806" s="9"/>
      <c r="C806" s="9"/>
      <c r="D806" s="9"/>
      <c r="E806" s="9"/>
      <c r="F806" s="9"/>
      <c r="G806" s="9"/>
      <c r="H806" s="9"/>
      <c r="I806" s="9"/>
      <c r="J806" s="9"/>
      <c r="K806" s="9"/>
      <c r="L806" s="9"/>
      <c r="M806" s="223"/>
      <c r="N806" s="9"/>
      <c r="O806" s="9"/>
      <c r="P806" s="9"/>
      <c r="Q806" s="9"/>
      <c r="R806" s="9"/>
      <c r="S806" s="223"/>
      <c r="T806" s="223"/>
      <c r="U806" s="223"/>
      <c r="V806" s="9"/>
      <c r="W806" s="9"/>
      <c r="X806" s="9"/>
      <c r="Y806" s="204"/>
      <c r="Z806" s="9"/>
      <c r="AA806" s="9"/>
      <c r="AB806" s="9"/>
      <c r="AC806" s="9"/>
    </row>
    <row r="807" ht="15.75" customHeight="1">
      <c r="A807" s="9"/>
      <c r="B807" s="9"/>
      <c r="C807" s="9"/>
      <c r="D807" s="9"/>
      <c r="E807" s="9"/>
      <c r="F807" s="9"/>
      <c r="G807" s="9"/>
      <c r="H807" s="9"/>
      <c r="I807" s="9"/>
      <c r="J807" s="9"/>
      <c r="K807" s="9"/>
      <c r="L807" s="9"/>
      <c r="M807" s="223"/>
      <c r="N807" s="9"/>
      <c r="O807" s="9"/>
      <c r="P807" s="9"/>
      <c r="Q807" s="9"/>
      <c r="R807" s="9"/>
      <c r="S807" s="223"/>
      <c r="T807" s="223"/>
      <c r="U807" s="223"/>
      <c r="V807" s="9"/>
      <c r="W807" s="9"/>
      <c r="X807" s="9"/>
      <c r="Y807" s="204"/>
      <c r="Z807" s="9"/>
      <c r="AA807" s="9"/>
      <c r="AB807" s="9"/>
      <c r="AC807" s="9"/>
    </row>
    <row r="808" ht="15.75" customHeight="1">
      <c r="A808" s="9"/>
      <c r="B808" s="9"/>
      <c r="C808" s="9"/>
      <c r="D808" s="9"/>
      <c r="E808" s="9"/>
      <c r="F808" s="9"/>
      <c r="G808" s="9"/>
      <c r="H808" s="9"/>
      <c r="I808" s="9"/>
      <c r="J808" s="9"/>
      <c r="K808" s="9"/>
      <c r="L808" s="9"/>
      <c r="M808" s="223"/>
      <c r="N808" s="9"/>
      <c r="O808" s="9"/>
      <c r="P808" s="9"/>
      <c r="Q808" s="9"/>
      <c r="R808" s="9"/>
      <c r="S808" s="223"/>
      <c r="T808" s="223"/>
      <c r="U808" s="223"/>
      <c r="V808" s="9"/>
      <c r="W808" s="9"/>
      <c r="X808" s="9"/>
      <c r="Y808" s="204"/>
      <c r="Z808" s="9"/>
      <c r="AA808" s="9"/>
      <c r="AB808" s="9"/>
      <c r="AC808" s="9"/>
    </row>
    <row r="809" ht="15.75" customHeight="1">
      <c r="A809" s="9"/>
      <c r="B809" s="9"/>
      <c r="C809" s="9"/>
      <c r="D809" s="9"/>
      <c r="E809" s="9"/>
      <c r="F809" s="9"/>
      <c r="G809" s="9"/>
      <c r="H809" s="9"/>
      <c r="I809" s="9"/>
      <c r="J809" s="9"/>
      <c r="K809" s="9"/>
      <c r="L809" s="9"/>
      <c r="M809" s="223"/>
      <c r="N809" s="9"/>
      <c r="O809" s="9"/>
      <c r="P809" s="9"/>
      <c r="Q809" s="9"/>
      <c r="R809" s="9"/>
      <c r="S809" s="223"/>
      <c r="T809" s="223"/>
      <c r="U809" s="223"/>
      <c r="V809" s="9"/>
      <c r="W809" s="9"/>
      <c r="X809" s="9"/>
      <c r="Y809" s="204"/>
      <c r="Z809" s="9"/>
      <c r="AA809" s="9"/>
      <c r="AB809" s="9"/>
      <c r="AC809" s="9"/>
    </row>
    <row r="810" ht="15.75" customHeight="1">
      <c r="A810" s="9"/>
      <c r="B810" s="9"/>
      <c r="C810" s="9"/>
      <c r="D810" s="9"/>
      <c r="E810" s="9"/>
      <c r="F810" s="9"/>
      <c r="G810" s="9"/>
      <c r="H810" s="9"/>
      <c r="I810" s="9"/>
      <c r="J810" s="9"/>
      <c r="K810" s="9"/>
      <c r="L810" s="9"/>
      <c r="M810" s="223"/>
      <c r="N810" s="9"/>
      <c r="O810" s="9"/>
      <c r="P810" s="9"/>
      <c r="Q810" s="9"/>
      <c r="R810" s="9"/>
      <c r="S810" s="223"/>
      <c r="T810" s="223"/>
      <c r="U810" s="223"/>
      <c r="V810" s="9"/>
      <c r="W810" s="9"/>
      <c r="X810" s="9"/>
      <c r="Y810" s="204"/>
      <c r="Z810" s="9"/>
      <c r="AA810" s="9"/>
      <c r="AB810" s="9"/>
      <c r="AC810" s="9"/>
    </row>
    <row r="811" ht="15.75" customHeight="1">
      <c r="A811" s="9"/>
      <c r="B811" s="9"/>
      <c r="C811" s="9"/>
      <c r="D811" s="9"/>
      <c r="E811" s="9"/>
      <c r="F811" s="9"/>
      <c r="G811" s="9"/>
      <c r="H811" s="9"/>
      <c r="I811" s="9"/>
      <c r="J811" s="9"/>
      <c r="K811" s="9"/>
      <c r="L811" s="9"/>
      <c r="M811" s="223"/>
      <c r="N811" s="9"/>
      <c r="O811" s="9"/>
      <c r="P811" s="9"/>
      <c r="Q811" s="9"/>
      <c r="R811" s="9"/>
      <c r="S811" s="223"/>
      <c r="T811" s="223"/>
      <c r="U811" s="223"/>
      <c r="V811" s="9"/>
      <c r="W811" s="9"/>
      <c r="X811" s="9"/>
      <c r="Y811" s="204"/>
      <c r="Z811" s="9"/>
      <c r="AA811" s="9"/>
      <c r="AB811" s="9"/>
      <c r="AC811" s="9"/>
    </row>
    <row r="812" ht="15.75" customHeight="1">
      <c r="A812" s="9"/>
      <c r="B812" s="9"/>
      <c r="C812" s="9"/>
      <c r="D812" s="9"/>
      <c r="E812" s="9"/>
      <c r="F812" s="9"/>
      <c r="G812" s="9"/>
      <c r="H812" s="9"/>
      <c r="I812" s="9"/>
      <c r="J812" s="9"/>
      <c r="K812" s="9"/>
      <c r="L812" s="9"/>
      <c r="M812" s="223"/>
      <c r="N812" s="9"/>
      <c r="O812" s="9"/>
      <c r="P812" s="9"/>
      <c r="Q812" s="9"/>
      <c r="R812" s="9"/>
      <c r="S812" s="223"/>
      <c r="T812" s="223"/>
      <c r="U812" s="223"/>
      <c r="V812" s="9"/>
      <c r="W812" s="9"/>
      <c r="X812" s="9"/>
      <c r="Y812" s="204"/>
      <c r="Z812" s="9"/>
      <c r="AA812" s="9"/>
      <c r="AB812" s="9"/>
      <c r="AC812" s="9"/>
    </row>
    <row r="813" ht="15.75" customHeight="1">
      <c r="A813" s="9"/>
      <c r="B813" s="9"/>
      <c r="C813" s="9"/>
      <c r="D813" s="9"/>
      <c r="E813" s="9"/>
      <c r="F813" s="9"/>
      <c r="G813" s="9"/>
      <c r="H813" s="9"/>
      <c r="I813" s="9"/>
      <c r="J813" s="9"/>
      <c r="K813" s="9"/>
      <c r="L813" s="9"/>
      <c r="M813" s="223"/>
      <c r="N813" s="9"/>
      <c r="O813" s="9"/>
      <c r="P813" s="9"/>
      <c r="Q813" s="9"/>
      <c r="R813" s="9"/>
      <c r="S813" s="223"/>
      <c r="T813" s="223"/>
      <c r="U813" s="223"/>
      <c r="V813" s="9"/>
      <c r="W813" s="9"/>
      <c r="X813" s="9"/>
      <c r="Y813" s="204"/>
      <c r="Z813" s="9"/>
      <c r="AA813" s="9"/>
      <c r="AB813" s="9"/>
      <c r="AC813" s="9"/>
    </row>
    <row r="814" ht="15.75" customHeight="1">
      <c r="A814" s="9"/>
      <c r="B814" s="9"/>
      <c r="C814" s="9"/>
      <c r="D814" s="9"/>
      <c r="E814" s="9"/>
      <c r="F814" s="9"/>
      <c r="G814" s="9"/>
      <c r="H814" s="9"/>
      <c r="I814" s="9"/>
      <c r="J814" s="9"/>
      <c r="K814" s="9"/>
      <c r="L814" s="9"/>
      <c r="M814" s="223"/>
      <c r="N814" s="9"/>
      <c r="O814" s="9"/>
      <c r="P814" s="9"/>
      <c r="Q814" s="9"/>
      <c r="R814" s="9"/>
      <c r="S814" s="223"/>
      <c r="T814" s="223"/>
      <c r="U814" s="223"/>
      <c r="V814" s="9"/>
      <c r="W814" s="9"/>
      <c r="X814" s="9"/>
      <c r="Y814" s="204"/>
      <c r="Z814" s="9"/>
      <c r="AA814" s="9"/>
      <c r="AB814" s="9"/>
      <c r="AC814" s="9"/>
    </row>
    <row r="815" ht="15.75" customHeight="1">
      <c r="A815" s="9"/>
      <c r="B815" s="9"/>
      <c r="C815" s="9"/>
      <c r="D815" s="9"/>
      <c r="E815" s="9"/>
      <c r="F815" s="9"/>
      <c r="G815" s="9"/>
      <c r="H815" s="9"/>
      <c r="I815" s="9"/>
      <c r="J815" s="9"/>
      <c r="K815" s="9"/>
      <c r="L815" s="9"/>
      <c r="M815" s="223"/>
      <c r="N815" s="9"/>
      <c r="O815" s="9"/>
      <c r="P815" s="9"/>
      <c r="Q815" s="9"/>
      <c r="R815" s="9"/>
      <c r="S815" s="223"/>
      <c r="T815" s="223"/>
      <c r="U815" s="223"/>
      <c r="V815" s="9"/>
      <c r="W815" s="9"/>
      <c r="X815" s="9"/>
      <c r="Y815" s="204"/>
      <c r="Z815" s="9"/>
      <c r="AA815" s="9"/>
      <c r="AB815" s="9"/>
      <c r="AC815" s="9"/>
    </row>
    <row r="816" ht="15.75" customHeight="1">
      <c r="A816" s="9"/>
      <c r="B816" s="9"/>
      <c r="C816" s="9"/>
      <c r="D816" s="9"/>
      <c r="E816" s="9"/>
      <c r="F816" s="9"/>
      <c r="G816" s="9"/>
      <c r="H816" s="9"/>
      <c r="I816" s="9"/>
      <c r="J816" s="9"/>
      <c r="K816" s="9"/>
      <c r="L816" s="9"/>
      <c r="M816" s="223"/>
      <c r="N816" s="9"/>
      <c r="O816" s="9"/>
      <c r="P816" s="9"/>
      <c r="Q816" s="9"/>
      <c r="R816" s="9"/>
      <c r="S816" s="223"/>
      <c r="T816" s="223"/>
      <c r="U816" s="223"/>
      <c r="V816" s="9"/>
      <c r="W816" s="9"/>
      <c r="X816" s="9"/>
      <c r="Y816" s="204"/>
      <c r="Z816" s="9"/>
      <c r="AA816" s="9"/>
      <c r="AB816" s="9"/>
      <c r="AC816" s="9"/>
    </row>
    <row r="817" ht="15.75" customHeight="1">
      <c r="A817" s="9"/>
      <c r="B817" s="9"/>
      <c r="C817" s="9"/>
      <c r="D817" s="9"/>
      <c r="E817" s="9"/>
      <c r="F817" s="9"/>
      <c r="G817" s="9"/>
      <c r="H817" s="9"/>
      <c r="I817" s="9"/>
      <c r="J817" s="9"/>
      <c r="K817" s="9"/>
      <c r="L817" s="9"/>
      <c r="M817" s="223"/>
      <c r="N817" s="9"/>
      <c r="O817" s="9"/>
      <c r="P817" s="9"/>
      <c r="Q817" s="9"/>
      <c r="R817" s="9"/>
      <c r="S817" s="223"/>
      <c r="T817" s="223"/>
      <c r="U817" s="223"/>
      <c r="V817" s="9"/>
      <c r="W817" s="9"/>
      <c r="X817" s="9"/>
      <c r="Y817" s="204"/>
      <c r="Z817" s="9"/>
      <c r="AA817" s="9"/>
      <c r="AB817" s="9"/>
      <c r="AC817" s="9"/>
    </row>
    <row r="818" ht="15.75" customHeight="1">
      <c r="A818" s="9"/>
      <c r="B818" s="9"/>
      <c r="C818" s="9"/>
      <c r="D818" s="9"/>
      <c r="E818" s="9"/>
      <c r="F818" s="9"/>
      <c r="G818" s="9"/>
      <c r="H818" s="9"/>
      <c r="I818" s="9"/>
      <c r="J818" s="9"/>
      <c r="K818" s="9"/>
      <c r="L818" s="9"/>
      <c r="M818" s="223"/>
      <c r="N818" s="9"/>
      <c r="O818" s="9"/>
      <c r="P818" s="9"/>
      <c r="Q818" s="9"/>
      <c r="R818" s="9"/>
      <c r="S818" s="223"/>
      <c r="T818" s="223"/>
      <c r="U818" s="223"/>
      <c r="V818" s="9"/>
      <c r="W818" s="9"/>
      <c r="X818" s="9"/>
      <c r="Y818" s="204"/>
      <c r="Z818" s="9"/>
      <c r="AA818" s="9"/>
      <c r="AB818" s="9"/>
      <c r="AC818" s="9"/>
    </row>
    <row r="819" ht="15.75" customHeight="1">
      <c r="A819" s="9"/>
      <c r="B819" s="9"/>
      <c r="C819" s="9"/>
      <c r="D819" s="9"/>
      <c r="E819" s="9"/>
      <c r="F819" s="9"/>
      <c r="G819" s="9"/>
      <c r="H819" s="9"/>
      <c r="I819" s="9"/>
      <c r="J819" s="9"/>
      <c r="K819" s="9"/>
      <c r="L819" s="9"/>
      <c r="M819" s="223"/>
      <c r="N819" s="9"/>
      <c r="O819" s="9"/>
      <c r="P819" s="9"/>
      <c r="Q819" s="9"/>
      <c r="R819" s="9"/>
      <c r="S819" s="223"/>
      <c r="T819" s="223"/>
      <c r="U819" s="223"/>
      <c r="V819" s="9"/>
      <c r="W819" s="9"/>
      <c r="X819" s="9"/>
      <c r="Y819" s="204"/>
      <c r="Z819" s="9"/>
      <c r="AA819" s="9"/>
      <c r="AB819" s="9"/>
      <c r="AC819" s="9"/>
    </row>
    <row r="820" ht="15.75" customHeight="1">
      <c r="A820" s="9"/>
      <c r="B820" s="9"/>
      <c r="C820" s="9"/>
      <c r="D820" s="9"/>
      <c r="E820" s="9"/>
      <c r="F820" s="9"/>
      <c r="G820" s="9"/>
      <c r="H820" s="9"/>
      <c r="I820" s="9"/>
      <c r="J820" s="9"/>
      <c r="K820" s="9"/>
      <c r="L820" s="9"/>
      <c r="M820" s="223"/>
      <c r="N820" s="9"/>
      <c r="O820" s="9"/>
      <c r="P820" s="9"/>
      <c r="Q820" s="9"/>
      <c r="R820" s="9"/>
      <c r="S820" s="223"/>
      <c r="T820" s="223"/>
      <c r="U820" s="223"/>
      <c r="V820" s="9"/>
      <c r="W820" s="9"/>
      <c r="X820" s="9"/>
      <c r="Y820" s="204"/>
      <c r="Z820" s="9"/>
      <c r="AA820" s="9"/>
      <c r="AB820" s="9"/>
      <c r="AC820" s="9"/>
    </row>
    <row r="821" ht="15.75" customHeight="1">
      <c r="A821" s="9"/>
      <c r="B821" s="9"/>
      <c r="C821" s="9"/>
      <c r="D821" s="9"/>
      <c r="E821" s="9"/>
      <c r="F821" s="9"/>
      <c r="G821" s="9"/>
      <c r="H821" s="9"/>
      <c r="I821" s="9"/>
      <c r="J821" s="9"/>
      <c r="K821" s="9"/>
      <c r="L821" s="9"/>
      <c r="M821" s="223"/>
      <c r="N821" s="9"/>
      <c r="O821" s="9"/>
      <c r="P821" s="9"/>
      <c r="Q821" s="9"/>
      <c r="R821" s="9"/>
      <c r="S821" s="223"/>
      <c r="T821" s="223"/>
      <c r="U821" s="223"/>
      <c r="V821" s="9"/>
      <c r="W821" s="9"/>
      <c r="X821" s="9"/>
      <c r="Y821" s="204"/>
      <c r="Z821" s="9"/>
      <c r="AA821" s="9"/>
      <c r="AB821" s="9"/>
      <c r="AC821" s="9"/>
    </row>
    <row r="822" ht="15.75" customHeight="1">
      <c r="A822" s="9"/>
      <c r="B822" s="9"/>
      <c r="C822" s="9"/>
      <c r="D822" s="9"/>
      <c r="E822" s="9"/>
      <c r="F822" s="9"/>
      <c r="G822" s="9"/>
      <c r="H822" s="9"/>
      <c r="I822" s="9"/>
      <c r="J822" s="9"/>
      <c r="K822" s="9"/>
      <c r="L822" s="9"/>
      <c r="M822" s="223"/>
      <c r="N822" s="9"/>
      <c r="O822" s="9"/>
      <c r="P822" s="9"/>
      <c r="Q822" s="9"/>
      <c r="R822" s="9"/>
      <c r="S822" s="223"/>
      <c r="T822" s="223"/>
      <c r="U822" s="223"/>
      <c r="V822" s="9"/>
      <c r="W822" s="9"/>
      <c r="X822" s="9"/>
      <c r="Y822" s="204"/>
      <c r="Z822" s="9"/>
      <c r="AA822" s="9"/>
      <c r="AB822" s="9"/>
      <c r="AC822" s="9"/>
    </row>
    <row r="823" ht="15.75" customHeight="1">
      <c r="A823" s="9"/>
      <c r="B823" s="9"/>
      <c r="C823" s="9"/>
      <c r="D823" s="9"/>
      <c r="E823" s="9"/>
      <c r="F823" s="9"/>
      <c r="G823" s="9"/>
      <c r="H823" s="9"/>
      <c r="I823" s="9"/>
      <c r="J823" s="9"/>
      <c r="K823" s="9"/>
      <c r="L823" s="9"/>
      <c r="M823" s="223"/>
      <c r="N823" s="9"/>
      <c r="O823" s="9"/>
      <c r="P823" s="9"/>
      <c r="Q823" s="9"/>
      <c r="R823" s="9"/>
      <c r="S823" s="223"/>
      <c r="T823" s="223"/>
      <c r="U823" s="223"/>
      <c r="V823" s="9"/>
      <c r="W823" s="9"/>
      <c r="X823" s="9"/>
      <c r="Y823" s="204"/>
      <c r="Z823" s="9"/>
      <c r="AA823" s="9"/>
      <c r="AB823" s="9"/>
      <c r="AC823" s="9"/>
    </row>
    <row r="824" ht="15.75" customHeight="1">
      <c r="A824" s="9"/>
      <c r="B824" s="9"/>
      <c r="C824" s="9"/>
      <c r="D824" s="9"/>
      <c r="E824" s="9"/>
      <c r="F824" s="9"/>
      <c r="G824" s="9"/>
      <c r="H824" s="9"/>
      <c r="I824" s="9"/>
      <c r="J824" s="9"/>
      <c r="K824" s="9"/>
      <c r="L824" s="9"/>
      <c r="M824" s="223"/>
      <c r="N824" s="9"/>
      <c r="O824" s="9"/>
      <c r="P824" s="9"/>
      <c r="Q824" s="9"/>
      <c r="R824" s="9"/>
      <c r="S824" s="223"/>
      <c r="T824" s="223"/>
      <c r="U824" s="223"/>
      <c r="V824" s="9"/>
      <c r="W824" s="9"/>
      <c r="X824" s="9"/>
      <c r="Y824" s="204"/>
      <c r="Z824" s="9"/>
      <c r="AA824" s="9"/>
      <c r="AB824" s="9"/>
      <c r="AC824" s="9"/>
    </row>
    <row r="825" ht="15.75" customHeight="1">
      <c r="A825" s="9"/>
      <c r="B825" s="9"/>
      <c r="C825" s="9"/>
      <c r="D825" s="9"/>
      <c r="E825" s="9"/>
      <c r="F825" s="9"/>
      <c r="G825" s="9"/>
      <c r="H825" s="9"/>
      <c r="I825" s="9"/>
      <c r="J825" s="9"/>
      <c r="K825" s="9"/>
      <c r="L825" s="9"/>
      <c r="M825" s="223"/>
      <c r="N825" s="9"/>
      <c r="O825" s="9"/>
      <c r="P825" s="9"/>
      <c r="Q825" s="9"/>
      <c r="R825" s="9"/>
      <c r="S825" s="223"/>
      <c r="T825" s="223"/>
      <c r="U825" s="223"/>
      <c r="V825" s="9"/>
      <c r="W825" s="9"/>
      <c r="X825" s="9"/>
      <c r="Y825" s="204"/>
      <c r="Z825" s="9"/>
      <c r="AA825" s="9"/>
      <c r="AB825" s="9"/>
      <c r="AC825" s="9"/>
    </row>
    <row r="826" ht="15.75" customHeight="1">
      <c r="A826" s="9"/>
      <c r="B826" s="9"/>
      <c r="C826" s="9"/>
      <c r="D826" s="9"/>
      <c r="E826" s="9"/>
      <c r="F826" s="9"/>
      <c r="G826" s="9"/>
      <c r="H826" s="9"/>
      <c r="I826" s="9"/>
      <c r="J826" s="9"/>
      <c r="K826" s="9"/>
      <c r="L826" s="9"/>
      <c r="M826" s="223"/>
      <c r="N826" s="9"/>
      <c r="O826" s="9"/>
      <c r="P826" s="9"/>
      <c r="Q826" s="9"/>
      <c r="R826" s="9"/>
      <c r="S826" s="223"/>
      <c r="T826" s="223"/>
      <c r="U826" s="223"/>
      <c r="V826" s="9"/>
      <c r="W826" s="9"/>
      <c r="X826" s="9"/>
      <c r="Y826" s="204"/>
      <c r="Z826" s="9"/>
      <c r="AA826" s="9"/>
      <c r="AB826" s="9"/>
      <c r="AC826" s="9"/>
    </row>
    <row r="827" ht="15.75" customHeight="1">
      <c r="A827" s="9"/>
      <c r="B827" s="9"/>
      <c r="C827" s="9"/>
      <c r="D827" s="9"/>
      <c r="E827" s="9"/>
      <c r="F827" s="9"/>
      <c r="G827" s="9"/>
      <c r="H827" s="9"/>
      <c r="I827" s="9"/>
      <c r="J827" s="9"/>
      <c r="K827" s="9"/>
      <c r="L827" s="9"/>
      <c r="M827" s="223"/>
      <c r="N827" s="9"/>
      <c r="O827" s="9"/>
      <c r="P827" s="9"/>
      <c r="Q827" s="9"/>
      <c r="R827" s="9"/>
      <c r="S827" s="223"/>
      <c r="T827" s="223"/>
      <c r="U827" s="223"/>
      <c r="V827" s="9"/>
      <c r="W827" s="9"/>
      <c r="X827" s="9"/>
      <c r="Y827" s="204"/>
      <c r="Z827" s="9"/>
      <c r="AA827" s="9"/>
      <c r="AB827" s="9"/>
      <c r="AC827" s="9"/>
    </row>
    <row r="828" ht="15.75" customHeight="1">
      <c r="A828" s="9"/>
      <c r="B828" s="9"/>
      <c r="C828" s="9"/>
      <c r="D828" s="9"/>
      <c r="E828" s="9"/>
      <c r="F828" s="9"/>
      <c r="G828" s="9"/>
      <c r="H828" s="9"/>
      <c r="I828" s="9"/>
      <c r="J828" s="9"/>
      <c r="K828" s="9"/>
      <c r="L828" s="9"/>
      <c r="M828" s="223"/>
      <c r="N828" s="9"/>
      <c r="O828" s="9"/>
      <c r="P828" s="9"/>
      <c r="Q828" s="9"/>
      <c r="R828" s="9"/>
      <c r="S828" s="223"/>
      <c r="T828" s="223"/>
      <c r="U828" s="223"/>
      <c r="V828" s="9"/>
      <c r="W828" s="9"/>
      <c r="X828" s="9"/>
      <c r="Y828" s="204"/>
      <c r="Z828" s="9"/>
      <c r="AA828" s="9"/>
      <c r="AB828" s="9"/>
      <c r="AC828" s="9"/>
    </row>
    <row r="829" ht="15.75" customHeight="1">
      <c r="A829" s="9"/>
      <c r="B829" s="9"/>
      <c r="C829" s="9"/>
      <c r="D829" s="9"/>
      <c r="E829" s="9"/>
      <c r="F829" s="9"/>
      <c r="G829" s="9"/>
      <c r="H829" s="9"/>
      <c r="I829" s="9"/>
      <c r="J829" s="9"/>
      <c r="K829" s="9"/>
      <c r="L829" s="9"/>
      <c r="M829" s="223"/>
      <c r="N829" s="9"/>
      <c r="O829" s="9"/>
      <c r="P829" s="9"/>
      <c r="Q829" s="9"/>
      <c r="R829" s="9"/>
      <c r="S829" s="223"/>
      <c r="T829" s="223"/>
      <c r="U829" s="223"/>
      <c r="V829" s="9"/>
      <c r="W829" s="9"/>
      <c r="X829" s="9"/>
      <c r="Y829" s="204"/>
      <c r="Z829" s="9"/>
      <c r="AA829" s="9"/>
      <c r="AB829" s="9"/>
      <c r="AC829" s="9"/>
    </row>
    <row r="830" ht="15.75" customHeight="1">
      <c r="A830" s="9"/>
      <c r="B830" s="9"/>
      <c r="C830" s="9"/>
      <c r="D830" s="9"/>
      <c r="E830" s="9"/>
      <c r="F830" s="9"/>
      <c r="G830" s="9"/>
      <c r="H830" s="9"/>
      <c r="I830" s="9"/>
      <c r="J830" s="9"/>
      <c r="K830" s="9"/>
      <c r="L830" s="9"/>
      <c r="M830" s="223"/>
      <c r="N830" s="9"/>
      <c r="O830" s="9"/>
      <c r="P830" s="9"/>
      <c r="Q830" s="9"/>
      <c r="R830" s="9"/>
      <c r="S830" s="223"/>
      <c r="T830" s="223"/>
      <c r="U830" s="223"/>
      <c r="V830" s="9"/>
      <c r="W830" s="9"/>
      <c r="X830" s="9"/>
      <c r="Y830" s="204"/>
      <c r="Z830" s="9"/>
      <c r="AA830" s="9"/>
      <c r="AB830" s="9"/>
      <c r="AC830" s="9"/>
    </row>
    <row r="831" ht="15.75" customHeight="1">
      <c r="A831" s="9"/>
      <c r="B831" s="9"/>
      <c r="C831" s="9"/>
      <c r="D831" s="9"/>
      <c r="E831" s="9"/>
      <c r="F831" s="9"/>
      <c r="G831" s="9"/>
      <c r="H831" s="9"/>
      <c r="I831" s="9"/>
      <c r="J831" s="9"/>
      <c r="K831" s="9"/>
      <c r="L831" s="9"/>
      <c r="M831" s="223"/>
      <c r="N831" s="9"/>
      <c r="O831" s="9"/>
      <c r="P831" s="9"/>
      <c r="Q831" s="9"/>
      <c r="R831" s="9"/>
      <c r="S831" s="223"/>
      <c r="T831" s="223"/>
      <c r="U831" s="223"/>
      <c r="V831" s="9"/>
      <c r="W831" s="9"/>
      <c r="X831" s="9"/>
      <c r="Y831" s="204"/>
      <c r="Z831" s="9"/>
      <c r="AA831" s="9"/>
      <c r="AB831" s="9"/>
      <c r="AC831" s="9"/>
    </row>
    <row r="832" ht="15.75" customHeight="1">
      <c r="A832" s="9"/>
      <c r="B832" s="9"/>
      <c r="C832" s="9"/>
      <c r="D832" s="9"/>
      <c r="E832" s="9"/>
      <c r="F832" s="9"/>
      <c r="G832" s="9"/>
      <c r="H832" s="9"/>
      <c r="I832" s="9"/>
      <c r="J832" s="9"/>
      <c r="K832" s="9"/>
      <c r="L832" s="9"/>
      <c r="M832" s="223"/>
      <c r="N832" s="9"/>
      <c r="O832" s="9"/>
      <c r="P832" s="9"/>
      <c r="Q832" s="9"/>
      <c r="R832" s="9"/>
      <c r="S832" s="223"/>
      <c r="T832" s="223"/>
      <c r="U832" s="223"/>
      <c r="V832" s="9"/>
      <c r="W832" s="9"/>
      <c r="X832" s="9"/>
      <c r="Y832" s="204"/>
      <c r="Z832" s="9"/>
      <c r="AA832" s="9"/>
      <c r="AB832" s="9"/>
      <c r="AC832" s="9"/>
    </row>
    <row r="833" ht="15.75" customHeight="1">
      <c r="A833" s="9"/>
      <c r="B833" s="9"/>
      <c r="C833" s="9"/>
      <c r="D833" s="9"/>
      <c r="E833" s="9"/>
      <c r="F833" s="9"/>
      <c r="G833" s="9"/>
      <c r="H833" s="9"/>
      <c r="I833" s="9"/>
      <c r="J833" s="9"/>
      <c r="K833" s="9"/>
      <c r="L833" s="9"/>
      <c r="M833" s="223"/>
      <c r="N833" s="9"/>
      <c r="O833" s="9"/>
      <c r="P833" s="9"/>
      <c r="Q833" s="9"/>
      <c r="R833" s="9"/>
      <c r="S833" s="223"/>
      <c r="T833" s="223"/>
      <c r="U833" s="223"/>
      <c r="V833" s="9"/>
      <c r="W833" s="9"/>
      <c r="X833" s="9"/>
      <c r="Y833" s="204"/>
      <c r="Z833" s="9"/>
      <c r="AA833" s="9"/>
      <c r="AB833" s="9"/>
      <c r="AC833" s="9"/>
    </row>
    <row r="834" ht="15.75" customHeight="1">
      <c r="A834" s="9"/>
      <c r="B834" s="9"/>
      <c r="C834" s="9"/>
      <c r="D834" s="9"/>
      <c r="E834" s="9"/>
      <c r="F834" s="9"/>
      <c r="G834" s="9"/>
      <c r="H834" s="9"/>
      <c r="I834" s="9"/>
      <c r="J834" s="9"/>
      <c r="K834" s="9"/>
      <c r="L834" s="9"/>
      <c r="M834" s="223"/>
      <c r="N834" s="9"/>
      <c r="O834" s="9"/>
      <c r="P834" s="9"/>
      <c r="Q834" s="9"/>
      <c r="R834" s="9"/>
      <c r="S834" s="223"/>
      <c r="T834" s="223"/>
      <c r="U834" s="223"/>
      <c r="V834" s="9"/>
      <c r="W834" s="9"/>
      <c r="X834" s="9"/>
      <c r="Y834" s="204"/>
      <c r="Z834" s="9"/>
      <c r="AA834" s="9"/>
      <c r="AB834" s="9"/>
      <c r="AC834" s="9"/>
    </row>
    <row r="835" ht="15.75" customHeight="1">
      <c r="A835" s="9"/>
      <c r="B835" s="9"/>
      <c r="C835" s="9"/>
      <c r="D835" s="9"/>
      <c r="E835" s="9"/>
      <c r="F835" s="9"/>
      <c r="G835" s="9"/>
      <c r="H835" s="9"/>
      <c r="I835" s="9"/>
      <c r="J835" s="9"/>
      <c r="K835" s="9"/>
      <c r="L835" s="9"/>
      <c r="M835" s="223"/>
      <c r="N835" s="9"/>
      <c r="O835" s="9"/>
      <c r="P835" s="9"/>
      <c r="Q835" s="9"/>
      <c r="R835" s="9"/>
      <c r="S835" s="223"/>
      <c r="T835" s="223"/>
      <c r="U835" s="223"/>
      <c r="V835" s="9"/>
      <c r="W835" s="9"/>
      <c r="X835" s="9"/>
      <c r="Y835" s="204"/>
      <c r="Z835" s="9"/>
      <c r="AA835" s="9"/>
      <c r="AB835" s="9"/>
      <c r="AC835" s="9"/>
    </row>
    <row r="836" ht="15.75" customHeight="1">
      <c r="A836" s="9"/>
      <c r="B836" s="9"/>
      <c r="C836" s="9"/>
      <c r="D836" s="9"/>
      <c r="E836" s="9"/>
      <c r="F836" s="9"/>
      <c r="G836" s="9"/>
      <c r="H836" s="9"/>
      <c r="I836" s="9"/>
      <c r="J836" s="9"/>
      <c r="K836" s="9"/>
      <c r="L836" s="9"/>
      <c r="M836" s="223"/>
      <c r="N836" s="9"/>
      <c r="O836" s="9"/>
      <c r="P836" s="9"/>
      <c r="Q836" s="9"/>
      <c r="R836" s="9"/>
      <c r="S836" s="223"/>
      <c r="T836" s="223"/>
      <c r="U836" s="223"/>
      <c r="V836" s="9"/>
      <c r="W836" s="9"/>
      <c r="X836" s="9"/>
      <c r="Y836" s="204"/>
      <c r="Z836" s="9"/>
      <c r="AA836" s="9"/>
      <c r="AB836" s="9"/>
      <c r="AC836" s="9"/>
    </row>
    <row r="837" ht="15.75" customHeight="1">
      <c r="A837" s="9"/>
      <c r="B837" s="9"/>
      <c r="C837" s="9"/>
      <c r="D837" s="9"/>
      <c r="E837" s="9"/>
      <c r="F837" s="9"/>
      <c r="G837" s="9"/>
      <c r="H837" s="9"/>
      <c r="I837" s="9"/>
      <c r="J837" s="9"/>
      <c r="K837" s="9"/>
      <c r="L837" s="9"/>
      <c r="M837" s="223"/>
      <c r="N837" s="9"/>
      <c r="O837" s="9"/>
      <c r="P837" s="9"/>
      <c r="Q837" s="9"/>
      <c r="R837" s="9"/>
      <c r="S837" s="223"/>
      <c r="T837" s="223"/>
      <c r="U837" s="223"/>
      <c r="V837" s="9"/>
      <c r="W837" s="9"/>
      <c r="X837" s="9"/>
      <c r="Y837" s="204"/>
      <c r="Z837" s="9"/>
      <c r="AA837" s="9"/>
      <c r="AB837" s="9"/>
      <c r="AC837" s="9"/>
    </row>
    <row r="838" ht="15.75" customHeight="1">
      <c r="A838" s="9"/>
      <c r="B838" s="9"/>
      <c r="C838" s="9"/>
      <c r="D838" s="9"/>
      <c r="E838" s="9"/>
      <c r="F838" s="9"/>
      <c r="G838" s="9"/>
      <c r="H838" s="9"/>
      <c r="I838" s="9"/>
      <c r="J838" s="9"/>
      <c r="K838" s="9"/>
      <c r="L838" s="9"/>
      <c r="M838" s="223"/>
      <c r="N838" s="9"/>
      <c r="O838" s="9"/>
      <c r="P838" s="9"/>
      <c r="Q838" s="9"/>
      <c r="R838" s="9"/>
      <c r="S838" s="223"/>
      <c r="T838" s="223"/>
      <c r="U838" s="223"/>
      <c r="V838" s="9"/>
      <c r="W838" s="9"/>
      <c r="X838" s="9"/>
      <c r="Y838" s="204"/>
      <c r="Z838" s="9"/>
      <c r="AA838" s="9"/>
      <c r="AB838" s="9"/>
      <c r="AC838" s="9"/>
    </row>
    <row r="839" ht="15.75" customHeight="1">
      <c r="A839" s="9"/>
      <c r="B839" s="9"/>
      <c r="C839" s="9"/>
      <c r="D839" s="9"/>
      <c r="E839" s="9"/>
      <c r="F839" s="9"/>
      <c r="G839" s="9"/>
      <c r="H839" s="9"/>
      <c r="I839" s="9"/>
      <c r="J839" s="9"/>
      <c r="K839" s="9"/>
      <c r="L839" s="9"/>
      <c r="M839" s="223"/>
      <c r="N839" s="9"/>
      <c r="O839" s="9"/>
      <c r="P839" s="9"/>
      <c r="Q839" s="9"/>
      <c r="R839" s="9"/>
      <c r="S839" s="223"/>
      <c r="T839" s="223"/>
      <c r="U839" s="223"/>
      <c r="V839" s="9"/>
      <c r="W839" s="9"/>
      <c r="X839" s="9"/>
      <c r="Y839" s="204"/>
      <c r="Z839" s="9"/>
      <c r="AA839" s="9"/>
      <c r="AB839" s="9"/>
      <c r="AC839" s="9"/>
    </row>
    <row r="840" ht="15.75" customHeight="1">
      <c r="A840" s="9"/>
      <c r="B840" s="9"/>
      <c r="C840" s="9"/>
      <c r="D840" s="9"/>
      <c r="E840" s="9"/>
      <c r="F840" s="9"/>
      <c r="G840" s="9"/>
      <c r="H840" s="9"/>
      <c r="I840" s="9"/>
      <c r="J840" s="9"/>
      <c r="K840" s="9"/>
      <c r="L840" s="9"/>
      <c r="M840" s="223"/>
      <c r="N840" s="9"/>
      <c r="O840" s="9"/>
      <c r="P840" s="9"/>
      <c r="Q840" s="9"/>
      <c r="R840" s="9"/>
      <c r="S840" s="223"/>
      <c r="T840" s="223"/>
      <c r="U840" s="223"/>
      <c r="V840" s="9"/>
      <c r="W840" s="9"/>
      <c r="X840" s="9"/>
      <c r="Y840" s="204"/>
      <c r="Z840" s="9"/>
      <c r="AA840" s="9"/>
      <c r="AB840" s="9"/>
      <c r="AC840" s="9"/>
    </row>
    <row r="841" ht="15.75" customHeight="1">
      <c r="A841" s="9"/>
      <c r="B841" s="9"/>
      <c r="C841" s="9"/>
      <c r="D841" s="9"/>
      <c r="E841" s="9"/>
      <c r="F841" s="9"/>
      <c r="G841" s="9"/>
      <c r="H841" s="9"/>
      <c r="I841" s="9"/>
      <c r="J841" s="9"/>
      <c r="K841" s="9"/>
      <c r="L841" s="9"/>
      <c r="M841" s="223"/>
      <c r="N841" s="9"/>
      <c r="O841" s="9"/>
      <c r="P841" s="9"/>
      <c r="Q841" s="9"/>
      <c r="R841" s="9"/>
      <c r="S841" s="223"/>
      <c r="T841" s="223"/>
      <c r="U841" s="223"/>
      <c r="V841" s="9"/>
      <c r="W841" s="9"/>
      <c r="X841" s="9"/>
      <c r="Y841" s="204"/>
      <c r="Z841" s="9"/>
      <c r="AA841" s="9"/>
      <c r="AB841" s="9"/>
      <c r="AC841" s="9"/>
    </row>
    <row r="842" ht="15.75" customHeight="1">
      <c r="A842" s="9"/>
      <c r="B842" s="9"/>
      <c r="C842" s="9"/>
      <c r="D842" s="9"/>
      <c r="E842" s="9"/>
      <c r="F842" s="9"/>
      <c r="G842" s="9"/>
      <c r="H842" s="9"/>
      <c r="I842" s="9"/>
      <c r="J842" s="9"/>
      <c r="K842" s="9"/>
      <c r="L842" s="9"/>
      <c r="M842" s="223"/>
      <c r="N842" s="9"/>
      <c r="O842" s="9"/>
      <c r="P842" s="9"/>
      <c r="Q842" s="9"/>
      <c r="R842" s="9"/>
      <c r="S842" s="223"/>
      <c r="T842" s="223"/>
      <c r="U842" s="223"/>
      <c r="V842" s="9"/>
      <c r="W842" s="9"/>
      <c r="X842" s="9"/>
      <c r="Y842" s="204"/>
      <c r="Z842" s="9"/>
      <c r="AA842" s="9"/>
      <c r="AB842" s="9"/>
      <c r="AC842" s="9"/>
    </row>
    <row r="843" ht="15.75" customHeight="1">
      <c r="A843" s="9"/>
      <c r="B843" s="9"/>
      <c r="C843" s="9"/>
      <c r="D843" s="9"/>
      <c r="E843" s="9"/>
      <c r="F843" s="9"/>
      <c r="G843" s="9"/>
      <c r="H843" s="9"/>
      <c r="I843" s="9"/>
      <c r="J843" s="9"/>
      <c r="K843" s="9"/>
      <c r="L843" s="9"/>
      <c r="M843" s="223"/>
      <c r="N843" s="9"/>
      <c r="O843" s="9"/>
      <c r="P843" s="9"/>
      <c r="Q843" s="9"/>
      <c r="R843" s="9"/>
      <c r="S843" s="223"/>
      <c r="T843" s="223"/>
      <c r="U843" s="223"/>
      <c r="V843" s="9"/>
      <c r="W843" s="9"/>
      <c r="X843" s="9"/>
      <c r="Y843" s="204"/>
      <c r="Z843" s="9"/>
      <c r="AA843" s="9"/>
      <c r="AB843" s="9"/>
      <c r="AC843" s="9"/>
    </row>
    <row r="844" ht="15.75" customHeight="1">
      <c r="A844" s="9"/>
      <c r="B844" s="9"/>
      <c r="C844" s="9"/>
      <c r="D844" s="9"/>
      <c r="E844" s="9"/>
      <c r="F844" s="9"/>
      <c r="G844" s="9"/>
      <c r="H844" s="9"/>
      <c r="I844" s="9"/>
      <c r="J844" s="9"/>
      <c r="K844" s="9"/>
      <c r="L844" s="9"/>
      <c r="M844" s="223"/>
      <c r="N844" s="9"/>
      <c r="O844" s="9"/>
      <c r="P844" s="9"/>
      <c r="Q844" s="9"/>
      <c r="R844" s="9"/>
      <c r="S844" s="223"/>
      <c r="T844" s="223"/>
      <c r="U844" s="223"/>
      <c r="V844" s="9"/>
      <c r="W844" s="9"/>
      <c r="X844" s="9"/>
      <c r="Y844" s="204"/>
      <c r="Z844" s="9"/>
      <c r="AA844" s="9"/>
      <c r="AB844" s="9"/>
      <c r="AC844" s="9"/>
    </row>
    <row r="845" ht="15.75" customHeight="1">
      <c r="A845" s="9"/>
      <c r="B845" s="9"/>
      <c r="C845" s="9"/>
      <c r="D845" s="9"/>
      <c r="E845" s="9"/>
      <c r="F845" s="9"/>
      <c r="G845" s="9"/>
      <c r="H845" s="9"/>
      <c r="I845" s="9"/>
      <c r="J845" s="9"/>
      <c r="K845" s="9"/>
      <c r="L845" s="9"/>
      <c r="M845" s="223"/>
      <c r="N845" s="9"/>
      <c r="O845" s="9"/>
      <c r="P845" s="9"/>
      <c r="Q845" s="9"/>
      <c r="R845" s="9"/>
      <c r="S845" s="223"/>
      <c r="T845" s="223"/>
      <c r="U845" s="223"/>
      <c r="V845" s="9"/>
      <c r="W845" s="9"/>
      <c r="X845" s="9"/>
      <c r="Y845" s="204"/>
      <c r="Z845" s="9"/>
      <c r="AA845" s="9"/>
      <c r="AB845" s="9"/>
      <c r="AC845" s="9"/>
    </row>
    <row r="846" ht="15.75" customHeight="1">
      <c r="A846" s="9"/>
      <c r="B846" s="9"/>
      <c r="C846" s="9"/>
      <c r="D846" s="9"/>
      <c r="E846" s="9"/>
      <c r="F846" s="9"/>
      <c r="G846" s="9"/>
      <c r="H846" s="9"/>
      <c r="I846" s="9"/>
      <c r="J846" s="9"/>
      <c r="K846" s="9"/>
      <c r="L846" s="9"/>
      <c r="M846" s="223"/>
      <c r="N846" s="9"/>
      <c r="O846" s="9"/>
      <c r="P846" s="9"/>
      <c r="Q846" s="9"/>
      <c r="R846" s="9"/>
      <c r="S846" s="223"/>
      <c r="T846" s="223"/>
      <c r="U846" s="223"/>
      <c r="V846" s="9"/>
      <c r="W846" s="9"/>
      <c r="X846" s="9"/>
      <c r="Y846" s="204"/>
      <c r="Z846" s="9"/>
      <c r="AA846" s="9"/>
      <c r="AB846" s="9"/>
      <c r="AC846" s="9"/>
    </row>
    <row r="847" ht="15.75" customHeight="1">
      <c r="A847" s="9"/>
      <c r="B847" s="9"/>
      <c r="C847" s="9"/>
      <c r="D847" s="9"/>
      <c r="E847" s="9"/>
      <c r="F847" s="9"/>
      <c r="G847" s="9"/>
      <c r="H847" s="9"/>
      <c r="I847" s="9"/>
      <c r="J847" s="9"/>
      <c r="K847" s="9"/>
      <c r="L847" s="9"/>
      <c r="M847" s="223"/>
      <c r="N847" s="9"/>
      <c r="O847" s="9"/>
      <c r="P847" s="9"/>
      <c r="Q847" s="9"/>
      <c r="R847" s="9"/>
      <c r="S847" s="223"/>
      <c r="T847" s="223"/>
      <c r="U847" s="223"/>
      <c r="V847" s="9"/>
      <c r="W847" s="9"/>
      <c r="X847" s="9"/>
      <c r="Y847" s="204"/>
      <c r="Z847" s="9"/>
      <c r="AA847" s="9"/>
      <c r="AB847" s="9"/>
      <c r="AC847" s="9"/>
    </row>
    <row r="848" ht="15.75" customHeight="1">
      <c r="A848" s="9"/>
      <c r="B848" s="9"/>
      <c r="C848" s="9"/>
      <c r="D848" s="9"/>
      <c r="E848" s="9"/>
      <c r="F848" s="9"/>
      <c r="G848" s="9"/>
      <c r="H848" s="9"/>
      <c r="I848" s="9"/>
      <c r="J848" s="9"/>
      <c r="K848" s="9"/>
      <c r="L848" s="9"/>
      <c r="M848" s="223"/>
      <c r="N848" s="9"/>
      <c r="O848" s="9"/>
      <c r="P848" s="9"/>
      <c r="Q848" s="9"/>
      <c r="R848" s="9"/>
      <c r="S848" s="223"/>
      <c r="T848" s="223"/>
      <c r="U848" s="223"/>
      <c r="V848" s="9"/>
      <c r="W848" s="9"/>
      <c r="X848" s="9"/>
      <c r="Y848" s="204"/>
      <c r="Z848" s="9"/>
      <c r="AA848" s="9"/>
      <c r="AB848" s="9"/>
      <c r="AC848" s="9"/>
    </row>
    <row r="849" ht="15.75" customHeight="1">
      <c r="A849" s="9"/>
      <c r="B849" s="9"/>
      <c r="C849" s="9"/>
      <c r="D849" s="9"/>
      <c r="E849" s="9"/>
      <c r="F849" s="9"/>
      <c r="G849" s="9"/>
      <c r="H849" s="9"/>
      <c r="I849" s="9"/>
      <c r="J849" s="9"/>
      <c r="K849" s="9"/>
      <c r="L849" s="9"/>
      <c r="M849" s="223"/>
      <c r="N849" s="9"/>
      <c r="O849" s="9"/>
      <c r="P849" s="9"/>
      <c r="Q849" s="9"/>
      <c r="R849" s="9"/>
      <c r="S849" s="223"/>
      <c r="T849" s="223"/>
      <c r="U849" s="223"/>
      <c r="V849" s="9"/>
      <c r="W849" s="9"/>
      <c r="X849" s="9"/>
      <c r="Y849" s="204"/>
      <c r="Z849" s="9"/>
      <c r="AA849" s="9"/>
      <c r="AB849" s="9"/>
      <c r="AC849" s="9"/>
    </row>
    <row r="850" ht="15.75" customHeight="1">
      <c r="A850" s="9"/>
      <c r="B850" s="9"/>
      <c r="C850" s="9"/>
      <c r="D850" s="9"/>
      <c r="E850" s="9"/>
      <c r="F850" s="9"/>
      <c r="G850" s="9"/>
      <c r="H850" s="9"/>
      <c r="I850" s="9"/>
      <c r="J850" s="9"/>
      <c r="K850" s="9"/>
      <c r="L850" s="9"/>
      <c r="M850" s="223"/>
      <c r="N850" s="9"/>
      <c r="O850" s="9"/>
      <c r="P850" s="9"/>
      <c r="Q850" s="9"/>
      <c r="R850" s="9"/>
      <c r="S850" s="223"/>
      <c r="T850" s="223"/>
      <c r="U850" s="223"/>
      <c r="V850" s="9"/>
      <c r="W850" s="9"/>
      <c r="X850" s="9"/>
      <c r="Y850" s="204"/>
      <c r="Z850" s="9"/>
      <c r="AA850" s="9"/>
      <c r="AB850" s="9"/>
      <c r="AC850" s="9"/>
    </row>
    <row r="851" ht="15.75" customHeight="1">
      <c r="A851" s="9"/>
      <c r="B851" s="9"/>
      <c r="C851" s="9"/>
      <c r="D851" s="9"/>
      <c r="E851" s="9"/>
      <c r="F851" s="9"/>
      <c r="G851" s="9"/>
      <c r="H851" s="9"/>
      <c r="I851" s="9"/>
      <c r="J851" s="9"/>
      <c r="K851" s="9"/>
      <c r="L851" s="9"/>
      <c r="M851" s="223"/>
      <c r="N851" s="9"/>
      <c r="O851" s="9"/>
      <c r="P851" s="9"/>
      <c r="Q851" s="9"/>
      <c r="R851" s="9"/>
      <c r="S851" s="223"/>
      <c r="T851" s="223"/>
      <c r="U851" s="223"/>
      <c r="V851" s="9"/>
      <c r="W851" s="9"/>
      <c r="X851" s="9"/>
      <c r="Y851" s="204"/>
      <c r="Z851" s="9"/>
      <c r="AA851" s="9"/>
      <c r="AB851" s="9"/>
      <c r="AC851" s="9"/>
    </row>
    <row r="852" ht="15.75" customHeight="1">
      <c r="A852" s="9"/>
      <c r="B852" s="9"/>
      <c r="C852" s="9"/>
      <c r="D852" s="9"/>
      <c r="E852" s="9"/>
      <c r="F852" s="9"/>
      <c r="G852" s="9"/>
      <c r="H852" s="9"/>
      <c r="I852" s="9"/>
      <c r="J852" s="9"/>
      <c r="K852" s="9"/>
      <c r="L852" s="9"/>
      <c r="M852" s="223"/>
      <c r="N852" s="9"/>
      <c r="O852" s="9"/>
      <c r="P852" s="9"/>
      <c r="Q852" s="9"/>
      <c r="R852" s="9"/>
      <c r="S852" s="223"/>
      <c r="T852" s="223"/>
      <c r="U852" s="223"/>
      <c r="V852" s="9"/>
      <c r="W852" s="9"/>
      <c r="X852" s="9"/>
      <c r="Y852" s="204"/>
      <c r="Z852" s="9"/>
      <c r="AA852" s="9"/>
      <c r="AB852" s="9"/>
      <c r="AC852" s="9"/>
    </row>
    <row r="853" ht="15.75" customHeight="1">
      <c r="A853" s="9"/>
      <c r="B853" s="9"/>
      <c r="C853" s="9"/>
      <c r="D853" s="9"/>
      <c r="E853" s="9"/>
      <c r="F853" s="9"/>
      <c r="G853" s="9"/>
      <c r="H853" s="9"/>
      <c r="I853" s="9"/>
      <c r="J853" s="9"/>
      <c r="K853" s="9"/>
      <c r="L853" s="9"/>
      <c r="M853" s="223"/>
      <c r="N853" s="9"/>
      <c r="O853" s="9"/>
      <c r="P853" s="9"/>
      <c r="Q853" s="9"/>
      <c r="R853" s="9"/>
      <c r="S853" s="223"/>
      <c r="T853" s="223"/>
      <c r="U853" s="223"/>
      <c r="V853" s="9"/>
      <c r="W853" s="9"/>
      <c r="X853" s="9"/>
      <c r="Y853" s="204"/>
      <c r="Z853" s="9"/>
      <c r="AA853" s="9"/>
      <c r="AB853" s="9"/>
      <c r="AC853" s="9"/>
    </row>
    <row r="854" ht="15.75" customHeight="1">
      <c r="A854" s="9"/>
      <c r="B854" s="9"/>
      <c r="C854" s="9"/>
      <c r="D854" s="9"/>
      <c r="E854" s="9"/>
      <c r="F854" s="9"/>
      <c r="G854" s="9"/>
      <c r="H854" s="9"/>
      <c r="I854" s="9"/>
      <c r="J854" s="9"/>
      <c r="K854" s="9"/>
      <c r="L854" s="9"/>
      <c r="M854" s="223"/>
      <c r="N854" s="9"/>
      <c r="O854" s="9"/>
      <c r="P854" s="9"/>
      <c r="Q854" s="9"/>
      <c r="R854" s="9"/>
      <c r="S854" s="223"/>
      <c r="T854" s="223"/>
      <c r="U854" s="223"/>
      <c r="V854" s="9"/>
      <c r="W854" s="9"/>
      <c r="X854" s="9"/>
      <c r="Y854" s="204"/>
      <c r="Z854" s="9"/>
      <c r="AA854" s="9"/>
      <c r="AB854" s="9"/>
      <c r="AC854" s="9"/>
    </row>
    <row r="855" ht="15.75" customHeight="1">
      <c r="A855" s="9"/>
      <c r="B855" s="9"/>
      <c r="C855" s="9"/>
      <c r="D855" s="9"/>
      <c r="E855" s="9"/>
      <c r="F855" s="9"/>
      <c r="G855" s="9"/>
      <c r="H855" s="9"/>
      <c r="I855" s="9"/>
      <c r="J855" s="9"/>
      <c r="K855" s="9"/>
      <c r="L855" s="9"/>
      <c r="M855" s="223"/>
      <c r="N855" s="9"/>
      <c r="O855" s="9"/>
      <c r="P855" s="9"/>
      <c r="Q855" s="9"/>
      <c r="R855" s="9"/>
      <c r="S855" s="223"/>
      <c r="T855" s="223"/>
      <c r="U855" s="223"/>
      <c r="V855" s="9"/>
      <c r="W855" s="9"/>
      <c r="X855" s="9"/>
      <c r="Y855" s="204"/>
      <c r="Z855" s="9"/>
      <c r="AA855" s="9"/>
      <c r="AB855" s="9"/>
      <c r="AC855" s="9"/>
    </row>
    <row r="856" ht="15.75" customHeight="1">
      <c r="A856" s="9"/>
      <c r="B856" s="9"/>
      <c r="C856" s="9"/>
      <c r="D856" s="9"/>
      <c r="E856" s="9"/>
      <c r="F856" s="9"/>
      <c r="G856" s="9"/>
      <c r="H856" s="9"/>
      <c r="I856" s="9"/>
      <c r="J856" s="9"/>
      <c r="K856" s="9"/>
      <c r="L856" s="9"/>
      <c r="M856" s="223"/>
      <c r="N856" s="9"/>
      <c r="O856" s="9"/>
      <c r="P856" s="9"/>
      <c r="Q856" s="9"/>
      <c r="R856" s="9"/>
      <c r="S856" s="223"/>
      <c r="T856" s="223"/>
      <c r="U856" s="223"/>
      <c r="V856" s="9"/>
      <c r="W856" s="9"/>
      <c r="X856" s="9"/>
      <c r="Y856" s="204"/>
      <c r="Z856" s="9"/>
      <c r="AA856" s="9"/>
      <c r="AB856" s="9"/>
      <c r="AC856" s="9"/>
    </row>
    <row r="857" ht="15.75" customHeight="1">
      <c r="A857" s="9"/>
      <c r="B857" s="9"/>
      <c r="C857" s="9"/>
      <c r="D857" s="9"/>
      <c r="E857" s="9"/>
      <c r="F857" s="9"/>
      <c r="G857" s="9"/>
      <c r="H857" s="9"/>
      <c r="I857" s="9"/>
      <c r="J857" s="9"/>
      <c r="K857" s="9"/>
      <c r="L857" s="9"/>
      <c r="M857" s="223"/>
      <c r="N857" s="9"/>
      <c r="O857" s="9"/>
      <c r="P857" s="9"/>
      <c r="Q857" s="9"/>
      <c r="R857" s="9"/>
      <c r="S857" s="223"/>
      <c r="T857" s="223"/>
      <c r="U857" s="223"/>
      <c r="V857" s="9"/>
      <c r="W857" s="9"/>
      <c r="X857" s="9"/>
      <c r="Y857" s="204"/>
      <c r="Z857" s="9"/>
      <c r="AA857" s="9"/>
      <c r="AB857" s="9"/>
      <c r="AC857" s="9"/>
    </row>
    <row r="858" ht="15.75" customHeight="1">
      <c r="A858" s="9"/>
      <c r="B858" s="9"/>
      <c r="C858" s="9"/>
      <c r="D858" s="9"/>
      <c r="E858" s="9"/>
      <c r="F858" s="9"/>
      <c r="G858" s="9"/>
      <c r="H858" s="9"/>
      <c r="I858" s="9"/>
      <c r="J858" s="9"/>
      <c r="K858" s="9"/>
      <c r="L858" s="9"/>
      <c r="M858" s="223"/>
      <c r="N858" s="9"/>
      <c r="O858" s="9"/>
      <c r="P858" s="9"/>
      <c r="Q858" s="9"/>
      <c r="R858" s="9"/>
      <c r="S858" s="223"/>
      <c r="T858" s="223"/>
      <c r="U858" s="223"/>
      <c r="V858" s="9"/>
      <c r="W858" s="9"/>
      <c r="X858" s="9"/>
      <c r="Y858" s="204"/>
      <c r="Z858" s="9"/>
      <c r="AA858" s="9"/>
      <c r="AB858" s="9"/>
      <c r="AC858" s="9"/>
    </row>
    <row r="859" ht="15.75" customHeight="1">
      <c r="A859" s="9"/>
      <c r="B859" s="9"/>
      <c r="C859" s="9"/>
      <c r="D859" s="9"/>
      <c r="E859" s="9"/>
      <c r="F859" s="9"/>
      <c r="G859" s="9"/>
      <c r="H859" s="9"/>
      <c r="I859" s="9"/>
      <c r="J859" s="9"/>
      <c r="K859" s="9"/>
      <c r="L859" s="9"/>
      <c r="M859" s="223"/>
      <c r="N859" s="9"/>
      <c r="O859" s="9"/>
      <c r="P859" s="9"/>
      <c r="Q859" s="9"/>
      <c r="R859" s="9"/>
      <c r="S859" s="223"/>
      <c r="T859" s="223"/>
      <c r="U859" s="223"/>
      <c r="V859" s="9"/>
      <c r="W859" s="9"/>
      <c r="X859" s="9"/>
      <c r="Y859" s="204"/>
      <c r="Z859" s="9"/>
      <c r="AA859" s="9"/>
      <c r="AB859" s="9"/>
      <c r="AC859" s="9"/>
    </row>
    <row r="860" ht="15.75" customHeight="1">
      <c r="A860" s="9"/>
      <c r="B860" s="9"/>
      <c r="C860" s="9"/>
      <c r="D860" s="9"/>
      <c r="E860" s="9"/>
      <c r="F860" s="9"/>
      <c r="G860" s="9"/>
      <c r="H860" s="9"/>
      <c r="I860" s="9"/>
      <c r="J860" s="9"/>
      <c r="K860" s="9"/>
      <c r="L860" s="9"/>
      <c r="M860" s="223"/>
      <c r="N860" s="9"/>
      <c r="O860" s="9"/>
      <c r="P860" s="9"/>
      <c r="Q860" s="9"/>
      <c r="R860" s="9"/>
      <c r="S860" s="223"/>
      <c r="T860" s="223"/>
      <c r="U860" s="223"/>
      <c r="V860" s="9"/>
      <c r="W860" s="9"/>
      <c r="X860" s="9"/>
      <c r="Y860" s="204"/>
      <c r="Z860" s="9"/>
      <c r="AA860" s="9"/>
      <c r="AB860" s="9"/>
      <c r="AC860" s="9"/>
    </row>
    <row r="861" ht="15.75" customHeight="1">
      <c r="A861" s="9"/>
      <c r="B861" s="9"/>
      <c r="C861" s="9"/>
      <c r="D861" s="9"/>
      <c r="E861" s="9"/>
      <c r="F861" s="9"/>
      <c r="G861" s="9"/>
      <c r="H861" s="9"/>
      <c r="I861" s="9"/>
      <c r="J861" s="9"/>
      <c r="K861" s="9"/>
      <c r="L861" s="9"/>
      <c r="M861" s="223"/>
      <c r="N861" s="9"/>
      <c r="O861" s="9"/>
      <c r="P861" s="9"/>
      <c r="Q861" s="9"/>
      <c r="R861" s="9"/>
      <c r="S861" s="223"/>
      <c r="T861" s="223"/>
      <c r="U861" s="223"/>
      <c r="V861" s="9"/>
      <c r="W861" s="9"/>
      <c r="X861" s="9"/>
      <c r="Y861" s="204"/>
      <c r="Z861" s="9"/>
      <c r="AA861" s="9"/>
      <c r="AB861" s="9"/>
      <c r="AC861" s="9"/>
    </row>
    <row r="862" ht="15.75" customHeight="1">
      <c r="A862" s="9"/>
      <c r="B862" s="9"/>
      <c r="C862" s="9"/>
      <c r="D862" s="9"/>
      <c r="E862" s="9"/>
      <c r="F862" s="9"/>
      <c r="G862" s="9"/>
      <c r="H862" s="9"/>
      <c r="I862" s="9"/>
      <c r="J862" s="9"/>
      <c r="K862" s="9"/>
      <c r="L862" s="9"/>
      <c r="M862" s="223"/>
      <c r="N862" s="9"/>
      <c r="O862" s="9"/>
      <c r="P862" s="9"/>
      <c r="Q862" s="9"/>
      <c r="R862" s="9"/>
      <c r="S862" s="223"/>
      <c r="T862" s="223"/>
      <c r="U862" s="223"/>
      <c r="V862" s="9"/>
      <c r="W862" s="9"/>
      <c r="X862" s="9"/>
      <c r="Y862" s="204"/>
      <c r="Z862" s="9"/>
      <c r="AA862" s="9"/>
      <c r="AB862" s="9"/>
      <c r="AC862" s="9"/>
    </row>
    <row r="863" ht="15.75" customHeight="1">
      <c r="A863" s="9"/>
      <c r="B863" s="9"/>
      <c r="C863" s="9"/>
      <c r="D863" s="9"/>
      <c r="E863" s="9"/>
      <c r="F863" s="9"/>
      <c r="G863" s="9"/>
      <c r="H863" s="9"/>
      <c r="I863" s="9"/>
      <c r="J863" s="9"/>
      <c r="K863" s="9"/>
      <c r="L863" s="9"/>
      <c r="M863" s="223"/>
      <c r="N863" s="9"/>
      <c r="O863" s="9"/>
      <c r="P863" s="9"/>
      <c r="Q863" s="9"/>
      <c r="R863" s="9"/>
      <c r="S863" s="223"/>
      <c r="T863" s="223"/>
      <c r="U863" s="223"/>
      <c r="V863" s="9"/>
      <c r="W863" s="9"/>
      <c r="X863" s="9"/>
      <c r="Y863" s="204"/>
      <c r="Z863" s="9"/>
      <c r="AA863" s="9"/>
      <c r="AB863" s="9"/>
      <c r="AC863" s="9"/>
    </row>
    <row r="864" ht="15.75" customHeight="1">
      <c r="A864" s="9"/>
      <c r="B864" s="9"/>
      <c r="C864" s="9"/>
      <c r="D864" s="9"/>
      <c r="E864" s="9"/>
      <c r="F864" s="9"/>
      <c r="G864" s="9"/>
      <c r="H864" s="9"/>
      <c r="I864" s="9"/>
      <c r="J864" s="9"/>
      <c r="K864" s="9"/>
      <c r="L864" s="9"/>
      <c r="M864" s="223"/>
      <c r="N864" s="9"/>
      <c r="O864" s="9"/>
      <c r="P864" s="9"/>
      <c r="Q864" s="9"/>
      <c r="R864" s="9"/>
      <c r="S864" s="223"/>
      <c r="T864" s="223"/>
      <c r="U864" s="223"/>
      <c r="V864" s="9"/>
      <c r="W864" s="9"/>
      <c r="X864" s="9"/>
      <c r="Y864" s="204"/>
      <c r="Z864" s="9"/>
      <c r="AA864" s="9"/>
      <c r="AB864" s="9"/>
      <c r="AC864" s="9"/>
    </row>
    <row r="865" ht="15.75" customHeight="1">
      <c r="A865" s="9"/>
      <c r="B865" s="9"/>
      <c r="C865" s="9"/>
      <c r="D865" s="9"/>
      <c r="E865" s="9"/>
      <c r="F865" s="9"/>
      <c r="G865" s="9"/>
      <c r="H865" s="9"/>
      <c r="I865" s="9"/>
      <c r="J865" s="9"/>
      <c r="K865" s="9"/>
      <c r="L865" s="9"/>
      <c r="M865" s="223"/>
      <c r="N865" s="9"/>
      <c r="O865" s="9"/>
      <c r="P865" s="9"/>
      <c r="Q865" s="9"/>
      <c r="R865" s="9"/>
      <c r="S865" s="223"/>
      <c r="T865" s="223"/>
      <c r="U865" s="223"/>
      <c r="V865" s="9"/>
      <c r="W865" s="9"/>
      <c r="X865" s="9"/>
      <c r="Y865" s="204"/>
      <c r="Z865" s="9"/>
      <c r="AA865" s="9"/>
      <c r="AB865" s="9"/>
      <c r="AC865" s="9"/>
    </row>
    <row r="866" ht="15.75" customHeight="1">
      <c r="A866" s="9"/>
      <c r="B866" s="9"/>
      <c r="C866" s="9"/>
      <c r="D866" s="9"/>
      <c r="E866" s="9"/>
      <c r="F866" s="9"/>
      <c r="G866" s="9"/>
      <c r="H866" s="9"/>
      <c r="I866" s="9"/>
      <c r="J866" s="9"/>
      <c r="K866" s="9"/>
      <c r="L866" s="9"/>
      <c r="M866" s="223"/>
      <c r="N866" s="9"/>
      <c r="O866" s="9"/>
      <c r="P866" s="9"/>
      <c r="Q866" s="9"/>
      <c r="R866" s="9"/>
      <c r="S866" s="223"/>
      <c r="T866" s="223"/>
      <c r="U866" s="223"/>
      <c r="V866" s="9"/>
      <c r="W866" s="9"/>
      <c r="X866" s="9"/>
      <c r="Y866" s="204"/>
      <c r="Z866" s="9"/>
      <c r="AA866" s="9"/>
      <c r="AB866" s="9"/>
      <c r="AC866" s="9"/>
    </row>
    <row r="867" ht="15.75" customHeight="1">
      <c r="A867" s="9"/>
      <c r="B867" s="9"/>
      <c r="C867" s="9"/>
      <c r="D867" s="9"/>
      <c r="E867" s="9"/>
      <c r="F867" s="9"/>
      <c r="G867" s="9"/>
      <c r="H867" s="9"/>
      <c r="I867" s="9"/>
      <c r="J867" s="9"/>
      <c r="K867" s="9"/>
      <c r="L867" s="9"/>
      <c r="M867" s="223"/>
      <c r="N867" s="9"/>
      <c r="O867" s="9"/>
      <c r="P867" s="9"/>
      <c r="Q867" s="9"/>
      <c r="R867" s="9"/>
      <c r="S867" s="223"/>
      <c r="T867" s="223"/>
      <c r="U867" s="223"/>
      <c r="V867" s="9"/>
      <c r="W867" s="9"/>
      <c r="X867" s="9"/>
      <c r="Y867" s="204"/>
      <c r="Z867" s="9"/>
      <c r="AA867" s="9"/>
      <c r="AB867" s="9"/>
      <c r="AC867" s="9"/>
    </row>
    <row r="868" ht="15.75" customHeight="1">
      <c r="A868" s="9"/>
      <c r="B868" s="9"/>
      <c r="C868" s="9"/>
      <c r="D868" s="9"/>
      <c r="E868" s="9"/>
      <c r="F868" s="9"/>
      <c r="G868" s="9"/>
      <c r="H868" s="9"/>
      <c r="I868" s="9"/>
      <c r="J868" s="9"/>
      <c r="K868" s="9"/>
      <c r="L868" s="9"/>
      <c r="M868" s="223"/>
      <c r="N868" s="9"/>
      <c r="O868" s="9"/>
      <c r="P868" s="9"/>
      <c r="Q868" s="9"/>
      <c r="R868" s="9"/>
      <c r="S868" s="223"/>
      <c r="T868" s="223"/>
      <c r="U868" s="223"/>
      <c r="V868" s="9"/>
      <c r="W868" s="9"/>
      <c r="X868" s="9"/>
      <c r="Y868" s="204"/>
      <c r="Z868" s="9"/>
      <c r="AA868" s="9"/>
      <c r="AB868" s="9"/>
      <c r="AC868" s="9"/>
    </row>
    <row r="869" ht="15.75" customHeight="1">
      <c r="A869" s="9"/>
      <c r="B869" s="9"/>
      <c r="C869" s="9"/>
      <c r="D869" s="9"/>
      <c r="E869" s="9"/>
      <c r="F869" s="9"/>
      <c r="G869" s="9"/>
      <c r="H869" s="9"/>
      <c r="I869" s="9"/>
      <c r="J869" s="9"/>
      <c r="K869" s="9"/>
      <c r="L869" s="9"/>
      <c r="M869" s="223"/>
      <c r="N869" s="9"/>
      <c r="O869" s="9"/>
      <c r="P869" s="9"/>
      <c r="Q869" s="9"/>
      <c r="R869" s="9"/>
      <c r="S869" s="223"/>
      <c r="T869" s="223"/>
      <c r="U869" s="223"/>
      <c r="V869" s="9"/>
      <c r="W869" s="9"/>
      <c r="X869" s="9"/>
      <c r="Y869" s="204"/>
      <c r="Z869" s="9"/>
      <c r="AA869" s="9"/>
      <c r="AB869" s="9"/>
      <c r="AC869" s="9"/>
    </row>
    <row r="870" ht="15.75" customHeight="1">
      <c r="A870" s="9"/>
      <c r="B870" s="9"/>
      <c r="C870" s="9"/>
      <c r="D870" s="9"/>
      <c r="E870" s="9"/>
      <c r="F870" s="9"/>
      <c r="G870" s="9"/>
      <c r="H870" s="9"/>
      <c r="I870" s="9"/>
      <c r="J870" s="9"/>
      <c r="K870" s="9"/>
      <c r="L870" s="9"/>
      <c r="M870" s="223"/>
      <c r="N870" s="9"/>
      <c r="O870" s="9"/>
      <c r="P870" s="9"/>
      <c r="Q870" s="9"/>
      <c r="R870" s="9"/>
      <c r="S870" s="223"/>
      <c r="T870" s="223"/>
      <c r="U870" s="223"/>
      <c r="V870" s="9"/>
      <c r="W870" s="9"/>
      <c r="X870" s="9"/>
      <c r="Y870" s="204"/>
      <c r="Z870" s="9"/>
      <c r="AA870" s="9"/>
      <c r="AB870" s="9"/>
      <c r="AC870" s="9"/>
    </row>
    <row r="871" ht="15.75" customHeight="1">
      <c r="A871" s="9"/>
      <c r="B871" s="9"/>
      <c r="C871" s="9"/>
      <c r="D871" s="9"/>
      <c r="E871" s="9"/>
      <c r="F871" s="9"/>
      <c r="G871" s="9"/>
      <c r="H871" s="9"/>
      <c r="I871" s="9"/>
      <c r="J871" s="9"/>
      <c r="K871" s="9"/>
      <c r="L871" s="9"/>
      <c r="M871" s="223"/>
      <c r="N871" s="9"/>
      <c r="O871" s="9"/>
      <c r="P871" s="9"/>
      <c r="Q871" s="9"/>
      <c r="R871" s="9"/>
      <c r="S871" s="223"/>
      <c r="T871" s="223"/>
      <c r="U871" s="223"/>
      <c r="V871" s="9"/>
      <c r="W871" s="9"/>
      <c r="X871" s="9"/>
      <c r="Y871" s="204"/>
      <c r="Z871" s="9"/>
      <c r="AA871" s="9"/>
      <c r="AB871" s="9"/>
      <c r="AC871" s="9"/>
    </row>
    <row r="872" ht="15.75" customHeight="1">
      <c r="A872" s="9"/>
      <c r="B872" s="9"/>
      <c r="C872" s="9"/>
      <c r="D872" s="9"/>
      <c r="E872" s="9"/>
      <c r="F872" s="9"/>
      <c r="G872" s="9"/>
      <c r="H872" s="9"/>
      <c r="I872" s="9"/>
      <c r="J872" s="9"/>
      <c r="K872" s="9"/>
      <c r="L872" s="9"/>
      <c r="M872" s="223"/>
      <c r="N872" s="9"/>
      <c r="O872" s="9"/>
      <c r="P872" s="9"/>
      <c r="Q872" s="9"/>
      <c r="R872" s="9"/>
      <c r="S872" s="223"/>
      <c r="T872" s="223"/>
      <c r="U872" s="223"/>
      <c r="V872" s="9"/>
      <c r="W872" s="9"/>
      <c r="X872" s="9"/>
      <c r="Y872" s="204"/>
      <c r="Z872" s="9"/>
      <c r="AA872" s="9"/>
      <c r="AB872" s="9"/>
      <c r="AC872" s="9"/>
    </row>
    <row r="873" ht="15.75" customHeight="1">
      <c r="A873" s="9"/>
      <c r="B873" s="9"/>
      <c r="C873" s="9"/>
      <c r="D873" s="9"/>
      <c r="E873" s="9"/>
      <c r="F873" s="9"/>
      <c r="G873" s="9"/>
      <c r="H873" s="9"/>
      <c r="I873" s="9"/>
      <c r="J873" s="9"/>
      <c r="K873" s="9"/>
      <c r="L873" s="9"/>
      <c r="M873" s="223"/>
      <c r="N873" s="9"/>
      <c r="O873" s="9"/>
      <c r="P873" s="9"/>
      <c r="Q873" s="9"/>
      <c r="R873" s="9"/>
      <c r="S873" s="223"/>
      <c r="T873" s="223"/>
      <c r="U873" s="223"/>
      <c r="V873" s="9"/>
      <c r="W873" s="9"/>
      <c r="X873" s="9"/>
      <c r="Y873" s="204"/>
      <c r="Z873" s="9"/>
      <c r="AA873" s="9"/>
      <c r="AB873" s="9"/>
      <c r="AC873" s="9"/>
    </row>
    <row r="874" ht="15.75" customHeight="1">
      <c r="A874" s="9"/>
      <c r="B874" s="9"/>
      <c r="C874" s="9"/>
      <c r="D874" s="9"/>
      <c r="E874" s="9"/>
      <c r="F874" s="9"/>
      <c r="G874" s="9"/>
      <c r="H874" s="9"/>
      <c r="I874" s="9"/>
      <c r="J874" s="9"/>
      <c r="K874" s="9"/>
      <c r="L874" s="9"/>
      <c r="M874" s="223"/>
      <c r="N874" s="9"/>
      <c r="O874" s="9"/>
      <c r="P874" s="9"/>
      <c r="Q874" s="9"/>
      <c r="R874" s="9"/>
      <c r="S874" s="223"/>
      <c r="T874" s="223"/>
      <c r="U874" s="223"/>
      <c r="V874" s="9"/>
      <c r="W874" s="9"/>
      <c r="X874" s="9"/>
      <c r="Y874" s="204"/>
      <c r="Z874" s="9"/>
      <c r="AA874" s="9"/>
      <c r="AB874" s="9"/>
      <c r="AC874" s="9"/>
    </row>
    <row r="875" ht="15.75" customHeight="1">
      <c r="A875" s="9"/>
      <c r="B875" s="9"/>
      <c r="C875" s="9"/>
      <c r="D875" s="9"/>
      <c r="E875" s="9"/>
      <c r="F875" s="9"/>
      <c r="G875" s="9"/>
      <c r="H875" s="9"/>
      <c r="I875" s="9"/>
      <c r="J875" s="9"/>
      <c r="K875" s="9"/>
      <c r="L875" s="9"/>
      <c r="M875" s="223"/>
      <c r="N875" s="9"/>
      <c r="O875" s="9"/>
      <c r="P875" s="9"/>
      <c r="Q875" s="9"/>
      <c r="R875" s="9"/>
      <c r="S875" s="223"/>
      <c r="T875" s="223"/>
      <c r="U875" s="223"/>
      <c r="V875" s="9"/>
      <c r="W875" s="9"/>
      <c r="X875" s="9"/>
      <c r="Y875" s="204"/>
      <c r="Z875" s="9"/>
      <c r="AA875" s="9"/>
      <c r="AB875" s="9"/>
      <c r="AC875" s="9"/>
    </row>
    <row r="876" ht="15.75" customHeight="1">
      <c r="A876" s="9"/>
      <c r="B876" s="9"/>
      <c r="C876" s="9"/>
      <c r="D876" s="9"/>
      <c r="E876" s="9"/>
      <c r="F876" s="9"/>
      <c r="G876" s="9"/>
      <c r="H876" s="9"/>
      <c r="I876" s="9"/>
      <c r="J876" s="9"/>
      <c r="K876" s="9"/>
      <c r="L876" s="9"/>
      <c r="M876" s="223"/>
      <c r="N876" s="9"/>
      <c r="O876" s="9"/>
      <c r="P876" s="9"/>
      <c r="Q876" s="9"/>
      <c r="R876" s="9"/>
      <c r="S876" s="223"/>
      <c r="T876" s="223"/>
      <c r="U876" s="223"/>
      <c r="V876" s="9"/>
      <c r="W876" s="9"/>
      <c r="X876" s="9"/>
      <c r="Y876" s="204"/>
      <c r="Z876" s="9"/>
      <c r="AA876" s="9"/>
      <c r="AB876" s="9"/>
      <c r="AC876" s="9"/>
    </row>
    <row r="877" ht="15.75" customHeight="1">
      <c r="A877" s="9"/>
      <c r="B877" s="9"/>
      <c r="C877" s="9"/>
      <c r="D877" s="9"/>
      <c r="E877" s="9"/>
      <c r="F877" s="9"/>
      <c r="G877" s="9"/>
      <c r="H877" s="9"/>
      <c r="I877" s="9"/>
      <c r="J877" s="9"/>
      <c r="K877" s="9"/>
      <c r="L877" s="9"/>
      <c r="M877" s="223"/>
      <c r="N877" s="9"/>
      <c r="O877" s="9"/>
      <c r="P877" s="9"/>
      <c r="Q877" s="9"/>
      <c r="R877" s="9"/>
      <c r="S877" s="223"/>
      <c r="T877" s="223"/>
      <c r="U877" s="223"/>
      <c r="V877" s="9"/>
      <c r="W877" s="9"/>
      <c r="X877" s="9"/>
      <c r="Y877" s="204"/>
      <c r="Z877" s="9"/>
      <c r="AA877" s="9"/>
      <c r="AB877" s="9"/>
      <c r="AC877" s="9"/>
    </row>
    <row r="878" ht="15.75" customHeight="1">
      <c r="A878" s="9"/>
      <c r="B878" s="9"/>
      <c r="C878" s="9"/>
      <c r="D878" s="9"/>
      <c r="E878" s="9"/>
      <c r="F878" s="9"/>
      <c r="G878" s="9"/>
      <c r="H878" s="9"/>
      <c r="I878" s="9"/>
      <c r="J878" s="9"/>
      <c r="K878" s="9"/>
      <c r="L878" s="9"/>
      <c r="M878" s="223"/>
      <c r="N878" s="9"/>
      <c r="O878" s="9"/>
      <c r="P878" s="9"/>
      <c r="Q878" s="9"/>
      <c r="R878" s="9"/>
      <c r="S878" s="223"/>
      <c r="T878" s="223"/>
      <c r="U878" s="223"/>
      <c r="V878" s="9"/>
      <c r="W878" s="9"/>
      <c r="X878" s="9"/>
      <c r="Y878" s="204"/>
      <c r="Z878" s="9"/>
      <c r="AA878" s="9"/>
      <c r="AB878" s="9"/>
      <c r="AC878" s="9"/>
    </row>
    <row r="879" ht="15.75" customHeight="1">
      <c r="A879" s="9"/>
      <c r="B879" s="9"/>
      <c r="C879" s="9"/>
      <c r="D879" s="9"/>
      <c r="E879" s="9"/>
      <c r="F879" s="9"/>
      <c r="G879" s="9"/>
      <c r="H879" s="9"/>
      <c r="I879" s="9"/>
      <c r="J879" s="9"/>
      <c r="K879" s="9"/>
      <c r="L879" s="9"/>
      <c r="M879" s="223"/>
      <c r="N879" s="9"/>
      <c r="O879" s="9"/>
      <c r="P879" s="9"/>
      <c r="Q879" s="9"/>
      <c r="R879" s="9"/>
      <c r="S879" s="223"/>
      <c r="T879" s="223"/>
      <c r="U879" s="223"/>
      <c r="V879" s="9"/>
      <c r="W879" s="9"/>
      <c r="X879" s="9"/>
      <c r="Y879" s="204"/>
      <c r="Z879" s="9"/>
      <c r="AA879" s="9"/>
      <c r="AB879" s="9"/>
      <c r="AC879" s="9"/>
    </row>
    <row r="880" ht="15.75" customHeight="1">
      <c r="A880" s="9"/>
      <c r="B880" s="9"/>
      <c r="C880" s="9"/>
      <c r="D880" s="9"/>
      <c r="E880" s="9"/>
      <c r="F880" s="9"/>
      <c r="G880" s="9"/>
      <c r="H880" s="9"/>
      <c r="I880" s="9"/>
      <c r="J880" s="9"/>
      <c r="K880" s="9"/>
      <c r="L880" s="9"/>
      <c r="M880" s="223"/>
      <c r="N880" s="9"/>
      <c r="O880" s="9"/>
      <c r="P880" s="9"/>
      <c r="Q880" s="9"/>
      <c r="R880" s="9"/>
      <c r="S880" s="223"/>
      <c r="T880" s="223"/>
      <c r="U880" s="223"/>
      <c r="V880" s="9"/>
      <c r="W880" s="9"/>
      <c r="X880" s="9"/>
      <c r="Y880" s="204"/>
      <c r="Z880" s="9"/>
      <c r="AA880" s="9"/>
      <c r="AB880" s="9"/>
      <c r="AC880" s="9"/>
    </row>
    <row r="881" ht="15.75" customHeight="1">
      <c r="A881" s="9"/>
      <c r="B881" s="9"/>
      <c r="C881" s="9"/>
      <c r="D881" s="9"/>
      <c r="E881" s="9"/>
      <c r="F881" s="9"/>
      <c r="G881" s="9"/>
      <c r="H881" s="9"/>
      <c r="I881" s="9"/>
      <c r="J881" s="9"/>
      <c r="K881" s="9"/>
      <c r="L881" s="9"/>
      <c r="M881" s="223"/>
      <c r="N881" s="9"/>
      <c r="O881" s="9"/>
      <c r="P881" s="9"/>
      <c r="Q881" s="9"/>
      <c r="R881" s="9"/>
      <c r="S881" s="223"/>
      <c r="T881" s="223"/>
      <c r="U881" s="223"/>
      <c r="V881" s="9"/>
      <c r="W881" s="9"/>
      <c r="X881" s="9"/>
      <c r="Y881" s="204"/>
      <c r="Z881" s="9"/>
      <c r="AA881" s="9"/>
      <c r="AB881" s="9"/>
      <c r="AC881" s="9"/>
    </row>
    <row r="882" ht="15.75" customHeight="1">
      <c r="A882" s="9"/>
      <c r="B882" s="9"/>
      <c r="C882" s="9"/>
      <c r="D882" s="9"/>
      <c r="E882" s="9"/>
      <c r="F882" s="9"/>
      <c r="G882" s="9"/>
      <c r="H882" s="9"/>
      <c r="I882" s="9"/>
      <c r="J882" s="9"/>
      <c r="K882" s="9"/>
      <c r="L882" s="9"/>
      <c r="M882" s="223"/>
      <c r="N882" s="9"/>
      <c r="O882" s="9"/>
      <c r="P882" s="9"/>
      <c r="Q882" s="9"/>
      <c r="R882" s="9"/>
      <c r="S882" s="223"/>
      <c r="T882" s="223"/>
      <c r="U882" s="223"/>
      <c r="V882" s="9"/>
      <c r="W882" s="9"/>
      <c r="X882" s="9"/>
      <c r="Y882" s="204"/>
      <c r="Z882" s="9"/>
      <c r="AA882" s="9"/>
      <c r="AB882" s="9"/>
      <c r="AC882" s="9"/>
    </row>
    <row r="883" ht="15.75" customHeight="1">
      <c r="A883" s="9"/>
      <c r="B883" s="9"/>
      <c r="C883" s="9"/>
      <c r="D883" s="9"/>
      <c r="E883" s="9"/>
      <c r="F883" s="9"/>
      <c r="G883" s="9"/>
      <c r="H883" s="9"/>
      <c r="I883" s="9"/>
      <c r="J883" s="9"/>
      <c r="K883" s="9"/>
      <c r="L883" s="9"/>
      <c r="M883" s="223"/>
      <c r="N883" s="9"/>
      <c r="O883" s="9"/>
      <c r="P883" s="9"/>
      <c r="Q883" s="9"/>
      <c r="R883" s="9"/>
      <c r="S883" s="223"/>
      <c r="T883" s="223"/>
      <c r="U883" s="223"/>
      <c r="V883" s="9"/>
      <c r="W883" s="9"/>
      <c r="X883" s="9"/>
      <c r="Y883" s="204"/>
      <c r="Z883" s="9"/>
      <c r="AA883" s="9"/>
      <c r="AB883" s="9"/>
      <c r="AC883" s="9"/>
    </row>
    <row r="884" ht="15.75" customHeight="1">
      <c r="A884" s="9"/>
      <c r="B884" s="9"/>
      <c r="C884" s="9"/>
      <c r="D884" s="9"/>
      <c r="E884" s="9"/>
      <c r="F884" s="9"/>
      <c r="G884" s="9"/>
      <c r="H884" s="9"/>
      <c r="I884" s="9"/>
      <c r="J884" s="9"/>
      <c r="K884" s="9"/>
      <c r="L884" s="9"/>
      <c r="M884" s="223"/>
      <c r="N884" s="9"/>
      <c r="O884" s="9"/>
      <c r="P884" s="9"/>
      <c r="Q884" s="9"/>
      <c r="R884" s="9"/>
      <c r="S884" s="223"/>
      <c r="T884" s="223"/>
      <c r="U884" s="223"/>
      <c r="V884" s="9"/>
      <c r="W884" s="9"/>
      <c r="X884" s="9"/>
      <c r="Y884" s="204"/>
      <c r="Z884" s="9"/>
      <c r="AA884" s="9"/>
      <c r="AB884" s="9"/>
      <c r="AC884" s="9"/>
    </row>
    <row r="885" ht="15.75" customHeight="1">
      <c r="A885" s="9"/>
      <c r="B885" s="9"/>
      <c r="C885" s="9"/>
      <c r="D885" s="9"/>
      <c r="E885" s="9"/>
      <c r="F885" s="9"/>
      <c r="G885" s="9"/>
      <c r="H885" s="9"/>
      <c r="I885" s="9"/>
      <c r="J885" s="9"/>
      <c r="K885" s="9"/>
      <c r="L885" s="9"/>
      <c r="M885" s="223"/>
      <c r="N885" s="9"/>
      <c r="O885" s="9"/>
      <c r="P885" s="9"/>
      <c r="Q885" s="9"/>
      <c r="R885" s="9"/>
      <c r="S885" s="223"/>
      <c r="T885" s="223"/>
      <c r="U885" s="223"/>
      <c r="V885" s="9"/>
      <c r="W885" s="9"/>
      <c r="X885" s="9"/>
      <c r="Y885" s="204"/>
      <c r="Z885" s="9"/>
      <c r="AA885" s="9"/>
      <c r="AB885" s="9"/>
      <c r="AC885" s="9"/>
    </row>
    <row r="886" ht="15.75" customHeight="1">
      <c r="A886" s="9"/>
      <c r="B886" s="9"/>
      <c r="C886" s="9"/>
      <c r="D886" s="9"/>
      <c r="E886" s="9"/>
      <c r="F886" s="9"/>
      <c r="G886" s="9"/>
      <c r="H886" s="9"/>
      <c r="I886" s="9"/>
      <c r="J886" s="9"/>
      <c r="K886" s="9"/>
      <c r="L886" s="9"/>
      <c r="M886" s="223"/>
      <c r="N886" s="9"/>
      <c r="O886" s="9"/>
      <c r="P886" s="9"/>
      <c r="Q886" s="9"/>
      <c r="R886" s="9"/>
      <c r="S886" s="223"/>
      <c r="T886" s="223"/>
      <c r="U886" s="223"/>
      <c r="V886" s="9"/>
      <c r="W886" s="9"/>
      <c r="X886" s="9"/>
      <c r="Y886" s="204"/>
      <c r="Z886" s="9"/>
      <c r="AA886" s="9"/>
      <c r="AB886" s="9"/>
      <c r="AC886" s="9"/>
    </row>
    <row r="887" ht="15.75" customHeight="1">
      <c r="A887" s="9"/>
      <c r="B887" s="9"/>
      <c r="C887" s="9"/>
      <c r="D887" s="9"/>
      <c r="E887" s="9"/>
      <c r="F887" s="9"/>
      <c r="G887" s="9"/>
      <c r="H887" s="9"/>
      <c r="I887" s="9"/>
      <c r="J887" s="9"/>
      <c r="K887" s="9"/>
      <c r="L887" s="9"/>
      <c r="M887" s="223"/>
      <c r="N887" s="9"/>
      <c r="O887" s="9"/>
      <c r="P887" s="9"/>
      <c r="Q887" s="9"/>
      <c r="R887" s="9"/>
      <c r="S887" s="223"/>
      <c r="T887" s="223"/>
      <c r="U887" s="223"/>
      <c r="V887" s="9"/>
      <c r="W887" s="9"/>
      <c r="X887" s="9"/>
      <c r="Y887" s="204"/>
      <c r="Z887" s="9"/>
      <c r="AA887" s="9"/>
      <c r="AB887" s="9"/>
      <c r="AC887" s="9"/>
    </row>
    <row r="888" ht="15.75" customHeight="1">
      <c r="A888" s="9"/>
      <c r="B888" s="9"/>
      <c r="C888" s="9"/>
      <c r="D888" s="9"/>
      <c r="E888" s="9"/>
      <c r="F888" s="9"/>
      <c r="G888" s="9"/>
      <c r="H888" s="9"/>
      <c r="I888" s="9"/>
      <c r="J888" s="9"/>
      <c r="K888" s="9"/>
      <c r="L888" s="9"/>
      <c r="M888" s="223"/>
      <c r="N888" s="9"/>
      <c r="O888" s="9"/>
      <c r="P888" s="9"/>
      <c r="Q888" s="9"/>
      <c r="R888" s="9"/>
      <c r="S888" s="223"/>
      <c r="T888" s="223"/>
      <c r="U888" s="223"/>
      <c r="V888" s="9"/>
      <c r="W888" s="9"/>
      <c r="X888" s="9"/>
      <c r="Y888" s="204"/>
      <c r="Z888" s="9"/>
      <c r="AA888" s="9"/>
      <c r="AB888" s="9"/>
      <c r="AC888" s="9"/>
    </row>
    <row r="889" ht="15.75" customHeight="1">
      <c r="A889" s="9"/>
      <c r="B889" s="9"/>
      <c r="C889" s="9"/>
      <c r="D889" s="9"/>
      <c r="E889" s="9"/>
      <c r="F889" s="9"/>
      <c r="G889" s="9"/>
      <c r="H889" s="9"/>
      <c r="I889" s="9"/>
      <c r="J889" s="9"/>
      <c r="K889" s="9"/>
      <c r="L889" s="9"/>
      <c r="M889" s="223"/>
      <c r="N889" s="9"/>
      <c r="O889" s="9"/>
      <c r="P889" s="9"/>
      <c r="Q889" s="9"/>
      <c r="R889" s="9"/>
      <c r="S889" s="223"/>
      <c r="T889" s="223"/>
      <c r="U889" s="223"/>
      <c r="V889" s="9"/>
      <c r="W889" s="9"/>
      <c r="X889" s="9"/>
      <c r="Y889" s="204"/>
      <c r="Z889" s="9"/>
      <c r="AA889" s="9"/>
      <c r="AB889" s="9"/>
      <c r="AC889" s="9"/>
    </row>
    <row r="890" ht="15.75" customHeight="1">
      <c r="A890" s="9"/>
      <c r="B890" s="9"/>
      <c r="C890" s="9"/>
      <c r="D890" s="9"/>
      <c r="E890" s="9"/>
      <c r="F890" s="9"/>
      <c r="G890" s="9"/>
      <c r="H890" s="9"/>
      <c r="I890" s="9"/>
      <c r="J890" s="9"/>
      <c r="K890" s="9"/>
      <c r="L890" s="9"/>
      <c r="M890" s="223"/>
      <c r="N890" s="9"/>
      <c r="O890" s="9"/>
      <c r="P890" s="9"/>
      <c r="Q890" s="9"/>
      <c r="R890" s="9"/>
      <c r="S890" s="223"/>
      <c r="T890" s="223"/>
      <c r="U890" s="223"/>
      <c r="V890" s="9"/>
      <c r="W890" s="9"/>
      <c r="X890" s="9"/>
      <c r="Y890" s="204"/>
      <c r="Z890" s="9"/>
      <c r="AA890" s="9"/>
      <c r="AB890" s="9"/>
      <c r="AC890" s="9"/>
    </row>
    <row r="891" ht="15.75" customHeight="1">
      <c r="A891" s="9"/>
      <c r="B891" s="9"/>
      <c r="C891" s="9"/>
      <c r="D891" s="9"/>
      <c r="E891" s="9"/>
      <c r="F891" s="9"/>
      <c r="G891" s="9"/>
      <c r="H891" s="9"/>
      <c r="I891" s="9"/>
      <c r="J891" s="9"/>
      <c r="K891" s="9"/>
      <c r="L891" s="9"/>
      <c r="M891" s="223"/>
      <c r="N891" s="9"/>
      <c r="O891" s="9"/>
      <c r="P891" s="9"/>
      <c r="Q891" s="9"/>
      <c r="R891" s="9"/>
      <c r="S891" s="223"/>
      <c r="T891" s="223"/>
      <c r="U891" s="223"/>
      <c r="V891" s="9"/>
      <c r="W891" s="9"/>
      <c r="X891" s="9"/>
      <c r="Y891" s="204"/>
      <c r="Z891" s="9"/>
      <c r="AA891" s="9"/>
      <c r="AB891" s="9"/>
      <c r="AC891" s="9"/>
    </row>
    <row r="892" ht="15.75" customHeight="1">
      <c r="A892" s="9"/>
      <c r="B892" s="9"/>
      <c r="C892" s="9"/>
      <c r="D892" s="9"/>
      <c r="E892" s="9"/>
      <c r="F892" s="9"/>
      <c r="G892" s="9"/>
      <c r="H892" s="9"/>
      <c r="I892" s="9"/>
      <c r="J892" s="9"/>
      <c r="K892" s="9"/>
      <c r="L892" s="9"/>
      <c r="M892" s="223"/>
      <c r="N892" s="9"/>
      <c r="O892" s="9"/>
      <c r="P892" s="9"/>
      <c r="Q892" s="9"/>
      <c r="R892" s="9"/>
      <c r="S892" s="223"/>
      <c r="T892" s="223"/>
      <c r="U892" s="223"/>
      <c r="V892" s="9"/>
      <c r="W892" s="9"/>
      <c r="X892" s="9"/>
      <c r="Y892" s="204"/>
      <c r="Z892" s="9"/>
      <c r="AA892" s="9"/>
      <c r="AB892" s="9"/>
      <c r="AC892" s="9"/>
    </row>
    <row r="893" ht="15.75" customHeight="1">
      <c r="A893" s="9"/>
      <c r="B893" s="9"/>
      <c r="C893" s="9"/>
      <c r="D893" s="9"/>
      <c r="E893" s="9"/>
      <c r="F893" s="9"/>
      <c r="G893" s="9"/>
      <c r="H893" s="9"/>
      <c r="I893" s="9"/>
      <c r="J893" s="9"/>
      <c r="K893" s="9"/>
      <c r="L893" s="9"/>
      <c r="M893" s="223"/>
      <c r="N893" s="9"/>
      <c r="O893" s="9"/>
      <c r="P893" s="9"/>
      <c r="Q893" s="9"/>
      <c r="R893" s="9"/>
      <c r="S893" s="223"/>
      <c r="T893" s="223"/>
      <c r="U893" s="223"/>
      <c r="V893" s="9"/>
      <c r="W893" s="9"/>
      <c r="X893" s="9"/>
      <c r="Y893" s="204"/>
      <c r="Z893" s="9"/>
      <c r="AA893" s="9"/>
      <c r="AB893" s="9"/>
      <c r="AC893" s="9"/>
    </row>
    <row r="894" ht="15.75" customHeight="1">
      <c r="A894" s="9"/>
      <c r="B894" s="9"/>
      <c r="C894" s="9"/>
      <c r="D894" s="9"/>
      <c r="E894" s="9"/>
      <c r="F894" s="9"/>
      <c r="G894" s="9"/>
      <c r="H894" s="9"/>
      <c r="I894" s="9"/>
      <c r="J894" s="9"/>
      <c r="K894" s="9"/>
      <c r="L894" s="9"/>
      <c r="M894" s="223"/>
      <c r="N894" s="9"/>
      <c r="O894" s="9"/>
      <c r="P894" s="9"/>
      <c r="Q894" s="9"/>
      <c r="R894" s="9"/>
      <c r="S894" s="223"/>
      <c r="T894" s="223"/>
      <c r="U894" s="223"/>
      <c r="V894" s="9"/>
      <c r="W894" s="9"/>
      <c r="X894" s="9"/>
      <c r="Y894" s="204"/>
      <c r="Z894" s="9"/>
      <c r="AA894" s="9"/>
      <c r="AB894" s="9"/>
      <c r="AC894" s="9"/>
    </row>
    <row r="895" ht="15.75" customHeight="1">
      <c r="A895" s="9"/>
      <c r="B895" s="9"/>
      <c r="C895" s="9"/>
      <c r="D895" s="9"/>
      <c r="E895" s="9"/>
      <c r="F895" s="9"/>
      <c r="G895" s="9"/>
      <c r="H895" s="9"/>
      <c r="I895" s="9"/>
      <c r="J895" s="9"/>
      <c r="K895" s="9"/>
      <c r="L895" s="9"/>
      <c r="M895" s="223"/>
      <c r="N895" s="9"/>
      <c r="O895" s="9"/>
      <c r="P895" s="9"/>
      <c r="Q895" s="9"/>
      <c r="R895" s="9"/>
      <c r="S895" s="223"/>
      <c r="T895" s="223"/>
      <c r="U895" s="223"/>
      <c r="V895" s="9"/>
      <c r="W895" s="9"/>
      <c r="X895" s="9"/>
      <c r="Y895" s="204"/>
      <c r="Z895" s="9"/>
      <c r="AA895" s="9"/>
      <c r="AB895" s="9"/>
      <c r="AC895" s="9"/>
    </row>
    <row r="896" ht="15.75" customHeight="1">
      <c r="A896" s="9"/>
      <c r="B896" s="9"/>
      <c r="C896" s="9"/>
      <c r="D896" s="9"/>
      <c r="E896" s="9"/>
      <c r="F896" s="9"/>
      <c r="G896" s="9"/>
      <c r="H896" s="9"/>
      <c r="I896" s="9"/>
      <c r="J896" s="9"/>
      <c r="K896" s="9"/>
      <c r="L896" s="9"/>
      <c r="M896" s="223"/>
      <c r="N896" s="9"/>
      <c r="O896" s="9"/>
      <c r="P896" s="9"/>
      <c r="Q896" s="9"/>
      <c r="R896" s="9"/>
      <c r="S896" s="223"/>
      <c r="T896" s="223"/>
      <c r="U896" s="223"/>
      <c r="V896" s="9"/>
      <c r="W896" s="9"/>
      <c r="X896" s="9"/>
      <c r="Y896" s="204"/>
      <c r="Z896" s="9"/>
      <c r="AA896" s="9"/>
      <c r="AB896" s="9"/>
      <c r="AC896" s="9"/>
    </row>
    <row r="897" ht="15.75" customHeight="1">
      <c r="A897" s="9"/>
      <c r="B897" s="9"/>
      <c r="C897" s="9"/>
      <c r="D897" s="9"/>
      <c r="E897" s="9"/>
      <c r="F897" s="9"/>
      <c r="G897" s="9"/>
      <c r="H897" s="9"/>
      <c r="I897" s="9"/>
      <c r="J897" s="9"/>
      <c r="K897" s="9"/>
      <c r="L897" s="9"/>
      <c r="M897" s="223"/>
      <c r="N897" s="9"/>
      <c r="O897" s="9"/>
      <c r="P897" s="9"/>
      <c r="Q897" s="9"/>
      <c r="R897" s="9"/>
      <c r="S897" s="223"/>
      <c r="T897" s="223"/>
      <c r="U897" s="223"/>
      <c r="V897" s="9"/>
      <c r="W897" s="9"/>
      <c r="X897" s="9"/>
      <c r="Y897" s="204"/>
      <c r="Z897" s="9"/>
      <c r="AA897" s="9"/>
      <c r="AB897" s="9"/>
      <c r="AC897" s="9"/>
    </row>
    <row r="898" ht="15.75" customHeight="1">
      <c r="A898" s="9"/>
      <c r="B898" s="9"/>
      <c r="C898" s="9"/>
      <c r="D898" s="9"/>
      <c r="E898" s="9"/>
      <c r="F898" s="9"/>
      <c r="G898" s="9"/>
      <c r="H898" s="9"/>
      <c r="I898" s="9"/>
      <c r="J898" s="9"/>
      <c r="K898" s="9"/>
      <c r="L898" s="9"/>
      <c r="M898" s="223"/>
      <c r="N898" s="9"/>
      <c r="O898" s="9"/>
      <c r="P898" s="9"/>
      <c r="Q898" s="9"/>
      <c r="R898" s="9"/>
      <c r="S898" s="223"/>
      <c r="T898" s="223"/>
      <c r="U898" s="223"/>
      <c r="V898" s="9"/>
      <c r="W898" s="9"/>
      <c r="X898" s="9"/>
      <c r="Y898" s="204"/>
      <c r="Z898" s="9"/>
      <c r="AA898" s="9"/>
      <c r="AB898" s="9"/>
      <c r="AC898" s="9"/>
    </row>
    <row r="899" ht="15.75" customHeight="1">
      <c r="A899" s="9"/>
      <c r="B899" s="9"/>
      <c r="C899" s="9"/>
      <c r="D899" s="9"/>
      <c r="E899" s="9"/>
      <c r="F899" s="9"/>
      <c r="G899" s="9"/>
      <c r="H899" s="9"/>
      <c r="I899" s="9"/>
      <c r="J899" s="9"/>
      <c r="K899" s="9"/>
      <c r="L899" s="9"/>
      <c r="M899" s="223"/>
      <c r="N899" s="9"/>
      <c r="O899" s="9"/>
      <c r="P899" s="9"/>
      <c r="Q899" s="9"/>
      <c r="R899" s="9"/>
      <c r="S899" s="223"/>
      <c r="T899" s="223"/>
      <c r="U899" s="223"/>
      <c r="V899" s="9"/>
      <c r="W899" s="9"/>
      <c r="X899" s="9"/>
      <c r="Y899" s="204"/>
      <c r="Z899" s="9"/>
      <c r="AA899" s="9"/>
      <c r="AB899" s="9"/>
      <c r="AC899" s="9"/>
    </row>
    <row r="900" ht="15.75" customHeight="1">
      <c r="A900" s="9"/>
      <c r="B900" s="9"/>
      <c r="C900" s="9"/>
      <c r="D900" s="9"/>
      <c r="E900" s="9"/>
      <c r="F900" s="9"/>
      <c r="G900" s="9"/>
      <c r="H900" s="9"/>
      <c r="I900" s="9"/>
      <c r="J900" s="9"/>
      <c r="K900" s="9"/>
      <c r="L900" s="9"/>
      <c r="M900" s="223"/>
      <c r="N900" s="9"/>
      <c r="O900" s="9"/>
      <c r="P900" s="9"/>
      <c r="Q900" s="9"/>
      <c r="R900" s="9"/>
      <c r="S900" s="223"/>
      <c r="T900" s="223"/>
      <c r="U900" s="223"/>
      <c r="V900" s="9"/>
      <c r="W900" s="9"/>
      <c r="X900" s="9"/>
      <c r="Y900" s="204"/>
      <c r="Z900" s="9"/>
      <c r="AA900" s="9"/>
      <c r="AB900" s="9"/>
      <c r="AC900" s="9"/>
    </row>
    <row r="901" ht="15.75" customHeight="1">
      <c r="A901" s="9"/>
      <c r="B901" s="9"/>
      <c r="C901" s="9"/>
      <c r="D901" s="9"/>
      <c r="E901" s="9"/>
      <c r="F901" s="9"/>
      <c r="G901" s="9"/>
      <c r="H901" s="9"/>
      <c r="I901" s="9"/>
      <c r="J901" s="9"/>
      <c r="K901" s="9"/>
      <c r="L901" s="9"/>
      <c r="M901" s="223"/>
      <c r="N901" s="9"/>
      <c r="O901" s="9"/>
      <c r="P901" s="9"/>
      <c r="Q901" s="9"/>
      <c r="R901" s="9"/>
      <c r="S901" s="223"/>
      <c r="T901" s="223"/>
      <c r="U901" s="223"/>
      <c r="V901" s="9"/>
      <c r="W901" s="9"/>
      <c r="X901" s="9"/>
      <c r="Y901" s="204"/>
      <c r="Z901" s="9"/>
      <c r="AA901" s="9"/>
      <c r="AB901" s="9"/>
      <c r="AC901" s="9"/>
    </row>
    <row r="902" ht="15.75" customHeight="1">
      <c r="A902" s="9"/>
      <c r="B902" s="9"/>
      <c r="C902" s="9"/>
      <c r="D902" s="9"/>
      <c r="E902" s="9"/>
      <c r="F902" s="9"/>
      <c r="G902" s="9"/>
      <c r="H902" s="9"/>
      <c r="I902" s="9"/>
      <c r="J902" s="9"/>
      <c r="K902" s="9"/>
      <c r="L902" s="9"/>
      <c r="M902" s="223"/>
      <c r="N902" s="9"/>
      <c r="O902" s="9"/>
      <c r="P902" s="9"/>
      <c r="Q902" s="9"/>
      <c r="R902" s="9"/>
      <c r="S902" s="223"/>
      <c r="T902" s="223"/>
      <c r="U902" s="223"/>
      <c r="V902" s="9"/>
      <c r="W902" s="9"/>
      <c r="X902" s="9"/>
      <c r="Y902" s="204"/>
      <c r="Z902" s="9"/>
      <c r="AA902" s="9"/>
      <c r="AB902" s="9"/>
      <c r="AC902" s="9"/>
    </row>
    <row r="903" ht="15.75" customHeight="1">
      <c r="A903" s="9"/>
      <c r="B903" s="9"/>
      <c r="C903" s="9"/>
      <c r="D903" s="9"/>
      <c r="E903" s="9"/>
      <c r="F903" s="9"/>
      <c r="G903" s="9"/>
      <c r="H903" s="9"/>
      <c r="I903" s="9"/>
      <c r="J903" s="9"/>
      <c r="K903" s="9"/>
      <c r="L903" s="9"/>
      <c r="M903" s="223"/>
      <c r="N903" s="9"/>
      <c r="O903" s="9"/>
      <c r="P903" s="9"/>
      <c r="Q903" s="9"/>
      <c r="R903" s="9"/>
      <c r="S903" s="223"/>
      <c r="T903" s="223"/>
      <c r="U903" s="223"/>
      <c r="V903" s="9"/>
      <c r="W903" s="9"/>
      <c r="X903" s="9"/>
      <c r="Y903" s="204"/>
      <c r="Z903" s="9"/>
      <c r="AA903" s="9"/>
      <c r="AB903" s="9"/>
      <c r="AC903" s="9"/>
    </row>
    <row r="904" ht="15.75" customHeight="1">
      <c r="A904" s="9"/>
      <c r="B904" s="9"/>
      <c r="C904" s="9"/>
      <c r="D904" s="9"/>
      <c r="E904" s="9"/>
      <c r="F904" s="9"/>
      <c r="G904" s="9"/>
      <c r="H904" s="9"/>
      <c r="I904" s="9"/>
      <c r="J904" s="9"/>
      <c r="K904" s="9"/>
      <c r="L904" s="9"/>
      <c r="M904" s="223"/>
      <c r="N904" s="9"/>
      <c r="O904" s="9"/>
      <c r="P904" s="9"/>
      <c r="Q904" s="9"/>
      <c r="R904" s="9"/>
      <c r="S904" s="223"/>
      <c r="T904" s="223"/>
      <c r="U904" s="223"/>
      <c r="V904" s="9"/>
      <c r="W904" s="9"/>
      <c r="X904" s="9"/>
      <c r="Y904" s="204"/>
      <c r="Z904" s="9"/>
      <c r="AA904" s="9"/>
      <c r="AB904" s="9"/>
      <c r="AC904" s="9"/>
    </row>
    <row r="905" ht="15.75" customHeight="1">
      <c r="A905" s="9"/>
      <c r="B905" s="9"/>
      <c r="C905" s="9"/>
      <c r="D905" s="9"/>
      <c r="E905" s="9"/>
      <c r="F905" s="9"/>
      <c r="G905" s="9"/>
      <c r="H905" s="9"/>
      <c r="I905" s="9"/>
      <c r="J905" s="9"/>
      <c r="K905" s="9"/>
      <c r="L905" s="9"/>
      <c r="M905" s="223"/>
      <c r="N905" s="9"/>
      <c r="O905" s="9"/>
      <c r="P905" s="9"/>
      <c r="Q905" s="9"/>
      <c r="R905" s="9"/>
      <c r="S905" s="223"/>
      <c r="T905" s="223"/>
      <c r="U905" s="223"/>
      <c r="V905" s="9"/>
      <c r="W905" s="9"/>
      <c r="X905" s="9"/>
      <c r="Y905" s="204"/>
      <c r="Z905" s="9"/>
      <c r="AA905" s="9"/>
      <c r="AB905" s="9"/>
      <c r="AC905" s="9"/>
    </row>
    <row r="906" ht="15.75" customHeight="1">
      <c r="A906" s="9"/>
      <c r="B906" s="9"/>
      <c r="C906" s="9"/>
      <c r="D906" s="9"/>
      <c r="E906" s="9"/>
      <c r="F906" s="9"/>
      <c r="G906" s="9"/>
      <c r="H906" s="9"/>
      <c r="I906" s="9"/>
      <c r="J906" s="9"/>
      <c r="K906" s="9"/>
      <c r="L906" s="9"/>
      <c r="M906" s="223"/>
      <c r="N906" s="9"/>
      <c r="O906" s="9"/>
      <c r="P906" s="9"/>
      <c r="Q906" s="9"/>
      <c r="R906" s="9"/>
      <c r="S906" s="223"/>
      <c r="T906" s="223"/>
      <c r="U906" s="223"/>
      <c r="V906" s="9"/>
      <c r="W906" s="9"/>
      <c r="X906" s="9"/>
      <c r="Y906" s="204"/>
      <c r="Z906" s="9"/>
      <c r="AA906" s="9"/>
      <c r="AB906" s="9"/>
      <c r="AC906" s="9"/>
    </row>
    <row r="907" ht="15.75" customHeight="1">
      <c r="A907" s="9"/>
      <c r="B907" s="9"/>
      <c r="C907" s="9"/>
      <c r="D907" s="9"/>
      <c r="E907" s="9"/>
      <c r="F907" s="9"/>
      <c r="G907" s="9"/>
      <c r="H907" s="9"/>
      <c r="I907" s="9"/>
      <c r="J907" s="9"/>
      <c r="K907" s="9"/>
      <c r="L907" s="9"/>
      <c r="M907" s="223"/>
      <c r="N907" s="9"/>
      <c r="O907" s="9"/>
      <c r="P907" s="9"/>
      <c r="Q907" s="9"/>
      <c r="R907" s="9"/>
      <c r="S907" s="223"/>
      <c r="T907" s="223"/>
      <c r="U907" s="223"/>
      <c r="V907" s="9"/>
      <c r="W907" s="9"/>
      <c r="X907" s="9"/>
      <c r="Y907" s="204"/>
      <c r="Z907" s="9"/>
      <c r="AA907" s="9"/>
      <c r="AB907" s="9"/>
      <c r="AC907" s="9"/>
    </row>
    <row r="908" ht="15.75" customHeight="1">
      <c r="A908" s="9"/>
      <c r="B908" s="9"/>
      <c r="C908" s="9"/>
      <c r="D908" s="9"/>
      <c r="E908" s="9"/>
      <c r="F908" s="9"/>
      <c r="G908" s="9"/>
      <c r="H908" s="9"/>
      <c r="I908" s="9"/>
      <c r="J908" s="9"/>
      <c r="K908" s="9"/>
      <c r="L908" s="9"/>
      <c r="M908" s="223"/>
      <c r="N908" s="9"/>
      <c r="O908" s="9"/>
      <c r="P908" s="9"/>
      <c r="Q908" s="9"/>
      <c r="R908" s="9"/>
      <c r="S908" s="223"/>
      <c r="T908" s="223"/>
      <c r="U908" s="223"/>
      <c r="V908" s="9"/>
      <c r="W908" s="9"/>
      <c r="X908" s="9"/>
      <c r="Y908" s="204"/>
      <c r="Z908" s="9"/>
      <c r="AA908" s="9"/>
      <c r="AB908" s="9"/>
      <c r="AC908" s="9"/>
    </row>
    <row r="909" ht="15.75" customHeight="1">
      <c r="A909" s="9"/>
      <c r="B909" s="9"/>
      <c r="C909" s="9"/>
      <c r="D909" s="9"/>
      <c r="E909" s="9"/>
      <c r="F909" s="9"/>
      <c r="G909" s="9"/>
      <c r="H909" s="9"/>
      <c r="I909" s="9"/>
      <c r="J909" s="9"/>
      <c r="K909" s="9"/>
      <c r="L909" s="9"/>
      <c r="M909" s="223"/>
      <c r="N909" s="9"/>
      <c r="O909" s="9"/>
      <c r="P909" s="9"/>
      <c r="Q909" s="9"/>
      <c r="R909" s="9"/>
      <c r="S909" s="223"/>
      <c r="T909" s="223"/>
      <c r="U909" s="223"/>
      <c r="V909" s="9"/>
      <c r="W909" s="9"/>
      <c r="X909" s="9"/>
      <c r="Y909" s="204"/>
      <c r="Z909" s="9"/>
      <c r="AA909" s="9"/>
      <c r="AB909" s="9"/>
      <c r="AC909" s="9"/>
    </row>
    <row r="910" ht="15.75" customHeight="1">
      <c r="A910" s="9"/>
      <c r="B910" s="9"/>
      <c r="C910" s="9"/>
      <c r="D910" s="9"/>
      <c r="E910" s="9"/>
      <c r="F910" s="9"/>
      <c r="G910" s="9"/>
      <c r="H910" s="9"/>
      <c r="I910" s="9"/>
      <c r="J910" s="9"/>
      <c r="K910" s="9"/>
      <c r="L910" s="9"/>
      <c r="M910" s="223"/>
      <c r="N910" s="9"/>
      <c r="O910" s="9"/>
      <c r="P910" s="9"/>
      <c r="Q910" s="9"/>
      <c r="R910" s="9"/>
      <c r="S910" s="223"/>
      <c r="T910" s="223"/>
      <c r="U910" s="223"/>
      <c r="V910" s="9"/>
      <c r="W910" s="9"/>
      <c r="X910" s="9"/>
      <c r="Y910" s="204"/>
      <c r="Z910" s="9"/>
      <c r="AA910" s="9"/>
      <c r="AB910" s="9"/>
      <c r="AC910" s="9"/>
    </row>
    <row r="911" ht="15.75" customHeight="1">
      <c r="A911" s="9"/>
      <c r="B911" s="9"/>
      <c r="C911" s="9"/>
      <c r="D911" s="9"/>
      <c r="E911" s="9"/>
      <c r="F911" s="9"/>
      <c r="G911" s="9"/>
      <c r="H911" s="9"/>
      <c r="I911" s="9"/>
      <c r="J911" s="9"/>
      <c r="K911" s="9"/>
      <c r="L911" s="9"/>
      <c r="M911" s="223"/>
      <c r="N911" s="9"/>
      <c r="O911" s="9"/>
      <c r="P911" s="9"/>
      <c r="Q911" s="9"/>
      <c r="R911" s="9"/>
      <c r="S911" s="223"/>
      <c r="T911" s="223"/>
      <c r="U911" s="223"/>
      <c r="V911" s="9"/>
      <c r="W911" s="9"/>
      <c r="X911" s="9"/>
      <c r="Y911" s="204"/>
      <c r="Z911" s="9"/>
      <c r="AA911" s="9"/>
      <c r="AB911" s="9"/>
      <c r="AC911" s="9"/>
    </row>
    <row r="912" ht="15.75" customHeight="1">
      <c r="A912" s="9"/>
      <c r="B912" s="9"/>
      <c r="C912" s="9"/>
      <c r="D912" s="9"/>
      <c r="E912" s="9"/>
      <c r="F912" s="9"/>
      <c r="G912" s="9"/>
      <c r="H912" s="9"/>
      <c r="I912" s="9"/>
      <c r="J912" s="9"/>
      <c r="K912" s="9"/>
      <c r="L912" s="9"/>
      <c r="M912" s="223"/>
      <c r="N912" s="9"/>
      <c r="O912" s="9"/>
      <c r="P912" s="9"/>
      <c r="Q912" s="9"/>
      <c r="R912" s="9"/>
      <c r="S912" s="223"/>
      <c r="T912" s="223"/>
      <c r="U912" s="223"/>
      <c r="V912" s="9"/>
      <c r="W912" s="9"/>
      <c r="X912" s="9"/>
      <c r="Y912" s="204"/>
      <c r="Z912" s="9"/>
      <c r="AA912" s="9"/>
      <c r="AB912" s="9"/>
      <c r="AC912" s="9"/>
    </row>
    <row r="913" ht="15.75" customHeight="1">
      <c r="A913" s="9"/>
      <c r="B913" s="9"/>
      <c r="C913" s="9"/>
      <c r="D913" s="9"/>
      <c r="E913" s="9"/>
      <c r="F913" s="9"/>
      <c r="G913" s="9"/>
      <c r="H913" s="9"/>
      <c r="I913" s="9"/>
      <c r="J913" s="9"/>
      <c r="K913" s="9"/>
      <c r="L913" s="9"/>
      <c r="M913" s="223"/>
      <c r="N913" s="9"/>
      <c r="O913" s="9"/>
      <c r="P913" s="9"/>
      <c r="Q913" s="9"/>
      <c r="R913" s="9"/>
      <c r="S913" s="223"/>
      <c r="T913" s="223"/>
      <c r="U913" s="223"/>
      <c r="V913" s="9"/>
      <c r="W913" s="9"/>
      <c r="X913" s="9"/>
      <c r="Y913" s="204"/>
      <c r="Z913" s="9"/>
      <c r="AA913" s="9"/>
      <c r="AB913" s="9"/>
      <c r="AC913" s="9"/>
    </row>
    <row r="914" ht="15.75" customHeight="1">
      <c r="A914" s="9"/>
      <c r="B914" s="9"/>
      <c r="C914" s="9"/>
      <c r="D914" s="9"/>
      <c r="E914" s="9"/>
      <c r="F914" s="9"/>
      <c r="G914" s="9"/>
      <c r="H914" s="9"/>
      <c r="I914" s="9"/>
      <c r="J914" s="9"/>
      <c r="K914" s="9"/>
      <c r="L914" s="9"/>
      <c r="M914" s="223"/>
      <c r="N914" s="9"/>
      <c r="O914" s="9"/>
      <c r="P914" s="9"/>
      <c r="Q914" s="9"/>
      <c r="R914" s="9"/>
      <c r="S914" s="223"/>
      <c r="T914" s="223"/>
      <c r="U914" s="223"/>
      <c r="V914" s="9"/>
      <c r="W914" s="9"/>
      <c r="X914" s="9"/>
      <c r="Y914" s="204"/>
      <c r="Z914" s="9"/>
      <c r="AA914" s="9"/>
      <c r="AB914" s="9"/>
      <c r="AC914" s="9"/>
    </row>
    <row r="915" ht="15.75" customHeight="1">
      <c r="A915" s="9"/>
      <c r="B915" s="9"/>
      <c r="C915" s="9"/>
      <c r="D915" s="9"/>
      <c r="E915" s="9"/>
      <c r="F915" s="9"/>
      <c r="G915" s="9"/>
      <c r="H915" s="9"/>
      <c r="I915" s="9"/>
      <c r="J915" s="9"/>
      <c r="K915" s="9"/>
      <c r="L915" s="9"/>
      <c r="M915" s="223"/>
      <c r="N915" s="9"/>
      <c r="O915" s="9"/>
      <c r="P915" s="9"/>
      <c r="Q915" s="9"/>
      <c r="R915" s="9"/>
      <c r="S915" s="223"/>
      <c r="T915" s="223"/>
      <c r="U915" s="223"/>
      <c r="V915" s="9"/>
      <c r="W915" s="9"/>
      <c r="X915" s="9"/>
      <c r="Y915" s="204"/>
      <c r="Z915" s="9"/>
      <c r="AA915" s="9"/>
      <c r="AB915" s="9"/>
      <c r="AC915" s="9"/>
    </row>
    <row r="916" ht="15.75" customHeight="1">
      <c r="A916" s="9"/>
      <c r="B916" s="9"/>
      <c r="C916" s="9"/>
      <c r="D916" s="9"/>
      <c r="E916" s="9"/>
      <c r="F916" s="9"/>
      <c r="G916" s="9"/>
      <c r="H916" s="9"/>
      <c r="I916" s="9"/>
      <c r="J916" s="9"/>
      <c r="K916" s="9"/>
      <c r="L916" s="9"/>
      <c r="M916" s="223"/>
      <c r="N916" s="9"/>
      <c r="O916" s="9"/>
      <c r="P916" s="9"/>
      <c r="Q916" s="9"/>
      <c r="R916" s="9"/>
      <c r="S916" s="223"/>
      <c r="T916" s="223"/>
      <c r="U916" s="223"/>
      <c r="V916" s="9"/>
      <c r="W916" s="9"/>
      <c r="X916" s="9"/>
      <c r="Y916" s="204"/>
      <c r="Z916" s="9"/>
      <c r="AA916" s="9"/>
      <c r="AB916" s="9"/>
      <c r="AC916" s="9"/>
    </row>
    <row r="917" ht="15.75" customHeight="1">
      <c r="A917" s="9"/>
      <c r="B917" s="9"/>
      <c r="C917" s="9"/>
      <c r="D917" s="9"/>
      <c r="E917" s="9"/>
      <c r="F917" s="9"/>
      <c r="G917" s="9"/>
      <c r="H917" s="9"/>
      <c r="I917" s="9"/>
      <c r="J917" s="9"/>
      <c r="K917" s="9"/>
      <c r="L917" s="9"/>
      <c r="M917" s="223"/>
      <c r="N917" s="9"/>
      <c r="O917" s="9"/>
      <c r="P917" s="9"/>
      <c r="Q917" s="9"/>
      <c r="R917" s="9"/>
      <c r="S917" s="223"/>
      <c r="T917" s="223"/>
      <c r="U917" s="223"/>
      <c r="V917" s="9"/>
      <c r="W917" s="9"/>
      <c r="X917" s="9"/>
      <c r="Y917" s="204"/>
      <c r="Z917" s="9"/>
      <c r="AA917" s="9"/>
      <c r="AB917" s="9"/>
      <c r="AC917" s="9"/>
    </row>
    <row r="918" ht="15.75" customHeight="1">
      <c r="A918" s="9"/>
      <c r="B918" s="9"/>
      <c r="C918" s="9"/>
      <c r="D918" s="9"/>
      <c r="E918" s="9"/>
      <c r="F918" s="9"/>
      <c r="G918" s="9"/>
      <c r="H918" s="9"/>
      <c r="I918" s="9"/>
      <c r="J918" s="9"/>
      <c r="K918" s="9"/>
      <c r="L918" s="9"/>
      <c r="M918" s="223"/>
      <c r="N918" s="9"/>
      <c r="O918" s="9"/>
      <c r="P918" s="9"/>
      <c r="Q918" s="9"/>
      <c r="R918" s="9"/>
      <c r="S918" s="223"/>
      <c r="T918" s="223"/>
      <c r="U918" s="223"/>
      <c r="V918" s="9"/>
      <c r="W918" s="9"/>
      <c r="X918" s="9"/>
      <c r="Y918" s="204"/>
      <c r="Z918" s="9"/>
      <c r="AA918" s="9"/>
      <c r="AB918" s="9"/>
      <c r="AC918" s="9"/>
    </row>
    <row r="919" ht="15.75" customHeight="1">
      <c r="A919" s="9"/>
      <c r="B919" s="9"/>
      <c r="C919" s="9"/>
      <c r="D919" s="9"/>
      <c r="E919" s="9"/>
      <c r="F919" s="9"/>
      <c r="G919" s="9"/>
      <c r="H919" s="9"/>
      <c r="I919" s="9"/>
      <c r="J919" s="9"/>
      <c r="K919" s="9"/>
      <c r="L919" s="9"/>
      <c r="M919" s="223"/>
      <c r="N919" s="9"/>
      <c r="O919" s="9"/>
      <c r="P919" s="9"/>
      <c r="Q919" s="9"/>
      <c r="R919" s="9"/>
      <c r="S919" s="223"/>
      <c r="T919" s="223"/>
      <c r="U919" s="223"/>
      <c r="V919" s="9"/>
      <c r="W919" s="9"/>
      <c r="X919" s="9"/>
      <c r="Y919" s="204"/>
      <c r="Z919" s="9"/>
      <c r="AA919" s="9"/>
      <c r="AB919" s="9"/>
      <c r="AC919" s="9"/>
    </row>
    <row r="920" ht="15.75" customHeight="1">
      <c r="A920" s="9"/>
      <c r="B920" s="9"/>
      <c r="C920" s="9"/>
      <c r="D920" s="9"/>
      <c r="E920" s="9"/>
      <c r="F920" s="9"/>
      <c r="G920" s="9"/>
      <c r="H920" s="9"/>
      <c r="I920" s="9"/>
      <c r="J920" s="9"/>
      <c r="K920" s="9"/>
      <c r="L920" s="9"/>
      <c r="M920" s="223"/>
      <c r="N920" s="9"/>
      <c r="O920" s="9"/>
      <c r="P920" s="9"/>
      <c r="Q920" s="9"/>
      <c r="R920" s="9"/>
      <c r="S920" s="223"/>
      <c r="T920" s="223"/>
      <c r="U920" s="223"/>
      <c r="V920" s="9"/>
      <c r="W920" s="9"/>
      <c r="X920" s="9"/>
      <c r="Y920" s="204"/>
      <c r="Z920" s="9"/>
      <c r="AA920" s="9"/>
      <c r="AB920" s="9"/>
      <c r="AC920" s="9"/>
    </row>
    <row r="921" ht="15.75" customHeight="1">
      <c r="A921" s="9"/>
      <c r="B921" s="9"/>
      <c r="C921" s="9"/>
      <c r="D921" s="9"/>
      <c r="E921" s="9"/>
      <c r="F921" s="9"/>
      <c r="G921" s="9"/>
      <c r="H921" s="9"/>
      <c r="I921" s="9"/>
      <c r="J921" s="9"/>
      <c r="K921" s="9"/>
      <c r="L921" s="9"/>
      <c r="M921" s="223"/>
      <c r="N921" s="9"/>
      <c r="O921" s="9"/>
      <c r="P921" s="9"/>
      <c r="Q921" s="9"/>
      <c r="R921" s="9"/>
      <c r="S921" s="223"/>
      <c r="T921" s="223"/>
      <c r="U921" s="223"/>
      <c r="V921" s="9"/>
      <c r="W921" s="9"/>
      <c r="X921" s="9"/>
      <c r="Y921" s="204"/>
      <c r="Z921" s="9"/>
      <c r="AA921" s="9"/>
      <c r="AB921" s="9"/>
      <c r="AC921" s="9"/>
    </row>
    <row r="922" ht="15.75" customHeight="1">
      <c r="A922" s="9"/>
      <c r="B922" s="9"/>
      <c r="C922" s="9"/>
      <c r="D922" s="9"/>
      <c r="E922" s="9"/>
      <c r="F922" s="9"/>
      <c r="G922" s="9"/>
      <c r="H922" s="9"/>
      <c r="I922" s="9"/>
      <c r="J922" s="9"/>
      <c r="K922" s="9"/>
      <c r="L922" s="9"/>
      <c r="M922" s="223"/>
      <c r="N922" s="9"/>
      <c r="O922" s="9"/>
      <c r="P922" s="9"/>
      <c r="Q922" s="9"/>
      <c r="R922" s="9"/>
      <c r="S922" s="223"/>
      <c r="T922" s="223"/>
      <c r="U922" s="223"/>
      <c r="V922" s="9"/>
      <c r="W922" s="9"/>
      <c r="X922" s="9"/>
      <c r="Y922" s="204"/>
      <c r="Z922" s="9"/>
      <c r="AA922" s="9"/>
      <c r="AB922" s="9"/>
      <c r="AC922" s="9"/>
    </row>
    <row r="923" ht="15.75" customHeight="1">
      <c r="A923" s="9"/>
      <c r="B923" s="9"/>
      <c r="C923" s="9"/>
      <c r="D923" s="9"/>
      <c r="E923" s="9"/>
      <c r="F923" s="9"/>
      <c r="G923" s="9"/>
      <c r="H923" s="9"/>
      <c r="I923" s="9"/>
      <c r="J923" s="9"/>
      <c r="K923" s="9"/>
      <c r="L923" s="9"/>
      <c r="M923" s="223"/>
      <c r="N923" s="9"/>
      <c r="O923" s="9"/>
      <c r="P923" s="9"/>
      <c r="Q923" s="9"/>
      <c r="R923" s="9"/>
      <c r="S923" s="223"/>
      <c r="T923" s="223"/>
      <c r="U923" s="223"/>
      <c r="V923" s="9"/>
      <c r="W923" s="9"/>
      <c r="X923" s="9"/>
      <c r="Y923" s="204"/>
      <c r="Z923" s="9"/>
      <c r="AA923" s="9"/>
      <c r="AB923" s="9"/>
      <c r="AC923" s="9"/>
    </row>
    <row r="924" ht="15.75" customHeight="1">
      <c r="A924" s="9"/>
      <c r="B924" s="9"/>
      <c r="C924" s="9"/>
      <c r="D924" s="9"/>
      <c r="E924" s="9"/>
      <c r="F924" s="9"/>
      <c r="G924" s="9"/>
      <c r="H924" s="9"/>
      <c r="I924" s="9"/>
      <c r="J924" s="9"/>
      <c r="K924" s="9"/>
      <c r="L924" s="9"/>
      <c r="M924" s="223"/>
      <c r="N924" s="9"/>
      <c r="O924" s="9"/>
      <c r="P924" s="9"/>
      <c r="Q924" s="9"/>
      <c r="R924" s="9"/>
      <c r="S924" s="223"/>
      <c r="T924" s="223"/>
      <c r="U924" s="223"/>
      <c r="V924" s="9"/>
      <c r="W924" s="9"/>
      <c r="X924" s="9"/>
      <c r="Y924" s="204"/>
      <c r="Z924" s="9"/>
      <c r="AA924" s="9"/>
      <c r="AB924" s="9"/>
      <c r="AC924" s="9"/>
    </row>
    <row r="925" ht="15.75" customHeight="1">
      <c r="A925" s="9"/>
      <c r="B925" s="9"/>
      <c r="C925" s="9"/>
      <c r="D925" s="9"/>
      <c r="E925" s="9"/>
      <c r="F925" s="9"/>
      <c r="G925" s="9"/>
      <c r="H925" s="9"/>
      <c r="I925" s="9"/>
      <c r="J925" s="9"/>
      <c r="K925" s="9"/>
      <c r="L925" s="9"/>
      <c r="M925" s="223"/>
      <c r="N925" s="9"/>
      <c r="O925" s="9"/>
      <c r="P925" s="9"/>
      <c r="Q925" s="9"/>
      <c r="R925" s="9"/>
      <c r="S925" s="223"/>
      <c r="T925" s="223"/>
      <c r="U925" s="223"/>
      <c r="V925" s="9"/>
      <c r="W925" s="9"/>
      <c r="X925" s="9"/>
      <c r="Y925" s="204"/>
      <c r="Z925" s="9"/>
      <c r="AA925" s="9"/>
      <c r="AB925" s="9"/>
      <c r="AC925" s="9"/>
    </row>
    <row r="926" ht="15.75" customHeight="1">
      <c r="A926" s="9"/>
      <c r="B926" s="9"/>
      <c r="C926" s="9"/>
      <c r="D926" s="9"/>
      <c r="E926" s="9"/>
      <c r="F926" s="9"/>
      <c r="G926" s="9"/>
      <c r="H926" s="9"/>
      <c r="I926" s="9"/>
      <c r="J926" s="9"/>
      <c r="K926" s="9"/>
      <c r="L926" s="9"/>
      <c r="M926" s="223"/>
      <c r="N926" s="9"/>
      <c r="O926" s="9"/>
      <c r="P926" s="9"/>
      <c r="Q926" s="9"/>
      <c r="R926" s="9"/>
      <c r="S926" s="223"/>
      <c r="T926" s="223"/>
      <c r="U926" s="223"/>
      <c r="V926" s="9"/>
      <c r="W926" s="9"/>
      <c r="X926" s="9"/>
      <c r="Y926" s="204"/>
      <c r="Z926" s="9"/>
      <c r="AA926" s="9"/>
      <c r="AB926" s="9"/>
      <c r="AC926" s="9"/>
    </row>
    <row r="927" ht="15.75" customHeight="1">
      <c r="A927" s="9"/>
      <c r="B927" s="9"/>
      <c r="C927" s="9"/>
      <c r="D927" s="9"/>
      <c r="E927" s="9"/>
      <c r="F927" s="9"/>
      <c r="G927" s="9"/>
      <c r="H927" s="9"/>
      <c r="I927" s="9"/>
      <c r="J927" s="9"/>
      <c r="K927" s="9"/>
      <c r="L927" s="9"/>
      <c r="M927" s="223"/>
      <c r="N927" s="9"/>
      <c r="O927" s="9"/>
      <c r="P927" s="9"/>
      <c r="Q927" s="9"/>
      <c r="R927" s="9"/>
      <c r="S927" s="223"/>
      <c r="T927" s="223"/>
      <c r="U927" s="223"/>
      <c r="V927" s="9"/>
      <c r="W927" s="9"/>
      <c r="X927" s="9"/>
      <c r="Y927" s="204"/>
      <c r="Z927" s="9"/>
      <c r="AA927" s="9"/>
      <c r="AB927" s="9"/>
      <c r="AC927" s="9"/>
    </row>
    <row r="928" ht="15.75" customHeight="1">
      <c r="A928" s="9"/>
      <c r="B928" s="9"/>
      <c r="C928" s="9"/>
      <c r="D928" s="9"/>
      <c r="E928" s="9"/>
      <c r="F928" s="9"/>
      <c r="G928" s="9"/>
      <c r="H928" s="9"/>
      <c r="I928" s="9"/>
      <c r="J928" s="9"/>
      <c r="K928" s="9"/>
      <c r="L928" s="9"/>
      <c r="M928" s="223"/>
      <c r="N928" s="9"/>
      <c r="O928" s="9"/>
      <c r="P928" s="9"/>
      <c r="Q928" s="9"/>
      <c r="R928" s="9"/>
      <c r="S928" s="223"/>
      <c r="T928" s="223"/>
      <c r="U928" s="223"/>
      <c r="V928" s="9"/>
      <c r="W928" s="9"/>
      <c r="X928" s="9"/>
      <c r="Y928" s="204"/>
      <c r="Z928" s="9"/>
      <c r="AA928" s="9"/>
      <c r="AB928" s="9"/>
      <c r="AC928" s="9"/>
    </row>
    <row r="929" ht="15.75" customHeight="1">
      <c r="A929" s="9"/>
      <c r="B929" s="9"/>
      <c r="C929" s="9"/>
      <c r="D929" s="9"/>
      <c r="E929" s="9"/>
      <c r="F929" s="9"/>
      <c r="G929" s="9"/>
      <c r="H929" s="9"/>
      <c r="I929" s="9"/>
      <c r="J929" s="9"/>
      <c r="K929" s="9"/>
      <c r="L929" s="9"/>
      <c r="M929" s="223"/>
      <c r="N929" s="9"/>
      <c r="O929" s="9"/>
      <c r="P929" s="9"/>
      <c r="Q929" s="9"/>
      <c r="R929" s="9"/>
      <c r="S929" s="223"/>
      <c r="T929" s="223"/>
      <c r="U929" s="223"/>
      <c r="V929" s="9"/>
      <c r="W929" s="9"/>
      <c r="X929" s="9"/>
      <c r="Y929" s="204"/>
      <c r="Z929" s="9"/>
      <c r="AA929" s="9"/>
      <c r="AB929" s="9"/>
      <c r="AC929" s="9"/>
    </row>
    <row r="930" ht="15.75" customHeight="1">
      <c r="A930" s="9"/>
      <c r="B930" s="9"/>
      <c r="C930" s="9"/>
      <c r="D930" s="9"/>
      <c r="E930" s="9"/>
      <c r="F930" s="9"/>
      <c r="G930" s="9"/>
      <c r="H930" s="9"/>
      <c r="I930" s="9"/>
      <c r="J930" s="9"/>
      <c r="K930" s="9"/>
      <c r="L930" s="9"/>
      <c r="M930" s="223"/>
      <c r="N930" s="9"/>
      <c r="O930" s="9"/>
      <c r="P930" s="9"/>
      <c r="Q930" s="9"/>
      <c r="R930" s="9"/>
      <c r="S930" s="223"/>
      <c r="T930" s="223"/>
      <c r="U930" s="223"/>
      <c r="V930" s="9"/>
      <c r="W930" s="9"/>
      <c r="X930" s="9"/>
      <c r="Y930" s="204"/>
      <c r="Z930" s="9"/>
      <c r="AA930" s="9"/>
      <c r="AB930" s="9"/>
      <c r="AC930" s="9"/>
    </row>
    <row r="931" ht="15.75" customHeight="1">
      <c r="A931" s="9"/>
      <c r="B931" s="9"/>
      <c r="C931" s="9"/>
      <c r="D931" s="9"/>
      <c r="E931" s="9"/>
      <c r="F931" s="9"/>
      <c r="G931" s="9"/>
      <c r="H931" s="9"/>
      <c r="I931" s="9"/>
      <c r="J931" s="9"/>
      <c r="K931" s="9"/>
      <c r="L931" s="9"/>
      <c r="M931" s="223"/>
      <c r="N931" s="9"/>
      <c r="O931" s="9"/>
      <c r="P931" s="9"/>
      <c r="Q931" s="9"/>
      <c r="R931" s="9"/>
      <c r="S931" s="223"/>
      <c r="T931" s="223"/>
      <c r="U931" s="223"/>
      <c r="V931" s="9"/>
      <c r="W931" s="9"/>
      <c r="X931" s="9"/>
      <c r="Y931" s="204"/>
      <c r="Z931" s="9"/>
      <c r="AA931" s="9"/>
      <c r="AB931" s="9"/>
      <c r="AC931" s="9"/>
    </row>
    <row r="932" ht="15.75" customHeight="1">
      <c r="A932" s="9"/>
      <c r="B932" s="9"/>
      <c r="C932" s="9"/>
      <c r="D932" s="9"/>
      <c r="E932" s="9"/>
      <c r="F932" s="9"/>
      <c r="G932" s="9"/>
      <c r="H932" s="9"/>
      <c r="I932" s="9"/>
      <c r="J932" s="9"/>
      <c r="K932" s="9"/>
      <c r="L932" s="9"/>
      <c r="M932" s="223"/>
      <c r="N932" s="9"/>
      <c r="O932" s="9"/>
      <c r="P932" s="9"/>
      <c r="Q932" s="9"/>
      <c r="R932" s="9"/>
      <c r="S932" s="223"/>
      <c r="T932" s="223"/>
      <c r="U932" s="223"/>
      <c r="V932" s="9"/>
      <c r="W932" s="9"/>
      <c r="X932" s="9"/>
      <c r="Y932" s="204"/>
      <c r="Z932" s="9"/>
      <c r="AA932" s="9"/>
      <c r="AB932" s="9"/>
      <c r="AC932" s="9"/>
    </row>
    <row r="933" ht="15.75" customHeight="1">
      <c r="A933" s="9"/>
      <c r="B933" s="9"/>
      <c r="C933" s="9"/>
      <c r="D933" s="9"/>
      <c r="E933" s="9"/>
      <c r="F933" s="9"/>
      <c r="G933" s="9"/>
      <c r="H933" s="9"/>
      <c r="I933" s="9"/>
      <c r="J933" s="9"/>
      <c r="K933" s="9"/>
      <c r="L933" s="9"/>
      <c r="M933" s="223"/>
      <c r="N933" s="9"/>
      <c r="O933" s="9"/>
      <c r="P933" s="9"/>
      <c r="Q933" s="9"/>
      <c r="R933" s="9"/>
      <c r="S933" s="223"/>
      <c r="T933" s="223"/>
      <c r="U933" s="223"/>
      <c r="V933" s="9"/>
      <c r="W933" s="9"/>
      <c r="X933" s="9"/>
      <c r="Y933" s="204"/>
      <c r="Z933" s="9"/>
      <c r="AA933" s="9"/>
      <c r="AB933" s="9"/>
      <c r="AC933" s="9"/>
    </row>
    <row r="934" ht="15.75" customHeight="1">
      <c r="A934" s="9"/>
      <c r="B934" s="9"/>
      <c r="C934" s="9"/>
      <c r="D934" s="9"/>
      <c r="E934" s="9"/>
      <c r="F934" s="9"/>
      <c r="G934" s="9"/>
      <c r="H934" s="9"/>
      <c r="I934" s="9"/>
      <c r="J934" s="9"/>
      <c r="K934" s="9"/>
      <c r="L934" s="9"/>
      <c r="M934" s="223"/>
      <c r="N934" s="9"/>
      <c r="O934" s="9"/>
      <c r="P934" s="9"/>
      <c r="Q934" s="9"/>
      <c r="R934" s="9"/>
      <c r="S934" s="223"/>
      <c r="T934" s="223"/>
      <c r="U934" s="223"/>
      <c r="V934" s="9"/>
      <c r="W934" s="9"/>
      <c r="X934" s="9"/>
      <c r="Y934" s="204"/>
      <c r="Z934" s="9"/>
      <c r="AA934" s="9"/>
      <c r="AB934" s="9"/>
      <c r="AC934" s="9"/>
    </row>
    <row r="935" ht="15.75" customHeight="1">
      <c r="A935" s="9"/>
      <c r="B935" s="9"/>
      <c r="C935" s="9"/>
      <c r="D935" s="9"/>
      <c r="E935" s="9"/>
      <c r="F935" s="9"/>
      <c r="G935" s="9"/>
      <c r="H935" s="9"/>
      <c r="I935" s="9"/>
      <c r="J935" s="9"/>
      <c r="K935" s="9"/>
      <c r="L935" s="9"/>
      <c r="M935" s="223"/>
      <c r="N935" s="9"/>
      <c r="O935" s="9"/>
      <c r="P935" s="9"/>
      <c r="Q935" s="9"/>
      <c r="R935" s="9"/>
      <c r="S935" s="223"/>
      <c r="T935" s="223"/>
      <c r="U935" s="223"/>
      <c r="V935" s="9"/>
      <c r="W935" s="9"/>
      <c r="X935" s="9"/>
      <c r="Y935" s="204"/>
      <c r="Z935" s="9"/>
      <c r="AA935" s="9"/>
      <c r="AB935" s="9"/>
      <c r="AC935" s="9"/>
    </row>
    <row r="936" ht="15.75" customHeight="1">
      <c r="A936" s="9"/>
      <c r="B936" s="9"/>
      <c r="C936" s="9"/>
      <c r="D936" s="9"/>
      <c r="E936" s="9"/>
      <c r="F936" s="9"/>
      <c r="G936" s="9"/>
      <c r="H936" s="9"/>
      <c r="I936" s="9"/>
      <c r="J936" s="9"/>
      <c r="K936" s="9"/>
      <c r="L936" s="9"/>
      <c r="M936" s="223"/>
      <c r="N936" s="9"/>
      <c r="O936" s="9"/>
      <c r="P936" s="9"/>
      <c r="Q936" s="9"/>
      <c r="R936" s="9"/>
      <c r="S936" s="223"/>
      <c r="T936" s="223"/>
      <c r="U936" s="223"/>
      <c r="V936" s="9"/>
      <c r="W936" s="9"/>
      <c r="X936" s="9"/>
      <c r="Y936" s="204"/>
      <c r="Z936" s="9"/>
      <c r="AA936" s="9"/>
      <c r="AB936" s="9"/>
      <c r="AC936" s="9"/>
    </row>
    <row r="937" ht="15.75" customHeight="1">
      <c r="A937" s="9"/>
      <c r="B937" s="9"/>
      <c r="C937" s="9"/>
      <c r="D937" s="9"/>
      <c r="E937" s="9"/>
      <c r="F937" s="9"/>
      <c r="G937" s="9"/>
      <c r="H937" s="9"/>
      <c r="I937" s="9"/>
      <c r="J937" s="9"/>
      <c r="K937" s="9"/>
      <c r="L937" s="9"/>
      <c r="M937" s="223"/>
      <c r="N937" s="9"/>
      <c r="O937" s="9"/>
      <c r="P937" s="9"/>
      <c r="Q937" s="9"/>
      <c r="R937" s="9"/>
      <c r="S937" s="223"/>
      <c r="T937" s="223"/>
      <c r="U937" s="223"/>
      <c r="V937" s="9"/>
      <c r="W937" s="9"/>
      <c r="X937" s="9"/>
      <c r="Y937" s="204"/>
      <c r="Z937" s="9"/>
      <c r="AA937" s="9"/>
      <c r="AB937" s="9"/>
      <c r="AC937" s="9"/>
    </row>
    <row r="938" ht="15.75" customHeight="1">
      <c r="A938" s="9"/>
      <c r="B938" s="9"/>
      <c r="C938" s="9"/>
      <c r="D938" s="9"/>
      <c r="E938" s="9"/>
      <c r="F938" s="9"/>
      <c r="G938" s="9"/>
      <c r="H938" s="9"/>
      <c r="I938" s="9"/>
      <c r="J938" s="9"/>
      <c r="K938" s="9"/>
      <c r="L938" s="9"/>
      <c r="M938" s="223"/>
      <c r="N938" s="9"/>
      <c r="O938" s="9"/>
      <c r="P938" s="9"/>
      <c r="Q938" s="9"/>
      <c r="R938" s="9"/>
      <c r="S938" s="223"/>
      <c r="T938" s="223"/>
      <c r="U938" s="223"/>
      <c r="V938" s="9"/>
      <c r="W938" s="9"/>
      <c r="X938" s="9"/>
      <c r="Y938" s="204"/>
      <c r="Z938" s="9"/>
      <c r="AA938" s="9"/>
      <c r="AB938" s="9"/>
      <c r="AC938" s="9"/>
    </row>
    <row r="939" ht="15.75" customHeight="1">
      <c r="A939" s="9"/>
      <c r="B939" s="9"/>
      <c r="C939" s="9"/>
      <c r="D939" s="9"/>
      <c r="E939" s="9"/>
      <c r="F939" s="9"/>
      <c r="G939" s="9"/>
      <c r="H939" s="9"/>
      <c r="I939" s="9"/>
      <c r="J939" s="9"/>
      <c r="K939" s="9"/>
      <c r="L939" s="9"/>
      <c r="M939" s="223"/>
      <c r="N939" s="9"/>
      <c r="O939" s="9"/>
      <c r="P939" s="9"/>
      <c r="Q939" s="9"/>
      <c r="R939" s="9"/>
      <c r="S939" s="223"/>
      <c r="T939" s="223"/>
      <c r="U939" s="223"/>
      <c r="V939" s="9"/>
      <c r="W939" s="9"/>
      <c r="X939" s="9"/>
      <c r="Y939" s="204"/>
      <c r="Z939" s="9"/>
      <c r="AA939" s="9"/>
      <c r="AB939" s="9"/>
      <c r="AC939" s="9"/>
    </row>
    <row r="940" ht="15.75" customHeight="1">
      <c r="A940" s="9"/>
      <c r="B940" s="9"/>
      <c r="C940" s="9"/>
      <c r="D940" s="9"/>
      <c r="E940" s="9"/>
      <c r="F940" s="9"/>
      <c r="G940" s="9"/>
      <c r="H940" s="9"/>
      <c r="I940" s="9"/>
      <c r="J940" s="9"/>
      <c r="K940" s="9"/>
      <c r="L940" s="9"/>
      <c r="M940" s="223"/>
      <c r="N940" s="9"/>
      <c r="O940" s="9"/>
      <c r="P940" s="9"/>
      <c r="Q940" s="9"/>
      <c r="R940" s="9"/>
      <c r="S940" s="223"/>
      <c r="T940" s="223"/>
      <c r="U940" s="223"/>
      <c r="V940" s="9"/>
      <c r="W940" s="9"/>
      <c r="X940" s="9"/>
      <c r="Y940" s="204"/>
      <c r="Z940" s="9"/>
      <c r="AA940" s="9"/>
      <c r="AB940" s="9"/>
      <c r="AC940" s="9"/>
    </row>
    <row r="941" ht="15.75" customHeight="1">
      <c r="A941" s="9"/>
      <c r="B941" s="9"/>
      <c r="C941" s="9"/>
      <c r="D941" s="9"/>
      <c r="E941" s="9"/>
      <c r="F941" s="9"/>
      <c r="G941" s="9"/>
      <c r="H941" s="9"/>
      <c r="I941" s="9"/>
      <c r="J941" s="9"/>
      <c r="K941" s="9"/>
      <c r="L941" s="9"/>
      <c r="M941" s="223"/>
      <c r="N941" s="9"/>
      <c r="O941" s="9"/>
      <c r="P941" s="9"/>
      <c r="Q941" s="9"/>
      <c r="R941" s="9"/>
      <c r="S941" s="223"/>
      <c r="T941" s="223"/>
      <c r="U941" s="223"/>
      <c r="V941" s="9"/>
      <c r="W941" s="9"/>
      <c r="X941" s="9"/>
      <c r="Y941" s="204"/>
      <c r="Z941" s="9"/>
      <c r="AA941" s="9"/>
      <c r="AB941" s="9"/>
      <c r="AC941" s="9"/>
    </row>
    <row r="942" ht="15.75" customHeight="1">
      <c r="A942" s="9"/>
      <c r="B942" s="9"/>
      <c r="C942" s="9"/>
      <c r="D942" s="9"/>
      <c r="E942" s="9"/>
      <c r="F942" s="9"/>
      <c r="G942" s="9"/>
      <c r="H942" s="9"/>
      <c r="I942" s="9"/>
      <c r="J942" s="9"/>
      <c r="K942" s="9"/>
      <c r="L942" s="9"/>
      <c r="M942" s="223"/>
      <c r="N942" s="9"/>
      <c r="O942" s="9"/>
      <c r="P942" s="9"/>
      <c r="Q942" s="9"/>
      <c r="R942" s="9"/>
      <c r="S942" s="223"/>
      <c r="T942" s="223"/>
      <c r="U942" s="223"/>
      <c r="V942" s="9"/>
      <c r="W942" s="9"/>
      <c r="X942" s="9"/>
      <c r="Y942" s="204"/>
      <c r="Z942" s="9"/>
      <c r="AA942" s="9"/>
      <c r="AB942" s="9"/>
      <c r="AC942" s="9"/>
    </row>
    <row r="943" ht="15.75" customHeight="1">
      <c r="A943" s="9"/>
      <c r="B943" s="9"/>
      <c r="C943" s="9"/>
      <c r="D943" s="9"/>
      <c r="E943" s="9"/>
      <c r="F943" s="9"/>
      <c r="G943" s="9"/>
      <c r="H943" s="9"/>
      <c r="I943" s="9"/>
      <c r="J943" s="9"/>
      <c r="K943" s="9"/>
      <c r="L943" s="9"/>
      <c r="M943" s="223"/>
      <c r="N943" s="9"/>
      <c r="O943" s="9"/>
      <c r="P943" s="9"/>
      <c r="Q943" s="9"/>
      <c r="R943" s="9"/>
      <c r="S943" s="223"/>
      <c r="T943" s="223"/>
      <c r="U943" s="223"/>
      <c r="V943" s="9"/>
      <c r="W943" s="9"/>
      <c r="X943" s="9"/>
      <c r="Y943" s="204"/>
      <c r="Z943" s="9"/>
      <c r="AA943" s="9"/>
      <c r="AB943" s="9"/>
      <c r="AC943" s="9"/>
    </row>
    <row r="944" ht="15.75" customHeight="1">
      <c r="A944" s="9"/>
      <c r="B944" s="9"/>
      <c r="C944" s="9"/>
      <c r="D944" s="9"/>
      <c r="E944" s="9"/>
      <c r="F944" s="9"/>
      <c r="G944" s="9"/>
      <c r="H944" s="9"/>
      <c r="I944" s="9"/>
      <c r="J944" s="9"/>
      <c r="K944" s="9"/>
      <c r="L944" s="9"/>
      <c r="M944" s="223"/>
      <c r="N944" s="9"/>
      <c r="O944" s="9"/>
      <c r="P944" s="9"/>
      <c r="Q944" s="9"/>
      <c r="R944" s="9"/>
      <c r="S944" s="223"/>
      <c r="T944" s="223"/>
      <c r="U944" s="223"/>
      <c r="V944" s="9"/>
      <c r="W944" s="9"/>
      <c r="X944" s="9"/>
      <c r="Y944" s="204"/>
      <c r="Z944" s="9"/>
      <c r="AA944" s="9"/>
      <c r="AB944" s="9"/>
      <c r="AC944" s="9"/>
    </row>
    <row r="945" ht="15.75" customHeight="1">
      <c r="A945" s="9"/>
      <c r="B945" s="9"/>
      <c r="C945" s="9"/>
      <c r="D945" s="9"/>
      <c r="E945" s="9"/>
      <c r="F945" s="9"/>
      <c r="G945" s="9"/>
      <c r="H945" s="9"/>
      <c r="I945" s="9"/>
      <c r="J945" s="9"/>
      <c r="K945" s="9"/>
      <c r="L945" s="9"/>
      <c r="M945" s="223"/>
      <c r="N945" s="9"/>
      <c r="O945" s="9"/>
      <c r="P945" s="9"/>
      <c r="Q945" s="9"/>
      <c r="R945" s="9"/>
      <c r="S945" s="223"/>
      <c r="T945" s="223"/>
      <c r="U945" s="223"/>
      <c r="V945" s="9"/>
      <c r="W945" s="9"/>
      <c r="X945" s="9"/>
      <c r="Y945" s="204"/>
      <c r="Z945" s="9"/>
      <c r="AA945" s="9"/>
      <c r="AB945" s="9"/>
      <c r="AC945" s="9"/>
    </row>
    <row r="946" ht="15.75" customHeight="1">
      <c r="A946" s="9"/>
      <c r="B946" s="9"/>
      <c r="C946" s="9"/>
      <c r="D946" s="9"/>
      <c r="E946" s="9"/>
      <c r="F946" s="9"/>
      <c r="G946" s="9"/>
      <c r="H946" s="9"/>
      <c r="I946" s="9"/>
      <c r="J946" s="9"/>
      <c r="K946" s="9"/>
      <c r="L946" s="9"/>
      <c r="M946" s="223"/>
      <c r="N946" s="9"/>
      <c r="O946" s="9"/>
      <c r="P946" s="9"/>
      <c r="Q946" s="9"/>
      <c r="R946" s="9"/>
      <c r="S946" s="223"/>
      <c r="T946" s="223"/>
      <c r="U946" s="223"/>
      <c r="V946" s="9"/>
      <c r="W946" s="9"/>
      <c r="X946" s="9"/>
      <c r="Y946" s="204"/>
      <c r="Z946" s="9"/>
      <c r="AA946" s="9"/>
      <c r="AB946" s="9"/>
      <c r="AC946" s="9"/>
    </row>
    <row r="947" ht="15.75" customHeight="1">
      <c r="A947" s="9"/>
      <c r="B947" s="9"/>
      <c r="C947" s="9"/>
      <c r="D947" s="9"/>
      <c r="E947" s="9"/>
      <c r="F947" s="9"/>
      <c r="G947" s="9"/>
      <c r="H947" s="9"/>
      <c r="I947" s="9"/>
      <c r="J947" s="9"/>
      <c r="K947" s="9"/>
      <c r="L947" s="9"/>
      <c r="M947" s="223"/>
      <c r="N947" s="9"/>
      <c r="O947" s="9"/>
      <c r="P947" s="9"/>
      <c r="Q947" s="9"/>
      <c r="R947" s="9"/>
      <c r="S947" s="223"/>
      <c r="T947" s="223"/>
      <c r="U947" s="223"/>
      <c r="V947" s="9"/>
      <c r="W947" s="9"/>
      <c r="X947" s="9"/>
      <c r="Y947" s="204"/>
      <c r="Z947" s="9"/>
      <c r="AA947" s="9"/>
      <c r="AB947" s="9"/>
      <c r="AC947" s="9"/>
    </row>
    <row r="948" ht="15.75" customHeight="1">
      <c r="A948" s="9"/>
      <c r="B948" s="9"/>
      <c r="C948" s="9"/>
      <c r="D948" s="9"/>
      <c r="E948" s="9"/>
      <c r="F948" s="9"/>
      <c r="G948" s="9"/>
      <c r="H948" s="9"/>
      <c r="I948" s="9"/>
      <c r="J948" s="9"/>
      <c r="K948" s="9"/>
      <c r="L948" s="9"/>
      <c r="M948" s="223"/>
      <c r="N948" s="9"/>
      <c r="O948" s="9"/>
      <c r="P948" s="9"/>
      <c r="Q948" s="9"/>
      <c r="R948" s="9"/>
      <c r="S948" s="223"/>
      <c r="T948" s="223"/>
      <c r="U948" s="223"/>
      <c r="V948" s="9"/>
      <c r="W948" s="9"/>
      <c r="X948" s="9"/>
      <c r="Y948" s="204"/>
      <c r="Z948" s="9"/>
      <c r="AA948" s="9"/>
      <c r="AB948" s="9"/>
      <c r="AC948" s="9"/>
    </row>
    <row r="949" ht="15.75" customHeight="1">
      <c r="A949" s="9"/>
      <c r="B949" s="9"/>
      <c r="C949" s="9"/>
      <c r="D949" s="9"/>
      <c r="E949" s="9"/>
      <c r="F949" s="9"/>
      <c r="G949" s="9"/>
      <c r="H949" s="9"/>
      <c r="I949" s="9"/>
      <c r="J949" s="9"/>
      <c r="K949" s="9"/>
      <c r="L949" s="9"/>
      <c r="M949" s="223"/>
      <c r="N949" s="9"/>
      <c r="O949" s="9"/>
      <c r="P949" s="9"/>
      <c r="Q949" s="9"/>
      <c r="R949" s="9"/>
      <c r="S949" s="223"/>
      <c r="T949" s="223"/>
      <c r="U949" s="223"/>
      <c r="V949" s="9"/>
      <c r="W949" s="9"/>
      <c r="X949" s="9"/>
      <c r="Y949" s="204"/>
      <c r="Z949" s="9"/>
      <c r="AA949" s="9"/>
      <c r="AB949" s="9"/>
      <c r="AC949" s="9"/>
    </row>
    <row r="950" ht="15.75" customHeight="1">
      <c r="A950" s="9"/>
      <c r="B950" s="9"/>
      <c r="C950" s="9"/>
      <c r="D950" s="9"/>
      <c r="E950" s="9"/>
      <c r="F950" s="9"/>
      <c r="G950" s="9"/>
      <c r="H950" s="9"/>
      <c r="I950" s="9"/>
      <c r="J950" s="9"/>
      <c r="K950" s="9"/>
      <c r="L950" s="9"/>
      <c r="M950" s="223"/>
      <c r="N950" s="9"/>
      <c r="O950" s="9"/>
      <c r="P950" s="9"/>
      <c r="Q950" s="9"/>
      <c r="R950" s="9"/>
      <c r="S950" s="223"/>
      <c r="T950" s="223"/>
      <c r="U950" s="223"/>
      <c r="V950" s="9"/>
      <c r="W950" s="9"/>
      <c r="X950" s="9"/>
      <c r="Y950" s="204"/>
      <c r="Z950" s="9"/>
      <c r="AA950" s="9"/>
      <c r="AB950" s="9"/>
      <c r="AC950" s="9"/>
    </row>
    <row r="951" ht="15.75" customHeight="1">
      <c r="A951" s="9"/>
      <c r="B951" s="9"/>
      <c r="C951" s="9"/>
      <c r="D951" s="9"/>
      <c r="E951" s="9"/>
      <c r="F951" s="9"/>
      <c r="G951" s="9"/>
      <c r="H951" s="9"/>
      <c r="I951" s="9"/>
      <c r="J951" s="9"/>
      <c r="K951" s="9"/>
      <c r="L951" s="9"/>
      <c r="M951" s="223"/>
      <c r="N951" s="9"/>
      <c r="O951" s="9"/>
      <c r="P951" s="9"/>
      <c r="Q951" s="9"/>
      <c r="R951" s="9"/>
      <c r="S951" s="223"/>
      <c r="T951" s="223"/>
      <c r="U951" s="223"/>
      <c r="V951" s="9"/>
      <c r="W951" s="9"/>
      <c r="X951" s="9"/>
      <c r="Y951" s="204"/>
      <c r="Z951" s="9"/>
      <c r="AA951" s="9"/>
      <c r="AB951" s="9"/>
      <c r="AC951" s="9"/>
    </row>
    <row r="952" ht="15.75" customHeight="1">
      <c r="A952" s="9"/>
      <c r="B952" s="9"/>
      <c r="C952" s="9"/>
      <c r="D952" s="9"/>
      <c r="E952" s="9"/>
      <c r="F952" s="9"/>
      <c r="G952" s="9"/>
      <c r="H952" s="9"/>
      <c r="I952" s="9"/>
      <c r="J952" s="9"/>
      <c r="K952" s="9"/>
      <c r="L952" s="9"/>
      <c r="M952" s="223"/>
      <c r="N952" s="9"/>
      <c r="O952" s="9"/>
      <c r="P952" s="9"/>
      <c r="Q952" s="9"/>
      <c r="R952" s="9"/>
      <c r="S952" s="223"/>
      <c r="T952" s="223"/>
      <c r="U952" s="223"/>
      <c r="V952" s="9"/>
      <c r="W952" s="9"/>
      <c r="X952" s="9"/>
      <c r="Y952" s="204"/>
      <c r="Z952" s="9"/>
      <c r="AA952" s="9"/>
      <c r="AB952" s="9"/>
      <c r="AC952" s="9"/>
    </row>
    <row r="953" ht="15.75" customHeight="1">
      <c r="A953" s="9"/>
      <c r="B953" s="9"/>
      <c r="C953" s="9"/>
      <c r="D953" s="9"/>
      <c r="E953" s="9"/>
      <c r="F953" s="9"/>
      <c r="G953" s="9"/>
      <c r="H953" s="9"/>
      <c r="I953" s="9"/>
      <c r="J953" s="9"/>
      <c r="K953" s="9"/>
      <c r="L953" s="9"/>
      <c r="M953" s="223"/>
      <c r="N953" s="9"/>
      <c r="O953" s="9"/>
      <c r="P953" s="9"/>
      <c r="Q953" s="9"/>
      <c r="R953" s="9"/>
      <c r="S953" s="223"/>
      <c r="T953" s="223"/>
      <c r="U953" s="223"/>
      <c r="V953" s="9"/>
      <c r="W953" s="9"/>
      <c r="X953" s="9"/>
      <c r="Y953" s="204"/>
      <c r="Z953" s="9"/>
      <c r="AA953" s="9"/>
      <c r="AB953" s="9"/>
      <c r="AC953" s="9"/>
    </row>
    <row r="954" ht="15.75" customHeight="1">
      <c r="A954" s="9"/>
      <c r="B954" s="9"/>
      <c r="C954" s="9"/>
      <c r="D954" s="9"/>
      <c r="E954" s="9"/>
      <c r="F954" s="9"/>
      <c r="G954" s="9"/>
      <c r="H954" s="9"/>
      <c r="I954" s="9"/>
      <c r="J954" s="9"/>
      <c r="K954" s="9"/>
      <c r="L954" s="9"/>
      <c r="M954" s="223"/>
      <c r="N954" s="9"/>
      <c r="O954" s="9"/>
      <c r="P954" s="9"/>
      <c r="Q954" s="9"/>
      <c r="R954" s="9"/>
      <c r="S954" s="223"/>
      <c r="T954" s="223"/>
      <c r="U954" s="223"/>
      <c r="V954" s="9"/>
      <c r="W954" s="9"/>
      <c r="X954" s="9"/>
      <c r="Y954" s="204"/>
      <c r="Z954" s="9"/>
      <c r="AA954" s="9"/>
      <c r="AB954" s="9"/>
      <c r="AC954" s="9"/>
    </row>
    <row r="955" ht="15.75" customHeight="1">
      <c r="A955" s="9"/>
      <c r="B955" s="9"/>
      <c r="C955" s="9"/>
      <c r="D955" s="9"/>
      <c r="E955" s="9"/>
      <c r="F955" s="9"/>
      <c r="G955" s="9"/>
      <c r="H955" s="9"/>
      <c r="I955" s="9"/>
      <c r="J955" s="9"/>
      <c r="K955" s="9"/>
      <c r="L955" s="9"/>
      <c r="M955" s="223"/>
      <c r="N955" s="9"/>
      <c r="O955" s="9"/>
      <c r="P955" s="9"/>
      <c r="Q955" s="9"/>
      <c r="R955" s="9"/>
      <c r="S955" s="223"/>
      <c r="T955" s="223"/>
      <c r="U955" s="223"/>
      <c r="V955" s="9"/>
      <c r="W955" s="9"/>
      <c r="X955" s="9"/>
      <c r="Y955" s="204"/>
      <c r="Z955" s="9"/>
      <c r="AA955" s="9"/>
      <c r="AB955" s="9"/>
      <c r="AC955" s="9"/>
    </row>
    <row r="956" ht="15.75" customHeight="1">
      <c r="A956" s="9"/>
      <c r="B956" s="9"/>
      <c r="C956" s="9"/>
      <c r="D956" s="9"/>
      <c r="E956" s="9"/>
      <c r="F956" s="9"/>
      <c r="G956" s="9"/>
      <c r="H956" s="9"/>
      <c r="I956" s="9"/>
      <c r="J956" s="9"/>
      <c r="K956" s="9"/>
      <c r="L956" s="9"/>
      <c r="M956" s="223"/>
      <c r="N956" s="9"/>
      <c r="O956" s="9"/>
      <c r="P956" s="9"/>
      <c r="Q956" s="9"/>
      <c r="R956" s="9"/>
      <c r="S956" s="223"/>
      <c r="T956" s="223"/>
      <c r="U956" s="223"/>
      <c r="V956" s="9"/>
      <c r="W956" s="9"/>
      <c r="X956" s="9"/>
      <c r="Y956" s="204"/>
      <c r="Z956" s="9"/>
      <c r="AA956" s="9"/>
      <c r="AB956" s="9"/>
      <c r="AC956" s="9"/>
    </row>
    <row r="957" ht="15.75" customHeight="1">
      <c r="A957" s="9"/>
      <c r="B957" s="9"/>
      <c r="C957" s="9"/>
      <c r="D957" s="9"/>
      <c r="E957" s="9"/>
      <c r="F957" s="9"/>
      <c r="G957" s="9"/>
      <c r="H957" s="9"/>
      <c r="I957" s="9"/>
      <c r="J957" s="9"/>
      <c r="K957" s="9"/>
      <c r="L957" s="9"/>
      <c r="M957" s="223"/>
      <c r="N957" s="9"/>
      <c r="O957" s="9"/>
      <c r="P957" s="9"/>
      <c r="Q957" s="9"/>
      <c r="R957" s="9"/>
      <c r="S957" s="223"/>
      <c r="T957" s="223"/>
      <c r="U957" s="223"/>
      <c r="V957" s="9"/>
      <c r="W957" s="9"/>
      <c r="X957" s="9"/>
      <c r="Y957" s="204"/>
      <c r="Z957" s="9"/>
      <c r="AA957" s="9"/>
      <c r="AB957" s="9"/>
      <c r="AC957" s="9"/>
    </row>
    <row r="958" ht="15.75" customHeight="1">
      <c r="A958" s="9"/>
      <c r="B958" s="9"/>
      <c r="C958" s="9"/>
      <c r="D958" s="9"/>
      <c r="E958" s="9"/>
      <c r="F958" s="9"/>
      <c r="G958" s="9"/>
      <c r="H958" s="9"/>
      <c r="I958" s="9"/>
      <c r="J958" s="9"/>
      <c r="K958" s="9"/>
      <c r="L958" s="9"/>
      <c r="M958" s="223"/>
      <c r="N958" s="9"/>
      <c r="O958" s="9"/>
      <c r="P958" s="9"/>
      <c r="Q958" s="9"/>
      <c r="R958" s="9"/>
      <c r="S958" s="223"/>
      <c r="T958" s="223"/>
      <c r="U958" s="223"/>
      <c r="V958" s="9"/>
      <c r="W958" s="9"/>
      <c r="X958" s="9"/>
      <c r="Y958" s="204"/>
      <c r="Z958" s="9"/>
      <c r="AA958" s="9"/>
      <c r="AB958" s="9"/>
      <c r="AC958" s="9"/>
    </row>
    <row r="959" ht="15.75" customHeight="1">
      <c r="A959" s="9"/>
      <c r="B959" s="9"/>
      <c r="C959" s="9"/>
      <c r="D959" s="9"/>
      <c r="E959" s="9"/>
      <c r="F959" s="9"/>
      <c r="G959" s="9"/>
      <c r="H959" s="9"/>
      <c r="I959" s="9"/>
      <c r="J959" s="9"/>
      <c r="K959" s="9"/>
      <c r="L959" s="9"/>
      <c r="M959" s="223"/>
      <c r="N959" s="9"/>
      <c r="O959" s="9"/>
      <c r="P959" s="9"/>
      <c r="Q959" s="9"/>
      <c r="R959" s="9"/>
      <c r="S959" s="223"/>
      <c r="T959" s="223"/>
      <c r="U959" s="223"/>
      <c r="V959" s="9"/>
      <c r="W959" s="9"/>
      <c r="X959" s="9"/>
      <c r="Y959" s="204"/>
      <c r="Z959" s="9"/>
      <c r="AA959" s="9"/>
      <c r="AB959" s="9"/>
      <c r="AC959" s="9"/>
    </row>
    <row r="960" ht="15.75" customHeight="1">
      <c r="A960" s="9"/>
      <c r="B960" s="9"/>
      <c r="C960" s="9"/>
      <c r="D960" s="9"/>
      <c r="E960" s="9"/>
      <c r="F960" s="9"/>
      <c r="G960" s="9"/>
      <c r="H960" s="9"/>
      <c r="I960" s="9"/>
      <c r="J960" s="9"/>
      <c r="K960" s="9"/>
      <c r="L960" s="9"/>
      <c r="M960" s="223"/>
      <c r="N960" s="9"/>
      <c r="O960" s="9"/>
      <c r="P960" s="9"/>
      <c r="Q960" s="9"/>
      <c r="R960" s="9"/>
      <c r="S960" s="223"/>
      <c r="T960" s="223"/>
      <c r="U960" s="223"/>
      <c r="V960" s="9"/>
      <c r="W960" s="9"/>
      <c r="X960" s="9"/>
      <c r="Y960" s="204"/>
      <c r="Z960" s="9"/>
      <c r="AA960" s="9"/>
      <c r="AB960" s="9"/>
      <c r="AC960" s="9"/>
    </row>
    <row r="961" ht="15.75" customHeight="1">
      <c r="A961" s="9"/>
      <c r="B961" s="9"/>
      <c r="C961" s="9"/>
      <c r="D961" s="9"/>
      <c r="E961" s="9"/>
      <c r="F961" s="9"/>
      <c r="G961" s="9"/>
      <c r="H961" s="9"/>
      <c r="I961" s="9"/>
      <c r="J961" s="9"/>
      <c r="K961" s="9"/>
      <c r="L961" s="9"/>
      <c r="M961" s="223"/>
      <c r="N961" s="9"/>
      <c r="O961" s="9"/>
      <c r="P961" s="9"/>
      <c r="Q961" s="9"/>
      <c r="R961" s="9"/>
      <c r="S961" s="223"/>
      <c r="T961" s="223"/>
      <c r="U961" s="223"/>
      <c r="V961" s="9"/>
      <c r="W961" s="9"/>
      <c r="X961" s="9"/>
      <c r="Y961" s="204"/>
      <c r="Z961" s="9"/>
      <c r="AA961" s="9"/>
      <c r="AB961" s="9"/>
      <c r="AC961" s="9"/>
    </row>
    <row r="962" ht="15.75" customHeight="1">
      <c r="A962" s="9"/>
      <c r="B962" s="9"/>
      <c r="C962" s="9"/>
      <c r="D962" s="9"/>
      <c r="E962" s="9"/>
      <c r="F962" s="9"/>
      <c r="G962" s="9"/>
      <c r="H962" s="9"/>
      <c r="I962" s="9"/>
      <c r="J962" s="9"/>
      <c r="K962" s="9"/>
      <c r="L962" s="9"/>
      <c r="M962" s="223"/>
      <c r="N962" s="9"/>
      <c r="O962" s="9"/>
      <c r="P962" s="9"/>
      <c r="Q962" s="9"/>
      <c r="R962" s="9"/>
      <c r="S962" s="223"/>
      <c r="T962" s="223"/>
      <c r="U962" s="223"/>
      <c r="V962" s="9"/>
      <c r="W962" s="9"/>
      <c r="X962" s="9"/>
      <c r="Y962" s="204"/>
      <c r="Z962" s="9"/>
      <c r="AA962" s="9"/>
      <c r="AB962" s="9"/>
      <c r="AC962" s="9"/>
    </row>
    <row r="963" ht="15.75" customHeight="1">
      <c r="A963" s="9"/>
      <c r="B963" s="9"/>
      <c r="C963" s="9"/>
      <c r="D963" s="9"/>
      <c r="E963" s="9"/>
      <c r="F963" s="9"/>
      <c r="G963" s="9"/>
      <c r="H963" s="9"/>
      <c r="I963" s="9"/>
      <c r="J963" s="9"/>
      <c r="K963" s="9"/>
      <c r="L963" s="9"/>
      <c r="M963" s="223"/>
      <c r="N963" s="9"/>
      <c r="O963" s="9"/>
      <c r="P963" s="9"/>
      <c r="Q963" s="9"/>
      <c r="R963" s="9"/>
      <c r="S963" s="223"/>
      <c r="T963" s="223"/>
      <c r="U963" s="223"/>
      <c r="V963" s="9"/>
      <c r="W963" s="9"/>
      <c r="X963" s="9"/>
      <c r="Y963" s="204"/>
      <c r="Z963" s="9"/>
      <c r="AA963" s="9"/>
      <c r="AB963" s="9"/>
      <c r="AC963" s="9"/>
    </row>
    <row r="964" ht="15.75" customHeight="1">
      <c r="A964" s="9"/>
      <c r="B964" s="9"/>
      <c r="C964" s="9"/>
      <c r="D964" s="9"/>
      <c r="E964" s="9"/>
      <c r="F964" s="9"/>
      <c r="G964" s="9"/>
      <c r="H964" s="9"/>
      <c r="I964" s="9"/>
      <c r="J964" s="9"/>
      <c r="K964" s="9"/>
      <c r="L964" s="9"/>
      <c r="M964" s="223"/>
      <c r="N964" s="9"/>
      <c r="O964" s="9"/>
      <c r="P964" s="9"/>
      <c r="Q964" s="9"/>
      <c r="R964" s="9"/>
      <c r="S964" s="223"/>
      <c r="T964" s="223"/>
      <c r="U964" s="223"/>
      <c r="V964" s="9"/>
      <c r="W964" s="9"/>
      <c r="X964" s="9"/>
      <c r="Y964" s="204"/>
      <c r="Z964" s="9"/>
      <c r="AA964" s="9"/>
      <c r="AB964" s="9"/>
      <c r="AC964" s="9"/>
    </row>
    <row r="965" ht="15.75" customHeight="1">
      <c r="A965" s="9"/>
      <c r="B965" s="9"/>
      <c r="C965" s="9"/>
      <c r="D965" s="9"/>
      <c r="E965" s="9"/>
      <c r="F965" s="9"/>
      <c r="G965" s="9"/>
      <c r="H965" s="9"/>
      <c r="I965" s="9"/>
      <c r="J965" s="9"/>
      <c r="K965" s="9"/>
      <c r="L965" s="9"/>
      <c r="M965" s="223"/>
      <c r="N965" s="9"/>
      <c r="O965" s="9"/>
      <c r="P965" s="9"/>
      <c r="Q965" s="9"/>
      <c r="R965" s="9"/>
      <c r="S965" s="223"/>
      <c r="T965" s="223"/>
      <c r="U965" s="223"/>
      <c r="V965" s="9"/>
      <c r="W965" s="9"/>
      <c r="X965" s="9"/>
      <c r="Y965" s="204"/>
      <c r="Z965" s="9"/>
      <c r="AA965" s="9"/>
      <c r="AB965" s="9"/>
      <c r="AC965" s="9"/>
    </row>
    <row r="966" ht="15.75" customHeight="1">
      <c r="A966" s="9"/>
      <c r="B966" s="9"/>
      <c r="C966" s="9"/>
      <c r="D966" s="9"/>
      <c r="E966" s="9"/>
      <c r="F966" s="9"/>
      <c r="G966" s="9"/>
      <c r="H966" s="9"/>
      <c r="I966" s="9"/>
      <c r="J966" s="9"/>
      <c r="K966" s="9"/>
      <c r="L966" s="9"/>
      <c r="M966" s="223"/>
      <c r="N966" s="9"/>
      <c r="O966" s="9"/>
      <c r="P966" s="9"/>
      <c r="Q966" s="9"/>
      <c r="R966" s="9"/>
      <c r="S966" s="223"/>
      <c r="T966" s="223"/>
      <c r="U966" s="223"/>
      <c r="V966" s="9"/>
      <c r="W966" s="9"/>
      <c r="X966" s="9"/>
      <c r="Y966" s="204"/>
      <c r="Z966" s="9"/>
      <c r="AA966" s="9"/>
      <c r="AB966" s="9"/>
      <c r="AC966" s="9"/>
    </row>
    <row r="967" ht="15.75" customHeight="1">
      <c r="A967" s="9"/>
      <c r="B967" s="9"/>
      <c r="C967" s="9"/>
      <c r="D967" s="9"/>
      <c r="E967" s="9"/>
      <c r="F967" s="9"/>
      <c r="G967" s="9"/>
      <c r="H967" s="9"/>
      <c r="I967" s="9"/>
      <c r="J967" s="9"/>
      <c r="K967" s="9"/>
      <c r="L967" s="9"/>
      <c r="M967" s="223"/>
      <c r="N967" s="9"/>
      <c r="O967" s="9"/>
      <c r="P967" s="9"/>
      <c r="Q967" s="9"/>
      <c r="R967" s="9"/>
      <c r="S967" s="223"/>
      <c r="T967" s="223"/>
      <c r="U967" s="223"/>
      <c r="V967" s="9"/>
      <c r="W967" s="9"/>
      <c r="X967" s="9"/>
      <c r="Y967" s="204"/>
      <c r="Z967" s="9"/>
      <c r="AA967" s="9"/>
      <c r="AB967" s="9"/>
      <c r="AC967" s="9"/>
    </row>
    <row r="968" ht="15.75" customHeight="1">
      <c r="A968" s="9"/>
      <c r="B968" s="9"/>
      <c r="C968" s="9"/>
      <c r="D968" s="9"/>
      <c r="E968" s="9"/>
      <c r="F968" s="9"/>
      <c r="G968" s="9"/>
      <c r="H968" s="9"/>
      <c r="I968" s="9"/>
      <c r="J968" s="9"/>
      <c r="K968" s="9"/>
      <c r="L968" s="9"/>
      <c r="M968" s="223"/>
      <c r="N968" s="9"/>
      <c r="O968" s="9"/>
      <c r="P968" s="9"/>
      <c r="Q968" s="9"/>
      <c r="R968" s="9"/>
      <c r="S968" s="223"/>
      <c r="T968" s="223"/>
      <c r="U968" s="223"/>
      <c r="V968" s="9"/>
      <c r="W968" s="9"/>
      <c r="X968" s="9"/>
      <c r="Y968" s="204"/>
      <c r="Z968" s="9"/>
      <c r="AA968" s="9"/>
      <c r="AB968" s="9"/>
      <c r="AC968" s="9"/>
    </row>
    <row r="969" ht="15.75" customHeight="1">
      <c r="A969" s="9"/>
      <c r="B969" s="9"/>
      <c r="C969" s="9"/>
      <c r="D969" s="9"/>
      <c r="E969" s="9"/>
      <c r="F969" s="9"/>
      <c r="G969" s="9"/>
      <c r="H969" s="9"/>
      <c r="I969" s="9"/>
      <c r="J969" s="9"/>
      <c r="K969" s="9"/>
      <c r="L969" s="9"/>
      <c r="M969" s="223"/>
      <c r="N969" s="9"/>
      <c r="O969" s="9"/>
      <c r="P969" s="9"/>
      <c r="Q969" s="9"/>
      <c r="R969" s="9"/>
      <c r="S969" s="223"/>
      <c r="T969" s="223"/>
      <c r="U969" s="223"/>
      <c r="V969" s="9"/>
      <c r="W969" s="9"/>
      <c r="X969" s="9"/>
      <c r="Y969" s="204"/>
      <c r="Z969" s="9"/>
      <c r="AA969" s="9"/>
      <c r="AB969" s="9"/>
      <c r="AC969" s="9"/>
    </row>
    <row r="970" ht="15.75" customHeight="1">
      <c r="A970" s="9"/>
      <c r="B970" s="9"/>
      <c r="C970" s="9"/>
      <c r="D970" s="9"/>
      <c r="E970" s="9"/>
      <c r="F970" s="9"/>
      <c r="G970" s="9"/>
      <c r="H970" s="9"/>
      <c r="I970" s="9"/>
      <c r="J970" s="9"/>
      <c r="K970" s="9"/>
      <c r="L970" s="9"/>
      <c r="M970" s="223"/>
      <c r="N970" s="9"/>
      <c r="O970" s="9"/>
      <c r="P970" s="9"/>
      <c r="Q970" s="9"/>
      <c r="R970" s="9"/>
      <c r="S970" s="223"/>
      <c r="T970" s="223"/>
      <c r="U970" s="223"/>
      <c r="V970" s="9"/>
      <c r="W970" s="9"/>
      <c r="X970" s="9"/>
      <c r="Y970" s="204"/>
      <c r="Z970" s="9"/>
      <c r="AA970" s="9"/>
      <c r="AB970" s="9"/>
      <c r="AC970" s="9"/>
    </row>
    <row r="971" ht="15.75" customHeight="1">
      <c r="A971" s="9"/>
      <c r="B971" s="9"/>
      <c r="C971" s="9"/>
      <c r="D971" s="9"/>
      <c r="E971" s="9"/>
      <c r="F971" s="9"/>
      <c r="G971" s="9"/>
      <c r="H971" s="9"/>
      <c r="I971" s="9"/>
      <c r="J971" s="9"/>
      <c r="K971" s="9"/>
      <c r="L971" s="9"/>
      <c r="M971" s="223"/>
      <c r="N971" s="9"/>
      <c r="O971" s="9"/>
      <c r="P971" s="9"/>
      <c r="Q971" s="9"/>
      <c r="R971" s="9"/>
      <c r="S971" s="223"/>
      <c r="T971" s="223"/>
      <c r="U971" s="223"/>
      <c r="V971" s="9"/>
      <c r="W971" s="9"/>
      <c r="X971" s="9"/>
      <c r="Y971" s="204"/>
      <c r="Z971" s="9"/>
      <c r="AA971" s="9"/>
      <c r="AB971" s="9"/>
      <c r="AC971" s="9"/>
    </row>
    <row r="972" ht="15.75" customHeight="1">
      <c r="A972" s="9"/>
      <c r="B972" s="9"/>
      <c r="C972" s="9"/>
      <c r="D972" s="9"/>
      <c r="E972" s="9"/>
      <c r="F972" s="9"/>
      <c r="G972" s="9"/>
      <c r="H972" s="9"/>
      <c r="I972" s="9"/>
      <c r="J972" s="9"/>
      <c r="K972" s="9"/>
      <c r="L972" s="9"/>
      <c r="M972" s="223"/>
      <c r="N972" s="9"/>
      <c r="O972" s="9"/>
      <c r="P972" s="9"/>
      <c r="Q972" s="9"/>
      <c r="R972" s="9"/>
      <c r="S972" s="223"/>
      <c r="T972" s="223"/>
      <c r="U972" s="223"/>
      <c r="V972" s="9"/>
      <c r="W972" s="9"/>
      <c r="X972" s="9"/>
      <c r="Y972" s="204"/>
      <c r="Z972" s="9"/>
      <c r="AA972" s="9"/>
      <c r="AB972" s="9"/>
      <c r="AC972" s="9"/>
    </row>
    <row r="973" ht="15.75" customHeight="1">
      <c r="A973" s="9"/>
      <c r="B973" s="9"/>
      <c r="C973" s="9"/>
      <c r="D973" s="9"/>
      <c r="E973" s="9"/>
      <c r="F973" s="9"/>
      <c r="G973" s="9"/>
      <c r="H973" s="9"/>
      <c r="I973" s="9"/>
      <c r="J973" s="9"/>
      <c r="K973" s="9"/>
      <c r="L973" s="9"/>
      <c r="M973" s="223"/>
      <c r="N973" s="9"/>
      <c r="O973" s="9"/>
      <c r="P973" s="9"/>
      <c r="Q973" s="9"/>
      <c r="R973" s="9"/>
      <c r="S973" s="223"/>
      <c r="T973" s="223"/>
      <c r="U973" s="223"/>
      <c r="V973" s="9"/>
      <c r="W973" s="9"/>
      <c r="X973" s="9"/>
      <c r="Y973" s="204"/>
      <c r="Z973" s="9"/>
      <c r="AA973" s="9"/>
      <c r="AB973" s="9"/>
      <c r="AC973" s="9"/>
    </row>
    <row r="974" ht="15.75" customHeight="1">
      <c r="A974" s="9"/>
      <c r="B974" s="9"/>
      <c r="C974" s="9"/>
      <c r="D974" s="9"/>
      <c r="E974" s="9"/>
      <c r="F974" s="9"/>
      <c r="G974" s="9"/>
      <c r="H974" s="9"/>
      <c r="I974" s="9"/>
      <c r="J974" s="9"/>
      <c r="K974" s="9"/>
      <c r="L974" s="9"/>
      <c r="M974" s="223"/>
      <c r="N974" s="9"/>
      <c r="O974" s="9"/>
      <c r="P974" s="9"/>
      <c r="Q974" s="9"/>
      <c r="R974" s="9"/>
      <c r="S974" s="223"/>
      <c r="T974" s="223"/>
      <c r="U974" s="223"/>
      <c r="V974" s="9"/>
      <c r="W974" s="9"/>
      <c r="X974" s="9"/>
      <c r="Y974" s="204"/>
      <c r="Z974" s="9"/>
      <c r="AA974" s="9"/>
      <c r="AB974" s="9"/>
      <c r="AC974" s="9"/>
    </row>
    <row r="975" ht="15.75" customHeight="1">
      <c r="A975" s="9"/>
      <c r="B975" s="9"/>
      <c r="C975" s="9"/>
      <c r="D975" s="9"/>
      <c r="E975" s="9"/>
      <c r="F975" s="9"/>
      <c r="G975" s="9"/>
      <c r="H975" s="9"/>
      <c r="I975" s="9"/>
      <c r="J975" s="9"/>
      <c r="K975" s="9"/>
      <c r="L975" s="9"/>
      <c r="M975" s="223"/>
      <c r="N975" s="9"/>
      <c r="O975" s="9"/>
      <c r="P975" s="9"/>
      <c r="Q975" s="9"/>
      <c r="R975" s="9"/>
      <c r="S975" s="223"/>
      <c r="T975" s="223"/>
      <c r="U975" s="223"/>
      <c r="V975" s="9"/>
      <c r="W975" s="9"/>
      <c r="X975" s="9"/>
      <c r="Y975" s="204"/>
      <c r="Z975" s="9"/>
      <c r="AA975" s="9"/>
      <c r="AB975" s="9"/>
      <c r="AC975" s="9"/>
    </row>
    <row r="976" ht="15.75" customHeight="1">
      <c r="A976" s="9"/>
      <c r="B976" s="9"/>
      <c r="C976" s="9"/>
      <c r="D976" s="9"/>
      <c r="E976" s="9"/>
      <c r="F976" s="9"/>
      <c r="G976" s="9"/>
      <c r="H976" s="9"/>
      <c r="I976" s="9"/>
      <c r="J976" s="9"/>
      <c r="K976" s="9"/>
      <c r="L976" s="9"/>
      <c r="M976" s="223"/>
      <c r="N976" s="9"/>
      <c r="O976" s="9"/>
      <c r="P976" s="9"/>
      <c r="Q976" s="9"/>
      <c r="R976" s="9"/>
      <c r="S976" s="223"/>
      <c r="T976" s="223"/>
      <c r="U976" s="223"/>
      <c r="V976" s="9"/>
      <c r="W976" s="9"/>
      <c r="X976" s="9"/>
      <c r="Y976" s="204"/>
      <c r="Z976" s="9"/>
      <c r="AA976" s="9"/>
      <c r="AB976" s="9"/>
      <c r="AC976" s="9"/>
    </row>
    <row r="977" ht="15.75" customHeight="1">
      <c r="A977" s="9"/>
      <c r="B977" s="9"/>
      <c r="C977" s="9"/>
      <c r="D977" s="9"/>
      <c r="E977" s="9"/>
      <c r="F977" s="9"/>
      <c r="G977" s="9"/>
      <c r="H977" s="9"/>
      <c r="I977" s="9"/>
      <c r="J977" s="9"/>
      <c r="K977" s="9"/>
      <c r="L977" s="9"/>
      <c r="M977" s="223"/>
      <c r="N977" s="9"/>
      <c r="O977" s="9"/>
      <c r="P977" s="9"/>
      <c r="Q977" s="9"/>
      <c r="R977" s="9"/>
      <c r="S977" s="223"/>
      <c r="T977" s="223"/>
      <c r="U977" s="223"/>
      <c r="V977" s="9"/>
      <c r="W977" s="9"/>
      <c r="X977" s="9"/>
      <c r="Y977" s="204"/>
      <c r="Z977" s="9"/>
      <c r="AA977" s="9"/>
      <c r="AB977" s="9"/>
      <c r="AC977" s="9"/>
    </row>
    <row r="978" ht="15.75" customHeight="1">
      <c r="A978" s="9"/>
      <c r="B978" s="9"/>
      <c r="C978" s="9"/>
      <c r="D978" s="9"/>
      <c r="E978" s="9"/>
      <c r="F978" s="9"/>
      <c r="G978" s="9"/>
      <c r="H978" s="9"/>
      <c r="I978" s="9"/>
      <c r="J978" s="9"/>
      <c r="K978" s="9"/>
      <c r="L978" s="9"/>
      <c r="M978" s="223"/>
      <c r="N978" s="9"/>
      <c r="O978" s="9"/>
      <c r="P978" s="9"/>
      <c r="Q978" s="9"/>
      <c r="R978" s="9"/>
      <c r="S978" s="223"/>
      <c r="T978" s="223"/>
      <c r="U978" s="223"/>
      <c r="V978" s="9"/>
      <c r="W978" s="9"/>
      <c r="X978" s="9"/>
      <c r="Y978" s="204"/>
      <c r="Z978" s="9"/>
      <c r="AA978" s="9"/>
      <c r="AB978" s="9"/>
      <c r="AC978" s="9"/>
    </row>
    <row r="979" ht="15.75" customHeight="1">
      <c r="A979" s="9"/>
      <c r="B979" s="9"/>
      <c r="C979" s="9"/>
      <c r="D979" s="9"/>
      <c r="E979" s="9"/>
      <c r="F979" s="9"/>
      <c r="G979" s="9"/>
      <c r="H979" s="9"/>
      <c r="I979" s="9"/>
      <c r="J979" s="9"/>
      <c r="K979" s="9"/>
      <c r="L979" s="9"/>
      <c r="M979" s="223"/>
      <c r="N979" s="9"/>
      <c r="O979" s="9"/>
      <c r="P979" s="9"/>
      <c r="Q979" s="9"/>
      <c r="R979" s="9"/>
      <c r="S979" s="223"/>
      <c r="T979" s="223"/>
      <c r="U979" s="223"/>
      <c r="V979" s="9"/>
      <c r="W979" s="9"/>
      <c r="X979" s="9"/>
      <c r="Y979" s="204"/>
      <c r="Z979" s="9"/>
      <c r="AA979" s="9"/>
      <c r="AB979" s="9"/>
      <c r="AC979" s="9"/>
    </row>
    <row r="980" ht="15.75" customHeight="1">
      <c r="A980" s="9"/>
      <c r="B980" s="9"/>
      <c r="C980" s="9"/>
      <c r="D980" s="9"/>
      <c r="E980" s="9"/>
      <c r="F980" s="9"/>
      <c r="G980" s="9"/>
      <c r="H980" s="9"/>
      <c r="I980" s="9"/>
      <c r="J980" s="9"/>
      <c r="K980" s="9"/>
      <c r="L980" s="9"/>
      <c r="M980" s="223"/>
      <c r="N980" s="9"/>
      <c r="O980" s="9"/>
      <c r="P980" s="9"/>
      <c r="Q980" s="9"/>
      <c r="R980" s="9"/>
      <c r="S980" s="223"/>
      <c r="T980" s="223"/>
      <c r="U980" s="223"/>
      <c r="V980" s="9"/>
      <c r="W980" s="9"/>
      <c r="X980" s="9"/>
      <c r="Y980" s="204"/>
      <c r="Z980" s="9"/>
      <c r="AA980" s="9"/>
      <c r="AB980" s="9"/>
      <c r="AC980" s="9"/>
    </row>
    <row r="981" ht="15.75" customHeight="1">
      <c r="A981" s="9"/>
      <c r="B981" s="9"/>
      <c r="C981" s="9"/>
      <c r="D981" s="9"/>
      <c r="E981" s="9"/>
      <c r="F981" s="9"/>
      <c r="G981" s="9"/>
      <c r="H981" s="9"/>
      <c r="I981" s="9"/>
      <c r="J981" s="9"/>
      <c r="K981" s="9"/>
      <c r="L981" s="9"/>
      <c r="M981" s="223"/>
      <c r="N981" s="9"/>
      <c r="O981" s="9"/>
      <c r="P981" s="9"/>
      <c r="Q981" s="9"/>
      <c r="R981" s="9"/>
      <c r="S981" s="223"/>
      <c r="T981" s="223"/>
      <c r="U981" s="223"/>
      <c r="V981" s="9"/>
      <c r="W981" s="9"/>
      <c r="X981" s="9"/>
      <c r="Y981" s="204"/>
      <c r="Z981" s="9"/>
      <c r="AA981" s="9"/>
      <c r="AB981" s="9"/>
      <c r="AC981" s="9"/>
    </row>
    <row r="982" ht="15.75" customHeight="1">
      <c r="A982" s="9"/>
      <c r="B982" s="9"/>
      <c r="C982" s="9"/>
      <c r="D982" s="9"/>
      <c r="E982" s="9"/>
      <c r="F982" s="9"/>
      <c r="G982" s="9"/>
      <c r="H982" s="9"/>
      <c r="I982" s="9"/>
      <c r="J982" s="9"/>
      <c r="K982" s="9"/>
      <c r="L982" s="9"/>
      <c r="M982" s="223"/>
      <c r="N982" s="9"/>
      <c r="O982" s="9"/>
      <c r="P982" s="9"/>
      <c r="Q982" s="9"/>
      <c r="R982" s="9"/>
      <c r="S982" s="223"/>
      <c r="T982" s="223"/>
      <c r="U982" s="223"/>
      <c r="V982" s="9"/>
      <c r="W982" s="9"/>
      <c r="X982" s="9"/>
      <c r="Y982" s="204"/>
      <c r="Z982" s="9"/>
      <c r="AA982" s="9"/>
      <c r="AB982" s="9"/>
      <c r="AC982" s="9"/>
    </row>
    <row r="983" ht="15.75" customHeight="1">
      <c r="A983" s="9"/>
      <c r="B983" s="9"/>
      <c r="C983" s="9"/>
      <c r="D983" s="9"/>
      <c r="E983" s="9"/>
      <c r="F983" s="9"/>
      <c r="G983" s="9"/>
      <c r="H983" s="9"/>
      <c r="I983" s="9"/>
      <c r="J983" s="9"/>
      <c r="K983" s="9"/>
      <c r="L983" s="9"/>
      <c r="M983" s="223"/>
      <c r="N983" s="9"/>
      <c r="O983" s="9"/>
      <c r="P983" s="9"/>
      <c r="Q983" s="9"/>
      <c r="R983" s="9"/>
      <c r="S983" s="223"/>
      <c r="T983" s="223"/>
      <c r="U983" s="223"/>
      <c r="V983" s="9"/>
      <c r="W983" s="9"/>
      <c r="X983" s="9"/>
      <c r="Y983" s="204"/>
      <c r="Z983" s="9"/>
      <c r="AA983" s="9"/>
      <c r="AB983" s="9"/>
      <c r="AC983" s="9"/>
    </row>
    <row r="984" ht="15.75" customHeight="1">
      <c r="A984" s="9"/>
      <c r="B984" s="9"/>
      <c r="C984" s="9"/>
      <c r="D984" s="9"/>
      <c r="E984" s="9"/>
      <c r="F984" s="9"/>
      <c r="G984" s="9"/>
      <c r="H984" s="9"/>
      <c r="I984" s="9"/>
      <c r="J984" s="9"/>
      <c r="K984" s="9"/>
      <c r="L984" s="9"/>
      <c r="M984" s="223"/>
      <c r="N984" s="9"/>
      <c r="O984" s="9"/>
      <c r="P984" s="9"/>
      <c r="Q984" s="9"/>
      <c r="R984" s="9"/>
      <c r="S984" s="223"/>
      <c r="T984" s="223"/>
      <c r="U984" s="223"/>
      <c r="V984" s="9"/>
      <c r="W984" s="9"/>
      <c r="X984" s="9"/>
      <c r="Y984" s="204"/>
      <c r="Z984" s="9"/>
      <c r="AA984" s="9"/>
      <c r="AB984" s="9"/>
      <c r="AC984" s="9"/>
    </row>
    <row r="985" ht="15.75" customHeight="1">
      <c r="A985" s="9"/>
      <c r="B985" s="9"/>
      <c r="C985" s="9"/>
      <c r="D985" s="9"/>
      <c r="E985" s="9"/>
      <c r="F985" s="9"/>
      <c r="G985" s="9"/>
      <c r="H985" s="9"/>
      <c r="I985" s="9"/>
      <c r="J985" s="9"/>
      <c r="K985" s="9"/>
      <c r="L985" s="9"/>
      <c r="M985" s="223"/>
      <c r="N985" s="9"/>
      <c r="O985" s="9"/>
      <c r="P985" s="9"/>
      <c r="Q985" s="9"/>
      <c r="R985" s="9"/>
      <c r="S985" s="223"/>
      <c r="T985" s="223"/>
      <c r="U985" s="223"/>
      <c r="V985" s="9"/>
      <c r="W985" s="9"/>
      <c r="X985" s="9"/>
      <c r="Y985" s="204"/>
      <c r="Z985" s="9"/>
      <c r="AA985" s="9"/>
      <c r="AB985" s="9"/>
      <c r="AC985" s="9"/>
    </row>
    <row r="986" ht="15.75" customHeight="1">
      <c r="A986" s="9"/>
      <c r="B986" s="9"/>
      <c r="C986" s="9"/>
      <c r="D986" s="9"/>
      <c r="E986" s="9"/>
      <c r="F986" s="9"/>
      <c r="G986" s="9"/>
      <c r="H986" s="9"/>
      <c r="I986" s="9"/>
      <c r="J986" s="9"/>
      <c r="K986" s="9"/>
      <c r="L986" s="9"/>
      <c r="M986" s="223"/>
      <c r="N986" s="9"/>
      <c r="O986" s="9"/>
      <c r="P986" s="9"/>
      <c r="Q986" s="9"/>
      <c r="R986" s="9"/>
      <c r="S986" s="223"/>
      <c r="T986" s="223"/>
      <c r="U986" s="223"/>
      <c r="V986" s="9"/>
      <c r="W986" s="9"/>
      <c r="X986" s="9"/>
      <c r="Y986" s="204"/>
      <c r="Z986" s="9"/>
      <c r="AA986" s="9"/>
      <c r="AB986" s="9"/>
      <c r="AC986" s="9"/>
    </row>
    <row r="987" ht="15.75" customHeight="1">
      <c r="A987" s="9"/>
      <c r="B987" s="9"/>
      <c r="C987" s="9"/>
      <c r="D987" s="9"/>
      <c r="E987" s="9"/>
      <c r="F987" s="9"/>
      <c r="G987" s="9"/>
      <c r="H987" s="9"/>
      <c r="I987" s="9"/>
      <c r="J987" s="9"/>
      <c r="K987" s="9"/>
      <c r="L987" s="9"/>
      <c r="M987" s="223"/>
      <c r="N987" s="9"/>
      <c r="O987" s="9"/>
      <c r="P987" s="9"/>
      <c r="Q987" s="9"/>
      <c r="R987" s="9"/>
      <c r="S987" s="223"/>
      <c r="T987" s="223"/>
      <c r="U987" s="223"/>
      <c r="V987" s="9"/>
      <c r="W987" s="9"/>
      <c r="X987" s="9"/>
      <c r="Y987" s="204"/>
      <c r="Z987" s="9"/>
      <c r="AA987" s="9"/>
      <c r="AB987" s="9"/>
      <c r="AC987" s="9"/>
    </row>
    <row r="988" ht="15.75" customHeight="1">
      <c r="A988" s="9"/>
      <c r="B988" s="9"/>
      <c r="C988" s="9"/>
      <c r="D988" s="9"/>
      <c r="E988" s="9"/>
      <c r="F988" s="9"/>
      <c r="G988" s="9"/>
      <c r="H988" s="9"/>
      <c r="I988" s="9"/>
      <c r="J988" s="9"/>
      <c r="K988" s="9"/>
      <c r="L988" s="9"/>
      <c r="M988" s="223"/>
      <c r="N988" s="9"/>
      <c r="O988" s="9"/>
      <c r="P988" s="9"/>
      <c r="Q988" s="9"/>
      <c r="R988" s="9"/>
      <c r="S988" s="223"/>
      <c r="T988" s="223"/>
      <c r="U988" s="223"/>
      <c r="V988" s="9"/>
      <c r="W988" s="9"/>
      <c r="X988" s="9"/>
      <c r="Y988" s="204"/>
      <c r="Z988" s="9"/>
      <c r="AA988" s="9"/>
      <c r="AB988" s="9"/>
      <c r="AC988" s="9"/>
    </row>
    <row r="989" ht="15.75" customHeight="1">
      <c r="A989" s="9"/>
      <c r="B989" s="9"/>
      <c r="C989" s="9"/>
      <c r="D989" s="9"/>
      <c r="E989" s="9"/>
      <c r="F989" s="9"/>
      <c r="G989" s="9"/>
      <c r="H989" s="9"/>
      <c r="I989" s="9"/>
      <c r="J989" s="9"/>
      <c r="K989" s="9"/>
      <c r="L989" s="9"/>
      <c r="M989" s="223"/>
      <c r="N989" s="9"/>
      <c r="O989" s="9"/>
      <c r="P989" s="9"/>
      <c r="Q989" s="9"/>
      <c r="R989" s="9"/>
      <c r="S989" s="223"/>
      <c r="T989" s="223"/>
      <c r="U989" s="223"/>
      <c r="V989" s="9"/>
      <c r="W989" s="9"/>
      <c r="X989" s="9"/>
      <c r="Y989" s="204"/>
      <c r="Z989" s="9"/>
      <c r="AA989" s="9"/>
      <c r="AB989" s="9"/>
      <c r="AC989" s="9"/>
    </row>
    <row r="990" ht="15.75" customHeight="1">
      <c r="A990" s="9"/>
      <c r="B990" s="9"/>
      <c r="C990" s="9"/>
      <c r="D990" s="9"/>
      <c r="E990" s="9"/>
      <c r="F990" s="9"/>
      <c r="G990" s="9"/>
      <c r="H990" s="9"/>
      <c r="I990" s="9"/>
      <c r="J990" s="9"/>
      <c r="K990" s="9"/>
      <c r="L990" s="9"/>
      <c r="M990" s="223"/>
      <c r="N990" s="9"/>
      <c r="O990" s="9"/>
      <c r="P990" s="9"/>
      <c r="Q990" s="9"/>
      <c r="R990" s="9"/>
      <c r="S990" s="223"/>
      <c r="T990" s="223"/>
      <c r="U990" s="223"/>
      <c r="V990" s="9"/>
      <c r="W990" s="9"/>
      <c r="X990" s="9"/>
      <c r="Y990" s="204"/>
      <c r="Z990" s="9"/>
      <c r="AA990" s="9"/>
      <c r="AB990" s="9"/>
      <c r="AC990" s="9"/>
    </row>
    <row r="991" ht="15.75" customHeight="1">
      <c r="A991" s="9"/>
      <c r="B991" s="9"/>
      <c r="C991" s="9"/>
      <c r="D991" s="9"/>
      <c r="E991" s="9"/>
      <c r="F991" s="9"/>
      <c r="G991" s="9"/>
      <c r="H991" s="9"/>
      <c r="I991" s="9"/>
      <c r="J991" s="9"/>
      <c r="K991" s="9"/>
      <c r="L991" s="9"/>
      <c r="M991" s="223"/>
      <c r="N991" s="9"/>
      <c r="O991" s="9"/>
      <c r="P991" s="9"/>
      <c r="Q991" s="9"/>
      <c r="R991" s="9"/>
      <c r="S991" s="223"/>
      <c r="T991" s="223"/>
      <c r="U991" s="223"/>
      <c r="V991" s="9"/>
      <c r="W991" s="9"/>
      <c r="X991" s="9"/>
      <c r="Y991" s="204"/>
      <c r="Z991" s="9"/>
      <c r="AA991" s="9"/>
      <c r="AB991" s="9"/>
      <c r="AC991" s="9"/>
    </row>
    <row r="992" ht="15.75" customHeight="1">
      <c r="A992" s="9"/>
      <c r="B992" s="9"/>
      <c r="C992" s="9"/>
      <c r="D992" s="9"/>
      <c r="E992" s="9"/>
      <c r="F992" s="9"/>
      <c r="G992" s="9"/>
      <c r="H992" s="9"/>
      <c r="I992" s="9"/>
      <c r="J992" s="9"/>
      <c r="K992" s="9"/>
      <c r="L992" s="9"/>
      <c r="M992" s="223"/>
      <c r="N992" s="9"/>
      <c r="O992" s="9"/>
      <c r="P992" s="9"/>
      <c r="Q992" s="9"/>
      <c r="R992" s="9"/>
      <c r="S992" s="223"/>
      <c r="T992" s="223"/>
      <c r="U992" s="223"/>
      <c r="V992" s="9"/>
      <c r="W992" s="9"/>
      <c r="X992" s="9"/>
      <c r="Y992" s="204"/>
      <c r="Z992" s="9"/>
      <c r="AA992" s="9"/>
      <c r="AB992" s="9"/>
      <c r="AC992" s="9"/>
    </row>
    <row r="993" ht="15.75" customHeight="1">
      <c r="A993" s="9"/>
      <c r="B993" s="9"/>
      <c r="C993" s="9"/>
      <c r="D993" s="9"/>
      <c r="E993" s="9"/>
      <c r="F993" s="9"/>
      <c r="G993" s="9"/>
      <c r="H993" s="9"/>
      <c r="I993" s="9"/>
      <c r="J993" s="9"/>
      <c r="K993" s="9"/>
      <c r="L993" s="9"/>
      <c r="M993" s="223"/>
      <c r="N993" s="9"/>
      <c r="O993" s="9"/>
      <c r="P993" s="9"/>
      <c r="Q993" s="9"/>
      <c r="R993" s="9"/>
      <c r="S993" s="223"/>
      <c r="T993" s="223"/>
      <c r="U993" s="223"/>
      <c r="V993" s="9"/>
      <c r="W993" s="9"/>
      <c r="X993" s="9"/>
      <c r="Y993" s="204"/>
      <c r="Z993" s="9"/>
      <c r="AA993" s="9"/>
      <c r="AB993" s="9"/>
      <c r="AC993" s="9"/>
    </row>
    <row r="994" ht="15.75" customHeight="1">
      <c r="A994" s="9"/>
      <c r="B994" s="9"/>
      <c r="C994" s="9"/>
      <c r="D994" s="9"/>
      <c r="E994" s="9"/>
      <c r="F994" s="9"/>
      <c r="G994" s="9"/>
      <c r="H994" s="9"/>
      <c r="I994" s="9"/>
      <c r="J994" s="9"/>
      <c r="K994" s="9"/>
      <c r="L994" s="9"/>
      <c r="M994" s="223"/>
      <c r="N994" s="9"/>
      <c r="O994" s="9"/>
      <c r="P994" s="9"/>
      <c r="Q994" s="9"/>
      <c r="R994" s="9"/>
      <c r="S994" s="223"/>
      <c r="T994" s="223"/>
      <c r="U994" s="223"/>
      <c r="V994" s="9"/>
      <c r="W994" s="9"/>
      <c r="X994" s="9"/>
      <c r="Y994" s="204"/>
      <c r="Z994" s="9"/>
      <c r="AA994" s="9"/>
      <c r="AB994" s="9"/>
      <c r="AC994" s="9"/>
    </row>
    <row r="995" ht="15.75" customHeight="1">
      <c r="A995" s="9"/>
      <c r="B995" s="9"/>
      <c r="C995" s="9"/>
      <c r="D995" s="9"/>
      <c r="E995" s="9"/>
      <c r="F995" s="9"/>
      <c r="G995" s="9"/>
      <c r="H995" s="9"/>
      <c r="I995" s="9"/>
      <c r="J995" s="9"/>
      <c r="K995" s="9"/>
      <c r="L995" s="9"/>
      <c r="M995" s="223"/>
      <c r="N995" s="9"/>
      <c r="O995" s="9"/>
      <c r="P995" s="9"/>
      <c r="Q995" s="9"/>
      <c r="R995" s="9"/>
      <c r="S995" s="223"/>
      <c r="T995" s="223"/>
      <c r="U995" s="223"/>
      <c r="V995" s="9"/>
      <c r="W995" s="9"/>
      <c r="X995" s="9"/>
      <c r="Y995" s="204"/>
      <c r="Z995" s="9"/>
      <c r="AA995" s="9"/>
      <c r="AB995" s="9"/>
      <c r="AC995" s="9"/>
    </row>
    <row r="996" ht="15.75" customHeight="1">
      <c r="A996" s="9"/>
      <c r="B996" s="9"/>
      <c r="C996" s="9"/>
      <c r="D996" s="9"/>
      <c r="E996" s="9"/>
      <c r="F996" s="9"/>
      <c r="G996" s="9"/>
      <c r="H996" s="9"/>
      <c r="I996" s="9"/>
      <c r="J996" s="9"/>
      <c r="K996" s="9"/>
      <c r="L996" s="9"/>
      <c r="M996" s="223"/>
      <c r="N996" s="9"/>
      <c r="O996" s="9"/>
      <c r="P996" s="9"/>
      <c r="Q996" s="9"/>
      <c r="R996" s="9"/>
      <c r="S996" s="223"/>
      <c r="T996" s="223"/>
      <c r="U996" s="223"/>
      <c r="V996" s="9"/>
      <c r="W996" s="9"/>
      <c r="X996" s="9"/>
      <c r="Y996" s="204"/>
      <c r="Z996" s="9"/>
      <c r="AA996" s="9"/>
      <c r="AB996" s="9"/>
      <c r="AC996" s="9"/>
    </row>
    <row r="997" ht="15.75" customHeight="1">
      <c r="A997" s="9"/>
      <c r="B997" s="9"/>
      <c r="C997" s="9"/>
      <c r="D997" s="9"/>
      <c r="E997" s="9"/>
      <c r="F997" s="9"/>
      <c r="G997" s="9"/>
      <c r="H997" s="9"/>
      <c r="I997" s="9"/>
      <c r="J997" s="9"/>
      <c r="K997" s="9"/>
      <c r="L997" s="9"/>
      <c r="M997" s="223"/>
      <c r="N997" s="9"/>
      <c r="O997" s="9"/>
      <c r="P997" s="9"/>
      <c r="Q997" s="9"/>
      <c r="R997" s="9"/>
      <c r="S997" s="223"/>
      <c r="T997" s="223"/>
      <c r="U997" s="223"/>
      <c r="V997" s="9"/>
      <c r="W997" s="9"/>
      <c r="X997" s="9"/>
      <c r="Y997" s="204"/>
      <c r="Z997" s="9"/>
      <c r="AA997" s="9"/>
      <c r="AB997" s="9"/>
      <c r="AC997" s="9"/>
    </row>
    <row r="998" ht="15.75" customHeight="1">
      <c r="A998" s="9"/>
      <c r="B998" s="9"/>
      <c r="C998" s="9"/>
      <c r="D998" s="9"/>
      <c r="E998" s="9"/>
      <c r="F998" s="9"/>
      <c r="G998" s="9"/>
      <c r="H998" s="9"/>
      <c r="I998" s="9"/>
      <c r="J998" s="9"/>
      <c r="K998" s="9"/>
      <c r="L998" s="9"/>
      <c r="M998" s="223"/>
      <c r="N998" s="9"/>
      <c r="O998" s="9"/>
      <c r="P998" s="9"/>
      <c r="Q998" s="9"/>
      <c r="R998" s="9"/>
      <c r="S998" s="223"/>
      <c r="T998" s="223"/>
      <c r="U998" s="223"/>
      <c r="V998" s="9"/>
      <c r="W998" s="9"/>
      <c r="X998" s="9"/>
      <c r="Y998" s="204"/>
      <c r="Z998" s="9"/>
      <c r="AA998" s="9"/>
      <c r="AB998" s="9"/>
      <c r="AC998" s="9"/>
    </row>
    <row r="999" ht="15.75" customHeight="1">
      <c r="A999" s="9"/>
      <c r="B999" s="9"/>
      <c r="C999" s="9"/>
      <c r="D999" s="9"/>
      <c r="E999" s="9"/>
      <c r="F999" s="9"/>
      <c r="G999" s="9"/>
      <c r="H999" s="9"/>
      <c r="I999" s="9"/>
      <c r="J999" s="9"/>
      <c r="K999" s="9"/>
      <c r="L999" s="9"/>
      <c r="M999" s="223"/>
      <c r="N999" s="9"/>
      <c r="O999" s="9"/>
      <c r="P999" s="9"/>
      <c r="Q999" s="9"/>
      <c r="R999" s="9"/>
      <c r="S999" s="223"/>
      <c r="T999" s="223"/>
      <c r="U999" s="223"/>
      <c r="V999" s="9"/>
      <c r="W999" s="9"/>
      <c r="X999" s="9"/>
      <c r="Y999" s="204"/>
      <c r="Z999" s="9"/>
      <c r="AA999" s="9"/>
      <c r="AB999" s="9"/>
      <c r="AC999" s="9"/>
    </row>
    <row r="1000" ht="15.75" customHeight="1">
      <c r="A1000" s="9"/>
      <c r="B1000" s="9"/>
      <c r="C1000" s="9"/>
      <c r="D1000" s="9"/>
      <c r="E1000" s="9"/>
      <c r="F1000" s="9"/>
      <c r="G1000" s="9"/>
      <c r="H1000" s="9"/>
      <c r="I1000" s="9"/>
      <c r="J1000" s="9"/>
      <c r="K1000" s="9"/>
      <c r="L1000" s="9"/>
      <c r="M1000" s="223"/>
      <c r="N1000" s="9"/>
      <c r="O1000" s="9"/>
      <c r="P1000" s="9"/>
      <c r="Q1000" s="9"/>
      <c r="R1000" s="9"/>
      <c r="S1000" s="223"/>
      <c r="T1000" s="223"/>
      <c r="U1000" s="223"/>
      <c r="V1000" s="9"/>
      <c r="W1000" s="9"/>
      <c r="X1000" s="9"/>
      <c r="Y1000" s="204"/>
      <c r="Z1000" s="9"/>
      <c r="AA1000" s="9"/>
      <c r="AB1000" s="9"/>
      <c r="AC1000" s="9"/>
    </row>
    <row r="1001" ht="15.75" customHeight="1">
      <c r="A1001" s="9"/>
      <c r="B1001" s="9"/>
      <c r="C1001" s="9"/>
      <c r="D1001" s="9"/>
      <c r="E1001" s="9"/>
      <c r="F1001" s="9"/>
      <c r="G1001" s="9"/>
      <c r="H1001" s="9"/>
      <c r="I1001" s="9"/>
      <c r="J1001" s="9"/>
      <c r="K1001" s="9"/>
      <c r="L1001" s="9"/>
      <c r="M1001" s="223"/>
      <c r="N1001" s="9"/>
      <c r="O1001" s="9"/>
      <c r="P1001" s="9"/>
      <c r="Q1001" s="9"/>
      <c r="R1001" s="9"/>
      <c r="S1001" s="223"/>
      <c r="T1001" s="223"/>
      <c r="U1001" s="223"/>
      <c r="V1001" s="9"/>
      <c r="W1001" s="9"/>
      <c r="X1001" s="9"/>
      <c r="Y1001" s="204"/>
      <c r="Z1001" s="9"/>
      <c r="AA1001" s="9"/>
      <c r="AB1001" s="9"/>
      <c r="AC1001" s="9"/>
    </row>
    <row r="1002" ht="15.75" customHeight="1">
      <c r="A1002" s="9"/>
      <c r="B1002" s="9"/>
      <c r="C1002" s="9"/>
      <c r="D1002" s="9"/>
      <c r="E1002" s="9"/>
      <c r="F1002" s="9"/>
      <c r="G1002" s="9"/>
      <c r="H1002" s="9"/>
      <c r="I1002" s="9"/>
      <c r="J1002" s="9"/>
      <c r="K1002" s="9"/>
      <c r="L1002" s="9"/>
      <c r="M1002" s="223"/>
      <c r="N1002" s="9"/>
      <c r="O1002" s="9"/>
      <c r="P1002" s="9"/>
      <c r="Q1002" s="9"/>
      <c r="R1002" s="9"/>
      <c r="S1002" s="223"/>
      <c r="T1002" s="223"/>
      <c r="U1002" s="223"/>
      <c r="V1002" s="9"/>
      <c r="W1002" s="9"/>
      <c r="X1002" s="9"/>
      <c r="Y1002" s="204"/>
      <c r="Z1002" s="9"/>
      <c r="AA1002" s="9"/>
      <c r="AB1002" s="9"/>
      <c r="AC1002" s="9"/>
    </row>
    <row r="1003" ht="15.75" customHeight="1">
      <c r="A1003" s="9"/>
      <c r="B1003" s="9"/>
      <c r="C1003" s="9"/>
      <c r="D1003" s="9"/>
      <c r="E1003" s="9"/>
      <c r="F1003" s="9"/>
      <c r="G1003" s="9"/>
      <c r="H1003" s="9"/>
      <c r="I1003" s="9"/>
      <c r="J1003" s="9"/>
      <c r="K1003" s="9"/>
      <c r="L1003" s="9"/>
      <c r="M1003" s="223"/>
      <c r="N1003" s="9"/>
      <c r="O1003" s="9"/>
      <c r="P1003" s="9"/>
      <c r="Q1003" s="9"/>
      <c r="R1003" s="9"/>
      <c r="S1003" s="223"/>
      <c r="T1003" s="223"/>
      <c r="U1003" s="223"/>
      <c r="V1003" s="9"/>
      <c r="W1003" s="9"/>
      <c r="X1003" s="9"/>
      <c r="Y1003" s="204"/>
      <c r="Z1003" s="9"/>
      <c r="AA1003" s="9"/>
      <c r="AB1003" s="9"/>
      <c r="AC1003" s="9"/>
    </row>
    <row r="1004" ht="15.75" customHeight="1">
      <c r="A1004" s="9"/>
      <c r="B1004" s="9"/>
      <c r="C1004" s="9"/>
      <c r="D1004" s="9"/>
      <c r="E1004" s="9"/>
      <c r="F1004" s="9"/>
      <c r="G1004" s="9"/>
      <c r="H1004" s="9"/>
      <c r="I1004" s="9"/>
      <c r="J1004" s="9"/>
      <c r="K1004" s="9"/>
      <c r="L1004" s="9"/>
      <c r="M1004" s="223"/>
      <c r="N1004" s="9"/>
      <c r="O1004" s="9"/>
      <c r="P1004" s="9"/>
      <c r="Q1004" s="9"/>
      <c r="R1004" s="9"/>
      <c r="S1004" s="223"/>
      <c r="T1004" s="223"/>
      <c r="U1004" s="223"/>
      <c r="V1004" s="9"/>
      <c r="W1004" s="9"/>
      <c r="X1004" s="9"/>
      <c r="Y1004" s="204"/>
      <c r="Z1004" s="9"/>
      <c r="AA1004" s="9"/>
      <c r="AB1004" s="9"/>
      <c r="AC1004" s="9"/>
    </row>
    <row r="1005" ht="15.75" customHeight="1">
      <c r="A1005" s="9"/>
      <c r="B1005" s="9"/>
      <c r="C1005" s="9"/>
      <c r="D1005" s="9"/>
      <c r="E1005" s="9"/>
      <c r="F1005" s="9"/>
      <c r="G1005" s="9"/>
      <c r="H1005" s="9"/>
      <c r="I1005" s="9"/>
      <c r="J1005" s="9"/>
      <c r="K1005" s="9"/>
      <c r="L1005" s="9"/>
      <c r="M1005" s="223"/>
      <c r="N1005" s="9"/>
      <c r="O1005" s="9"/>
      <c r="P1005" s="9"/>
      <c r="Q1005" s="9"/>
      <c r="R1005" s="9"/>
      <c r="S1005" s="223"/>
      <c r="T1005" s="223"/>
      <c r="U1005" s="223"/>
      <c r="V1005" s="9"/>
      <c r="W1005" s="9"/>
      <c r="X1005" s="9"/>
      <c r="Y1005" s="204"/>
      <c r="Z1005" s="9"/>
      <c r="AA1005" s="9"/>
      <c r="AB1005" s="9"/>
      <c r="AC1005" s="9"/>
    </row>
    <row r="1006" ht="15.75" customHeight="1">
      <c r="A1006" s="9"/>
      <c r="B1006" s="9"/>
      <c r="C1006" s="9"/>
      <c r="D1006" s="9"/>
      <c r="E1006" s="9"/>
      <c r="F1006" s="9"/>
      <c r="G1006" s="9"/>
      <c r="H1006" s="9"/>
      <c r="I1006" s="9"/>
      <c r="J1006" s="9"/>
      <c r="K1006" s="9"/>
      <c r="L1006" s="9"/>
      <c r="M1006" s="223"/>
      <c r="N1006" s="9"/>
      <c r="O1006" s="9"/>
      <c r="P1006" s="9"/>
      <c r="Q1006" s="9"/>
      <c r="R1006" s="9"/>
      <c r="S1006" s="223"/>
      <c r="T1006" s="223"/>
      <c r="U1006" s="223"/>
      <c r="V1006" s="9"/>
      <c r="W1006" s="9"/>
      <c r="X1006" s="9"/>
      <c r="Y1006" s="204"/>
      <c r="Z1006" s="9"/>
      <c r="AA1006" s="9"/>
      <c r="AB1006" s="9"/>
      <c r="AC1006" s="9"/>
    </row>
    <row r="1007" ht="15.75" customHeight="1">
      <c r="A1007" s="9"/>
      <c r="B1007" s="9"/>
      <c r="C1007" s="9"/>
      <c r="D1007" s="9"/>
      <c r="E1007" s="9"/>
      <c r="F1007" s="9"/>
      <c r="G1007" s="9"/>
      <c r="H1007" s="9"/>
      <c r="I1007" s="9"/>
      <c r="J1007" s="9"/>
      <c r="K1007" s="9"/>
      <c r="L1007" s="9"/>
      <c r="M1007" s="223"/>
      <c r="N1007" s="9"/>
      <c r="O1007" s="9"/>
      <c r="P1007" s="9"/>
      <c r="Q1007" s="9"/>
      <c r="R1007" s="9"/>
      <c r="S1007" s="223"/>
      <c r="T1007" s="223"/>
      <c r="U1007" s="223"/>
      <c r="V1007" s="9"/>
      <c r="W1007" s="9"/>
      <c r="X1007" s="9"/>
      <c r="Y1007" s="204"/>
      <c r="Z1007" s="9"/>
      <c r="AA1007" s="9"/>
      <c r="AB1007" s="9"/>
      <c r="AC1007" s="9"/>
    </row>
    <row r="1008" ht="15.75" customHeight="1">
      <c r="A1008" s="9"/>
      <c r="B1008" s="9"/>
      <c r="C1008" s="9"/>
      <c r="D1008" s="9"/>
      <c r="E1008" s="9"/>
      <c r="F1008" s="9"/>
      <c r="G1008" s="9"/>
      <c r="H1008" s="9"/>
      <c r="I1008" s="9"/>
      <c r="J1008" s="9"/>
      <c r="K1008" s="9"/>
      <c r="L1008" s="9"/>
      <c r="M1008" s="223"/>
      <c r="N1008" s="9"/>
      <c r="O1008" s="9"/>
      <c r="P1008" s="9"/>
      <c r="Q1008" s="9"/>
      <c r="R1008" s="9"/>
      <c r="S1008" s="223"/>
      <c r="T1008" s="223"/>
      <c r="U1008" s="223"/>
      <c r="V1008" s="9"/>
      <c r="W1008" s="9"/>
      <c r="X1008" s="9"/>
      <c r="Y1008" s="204"/>
      <c r="Z1008" s="9"/>
      <c r="AA1008" s="9"/>
      <c r="AB1008" s="9"/>
      <c r="AC1008" s="9"/>
    </row>
    <row r="1009" ht="15.75" customHeight="1">
      <c r="A1009" s="9"/>
      <c r="B1009" s="9"/>
      <c r="C1009" s="9"/>
      <c r="D1009" s="9"/>
      <c r="E1009" s="9"/>
      <c r="F1009" s="9"/>
      <c r="G1009" s="9"/>
      <c r="H1009" s="9"/>
      <c r="I1009" s="9"/>
      <c r="J1009" s="9"/>
      <c r="K1009" s="9"/>
      <c r="L1009" s="9"/>
      <c r="M1009" s="223"/>
      <c r="N1009" s="9"/>
      <c r="O1009" s="9"/>
      <c r="P1009" s="9"/>
      <c r="Q1009" s="9"/>
      <c r="R1009" s="9"/>
      <c r="S1009" s="223"/>
      <c r="T1009" s="223"/>
      <c r="U1009" s="223"/>
      <c r="V1009" s="9"/>
      <c r="W1009" s="9"/>
      <c r="X1009" s="9"/>
      <c r="Y1009" s="204"/>
      <c r="Z1009" s="9"/>
      <c r="AA1009" s="9"/>
      <c r="AB1009" s="9"/>
      <c r="AC1009" s="9"/>
    </row>
    <row r="1010" ht="15.75" customHeight="1">
      <c r="A1010" s="9"/>
      <c r="B1010" s="9"/>
      <c r="C1010" s="9"/>
      <c r="D1010" s="9"/>
      <c r="E1010" s="9"/>
      <c r="F1010" s="9"/>
      <c r="G1010" s="9"/>
      <c r="H1010" s="9"/>
      <c r="I1010" s="9"/>
      <c r="J1010" s="9"/>
      <c r="K1010" s="9"/>
      <c r="L1010" s="9"/>
      <c r="M1010" s="223"/>
      <c r="N1010" s="9"/>
      <c r="O1010" s="9"/>
      <c r="P1010" s="9"/>
      <c r="Q1010" s="9"/>
      <c r="R1010" s="9"/>
      <c r="S1010" s="223"/>
      <c r="T1010" s="223"/>
      <c r="U1010" s="223"/>
      <c r="V1010" s="9"/>
      <c r="W1010" s="9"/>
      <c r="X1010" s="9"/>
      <c r="Y1010" s="204"/>
      <c r="Z1010" s="9"/>
      <c r="AA1010" s="9"/>
      <c r="AB1010" s="9"/>
      <c r="AC1010" s="9"/>
    </row>
    <row r="1011" ht="15.75" customHeight="1">
      <c r="A1011" s="9"/>
      <c r="B1011" s="9"/>
      <c r="C1011" s="9"/>
      <c r="D1011" s="9"/>
      <c r="E1011" s="9"/>
      <c r="F1011" s="9"/>
      <c r="G1011" s="9"/>
      <c r="H1011" s="9"/>
      <c r="I1011" s="9"/>
      <c r="J1011" s="9"/>
      <c r="K1011" s="9"/>
      <c r="L1011" s="9"/>
      <c r="M1011" s="223"/>
      <c r="N1011" s="9"/>
      <c r="O1011" s="9"/>
      <c r="P1011" s="9"/>
      <c r="Q1011" s="9"/>
      <c r="R1011" s="9"/>
      <c r="S1011" s="223"/>
      <c r="T1011" s="223"/>
      <c r="U1011" s="223"/>
      <c r="V1011" s="9"/>
      <c r="W1011" s="9"/>
      <c r="X1011" s="9"/>
      <c r="Y1011" s="204"/>
      <c r="Z1011" s="9"/>
      <c r="AA1011" s="9"/>
      <c r="AB1011" s="9"/>
      <c r="AC1011" s="9"/>
    </row>
    <row r="1012" ht="15.75" customHeight="1">
      <c r="A1012" s="9"/>
      <c r="B1012" s="9"/>
      <c r="C1012" s="9"/>
      <c r="D1012" s="9"/>
      <c r="E1012" s="9"/>
      <c r="F1012" s="9"/>
      <c r="G1012" s="9"/>
      <c r="H1012" s="9"/>
      <c r="I1012" s="9"/>
      <c r="J1012" s="9"/>
      <c r="K1012" s="9"/>
      <c r="L1012" s="9"/>
      <c r="M1012" s="223"/>
      <c r="N1012" s="9"/>
      <c r="O1012" s="9"/>
      <c r="P1012" s="9"/>
      <c r="Q1012" s="9"/>
      <c r="R1012" s="9"/>
      <c r="S1012" s="223"/>
      <c r="T1012" s="223"/>
      <c r="U1012" s="223"/>
      <c r="V1012" s="9"/>
      <c r="W1012" s="9"/>
      <c r="X1012" s="9"/>
      <c r="Y1012" s="204"/>
      <c r="Z1012" s="9"/>
      <c r="AA1012" s="9"/>
      <c r="AB1012" s="9"/>
      <c r="AC1012" s="9"/>
    </row>
    <row r="1013" ht="15.75" customHeight="1">
      <c r="A1013" s="9"/>
      <c r="B1013" s="9"/>
      <c r="C1013" s="9"/>
      <c r="D1013" s="9"/>
      <c r="E1013" s="9"/>
      <c r="F1013" s="9"/>
      <c r="G1013" s="9"/>
      <c r="H1013" s="9"/>
      <c r="I1013" s="9"/>
      <c r="J1013" s="9"/>
      <c r="K1013" s="9"/>
      <c r="L1013" s="9"/>
      <c r="M1013" s="223"/>
      <c r="N1013" s="9"/>
      <c r="O1013" s="9"/>
      <c r="P1013" s="9"/>
      <c r="Q1013" s="9"/>
      <c r="R1013" s="9"/>
      <c r="S1013" s="223"/>
      <c r="T1013" s="223"/>
      <c r="U1013" s="223"/>
      <c r="V1013" s="9"/>
      <c r="W1013" s="9"/>
      <c r="X1013" s="9"/>
      <c r="Y1013" s="204"/>
      <c r="Z1013" s="9"/>
      <c r="AA1013" s="9"/>
      <c r="AB1013" s="9"/>
      <c r="AC1013" s="9"/>
    </row>
    <row r="1014" ht="15.75" customHeight="1">
      <c r="A1014" s="9"/>
      <c r="B1014" s="9"/>
      <c r="C1014" s="9"/>
      <c r="D1014" s="9"/>
      <c r="E1014" s="9"/>
      <c r="F1014" s="9"/>
      <c r="G1014" s="9"/>
      <c r="H1014" s="9"/>
      <c r="I1014" s="9"/>
      <c r="J1014" s="9"/>
      <c r="K1014" s="9"/>
      <c r="L1014" s="9"/>
      <c r="M1014" s="223"/>
      <c r="N1014" s="9"/>
      <c r="O1014" s="9"/>
      <c r="P1014" s="9"/>
      <c r="Q1014" s="9"/>
      <c r="R1014" s="9"/>
      <c r="S1014" s="223"/>
      <c r="T1014" s="223"/>
      <c r="U1014" s="223"/>
      <c r="V1014" s="9"/>
      <c r="W1014" s="9"/>
      <c r="X1014" s="9"/>
      <c r="Y1014" s="204"/>
      <c r="Z1014" s="9"/>
      <c r="AA1014" s="9"/>
      <c r="AB1014" s="9"/>
      <c r="AC1014" s="9"/>
    </row>
    <row r="1015" ht="15.75" customHeight="1">
      <c r="A1015" s="9"/>
      <c r="B1015" s="9"/>
      <c r="C1015" s="9"/>
      <c r="D1015" s="9"/>
      <c r="E1015" s="9"/>
      <c r="F1015" s="9"/>
      <c r="G1015" s="9"/>
      <c r="H1015" s="9"/>
      <c r="I1015" s="9"/>
      <c r="J1015" s="9"/>
      <c r="K1015" s="9"/>
      <c r="L1015" s="9"/>
      <c r="M1015" s="223"/>
      <c r="N1015" s="9"/>
      <c r="O1015" s="9"/>
      <c r="P1015" s="9"/>
      <c r="Q1015" s="9"/>
      <c r="R1015" s="9"/>
      <c r="S1015" s="223"/>
      <c r="T1015" s="223"/>
      <c r="U1015" s="223"/>
      <c r="V1015" s="9"/>
      <c r="W1015" s="9"/>
      <c r="X1015" s="9"/>
      <c r="Y1015" s="204"/>
      <c r="Z1015" s="9"/>
      <c r="AA1015" s="9"/>
      <c r="AB1015" s="9"/>
      <c r="AC1015" s="9"/>
    </row>
    <row r="1016" ht="15.75" customHeight="1">
      <c r="A1016" s="9"/>
      <c r="B1016" s="9"/>
      <c r="C1016" s="9"/>
      <c r="D1016" s="9"/>
      <c r="E1016" s="9"/>
      <c r="F1016" s="9"/>
      <c r="G1016" s="9"/>
      <c r="H1016" s="9"/>
      <c r="I1016" s="9"/>
      <c r="J1016" s="9"/>
      <c r="K1016" s="9"/>
      <c r="L1016" s="9"/>
      <c r="M1016" s="223"/>
      <c r="N1016" s="9"/>
      <c r="O1016" s="9"/>
      <c r="P1016" s="9"/>
      <c r="Q1016" s="9"/>
      <c r="R1016" s="9"/>
      <c r="S1016" s="223"/>
      <c r="T1016" s="223"/>
      <c r="U1016" s="223"/>
      <c r="V1016" s="9"/>
      <c r="W1016" s="9"/>
      <c r="X1016" s="9"/>
      <c r="Y1016" s="204"/>
      <c r="Z1016" s="9"/>
      <c r="AA1016" s="9"/>
      <c r="AB1016" s="9"/>
      <c r="AC1016" s="9"/>
    </row>
    <row r="1017" ht="15.75" customHeight="1">
      <c r="A1017" s="9"/>
      <c r="B1017" s="9"/>
      <c r="C1017" s="9"/>
      <c r="D1017" s="9"/>
      <c r="E1017" s="9"/>
      <c r="F1017" s="9"/>
      <c r="G1017" s="9"/>
      <c r="H1017" s="9"/>
      <c r="I1017" s="9"/>
      <c r="J1017" s="9"/>
      <c r="K1017" s="9"/>
      <c r="L1017" s="9"/>
      <c r="M1017" s="223"/>
      <c r="N1017" s="9"/>
      <c r="O1017" s="9"/>
      <c r="P1017" s="9"/>
      <c r="Q1017" s="9"/>
      <c r="R1017" s="9"/>
      <c r="S1017" s="223"/>
      <c r="T1017" s="223"/>
      <c r="U1017" s="223"/>
      <c r="V1017" s="9"/>
      <c r="W1017" s="9"/>
      <c r="X1017" s="9"/>
      <c r="Y1017" s="204"/>
      <c r="Z1017" s="9"/>
      <c r="AA1017" s="9"/>
      <c r="AB1017" s="9"/>
      <c r="AC1017" s="9"/>
    </row>
    <row r="1018" ht="15.75" customHeight="1">
      <c r="A1018" s="9"/>
      <c r="B1018" s="9"/>
      <c r="C1018" s="9"/>
      <c r="D1018" s="9"/>
      <c r="E1018" s="9"/>
      <c r="F1018" s="9"/>
      <c r="G1018" s="9"/>
      <c r="H1018" s="9"/>
      <c r="I1018" s="9"/>
      <c r="J1018" s="9"/>
      <c r="K1018" s="9"/>
      <c r="L1018" s="9"/>
      <c r="M1018" s="223"/>
      <c r="N1018" s="9"/>
      <c r="O1018" s="9"/>
      <c r="P1018" s="9"/>
      <c r="Q1018" s="9"/>
      <c r="R1018" s="9"/>
      <c r="S1018" s="223"/>
      <c r="T1018" s="223"/>
      <c r="U1018" s="223"/>
      <c r="V1018" s="9"/>
      <c r="W1018" s="9"/>
      <c r="X1018" s="9"/>
      <c r="Y1018" s="204"/>
      <c r="Z1018" s="9"/>
      <c r="AA1018" s="9"/>
      <c r="AB1018" s="9"/>
      <c r="AC1018" s="9"/>
    </row>
    <row r="1019" ht="15.75" customHeight="1">
      <c r="A1019" s="9"/>
      <c r="B1019" s="9"/>
      <c r="C1019" s="9"/>
      <c r="D1019" s="9"/>
      <c r="E1019" s="9"/>
      <c r="F1019" s="9"/>
      <c r="G1019" s="9"/>
      <c r="H1019" s="9"/>
      <c r="I1019" s="9"/>
      <c r="J1019" s="9"/>
      <c r="K1019" s="9"/>
      <c r="L1019" s="9"/>
      <c r="M1019" s="223"/>
      <c r="N1019" s="9"/>
      <c r="O1019" s="9"/>
      <c r="P1019" s="9"/>
      <c r="Q1019" s="9"/>
      <c r="R1019" s="9"/>
      <c r="S1019" s="223"/>
      <c r="T1019" s="223"/>
      <c r="U1019" s="223"/>
      <c r="V1019" s="9"/>
      <c r="W1019" s="9"/>
      <c r="X1019" s="9"/>
      <c r="Y1019" s="204"/>
      <c r="Z1019" s="9"/>
      <c r="AA1019" s="9"/>
      <c r="AB1019" s="9"/>
      <c r="AC1019" s="9"/>
    </row>
    <row r="1020" ht="15.75" customHeight="1">
      <c r="A1020" s="9"/>
      <c r="B1020" s="9"/>
      <c r="C1020" s="9"/>
      <c r="D1020" s="9"/>
      <c r="E1020" s="9"/>
      <c r="F1020" s="9"/>
      <c r="G1020" s="9"/>
      <c r="H1020" s="9"/>
      <c r="I1020" s="9"/>
      <c r="J1020" s="9"/>
      <c r="K1020" s="9"/>
      <c r="L1020" s="9"/>
      <c r="M1020" s="223"/>
      <c r="N1020" s="9"/>
      <c r="O1020" s="9"/>
      <c r="P1020" s="9"/>
      <c r="Q1020" s="9"/>
      <c r="R1020" s="9"/>
      <c r="S1020" s="223"/>
      <c r="T1020" s="223"/>
      <c r="U1020" s="223"/>
      <c r="V1020" s="9"/>
      <c r="W1020" s="9"/>
      <c r="X1020" s="9"/>
      <c r="Y1020" s="204"/>
      <c r="Z1020" s="9"/>
      <c r="AA1020" s="9"/>
      <c r="AB1020" s="9"/>
      <c r="AC1020" s="9"/>
    </row>
    <row r="1021" ht="15.75" customHeight="1">
      <c r="A1021" s="9"/>
      <c r="B1021" s="9"/>
      <c r="C1021" s="9"/>
      <c r="D1021" s="9"/>
      <c r="E1021" s="9"/>
      <c r="F1021" s="9"/>
      <c r="G1021" s="9"/>
      <c r="H1021" s="9"/>
      <c r="I1021" s="9"/>
      <c r="J1021" s="9"/>
      <c r="K1021" s="9"/>
      <c r="L1021" s="9"/>
      <c r="M1021" s="223"/>
      <c r="N1021" s="9"/>
      <c r="O1021" s="9"/>
      <c r="P1021" s="9"/>
      <c r="Q1021" s="9"/>
      <c r="R1021" s="9"/>
      <c r="S1021" s="223"/>
      <c r="T1021" s="223"/>
      <c r="U1021" s="223"/>
      <c r="V1021" s="9"/>
      <c r="W1021" s="9"/>
      <c r="X1021" s="9"/>
      <c r="Y1021" s="204"/>
      <c r="Z1021" s="9"/>
      <c r="AA1021" s="9"/>
      <c r="AB1021" s="9"/>
      <c r="AC1021" s="9"/>
    </row>
    <row r="1022" ht="15.75" customHeight="1">
      <c r="A1022" s="9"/>
      <c r="B1022" s="9"/>
      <c r="C1022" s="9"/>
      <c r="D1022" s="9"/>
      <c r="E1022" s="9"/>
      <c r="F1022" s="9"/>
      <c r="G1022" s="9"/>
      <c r="H1022" s="9"/>
      <c r="I1022" s="9"/>
      <c r="J1022" s="9"/>
      <c r="K1022" s="9"/>
      <c r="L1022" s="9"/>
      <c r="M1022" s="223"/>
      <c r="N1022" s="9"/>
      <c r="O1022" s="9"/>
      <c r="P1022" s="9"/>
      <c r="Q1022" s="9"/>
      <c r="R1022" s="9"/>
      <c r="S1022" s="223"/>
      <c r="T1022" s="223"/>
      <c r="U1022" s="223"/>
      <c r="V1022" s="9"/>
      <c r="W1022" s="9"/>
      <c r="X1022" s="9"/>
      <c r="Y1022" s="204"/>
      <c r="Z1022" s="9"/>
      <c r="AA1022" s="9"/>
      <c r="AB1022" s="9"/>
      <c r="AC1022" s="9"/>
    </row>
    <row r="1023" ht="15.75" customHeight="1">
      <c r="A1023" s="9"/>
      <c r="B1023" s="9"/>
      <c r="C1023" s="9"/>
      <c r="D1023" s="9"/>
      <c r="E1023" s="9"/>
      <c r="F1023" s="9"/>
      <c r="G1023" s="9"/>
      <c r="H1023" s="9"/>
      <c r="I1023" s="9"/>
      <c r="J1023" s="9"/>
      <c r="K1023" s="9"/>
      <c r="L1023" s="9"/>
      <c r="M1023" s="223"/>
      <c r="N1023" s="9"/>
      <c r="O1023" s="9"/>
      <c r="P1023" s="9"/>
      <c r="Q1023" s="9"/>
      <c r="R1023" s="9"/>
      <c r="S1023" s="223"/>
      <c r="T1023" s="223"/>
      <c r="U1023" s="223"/>
      <c r="V1023" s="9"/>
      <c r="W1023" s="9"/>
      <c r="X1023" s="9"/>
      <c r="Y1023" s="204"/>
      <c r="Z1023" s="9"/>
      <c r="AA1023" s="9"/>
      <c r="AB1023" s="9"/>
      <c r="AC1023" s="9"/>
    </row>
    <row r="1024" ht="15.75" customHeight="1">
      <c r="A1024" s="9"/>
      <c r="B1024" s="9"/>
      <c r="C1024" s="9"/>
      <c r="D1024" s="9"/>
      <c r="E1024" s="9"/>
      <c r="F1024" s="9"/>
      <c r="G1024" s="9"/>
      <c r="H1024" s="9"/>
      <c r="I1024" s="9"/>
      <c r="J1024" s="9"/>
      <c r="K1024" s="9"/>
      <c r="L1024" s="9"/>
      <c r="M1024" s="223"/>
      <c r="N1024" s="9"/>
      <c r="O1024" s="9"/>
      <c r="P1024" s="9"/>
      <c r="Q1024" s="9"/>
      <c r="R1024" s="9"/>
      <c r="S1024" s="223"/>
      <c r="T1024" s="223"/>
      <c r="U1024" s="223"/>
      <c r="V1024" s="9"/>
      <c r="W1024" s="9"/>
      <c r="X1024" s="9"/>
      <c r="Y1024" s="204"/>
      <c r="Z1024" s="9"/>
      <c r="AA1024" s="9"/>
      <c r="AB1024" s="9"/>
      <c r="AC1024" s="9"/>
    </row>
    <row r="1025" ht="15.75" customHeight="1">
      <c r="A1025" s="9"/>
      <c r="B1025" s="9"/>
      <c r="C1025" s="9"/>
      <c r="D1025" s="9"/>
      <c r="E1025" s="9"/>
      <c r="F1025" s="9"/>
      <c r="G1025" s="9"/>
      <c r="H1025" s="9"/>
      <c r="I1025" s="9"/>
      <c r="J1025" s="9"/>
      <c r="K1025" s="9"/>
      <c r="L1025" s="9"/>
      <c r="M1025" s="223"/>
      <c r="N1025" s="9"/>
      <c r="O1025" s="9"/>
      <c r="P1025" s="9"/>
      <c r="Q1025" s="9"/>
      <c r="R1025" s="9"/>
      <c r="S1025" s="223"/>
      <c r="T1025" s="223"/>
      <c r="U1025" s="223"/>
      <c r="V1025" s="9"/>
      <c r="W1025" s="9"/>
      <c r="X1025" s="9"/>
      <c r="Y1025" s="204"/>
      <c r="Z1025" s="9"/>
      <c r="AA1025" s="9"/>
      <c r="AB1025" s="9"/>
      <c r="AC1025" s="9"/>
    </row>
    <row r="1026" ht="15.75" customHeight="1">
      <c r="A1026" s="9"/>
      <c r="B1026" s="9"/>
      <c r="C1026" s="9"/>
      <c r="D1026" s="9"/>
      <c r="E1026" s="9"/>
      <c r="F1026" s="9"/>
      <c r="G1026" s="9"/>
      <c r="H1026" s="9"/>
      <c r="I1026" s="9"/>
      <c r="J1026" s="9"/>
      <c r="K1026" s="9"/>
      <c r="L1026" s="9"/>
      <c r="M1026" s="223"/>
      <c r="N1026" s="9"/>
      <c r="O1026" s="9"/>
      <c r="P1026" s="9"/>
      <c r="Q1026" s="9"/>
      <c r="R1026" s="9"/>
      <c r="S1026" s="223"/>
      <c r="T1026" s="223"/>
      <c r="U1026" s="223"/>
      <c r="V1026" s="9"/>
      <c r="W1026" s="9"/>
      <c r="X1026" s="9"/>
      <c r="Y1026" s="204"/>
      <c r="Z1026" s="9"/>
      <c r="AA1026" s="9"/>
      <c r="AB1026" s="9"/>
      <c r="AC1026" s="9"/>
    </row>
    <row r="1027" ht="15.75" customHeight="1">
      <c r="A1027" s="9"/>
      <c r="B1027" s="9"/>
      <c r="C1027" s="9"/>
      <c r="D1027" s="9"/>
      <c r="E1027" s="9"/>
      <c r="F1027" s="9"/>
      <c r="G1027" s="9"/>
      <c r="H1027" s="9"/>
      <c r="I1027" s="9"/>
      <c r="J1027" s="9"/>
      <c r="K1027" s="9"/>
      <c r="L1027" s="9"/>
      <c r="M1027" s="223"/>
      <c r="N1027" s="9"/>
      <c r="O1027" s="9"/>
      <c r="P1027" s="9"/>
      <c r="Q1027" s="9"/>
      <c r="R1027" s="9"/>
      <c r="S1027" s="223"/>
      <c r="T1027" s="223"/>
      <c r="U1027" s="223"/>
      <c r="V1027" s="9"/>
      <c r="W1027" s="9"/>
      <c r="X1027" s="9"/>
      <c r="Y1027" s="204"/>
      <c r="Z1027" s="9"/>
      <c r="AA1027" s="9"/>
      <c r="AB1027" s="9"/>
      <c r="AC1027" s="9"/>
    </row>
    <row r="1028" ht="15.75" customHeight="1">
      <c r="A1028" s="9"/>
      <c r="B1028" s="9"/>
      <c r="C1028" s="9"/>
      <c r="D1028" s="9"/>
      <c r="E1028" s="9"/>
      <c r="F1028" s="9"/>
      <c r="G1028" s="9"/>
      <c r="H1028" s="9"/>
      <c r="I1028" s="9"/>
      <c r="J1028" s="9"/>
      <c r="K1028" s="9"/>
      <c r="L1028" s="9"/>
      <c r="M1028" s="223"/>
      <c r="N1028" s="9"/>
      <c r="O1028" s="9"/>
      <c r="P1028" s="9"/>
      <c r="Q1028" s="9"/>
      <c r="R1028" s="9"/>
      <c r="S1028" s="223"/>
      <c r="T1028" s="223"/>
      <c r="U1028" s="223"/>
      <c r="V1028" s="9"/>
      <c r="W1028" s="9"/>
      <c r="X1028" s="9"/>
      <c r="Y1028" s="204"/>
      <c r="Z1028" s="9"/>
      <c r="AA1028" s="9"/>
      <c r="AB1028" s="9"/>
      <c r="AC1028" s="9"/>
    </row>
    <row r="1029" ht="15.75" customHeight="1">
      <c r="A1029" s="9"/>
      <c r="B1029" s="9"/>
      <c r="C1029" s="9"/>
      <c r="D1029" s="9"/>
      <c r="E1029" s="9"/>
      <c r="F1029" s="9"/>
      <c r="G1029" s="9"/>
      <c r="H1029" s="9"/>
      <c r="I1029" s="9"/>
      <c r="J1029" s="9"/>
      <c r="K1029" s="9"/>
      <c r="L1029" s="9"/>
      <c r="M1029" s="223"/>
      <c r="N1029" s="9"/>
      <c r="O1029" s="9"/>
      <c r="P1029" s="9"/>
      <c r="Q1029" s="9"/>
      <c r="R1029" s="9"/>
      <c r="S1029" s="223"/>
      <c r="T1029" s="223"/>
      <c r="U1029" s="223"/>
      <c r="V1029" s="9"/>
      <c r="W1029" s="9"/>
      <c r="X1029" s="9"/>
      <c r="Y1029" s="204"/>
      <c r="Z1029" s="9"/>
      <c r="AA1029" s="9"/>
      <c r="AB1029" s="9"/>
      <c r="AC1029" s="9"/>
    </row>
    <row r="1030" ht="15.75" customHeight="1">
      <c r="A1030" s="9"/>
      <c r="B1030" s="9"/>
      <c r="C1030" s="9"/>
      <c r="D1030" s="9"/>
      <c r="E1030" s="9"/>
      <c r="F1030" s="9"/>
      <c r="G1030" s="9"/>
      <c r="H1030" s="9"/>
      <c r="I1030" s="9"/>
      <c r="J1030" s="9"/>
      <c r="K1030" s="9"/>
      <c r="L1030" s="9"/>
      <c r="M1030" s="223"/>
      <c r="N1030" s="9"/>
      <c r="O1030" s="9"/>
      <c r="P1030" s="9"/>
      <c r="Q1030" s="9"/>
      <c r="R1030" s="9"/>
      <c r="S1030" s="223"/>
      <c r="T1030" s="223"/>
      <c r="U1030" s="223"/>
      <c r="V1030" s="9"/>
      <c r="W1030" s="9"/>
      <c r="X1030" s="9"/>
      <c r="Y1030" s="204"/>
      <c r="Z1030" s="9"/>
      <c r="AA1030" s="9"/>
      <c r="AB1030" s="9"/>
      <c r="AC1030" s="9"/>
    </row>
    <row r="1031" ht="15.75" customHeight="1">
      <c r="A1031" s="9"/>
      <c r="B1031" s="9"/>
      <c r="C1031" s="9"/>
      <c r="D1031" s="9"/>
      <c r="E1031" s="9"/>
      <c r="F1031" s="9"/>
      <c r="G1031" s="9"/>
      <c r="H1031" s="9"/>
      <c r="I1031" s="9"/>
      <c r="J1031" s="9"/>
      <c r="K1031" s="9"/>
      <c r="L1031" s="9"/>
      <c r="M1031" s="223"/>
      <c r="N1031" s="9"/>
      <c r="O1031" s="9"/>
      <c r="P1031" s="9"/>
      <c r="Q1031" s="9"/>
      <c r="R1031" s="9"/>
      <c r="S1031" s="223"/>
      <c r="T1031" s="223"/>
      <c r="U1031" s="223"/>
      <c r="V1031" s="9"/>
      <c r="W1031" s="9"/>
      <c r="X1031" s="9"/>
      <c r="Y1031" s="204"/>
      <c r="Z1031" s="9"/>
      <c r="AA1031" s="9"/>
      <c r="AB1031" s="9"/>
      <c r="AC1031" s="9"/>
    </row>
    <row r="1032" ht="15.75" customHeight="1">
      <c r="A1032" s="9"/>
      <c r="B1032" s="9"/>
      <c r="C1032" s="9"/>
      <c r="D1032" s="9"/>
      <c r="E1032" s="9"/>
      <c r="F1032" s="9"/>
      <c r="G1032" s="9"/>
      <c r="H1032" s="9"/>
      <c r="I1032" s="9"/>
      <c r="J1032" s="9"/>
      <c r="K1032" s="9"/>
      <c r="L1032" s="9"/>
      <c r="M1032" s="223"/>
      <c r="N1032" s="9"/>
      <c r="O1032" s="9"/>
      <c r="P1032" s="9"/>
      <c r="Q1032" s="9"/>
      <c r="R1032" s="9"/>
      <c r="S1032" s="223"/>
      <c r="T1032" s="223"/>
      <c r="U1032" s="223"/>
      <c r="V1032" s="9"/>
      <c r="W1032" s="9"/>
      <c r="X1032" s="9"/>
      <c r="Y1032" s="204"/>
      <c r="Z1032" s="9"/>
      <c r="AA1032" s="9"/>
      <c r="AB1032" s="9"/>
      <c r="AC1032" s="9"/>
    </row>
    <row r="1033" ht="15.75" customHeight="1">
      <c r="A1033" s="9"/>
      <c r="B1033" s="9"/>
      <c r="C1033" s="9"/>
      <c r="D1033" s="9"/>
      <c r="E1033" s="9"/>
      <c r="F1033" s="9"/>
      <c r="G1033" s="9"/>
      <c r="H1033" s="9"/>
      <c r="I1033" s="9"/>
      <c r="J1033" s="9"/>
      <c r="K1033" s="9"/>
      <c r="L1033" s="9"/>
      <c r="M1033" s="223"/>
      <c r="N1033" s="9"/>
      <c r="O1033" s="9"/>
      <c r="P1033" s="9"/>
      <c r="Q1033" s="9"/>
      <c r="R1033" s="9"/>
      <c r="S1033" s="223"/>
      <c r="T1033" s="223"/>
      <c r="U1033" s="223"/>
      <c r="V1033" s="9"/>
      <c r="W1033" s="9"/>
      <c r="X1033" s="9"/>
      <c r="Y1033" s="204"/>
      <c r="Z1033" s="9"/>
      <c r="AA1033" s="9"/>
      <c r="AB1033" s="9"/>
      <c r="AC1033" s="9"/>
    </row>
    <row r="1034" ht="15.75" customHeight="1">
      <c r="A1034" s="9"/>
      <c r="B1034" s="9"/>
      <c r="C1034" s="9"/>
      <c r="D1034" s="9"/>
      <c r="E1034" s="9"/>
      <c r="F1034" s="9"/>
      <c r="G1034" s="9"/>
      <c r="H1034" s="9"/>
      <c r="I1034" s="9"/>
      <c r="J1034" s="9"/>
      <c r="K1034" s="9"/>
      <c r="L1034" s="9"/>
      <c r="M1034" s="223"/>
      <c r="N1034" s="9"/>
      <c r="O1034" s="9"/>
      <c r="P1034" s="9"/>
      <c r="Q1034" s="9"/>
      <c r="R1034" s="9"/>
      <c r="S1034" s="223"/>
      <c r="T1034" s="223"/>
      <c r="U1034" s="223"/>
      <c r="V1034" s="9"/>
      <c r="W1034" s="9"/>
      <c r="X1034" s="9"/>
      <c r="Y1034" s="204"/>
      <c r="Z1034" s="9"/>
      <c r="AA1034" s="9"/>
      <c r="AB1034" s="9"/>
      <c r="AC1034" s="9"/>
    </row>
    <row r="1035" ht="15.75" customHeight="1">
      <c r="A1035" s="9"/>
      <c r="B1035" s="9"/>
      <c r="C1035" s="9"/>
      <c r="D1035" s="9"/>
      <c r="E1035" s="9"/>
      <c r="F1035" s="9"/>
      <c r="G1035" s="9"/>
      <c r="H1035" s="9"/>
      <c r="I1035" s="9"/>
      <c r="J1035" s="9"/>
      <c r="K1035" s="9"/>
      <c r="L1035" s="9"/>
      <c r="M1035" s="223"/>
      <c r="N1035" s="9"/>
      <c r="O1035" s="9"/>
      <c r="P1035" s="9"/>
      <c r="Q1035" s="9"/>
      <c r="R1035" s="9"/>
      <c r="S1035" s="223"/>
      <c r="T1035" s="223"/>
      <c r="U1035" s="223"/>
      <c r="V1035" s="9"/>
      <c r="W1035" s="9"/>
      <c r="X1035" s="9"/>
      <c r="Y1035" s="204"/>
      <c r="Z1035" s="9"/>
      <c r="AA1035" s="9"/>
      <c r="AB1035" s="9"/>
      <c r="AC1035" s="9"/>
    </row>
    <row r="1036" ht="15.75" customHeight="1">
      <c r="A1036" s="9"/>
      <c r="B1036" s="9"/>
      <c r="C1036" s="9"/>
      <c r="D1036" s="9"/>
      <c r="E1036" s="9"/>
      <c r="F1036" s="9"/>
      <c r="G1036" s="9"/>
      <c r="H1036" s="9"/>
      <c r="I1036" s="9"/>
      <c r="J1036" s="9"/>
      <c r="K1036" s="9"/>
      <c r="L1036" s="9"/>
      <c r="M1036" s="223"/>
      <c r="N1036" s="9"/>
      <c r="O1036" s="9"/>
      <c r="P1036" s="9"/>
      <c r="Q1036" s="9"/>
      <c r="R1036" s="9"/>
      <c r="S1036" s="223"/>
      <c r="T1036" s="223"/>
      <c r="U1036" s="223"/>
      <c r="V1036" s="9"/>
      <c r="W1036" s="9"/>
      <c r="X1036" s="9"/>
      <c r="Y1036" s="204"/>
      <c r="Z1036" s="9"/>
      <c r="AA1036" s="9"/>
      <c r="AB1036" s="9"/>
      <c r="AC1036" s="9"/>
    </row>
    <row r="1037" ht="15.75" customHeight="1">
      <c r="A1037" s="9"/>
      <c r="B1037" s="9"/>
      <c r="C1037" s="9"/>
      <c r="D1037" s="9"/>
      <c r="E1037" s="9"/>
      <c r="F1037" s="9"/>
      <c r="G1037" s="9"/>
      <c r="H1037" s="9"/>
      <c r="I1037" s="9"/>
      <c r="J1037" s="9"/>
      <c r="K1037" s="9"/>
      <c r="L1037" s="9"/>
      <c r="M1037" s="223"/>
      <c r="N1037" s="9"/>
      <c r="O1037" s="9"/>
      <c r="P1037" s="9"/>
      <c r="Q1037" s="9"/>
      <c r="R1037" s="9"/>
      <c r="S1037" s="223"/>
      <c r="T1037" s="223"/>
      <c r="U1037" s="223"/>
      <c r="V1037" s="9"/>
      <c r="W1037" s="9"/>
      <c r="X1037" s="9"/>
      <c r="Y1037" s="204"/>
      <c r="Z1037" s="9"/>
      <c r="AA1037" s="9"/>
      <c r="AB1037" s="9"/>
      <c r="AC1037" s="9"/>
    </row>
    <row r="1038" ht="15.75" customHeight="1">
      <c r="A1038" s="9"/>
      <c r="B1038" s="9"/>
      <c r="C1038" s="9"/>
      <c r="D1038" s="9"/>
      <c r="E1038" s="9"/>
      <c r="F1038" s="9"/>
      <c r="G1038" s="9"/>
      <c r="H1038" s="9"/>
      <c r="I1038" s="9"/>
      <c r="J1038" s="9"/>
      <c r="K1038" s="9"/>
      <c r="L1038" s="9"/>
      <c r="M1038" s="223"/>
      <c r="N1038" s="9"/>
      <c r="O1038" s="9"/>
      <c r="P1038" s="9"/>
      <c r="Q1038" s="9"/>
      <c r="R1038" s="9"/>
      <c r="S1038" s="223"/>
      <c r="T1038" s="223"/>
      <c r="U1038" s="223"/>
      <c r="V1038" s="9"/>
      <c r="W1038" s="9"/>
      <c r="X1038" s="9"/>
      <c r="Y1038" s="204"/>
      <c r="Z1038" s="9"/>
      <c r="AA1038" s="9"/>
      <c r="AB1038" s="9"/>
      <c r="AC1038" s="9"/>
    </row>
    <row r="1039" ht="15.75" customHeight="1">
      <c r="A1039" s="9"/>
      <c r="B1039" s="9"/>
      <c r="C1039" s="9"/>
      <c r="D1039" s="9"/>
      <c r="E1039" s="9"/>
      <c r="F1039" s="9"/>
      <c r="G1039" s="9"/>
      <c r="H1039" s="9"/>
      <c r="I1039" s="9"/>
      <c r="J1039" s="9"/>
      <c r="K1039" s="9"/>
      <c r="L1039" s="9"/>
      <c r="M1039" s="223"/>
      <c r="N1039" s="9"/>
      <c r="O1039" s="9"/>
      <c r="P1039" s="9"/>
      <c r="Q1039" s="9"/>
      <c r="R1039" s="9"/>
      <c r="S1039" s="223"/>
      <c r="T1039" s="223"/>
      <c r="U1039" s="223"/>
      <c r="V1039" s="9"/>
      <c r="W1039" s="9"/>
      <c r="X1039" s="9"/>
      <c r="Y1039" s="204"/>
      <c r="Z1039" s="9"/>
      <c r="AA1039" s="9"/>
      <c r="AB1039" s="9"/>
      <c r="AC1039" s="9"/>
    </row>
    <row r="1040" ht="15.75" customHeight="1">
      <c r="A1040" s="9"/>
      <c r="B1040" s="9"/>
      <c r="C1040" s="9"/>
      <c r="D1040" s="9"/>
      <c r="E1040" s="9"/>
      <c r="F1040" s="9"/>
      <c r="G1040" s="9"/>
      <c r="H1040" s="9"/>
      <c r="I1040" s="9"/>
      <c r="J1040" s="9"/>
      <c r="K1040" s="9"/>
      <c r="L1040" s="9"/>
      <c r="M1040" s="223"/>
      <c r="N1040" s="9"/>
      <c r="O1040" s="9"/>
      <c r="P1040" s="9"/>
      <c r="Q1040" s="9"/>
      <c r="R1040" s="9"/>
      <c r="S1040" s="223"/>
      <c r="T1040" s="223"/>
      <c r="U1040" s="223"/>
      <c r="V1040" s="9"/>
      <c r="W1040" s="9"/>
      <c r="X1040" s="9"/>
      <c r="Y1040" s="204"/>
      <c r="Z1040" s="9"/>
      <c r="AA1040" s="9"/>
      <c r="AB1040" s="9"/>
      <c r="AC1040" s="9"/>
    </row>
    <row r="1041" ht="15.75" customHeight="1">
      <c r="A1041" s="9"/>
      <c r="B1041" s="9"/>
      <c r="C1041" s="9"/>
      <c r="D1041" s="9"/>
      <c r="E1041" s="9"/>
      <c r="F1041" s="9"/>
      <c r="G1041" s="9"/>
      <c r="H1041" s="9"/>
      <c r="I1041" s="9"/>
      <c r="J1041" s="9"/>
      <c r="K1041" s="9"/>
      <c r="L1041" s="9"/>
      <c r="M1041" s="223"/>
      <c r="N1041" s="9"/>
      <c r="O1041" s="9"/>
      <c r="P1041" s="9"/>
      <c r="Q1041" s="9"/>
      <c r="R1041" s="9"/>
      <c r="S1041" s="223"/>
      <c r="T1041" s="223"/>
      <c r="U1041" s="223"/>
      <c r="V1041" s="9"/>
      <c r="W1041" s="9"/>
      <c r="X1041" s="9"/>
      <c r="Y1041" s="204"/>
      <c r="Z1041" s="9"/>
      <c r="AA1041" s="9"/>
      <c r="AB1041" s="9"/>
      <c r="AC1041" s="9"/>
    </row>
    <row r="1042" ht="15.75" customHeight="1">
      <c r="A1042" s="9"/>
      <c r="B1042" s="9"/>
      <c r="C1042" s="9"/>
      <c r="D1042" s="9"/>
      <c r="E1042" s="9"/>
      <c r="F1042" s="9"/>
      <c r="G1042" s="9"/>
      <c r="H1042" s="9"/>
      <c r="I1042" s="9"/>
      <c r="J1042" s="9"/>
      <c r="K1042" s="9"/>
      <c r="L1042" s="9"/>
      <c r="M1042" s="223"/>
      <c r="N1042" s="9"/>
      <c r="O1042" s="9"/>
      <c r="P1042" s="9"/>
      <c r="Q1042" s="9"/>
      <c r="R1042" s="9"/>
      <c r="S1042" s="223"/>
      <c r="T1042" s="223"/>
      <c r="U1042" s="223"/>
      <c r="V1042" s="9"/>
      <c r="W1042" s="9"/>
      <c r="X1042" s="9"/>
      <c r="Y1042" s="204"/>
      <c r="Z1042" s="9"/>
      <c r="AA1042" s="9"/>
      <c r="AB1042" s="9"/>
      <c r="AC1042" s="9"/>
    </row>
    <row r="1043" ht="15.75" customHeight="1">
      <c r="A1043" s="9"/>
      <c r="B1043" s="9"/>
      <c r="C1043" s="9"/>
      <c r="D1043" s="9"/>
      <c r="E1043" s="9"/>
      <c r="F1043" s="9"/>
      <c r="G1043" s="9"/>
      <c r="H1043" s="9"/>
      <c r="I1043" s="9"/>
      <c r="J1043" s="9"/>
      <c r="K1043" s="9"/>
      <c r="L1043" s="9"/>
      <c r="M1043" s="223"/>
      <c r="N1043" s="9"/>
      <c r="O1043" s="9"/>
      <c r="P1043" s="9"/>
      <c r="Q1043" s="9"/>
      <c r="R1043" s="9"/>
      <c r="S1043" s="223"/>
      <c r="T1043" s="223"/>
      <c r="U1043" s="223"/>
      <c r="V1043" s="9"/>
      <c r="W1043" s="9"/>
      <c r="X1043" s="9"/>
      <c r="Y1043" s="204"/>
      <c r="Z1043" s="9"/>
      <c r="AA1043" s="9"/>
      <c r="AB1043" s="9"/>
      <c r="AC1043" s="9"/>
    </row>
    <row r="1044" ht="15.75" customHeight="1">
      <c r="A1044" s="9"/>
      <c r="B1044" s="9"/>
      <c r="C1044" s="9"/>
      <c r="D1044" s="9"/>
      <c r="E1044" s="9"/>
      <c r="F1044" s="9"/>
      <c r="G1044" s="9"/>
      <c r="H1044" s="9"/>
      <c r="I1044" s="9"/>
      <c r="J1044" s="9"/>
      <c r="K1044" s="9"/>
      <c r="L1044" s="9"/>
      <c r="M1044" s="223"/>
      <c r="N1044" s="9"/>
      <c r="O1044" s="9"/>
      <c r="P1044" s="9"/>
      <c r="Q1044" s="9"/>
      <c r="R1044" s="9"/>
      <c r="S1044" s="223"/>
      <c r="T1044" s="223"/>
      <c r="U1044" s="223"/>
      <c r="V1044" s="9"/>
      <c r="W1044" s="9"/>
      <c r="X1044" s="9"/>
      <c r="Y1044" s="204"/>
      <c r="Z1044" s="9"/>
      <c r="AA1044" s="9"/>
      <c r="AB1044" s="9"/>
      <c r="AC1044" s="9"/>
    </row>
    <row r="1045" ht="15.75" customHeight="1">
      <c r="A1045" s="9"/>
      <c r="B1045" s="9"/>
      <c r="C1045" s="9"/>
      <c r="D1045" s="9"/>
      <c r="E1045" s="9"/>
      <c r="F1045" s="9"/>
      <c r="G1045" s="9"/>
      <c r="H1045" s="9"/>
      <c r="I1045" s="9"/>
      <c r="J1045" s="9"/>
      <c r="K1045" s="9"/>
      <c r="L1045" s="9"/>
      <c r="M1045" s="223"/>
      <c r="N1045" s="9"/>
      <c r="O1045" s="9"/>
      <c r="P1045" s="9"/>
      <c r="Q1045" s="9"/>
      <c r="R1045" s="9"/>
      <c r="S1045" s="223"/>
      <c r="T1045" s="223"/>
      <c r="U1045" s="223"/>
      <c r="V1045" s="9"/>
      <c r="W1045" s="9"/>
      <c r="X1045" s="9"/>
      <c r="Y1045" s="204"/>
      <c r="Z1045" s="9"/>
      <c r="AA1045" s="9"/>
      <c r="AB1045" s="9"/>
      <c r="AC1045" s="9"/>
    </row>
    <row r="1046" ht="15.75" customHeight="1">
      <c r="A1046" s="9"/>
      <c r="B1046" s="9"/>
      <c r="C1046" s="9"/>
      <c r="D1046" s="9"/>
      <c r="E1046" s="9"/>
      <c r="F1046" s="9"/>
      <c r="G1046" s="9"/>
      <c r="H1046" s="9"/>
      <c r="I1046" s="9"/>
      <c r="J1046" s="9"/>
      <c r="K1046" s="9"/>
      <c r="L1046" s="9"/>
      <c r="M1046" s="223"/>
      <c r="N1046" s="9"/>
      <c r="O1046" s="9"/>
      <c r="P1046" s="9"/>
      <c r="Q1046" s="9"/>
      <c r="R1046" s="9"/>
      <c r="S1046" s="223"/>
      <c r="T1046" s="223"/>
      <c r="U1046" s="223"/>
      <c r="V1046" s="9"/>
      <c r="W1046" s="9"/>
      <c r="X1046" s="9"/>
      <c r="Y1046" s="204"/>
      <c r="Z1046" s="9"/>
      <c r="AA1046" s="9"/>
      <c r="AB1046" s="9"/>
      <c r="AC1046" s="9"/>
    </row>
    <row r="1047" ht="15.75" customHeight="1">
      <c r="A1047" s="9"/>
      <c r="B1047" s="9"/>
      <c r="C1047" s="9"/>
      <c r="D1047" s="9"/>
      <c r="E1047" s="9"/>
      <c r="F1047" s="9"/>
      <c r="G1047" s="9"/>
      <c r="H1047" s="9"/>
      <c r="I1047" s="9"/>
      <c r="J1047" s="9"/>
      <c r="K1047" s="9"/>
      <c r="L1047" s="9"/>
      <c r="M1047" s="223"/>
      <c r="N1047" s="9"/>
      <c r="O1047" s="9"/>
      <c r="P1047" s="9"/>
      <c r="Q1047" s="9"/>
      <c r="R1047" s="9"/>
      <c r="S1047" s="223"/>
      <c r="T1047" s="223"/>
      <c r="U1047" s="223"/>
      <c r="V1047" s="9"/>
      <c r="W1047" s="9"/>
      <c r="X1047" s="9"/>
      <c r="Y1047" s="204"/>
      <c r="Z1047" s="9"/>
      <c r="AA1047" s="9"/>
      <c r="AB1047" s="9"/>
      <c r="AC1047" s="9"/>
    </row>
    <row r="1048" ht="15.75" customHeight="1">
      <c r="A1048" s="9"/>
      <c r="B1048" s="9"/>
      <c r="C1048" s="9"/>
      <c r="D1048" s="9"/>
      <c r="E1048" s="9"/>
      <c r="F1048" s="9"/>
      <c r="G1048" s="9"/>
      <c r="H1048" s="9"/>
      <c r="I1048" s="9"/>
      <c r="J1048" s="9"/>
      <c r="K1048" s="9"/>
      <c r="L1048" s="9"/>
      <c r="M1048" s="223"/>
      <c r="N1048" s="9"/>
      <c r="O1048" s="9"/>
      <c r="P1048" s="9"/>
      <c r="Q1048" s="9"/>
      <c r="R1048" s="9"/>
      <c r="S1048" s="223"/>
      <c r="T1048" s="223"/>
      <c r="U1048" s="223"/>
      <c r="V1048" s="9"/>
      <c r="W1048" s="9"/>
      <c r="X1048" s="9"/>
      <c r="Y1048" s="204"/>
      <c r="Z1048" s="9"/>
      <c r="AA1048" s="9"/>
      <c r="AB1048" s="9"/>
      <c r="AC1048" s="9"/>
    </row>
    <row r="1049" ht="15.75" customHeight="1">
      <c r="A1049" s="9"/>
      <c r="B1049" s="9"/>
      <c r="C1049" s="9"/>
      <c r="D1049" s="9"/>
      <c r="E1049" s="9"/>
      <c r="F1049" s="9"/>
      <c r="G1049" s="9"/>
      <c r="H1049" s="9"/>
      <c r="I1049" s="9"/>
      <c r="J1049" s="9"/>
      <c r="K1049" s="9"/>
      <c r="L1049" s="9"/>
      <c r="M1049" s="223"/>
      <c r="N1049" s="9"/>
      <c r="O1049" s="9"/>
      <c r="P1049" s="9"/>
      <c r="Q1049" s="9"/>
      <c r="R1049" s="9"/>
      <c r="S1049" s="223"/>
      <c r="T1049" s="223"/>
      <c r="U1049" s="223"/>
      <c r="V1049" s="9"/>
      <c r="W1049" s="9"/>
      <c r="X1049" s="9"/>
      <c r="Y1049" s="204"/>
      <c r="Z1049" s="9"/>
      <c r="AA1049" s="9"/>
      <c r="AB1049" s="9"/>
      <c r="AC1049" s="9"/>
    </row>
    <row r="1050" ht="15.75" customHeight="1">
      <c r="A1050" s="9"/>
      <c r="B1050" s="9"/>
      <c r="C1050" s="9"/>
      <c r="D1050" s="9"/>
      <c r="E1050" s="9"/>
      <c r="F1050" s="9"/>
      <c r="G1050" s="9"/>
      <c r="H1050" s="9"/>
      <c r="I1050" s="9"/>
      <c r="J1050" s="9"/>
      <c r="K1050" s="9"/>
      <c r="L1050" s="9"/>
      <c r="M1050" s="223"/>
      <c r="N1050" s="9"/>
      <c r="O1050" s="9"/>
      <c r="P1050" s="9"/>
      <c r="Q1050" s="9"/>
      <c r="R1050" s="9"/>
      <c r="S1050" s="223"/>
      <c r="T1050" s="223"/>
      <c r="U1050" s="223"/>
      <c r="V1050" s="9"/>
      <c r="W1050" s="9"/>
      <c r="X1050" s="9"/>
      <c r="Y1050" s="204"/>
      <c r="Z1050" s="9"/>
      <c r="AA1050" s="9"/>
      <c r="AB1050" s="9"/>
      <c r="AC1050" s="9"/>
    </row>
    <row r="1051" ht="15.75" customHeight="1">
      <c r="A1051" s="9"/>
      <c r="B1051" s="9"/>
      <c r="C1051" s="9"/>
      <c r="D1051" s="9"/>
      <c r="E1051" s="9"/>
      <c r="F1051" s="9"/>
      <c r="G1051" s="9"/>
      <c r="H1051" s="9"/>
      <c r="I1051" s="9"/>
      <c r="J1051" s="9"/>
      <c r="K1051" s="9"/>
      <c r="L1051" s="9"/>
      <c r="M1051" s="223"/>
      <c r="N1051" s="9"/>
      <c r="O1051" s="9"/>
      <c r="P1051" s="9"/>
      <c r="Q1051" s="9"/>
      <c r="R1051" s="9"/>
      <c r="S1051" s="223"/>
      <c r="T1051" s="223"/>
      <c r="U1051" s="223"/>
      <c r="V1051" s="9"/>
      <c r="W1051" s="9"/>
      <c r="X1051" s="9"/>
      <c r="Y1051" s="204"/>
      <c r="Z1051" s="9"/>
      <c r="AA1051" s="9"/>
      <c r="AB1051" s="9"/>
      <c r="AC1051" s="9"/>
    </row>
    <row r="1052" ht="15.75" customHeight="1">
      <c r="A1052" s="9"/>
      <c r="B1052" s="9"/>
      <c r="C1052" s="9"/>
      <c r="D1052" s="9"/>
      <c r="E1052" s="9"/>
      <c r="F1052" s="9"/>
      <c r="G1052" s="9"/>
      <c r="H1052" s="9"/>
      <c r="I1052" s="9"/>
      <c r="J1052" s="9"/>
      <c r="K1052" s="9"/>
      <c r="L1052" s="9"/>
      <c r="M1052" s="223"/>
      <c r="N1052" s="9"/>
      <c r="O1052" s="9"/>
      <c r="P1052" s="9"/>
      <c r="Q1052" s="9"/>
      <c r="R1052" s="9"/>
      <c r="S1052" s="223"/>
      <c r="T1052" s="223"/>
      <c r="U1052" s="223"/>
      <c r="V1052" s="9"/>
      <c r="W1052" s="9"/>
      <c r="X1052" s="9"/>
      <c r="Y1052" s="204"/>
      <c r="Z1052" s="9"/>
      <c r="AA1052" s="9"/>
      <c r="AB1052" s="9"/>
      <c r="AC1052" s="9"/>
    </row>
    <row r="1053" ht="15.75" customHeight="1">
      <c r="A1053" s="9"/>
      <c r="B1053" s="9"/>
      <c r="C1053" s="9"/>
      <c r="D1053" s="9"/>
      <c r="E1053" s="9"/>
      <c r="F1053" s="9"/>
      <c r="G1053" s="9"/>
      <c r="H1053" s="9"/>
      <c r="I1053" s="9"/>
      <c r="J1053" s="9"/>
      <c r="K1053" s="9"/>
      <c r="L1053" s="9"/>
      <c r="M1053" s="223"/>
      <c r="N1053" s="9"/>
      <c r="O1053" s="9"/>
      <c r="P1053" s="9"/>
      <c r="Q1053" s="9"/>
      <c r="R1053" s="9"/>
      <c r="S1053" s="223"/>
      <c r="T1053" s="223"/>
      <c r="U1053" s="223"/>
      <c r="V1053" s="9"/>
      <c r="W1053" s="9"/>
      <c r="X1053" s="9"/>
      <c r="Y1053" s="204"/>
      <c r="Z1053" s="9"/>
      <c r="AA1053" s="9"/>
      <c r="AB1053" s="9"/>
      <c r="AC1053" s="9"/>
    </row>
    <row r="1054" ht="15.75" customHeight="1">
      <c r="A1054" s="9"/>
      <c r="B1054" s="9"/>
      <c r="C1054" s="9"/>
      <c r="D1054" s="9"/>
      <c r="E1054" s="9"/>
      <c r="F1054" s="9"/>
      <c r="G1054" s="9"/>
      <c r="H1054" s="9"/>
      <c r="I1054" s="9"/>
      <c r="J1054" s="9"/>
      <c r="K1054" s="9"/>
      <c r="L1054" s="9"/>
      <c r="M1054" s="223"/>
      <c r="N1054" s="9"/>
      <c r="O1054" s="9"/>
      <c r="P1054" s="9"/>
      <c r="Q1054" s="9"/>
      <c r="R1054" s="9"/>
      <c r="S1054" s="223"/>
      <c r="T1054" s="223"/>
      <c r="U1054" s="223"/>
      <c r="V1054" s="9"/>
      <c r="W1054" s="9"/>
      <c r="X1054" s="9"/>
      <c r="Y1054" s="204"/>
      <c r="Z1054" s="9"/>
      <c r="AA1054" s="9"/>
      <c r="AB1054" s="9"/>
      <c r="AC1054" s="9"/>
    </row>
    <row r="1055" ht="15.75" customHeight="1">
      <c r="A1055" s="9"/>
      <c r="B1055" s="9"/>
      <c r="C1055" s="9"/>
      <c r="D1055" s="9"/>
      <c r="E1055" s="9"/>
      <c r="F1055" s="9"/>
      <c r="G1055" s="9"/>
      <c r="H1055" s="9"/>
      <c r="I1055" s="9"/>
      <c r="J1055" s="9"/>
      <c r="K1055" s="9"/>
      <c r="L1055" s="9"/>
      <c r="M1055" s="223"/>
      <c r="N1055" s="9"/>
      <c r="O1055" s="9"/>
      <c r="P1055" s="9"/>
      <c r="Q1055" s="9"/>
      <c r="R1055" s="9"/>
      <c r="S1055" s="223"/>
      <c r="T1055" s="223"/>
      <c r="U1055" s="223"/>
      <c r="V1055" s="9"/>
      <c r="W1055" s="9"/>
      <c r="X1055" s="9"/>
      <c r="Y1055" s="204"/>
      <c r="Z1055" s="9"/>
      <c r="AA1055" s="9"/>
      <c r="AB1055" s="9"/>
      <c r="AC1055" s="9"/>
    </row>
    <row r="1056" ht="15.75" customHeight="1">
      <c r="A1056" s="9"/>
      <c r="B1056" s="9"/>
      <c r="C1056" s="9"/>
      <c r="D1056" s="9"/>
      <c r="E1056" s="9"/>
      <c r="F1056" s="9"/>
      <c r="G1056" s="9"/>
      <c r="H1056" s="9"/>
      <c r="I1056" s="9"/>
      <c r="J1056" s="9"/>
      <c r="K1056" s="9"/>
      <c r="L1056" s="9"/>
      <c r="M1056" s="223"/>
      <c r="N1056" s="9"/>
      <c r="O1056" s="9"/>
      <c r="P1056" s="9"/>
      <c r="Q1056" s="9"/>
      <c r="R1056" s="9"/>
      <c r="S1056" s="223"/>
      <c r="T1056" s="223"/>
      <c r="U1056" s="223"/>
      <c r="V1056" s="9"/>
      <c r="W1056" s="9"/>
      <c r="X1056" s="9"/>
      <c r="Y1056" s="204"/>
      <c r="Z1056" s="9"/>
      <c r="AA1056" s="9"/>
      <c r="AB1056" s="9"/>
      <c r="AC1056" s="9"/>
    </row>
    <row r="1057" ht="15.75" customHeight="1">
      <c r="A1057" s="9"/>
      <c r="B1057" s="9"/>
      <c r="C1057" s="9"/>
      <c r="D1057" s="9"/>
      <c r="E1057" s="9"/>
      <c r="F1057" s="9"/>
      <c r="G1057" s="9"/>
      <c r="H1057" s="9"/>
      <c r="I1057" s="9"/>
      <c r="J1057" s="9"/>
      <c r="K1057" s="9"/>
      <c r="L1057" s="9"/>
      <c r="M1057" s="223"/>
      <c r="N1057" s="9"/>
      <c r="O1057" s="9"/>
      <c r="P1057" s="9"/>
      <c r="Q1057" s="9"/>
      <c r="R1057" s="9"/>
      <c r="S1057" s="223"/>
      <c r="T1057" s="223"/>
      <c r="U1057" s="223"/>
      <c r="V1057" s="9"/>
      <c r="W1057" s="9"/>
      <c r="X1057" s="9"/>
      <c r="Y1057" s="204"/>
      <c r="Z1057" s="9"/>
      <c r="AA1057" s="9"/>
      <c r="AB1057" s="9"/>
      <c r="AC1057" s="9"/>
    </row>
    <row r="1058" ht="15.75" customHeight="1">
      <c r="A1058" s="9"/>
      <c r="B1058" s="9"/>
      <c r="C1058" s="9"/>
      <c r="D1058" s="9"/>
      <c r="E1058" s="9"/>
      <c r="F1058" s="9"/>
      <c r="G1058" s="9"/>
      <c r="H1058" s="9"/>
      <c r="I1058" s="9"/>
      <c r="J1058" s="9"/>
      <c r="K1058" s="9"/>
      <c r="L1058" s="9"/>
      <c r="M1058" s="223"/>
      <c r="N1058" s="9"/>
      <c r="O1058" s="9"/>
      <c r="P1058" s="9"/>
      <c r="Q1058" s="9"/>
      <c r="R1058" s="9"/>
      <c r="S1058" s="223"/>
      <c r="T1058" s="223"/>
      <c r="U1058" s="223"/>
      <c r="V1058" s="9"/>
      <c r="W1058" s="9"/>
      <c r="X1058" s="9"/>
      <c r="Y1058" s="204"/>
      <c r="Z1058" s="9"/>
      <c r="AA1058" s="9"/>
      <c r="AB1058" s="9"/>
      <c r="AC1058" s="9"/>
    </row>
    <row r="1059" ht="15.75" customHeight="1">
      <c r="A1059" s="9"/>
      <c r="B1059" s="9"/>
      <c r="C1059" s="9"/>
      <c r="D1059" s="9"/>
      <c r="E1059" s="9"/>
      <c r="F1059" s="9"/>
      <c r="G1059" s="9"/>
      <c r="H1059" s="9"/>
      <c r="I1059" s="9"/>
      <c r="J1059" s="9"/>
      <c r="K1059" s="9"/>
      <c r="L1059" s="9"/>
      <c r="M1059" s="223"/>
      <c r="N1059" s="9"/>
      <c r="O1059" s="9"/>
      <c r="P1059" s="9"/>
      <c r="Q1059" s="9"/>
      <c r="R1059" s="9"/>
      <c r="S1059" s="223"/>
      <c r="T1059" s="223"/>
      <c r="U1059" s="223"/>
      <c r="V1059" s="9"/>
      <c r="W1059" s="9"/>
      <c r="X1059" s="9"/>
      <c r="Y1059" s="204"/>
      <c r="Z1059" s="9"/>
      <c r="AA1059" s="9"/>
      <c r="AB1059" s="9"/>
      <c r="AC1059" s="9"/>
    </row>
    <row r="1060" ht="15.75" customHeight="1">
      <c r="A1060" s="9"/>
      <c r="B1060" s="9"/>
      <c r="C1060" s="9"/>
      <c r="D1060" s="9"/>
      <c r="E1060" s="9"/>
      <c r="F1060" s="9"/>
      <c r="G1060" s="9"/>
      <c r="H1060" s="9"/>
      <c r="I1060" s="9"/>
      <c r="J1060" s="9"/>
      <c r="K1060" s="9"/>
      <c r="L1060" s="9"/>
      <c r="M1060" s="223"/>
      <c r="N1060" s="9"/>
      <c r="O1060" s="9"/>
      <c r="P1060" s="9"/>
      <c r="Q1060" s="9"/>
      <c r="R1060" s="9"/>
      <c r="S1060" s="223"/>
      <c r="T1060" s="223"/>
      <c r="U1060" s="223"/>
      <c r="V1060" s="9"/>
      <c r="W1060" s="9"/>
      <c r="X1060" s="9"/>
      <c r="Y1060" s="204"/>
      <c r="Z1060" s="9"/>
      <c r="AA1060" s="9"/>
      <c r="AB1060" s="9"/>
      <c r="AC1060" s="9"/>
    </row>
    <row r="1061" ht="15.75" customHeight="1">
      <c r="A1061" s="9"/>
      <c r="B1061" s="9"/>
      <c r="C1061" s="9"/>
      <c r="D1061" s="9"/>
      <c r="E1061" s="9"/>
      <c r="F1061" s="9"/>
      <c r="G1061" s="9"/>
      <c r="H1061" s="9"/>
      <c r="I1061" s="9"/>
      <c r="J1061" s="9"/>
      <c r="K1061" s="9"/>
      <c r="L1061" s="9"/>
      <c r="M1061" s="223"/>
      <c r="N1061" s="9"/>
      <c r="O1061" s="9"/>
      <c r="P1061" s="9"/>
      <c r="Q1061" s="9"/>
      <c r="R1061" s="9"/>
      <c r="S1061" s="223"/>
      <c r="T1061" s="223"/>
      <c r="U1061" s="223"/>
      <c r="V1061" s="9"/>
      <c r="W1061" s="9"/>
      <c r="X1061" s="9"/>
      <c r="Y1061" s="204"/>
      <c r="Z1061" s="9"/>
      <c r="AA1061" s="9"/>
      <c r="AB1061" s="9"/>
      <c r="AC1061" s="9"/>
    </row>
    <row r="1062" ht="15.75" customHeight="1">
      <c r="A1062" s="9"/>
      <c r="B1062" s="9"/>
      <c r="C1062" s="9"/>
      <c r="D1062" s="9"/>
      <c r="E1062" s="9"/>
      <c r="F1062" s="9"/>
      <c r="G1062" s="9"/>
      <c r="H1062" s="9"/>
      <c r="I1062" s="9"/>
      <c r="J1062" s="9"/>
      <c r="K1062" s="9"/>
      <c r="L1062" s="9"/>
      <c r="M1062" s="223"/>
      <c r="N1062" s="9"/>
      <c r="O1062" s="9"/>
      <c r="P1062" s="9"/>
      <c r="Q1062" s="9"/>
      <c r="R1062" s="9"/>
      <c r="S1062" s="223"/>
      <c r="T1062" s="223"/>
      <c r="U1062" s="223"/>
      <c r="V1062" s="9"/>
      <c r="W1062" s="9"/>
      <c r="X1062" s="9"/>
      <c r="Y1062" s="204"/>
      <c r="Z1062" s="9"/>
      <c r="AA1062" s="9"/>
      <c r="AB1062" s="9"/>
      <c r="AC1062" s="9"/>
    </row>
    <row r="1063" ht="15.75" customHeight="1">
      <c r="A1063" s="9"/>
      <c r="B1063" s="9"/>
      <c r="C1063" s="9"/>
      <c r="D1063" s="9"/>
      <c r="E1063" s="9"/>
      <c r="F1063" s="9"/>
      <c r="G1063" s="9"/>
      <c r="H1063" s="9"/>
      <c r="I1063" s="9"/>
      <c r="J1063" s="9"/>
      <c r="K1063" s="9"/>
      <c r="L1063" s="9"/>
      <c r="M1063" s="223"/>
      <c r="N1063" s="9"/>
      <c r="O1063" s="9"/>
      <c r="P1063" s="9"/>
      <c r="Q1063" s="9"/>
      <c r="R1063" s="9"/>
      <c r="S1063" s="223"/>
      <c r="T1063" s="223"/>
      <c r="U1063" s="223"/>
      <c r="V1063" s="9"/>
      <c r="W1063" s="9"/>
      <c r="X1063" s="9"/>
      <c r="Y1063" s="204"/>
      <c r="Z1063" s="9"/>
      <c r="AA1063" s="9"/>
      <c r="AB1063" s="9"/>
      <c r="AC1063" s="9"/>
    </row>
    <row r="1064" ht="15.75" customHeight="1">
      <c r="A1064" s="9"/>
      <c r="B1064" s="9"/>
      <c r="C1064" s="9"/>
      <c r="D1064" s="9"/>
      <c r="E1064" s="9"/>
      <c r="F1064" s="9"/>
      <c r="G1064" s="9"/>
      <c r="H1064" s="9"/>
      <c r="I1064" s="9"/>
      <c r="J1064" s="9"/>
      <c r="K1064" s="9"/>
      <c r="L1064" s="9"/>
      <c r="M1064" s="223"/>
      <c r="N1064" s="9"/>
      <c r="O1064" s="9"/>
      <c r="P1064" s="9"/>
      <c r="Q1064" s="9"/>
      <c r="R1064" s="9"/>
      <c r="S1064" s="223"/>
      <c r="T1064" s="223"/>
      <c r="U1064" s="223"/>
      <c r="V1064" s="9"/>
      <c r="W1064" s="9"/>
      <c r="X1064" s="9"/>
      <c r="Y1064" s="204"/>
      <c r="Z1064" s="9"/>
      <c r="AA1064" s="9"/>
      <c r="AB1064" s="9"/>
      <c r="AC1064" s="9"/>
    </row>
    <row r="1065" ht="15.75" customHeight="1">
      <c r="A1065" s="9"/>
      <c r="B1065" s="9"/>
      <c r="C1065" s="9"/>
      <c r="D1065" s="9"/>
      <c r="E1065" s="9"/>
      <c r="F1065" s="9"/>
      <c r="G1065" s="9"/>
      <c r="H1065" s="9"/>
      <c r="I1065" s="9"/>
      <c r="J1065" s="9"/>
      <c r="K1065" s="9"/>
      <c r="L1065" s="9"/>
      <c r="M1065" s="223"/>
      <c r="N1065" s="9"/>
      <c r="O1065" s="9"/>
      <c r="P1065" s="9"/>
      <c r="Q1065" s="9"/>
      <c r="R1065" s="9"/>
      <c r="S1065" s="223"/>
      <c r="T1065" s="223"/>
      <c r="U1065" s="223"/>
      <c r="V1065" s="9"/>
      <c r="W1065" s="9"/>
      <c r="X1065" s="9"/>
      <c r="Y1065" s="204"/>
      <c r="Z1065" s="9"/>
      <c r="AA1065" s="9"/>
      <c r="AB1065" s="9"/>
      <c r="AC1065" s="9"/>
    </row>
    <row r="1066" ht="15.75" customHeight="1">
      <c r="A1066" s="9"/>
      <c r="B1066" s="9"/>
      <c r="C1066" s="9"/>
      <c r="D1066" s="9"/>
      <c r="E1066" s="9"/>
      <c r="F1066" s="9"/>
      <c r="G1066" s="9"/>
      <c r="H1066" s="9"/>
      <c r="I1066" s="9"/>
      <c r="J1066" s="9"/>
      <c r="K1066" s="9"/>
      <c r="L1066" s="9"/>
      <c r="M1066" s="223"/>
      <c r="N1066" s="9"/>
      <c r="O1066" s="9"/>
      <c r="P1066" s="9"/>
      <c r="Q1066" s="9"/>
      <c r="R1066" s="9"/>
      <c r="S1066" s="223"/>
      <c r="T1066" s="223"/>
      <c r="U1066" s="223"/>
      <c r="V1066" s="9"/>
      <c r="W1066" s="9"/>
      <c r="X1066" s="9"/>
      <c r="Y1066" s="204"/>
      <c r="Z1066" s="9"/>
      <c r="AA1066" s="9"/>
      <c r="AB1066" s="9"/>
      <c r="AC1066" s="9"/>
    </row>
    <row r="1067" ht="15.75" customHeight="1">
      <c r="A1067" s="9"/>
      <c r="B1067" s="9"/>
      <c r="C1067" s="9"/>
      <c r="D1067" s="9"/>
      <c r="E1067" s="9"/>
      <c r="F1067" s="9"/>
      <c r="G1067" s="9"/>
      <c r="H1067" s="9"/>
      <c r="I1067" s="9"/>
      <c r="J1067" s="9"/>
      <c r="K1067" s="9"/>
      <c r="L1067" s="9"/>
      <c r="M1067" s="223"/>
      <c r="N1067" s="9"/>
      <c r="O1067" s="9"/>
      <c r="P1067" s="9"/>
      <c r="Q1067" s="9"/>
      <c r="R1067" s="9"/>
      <c r="S1067" s="223"/>
      <c r="T1067" s="223"/>
      <c r="U1067" s="223"/>
      <c r="V1067" s="9"/>
      <c r="W1067" s="9"/>
      <c r="X1067" s="9"/>
      <c r="Y1067" s="204"/>
      <c r="Z1067" s="9"/>
      <c r="AA1067" s="9"/>
      <c r="AB1067" s="9"/>
      <c r="AC1067" s="9"/>
    </row>
    <row r="1068" ht="15.75" customHeight="1">
      <c r="A1068" s="9"/>
      <c r="B1068" s="9"/>
      <c r="C1068" s="9"/>
      <c r="D1068" s="9"/>
      <c r="E1068" s="9"/>
      <c r="F1068" s="9"/>
      <c r="G1068" s="9"/>
      <c r="H1068" s="9"/>
      <c r="I1068" s="9"/>
      <c r="J1068" s="9"/>
      <c r="K1068" s="9"/>
      <c r="L1068" s="9"/>
      <c r="M1068" s="223"/>
      <c r="N1068" s="9"/>
      <c r="O1068" s="9"/>
      <c r="P1068" s="9"/>
      <c r="Q1068" s="9"/>
      <c r="R1068" s="9"/>
      <c r="S1068" s="223"/>
      <c r="T1068" s="223"/>
      <c r="U1068" s="223"/>
      <c r="V1068" s="9"/>
      <c r="W1068" s="9"/>
      <c r="X1068" s="9"/>
      <c r="Y1068" s="204"/>
      <c r="Z1068" s="9"/>
      <c r="AA1068" s="9"/>
      <c r="AB1068" s="9"/>
      <c r="AC1068" s="9"/>
    </row>
    <row r="1069" ht="15.75" customHeight="1">
      <c r="A1069" s="9"/>
      <c r="B1069" s="9"/>
      <c r="C1069" s="9"/>
      <c r="D1069" s="9"/>
      <c r="E1069" s="9"/>
      <c r="F1069" s="9"/>
      <c r="G1069" s="9"/>
      <c r="H1069" s="9"/>
      <c r="I1069" s="9"/>
      <c r="J1069" s="9"/>
      <c r="K1069" s="9"/>
      <c r="L1069" s="9"/>
      <c r="M1069" s="223"/>
      <c r="N1069" s="9"/>
      <c r="O1069" s="9"/>
      <c r="P1069" s="9"/>
      <c r="Q1069" s="9"/>
      <c r="R1069" s="9"/>
      <c r="S1069" s="223"/>
      <c r="T1069" s="223"/>
      <c r="U1069" s="223"/>
      <c r="V1069" s="9"/>
      <c r="W1069" s="9"/>
      <c r="X1069" s="9"/>
      <c r="Y1069" s="204"/>
      <c r="Z1069" s="9"/>
      <c r="AA1069" s="9"/>
      <c r="AB1069" s="9"/>
      <c r="AC1069" s="9"/>
    </row>
    <row r="1070" ht="15.75" customHeight="1">
      <c r="A1070" s="9"/>
      <c r="B1070" s="9"/>
      <c r="C1070" s="9"/>
      <c r="D1070" s="9"/>
      <c r="E1070" s="9"/>
      <c r="F1070" s="9"/>
      <c r="G1070" s="9"/>
      <c r="H1070" s="9"/>
      <c r="I1070" s="9"/>
      <c r="J1070" s="9"/>
      <c r="K1070" s="9"/>
      <c r="L1070" s="9"/>
      <c r="M1070" s="223"/>
      <c r="N1070" s="9"/>
      <c r="O1070" s="9"/>
      <c r="P1070" s="9"/>
      <c r="Q1070" s="9"/>
      <c r="R1070" s="9"/>
      <c r="S1070" s="223"/>
      <c r="T1070" s="223"/>
      <c r="U1070" s="223"/>
      <c r="V1070" s="9"/>
      <c r="W1070" s="9"/>
      <c r="X1070" s="9"/>
      <c r="Y1070" s="204"/>
      <c r="Z1070" s="9"/>
      <c r="AA1070" s="9"/>
      <c r="AB1070" s="9"/>
      <c r="AC1070" s="9"/>
    </row>
    <row r="1071" ht="15.75" customHeight="1">
      <c r="A1071" s="9"/>
      <c r="B1071" s="9"/>
      <c r="C1071" s="9"/>
      <c r="D1071" s="9"/>
      <c r="E1071" s="9"/>
      <c r="F1071" s="9"/>
      <c r="G1071" s="9"/>
      <c r="H1071" s="9"/>
      <c r="I1071" s="9"/>
      <c r="J1071" s="9"/>
      <c r="K1071" s="9"/>
      <c r="L1071" s="9"/>
      <c r="M1071" s="223"/>
      <c r="N1071" s="9"/>
      <c r="O1071" s="9"/>
      <c r="P1071" s="9"/>
      <c r="Q1071" s="9"/>
      <c r="R1071" s="9"/>
      <c r="S1071" s="223"/>
      <c r="T1071" s="223"/>
      <c r="U1071" s="223"/>
      <c r="V1071" s="9"/>
      <c r="W1071" s="9"/>
      <c r="X1071" s="9"/>
      <c r="Y1071" s="204"/>
      <c r="Z1071" s="9"/>
      <c r="AA1071" s="9"/>
      <c r="AB1071" s="9"/>
      <c r="AC1071" s="9"/>
    </row>
    <row r="1072" ht="15.75" customHeight="1">
      <c r="A1072" s="9"/>
      <c r="B1072" s="9"/>
      <c r="C1072" s="9"/>
      <c r="D1072" s="9"/>
      <c r="E1072" s="9"/>
      <c r="F1072" s="9"/>
      <c r="G1072" s="9"/>
      <c r="H1072" s="9"/>
      <c r="I1072" s="9"/>
      <c r="J1072" s="9"/>
      <c r="K1072" s="9"/>
      <c r="L1072" s="9"/>
      <c r="M1072" s="223"/>
      <c r="N1072" s="9"/>
      <c r="O1072" s="9"/>
      <c r="P1072" s="9"/>
      <c r="Q1072" s="9"/>
      <c r="R1072" s="9"/>
      <c r="S1072" s="223"/>
      <c r="T1072" s="223"/>
      <c r="U1072" s="223"/>
      <c r="V1072" s="9"/>
      <c r="W1072" s="9"/>
      <c r="X1072" s="9"/>
      <c r="Y1072" s="204"/>
      <c r="Z1072" s="9"/>
      <c r="AA1072" s="9"/>
      <c r="AB1072" s="9"/>
      <c r="AC1072" s="9"/>
    </row>
    <row r="1073" ht="15.75" customHeight="1">
      <c r="A1073" s="9"/>
      <c r="B1073" s="9"/>
      <c r="C1073" s="9"/>
      <c r="D1073" s="9"/>
      <c r="E1073" s="9"/>
      <c r="F1073" s="9"/>
      <c r="G1073" s="9"/>
      <c r="H1073" s="9"/>
      <c r="I1073" s="9"/>
      <c r="J1073" s="9"/>
      <c r="K1073" s="9"/>
      <c r="L1073" s="9"/>
      <c r="M1073" s="223"/>
      <c r="N1073" s="9"/>
      <c r="O1073" s="9"/>
      <c r="P1073" s="9"/>
      <c r="Q1073" s="9"/>
      <c r="R1073" s="9"/>
      <c r="S1073" s="223"/>
      <c r="T1073" s="223"/>
      <c r="U1073" s="223"/>
      <c r="V1073" s="9"/>
      <c r="W1073" s="9"/>
      <c r="X1073" s="9"/>
      <c r="Y1073" s="204"/>
      <c r="Z1073" s="9"/>
      <c r="AA1073" s="9"/>
      <c r="AB1073" s="9"/>
      <c r="AC1073" s="9"/>
    </row>
    <row r="1074" ht="15.75" customHeight="1">
      <c r="A1074" s="9"/>
      <c r="B1074" s="9"/>
      <c r="C1074" s="9"/>
      <c r="D1074" s="9"/>
      <c r="E1074" s="9"/>
      <c r="F1074" s="9"/>
      <c r="G1074" s="9"/>
      <c r="H1074" s="9"/>
      <c r="I1074" s="9"/>
      <c r="J1074" s="9"/>
      <c r="K1074" s="9"/>
      <c r="L1074" s="9"/>
      <c r="M1074" s="223"/>
      <c r="N1074" s="9"/>
      <c r="O1074" s="9"/>
      <c r="P1074" s="9"/>
      <c r="Q1074" s="9"/>
      <c r="R1074" s="9"/>
      <c r="S1074" s="223"/>
      <c r="T1074" s="223"/>
      <c r="U1074" s="223"/>
      <c r="V1074" s="9"/>
      <c r="W1074" s="9"/>
      <c r="X1074" s="9"/>
      <c r="Y1074" s="204"/>
      <c r="Z1074" s="9"/>
      <c r="AA1074" s="9"/>
      <c r="AB1074" s="9"/>
      <c r="AC1074" s="9"/>
    </row>
    <row r="1075" ht="15.75" customHeight="1">
      <c r="A1075" s="9"/>
      <c r="B1075" s="9"/>
      <c r="C1075" s="9"/>
      <c r="D1075" s="9"/>
      <c r="E1075" s="9"/>
      <c r="F1075" s="9"/>
      <c r="G1075" s="9"/>
      <c r="H1075" s="9"/>
      <c r="I1075" s="9"/>
      <c r="J1075" s="9"/>
      <c r="K1075" s="9"/>
      <c r="L1075" s="9"/>
      <c r="M1075" s="223"/>
      <c r="N1075" s="9"/>
      <c r="O1075" s="9"/>
      <c r="P1075" s="9"/>
      <c r="Q1075" s="9"/>
      <c r="R1075" s="9"/>
      <c r="S1075" s="223"/>
      <c r="T1075" s="223"/>
      <c r="U1075" s="223"/>
      <c r="V1075" s="9"/>
      <c r="W1075" s="9"/>
      <c r="X1075" s="9"/>
      <c r="Y1075" s="204"/>
      <c r="Z1075" s="9"/>
      <c r="AA1075" s="9"/>
      <c r="AB1075" s="9"/>
      <c r="AC1075" s="9"/>
    </row>
    <row r="1076" ht="15.75" customHeight="1">
      <c r="A1076" s="9"/>
      <c r="B1076" s="9"/>
      <c r="C1076" s="9"/>
      <c r="D1076" s="9"/>
      <c r="E1076" s="9"/>
      <c r="F1076" s="9"/>
      <c r="G1076" s="9"/>
      <c r="H1076" s="9"/>
      <c r="I1076" s="9"/>
      <c r="J1076" s="9"/>
      <c r="K1076" s="9"/>
      <c r="L1076" s="9"/>
      <c r="M1076" s="223"/>
      <c r="N1076" s="9"/>
      <c r="O1076" s="9"/>
      <c r="P1076" s="9"/>
      <c r="Q1076" s="9"/>
      <c r="R1076" s="9"/>
      <c r="S1076" s="223"/>
      <c r="T1076" s="223"/>
      <c r="U1076" s="223"/>
      <c r="V1076" s="9"/>
      <c r="W1076" s="9"/>
      <c r="X1076" s="9"/>
      <c r="Y1076" s="204"/>
      <c r="Z1076" s="9"/>
      <c r="AA1076" s="9"/>
      <c r="AB1076" s="9"/>
      <c r="AC1076" s="9"/>
    </row>
    <row r="1077" ht="15.75" customHeight="1">
      <c r="A1077" s="9"/>
      <c r="B1077" s="9"/>
      <c r="C1077" s="9"/>
      <c r="D1077" s="9"/>
      <c r="E1077" s="9"/>
      <c r="F1077" s="9"/>
      <c r="G1077" s="9"/>
      <c r="H1077" s="9"/>
      <c r="I1077" s="9"/>
      <c r="J1077" s="9"/>
      <c r="K1077" s="9"/>
      <c r="L1077" s="9"/>
      <c r="M1077" s="223"/>
      <c r="N1077" s="9"/>
      <c r="O1077" s="9"/>
      <c r="P1077" s="9"/>
      <c r="Q1077" s="9"/>
      <c r="R1077" s="9"/>
      <c r="S1077" s="223"/>
      <c r="T1077" s="223"/>
      <c r="U1077" s="223"/>
      <c r="V1077" s="9"/>
      <c r="W1077" s="9"/>
      <c r="X1077" s="9"/>
      <c r="Y1077" s="204"/>
      <c r="Z1077" s="9"/>
      <c r="AA1077" s="9"/>
      <c r="AB1077" s="9"/>
      <c r="AC1077" s="9"/>
    </row>
    <row r="1078" ht="15.75" customHeight="1">
      <c r="A1078" s="9"/>
      <c r="B1078" s="9"/>
      <c r="C1078" s="9"/>
      <c r="D1078" s="9"/>
      <c r="E1078" s="9"/>
      <c r="F1078" s="9"/>
      <c r="G1078" s="9"/>
      <c r="H1078" s="9"/>
      <c r="I1078" s="9"/>
      <c r="J1078" s="9"/>
      <c r="K1078" s="9"/>
      <c r="L1078" s="9"/>
      <c r="M1078" s="223"/>
      <c r="N1078" s="9"/>
      <c r="O1078" s="9"/>
      <c r="P1078" s="9"/>
      <c r="Q1078" s="9"/>
      <c r="R1078" s="9"/>
      <c r="S1078" s="223"/>
      <c r="T1078" s="223"/>
      <c r="U1078" s="223"/>
      <c r="V1078" s="9"/>
      <c r="W1078" s="9"/>
      <c r="X1078" s="9"/>
      <c r="Y1078" s="204"/>
      <c r="Z1078" s="9"/>
      <c r="AA1078" s="9"/>
      <c r="AB1078" s="9"/>
      <c r="AC1078" s="9"/>
    </row>
    <row r="1079" ht="15.75" customHeight="1">
      <c r="A1079" s="9"/>
      <c r="B1079" s="9"/>
      <c r="C1079" s="9"/>
      <c r="D1079" s="9"/>
      <c r="E1079" s="9"/>
      <c r="F1079" s="9"/>
      <c r="G1079" s="9"/>
      <c r="H1079" s="9"/>
      <c r="I1079" s="9"/>
      <c r="J1079" s="9"/>
      <c r="K1079" s="9"/>
      <c r="L1079" s="9"/>
      <c r="M1079" s="223"/>
      <c r="N1079" s="9"/>
      <c r="O1079" s="9"/>
      <c r="P1079" s="9"/>
      <c r="Q1079" s="9"/>
      <c r="R1079" s="9"/>
      <c r="S1079" s="223"/>
      <c r="T1079" s="223"/>
      <c r="U1079" s="223"/>
      <c r="V1079" s="9"/>
      <c r="W1079" s="9"/>
      <c r="X1079" s="9"/>
      <c r="Y1079" s="204"/>
      <c r="Z1079" s="9"/>
      <c r="AA1079" s="9"/>
      <c r="AB1079" s="9"/>
      <c r="AC1079" s="9"/>
    </row>
    <row r="1080" ht="15.75" customHeight="1">
      <c r="A1080" s="9"/>
      <c r="B1080" s="9"/>
      <c r="C1080" s="9"/>
      <c r="D1080" s="9"/>
      <c r="E1080" s="9"/>
      <c r="F1080" s="9"/>
      <c r="G1080" s="9"/>
      <c r="H1080" s="9"/>
      <c r="I1080" s="9"/>
      <c r="J1080" s="9"/>
      <c r="K1080" s="9"/>
      <c r="L1080" s="9"/>
      <c r="M1080" s="223"/>
      <c r="N1080" s="9"/>
      <c r="O1080" s="9"/>
      <c r="P1080" s="9"/>
      <c r="Q1080" s="9"/>
      <c r="R1080" s="9"/>
      <c r="S1080" s="223"/>
      <c r="T1080" s="223"/>
      <c r="U1080" s="223"/>
      <c r="V1080" s="9"/>
      <c r="W1080" s="9"/>
      <c r="X1080" s="9"/>
      <c r="Y1080" s="204"/>
      <c r="Z1080" s="9"/>
      <c r="AA1080" s="9"/>
      <c r="AB1080" s="9"/>
      <c r="AC1080" s="9"/>
    </row>
    <row r="1081" ht="15.75" customHeight="1">
      <c r="A1081" s="9"/>
      <c r="B1081" s="9"/>
      <c r="C1081" s="9"/>
      <c r="D1081" s="9"/>
      <c r="E1081" s="9"/>
      <c r="F1081" s="9"/>
      <c r="G1081" s="9"/>
      <c r="H1081" s="9"/>
      <c r="I1081" s="9"/>
      <c r="J1081" s="9"/>
      <c r="K1081" s="9"/>
      <c r="L1081" s="9"/>
      <c r="M1081" s="223"/>
      <c r="N1081" s="9"/>
      <c r="O1081" s="9"/>
      <c r="P1081" s="9"/>
      <c r="Q1081" s="9"/>
      <c r="R1081" s="9"/>
      <c r="S1081" s="223"/>
      <c r="T1081" s="223"/>
      <c r="U1081" s="223"/>
      <c r="V1081" s="9"/>
      <c r="W1081" s="9"/>
      <c r="X1081" s="9"/>
      <c r="Y1081" s="204"/>
      <c r="Z1081" s="9"/>
      <c r="AA1081" s="9"/>
      <c r="AB1081" s="9"/>
      <c r="AC1081" s="9"/>
    </row>
    <row r="1082" ht="15.75" customHeight="1">
      <c r="A1082" s="9"/>
      <c r="B1082" s="9"/>
      <c r="C1082" s="9"/>
      <c r="D1082" s="9"/>
      <c r="E1082" s="9"/>
      <c r="F1082" s="9"/>
      <c r="G1082" s="9"/>
      <c r="H1082" s="9"/>
      <c r="I1082" s="9"/>
      <c r="J1082" s="9"/>
      <c r="K1082" s="9"/>
      <c r="L1082" s="9"/>
      <c r="M1082" s="223"/>
      <c r="N1082" s="9"/>
      <c r="O1082" s="9"/>
      <c r="P1082" s="9"/>
      <c r="Q1082" s="9"/>
      <c r="R1082" s="9"/>
      <c r="S1082" s="223"/>
      <c r="T1082" s="223"/>
      <c r="U1082" s="223"/>
      <c r="V1082" s="9"/>
      <c r="W1082" s="9"/>
      <c r="X1082" s="9"/>
      <c r="Y1082" s="204"/>
      <c r="Z1082" s="9"/>
      <c r="AA1082" s="9"/>
      <c r="AB1082" s="9"/>
      <c r="AC1082" s="9"/>
    </row>
    <row r="1083" ht="15.75" customHeight="1">
      <c r="A1083" s="9"/>
      <c r="B1083" s="9"/>
      <c r="C1083" s="9"/>
      <c r="D1083" s="9"/>
      <c r="E1083" s="9"/>
      <c r="F1083" s="9"/>
      <c r="G1083" s="9"/>
      <c r="H1083" s="9"/>
      <c r="I1083" s="9"/>
      <c r="J1083" s="9"/>
      <c r="K1083" s="9"/>
      <c r="L1083" s="9"/>
      <c r="M1083" s="223"/>
      <c r="N1083" s="9"/>
      <c r="O1083" s="9"/>
      <c r="P1083" s="9"/>
      <c r="Q1083" s="9"/>
      <c r="R1083" s="9"/>
      <c r="S1083" s="223"/>
      <c r="T1083" s="223"/>
      <c r="U1083" s="223"/>
      <c r="V1083" s="9"/>
      <c r="W1083" s="9"/>
      <c r="X1083" s="9"/>
      <c r="Y1083" s="204"/>
      <c r="Z1083" s="9"/>
      <c r="AA1083" s="9"/>
      <c r="AB1083" s="9"/>
      <c r="AC1083" s="9"/>
    </row>
    <row r="1084" ht="15.75" customHeight="1">
      <c r="A1084" s="9"/>
      <c r="B1084" s="9"/>
      <c r="C1084" s="9"/>
      <c r="D1084" s="9"/>
      <c r="E1084" s="9"/>
      <c r="F1084" s="9"/>
      <c r="G1084" s="9"/>
      <c r="H1084" s="9"/>
      <c r="I1084" s="9"/>
      <c r="J1084" s="9"/>
      <c r="K1084" s="9"/>
      <c r="L1084" s="9"/>
      <c r="M1084" s="223"/>
      <c r="N1084" s="9"/>
      <c r="O1084" s="9"/>
      <c r="P1084" s="9"/>
      <c r="Q1084" s="9"/>
      <c r="R1084" s="9"/>
      <c r="S1084" s="223"/>
      <c r="T1084" s="223"/>
      <c r="U1084" s="223"/>
      <c r="V1084" s="9"/>
      <c r="W1084" s="9"/>
      <c r="X1084" s="9"/>
      <c r="Y1084" s="204"/>
      <c r="Z1084" s="9"/>
      <c r="AA1084" s="9"/>
      <c r="AB1084" s="9"/>
      <c r="AC1084" s="9"/>
    </row>
    <row r="1085" ht="15.75" customHeight="1">
      <c r="A1085" s="9"/>
      <c r="B1085" s="9"/>
      <c r="C1085" s="9"/>
      <c r="D1085" s="9"/>
      <c r="E1085" s="9"/>
      <c r="F1085" s="9"/>
      <c r="G1085" s="9"/>
      <c r="H1085" s="9"/>
      <c r="I1085" s="9"/>
      <c r="J1085" s="9"/>
      <c r="K1085" s="9"/>
      <c r="L1085" s="9"/>
      <c r="M1085" s="223"/>
      <c r="N1085" s="9"/>
      <c r="O1085" s="9"/>
      <c r="P1085" s="9"/>
      <c r="Q1085" s="9"/>
      <c r="R1085" s="9"/>
      <c r="S1085" s="223"/>
      <c r="T1085" s="223"/>
      <c r="U1085" s="223"/>
      <c r="V1085" s="9"/>
      <c r="W1085" s="9"/>
      <c r="X1085" s="9"/>
      <c r="Y1085" s="204"/>
      <c r="Z1085" s="9"/>
      <c r="AA1085" s="9"/>
      <c r="AB1085" s="9"/>
      <c r="AC1085" s="9"/>
    </row>
    <row r="1086" ht="15.75" customHeight="1">
      <c r="A1086" s="9"/>
      <c r="B1086" s="9"/>
      <c r="C1086" s="9"/>
      <c r="D1086" s="9"/>
      <c r="E1086" s="9"/>
      <c r="F1086" s="9"/>
      <c r="G1086" s="9"/>
      <c r="H1086" s="9"/>
      <c r="I1086" s="9"/>
      <c r="J1086" s="9"/>
      <c r="K1086" s="9"/>
      <c r="L1086" s="9"/>
      <c r="M1086" s="223"/>
      <c r="N1086" s="9"/>
      <c r="O1086" s="9"/>
      <c r="P1086" s="9"/>
      <c r="Q1086" s="9"/>
      <c r="R1086" s="9"/>
      <c r="S1086" s="223"/>
      <c r="T1086" s="223"/>
      <c r="U1086" s="223"/>
      <c r="V1086" s="9"/>
      <c r="W1086" s="9"/>
      <c r="X1086" s="9"/>
      <c r="Y1086" s="204"/>
      <c r="Z1086" s="9"/>
      <c r="AA1086" s="9"/>
      <c r="AB1086" s="9"/>
      <c r="AC1086" s="9"/>
    </row>
    <row r="1087" ht="15.75" customHeight="1">
      <c r="A1087" s="9"/>
      <c r="B1087" s="9"/>
      <c r="C1087" s="9"/>
      <c r="D1087" s="9"/>
      <c r="E1087" s="9"/>
      <c r="F1087" s="9"/>
      <c r="G1087" s="9"/>
      <c r="H1087" s="9"/>
      <c r="I1087" s="9"/>
      <c r="J1087" s="9"/>
      <c r="K1087" s="9"/>
      <c r="L1087" s="9"/>
      <c r="M1087" s="223"/>
      <c r="N1087" s="9"/>
      <c r="O1087" s="9"/>
      <c r="P1087" s="9"/>
      <c r="Q1087" s="9"/>
      <c r="R1087" s="9"/>
      <c r="S1087" s="223"/>
      <c r="T1087" s="223"/>
      <c r="U1087" s="223"/>
      <c r="V1087" s="9"/>
      <c r="W1087" s="9"/>
      <c r="X1087" s="9"/>
      <c r="Y1087" s="204"/>
      <c r="Z1087" s="9"/>
      <c r="AA1087" s="9"/>
      <c r="AB1087" s="9"/>
      <c r="AC1087" s="9"/>
    </row>
    <row r="1088" ht="15.75" customHeight="1">
      <c r="A1088" s="9"/>
      <c r="B1088" s="9"/>
      <c r="C1088" s="9"/>
      <c r="D1088" s="9"/>
      <c r="E1088" s="9"/>
      <c r="F1088" s="9"/>
      <c r="G1088" s="9"/>
      <c r="H1088" s="9"/>
      <c r="I1088" s="9"/>
      <c r="J1088" s="9"/>
      <c r="K1088" s="9"/>
      <c r="L1088" s="9"/>
      <c r="M1088" s="223"/>
      <c r="N1088" s="9"/>
      <c r="O1088" s="9"/>
      <c r="P1088" s="9"/>
      <c r="Q1088" s="9"/>
      <c r="R1088" s="9"/>
      <c r="S1088" s="223"/>
      <c r="T1088" s="223"/>
      <c r="U1088" s="223"/>
      <c r="V1088" s="9"/>
      <c r="W1088" s="9"/>
      <c r="X1088" s="9"/>
      <c r="Y1088" s="204"/>
      <c r="Z1088" s="9"/>
      <c r="AA1088" s="9"/>
      <c r="AB1088" s="9"/>
      <c r="AC1088" s="9"/>
    </row>
    <row r="1089" ht="15.75" customHeight="1">
      <c r="A1089" s="9"/>
      <c r="B1089" s="9"/>
      <c r="C1089" s="9"/>
      <c r="D1089" s="9"/>
      <c r="E1089" s="9"/>
      <c r="F1089" s="9"/>
      <c r="G1089" s="9"/>
      <c r="H1089" s="9"/>
      <c r="I1089" s="9"/>
      <c r="J1089" s="9"/>
      <c r="K1089" s="9"/>
      <c r="L1089" s="9"/>
      <c r="M1089" s="223"/>
      <c r="N1089" s="9"/>
      <c r="O1089" s="9"/>
      <c r="P1089" s="9"/>
      <c r="Q1089" s="9"/>
      <c r="R1089" s="9"/>
      <c r="S1089" s="223"/>
      <c r="T1089" s="223"/>
      <c r="U1089" s="223"/>
      <c r="V1089" s="9"/>
      <c r="W1089" s="9"/>
      <c r="X1089" s="9"/>
      <c r="Y1089" s="204"/>
      <c r="Z1089" s="9"/>
      <c r="AA1089" s="9"/>
      <c r="AB1089" s="9"/>
      <c r="AC1089" s="9"/>
    </row>
    <row r="1090" ht="15.75" customHeight="1">
      <c r="A1090" s="9"/>
      <c r="B1090" s="9"/>
      <c r="C1090" s="9"/>
      <c r="D1090" s="9"/>
      <c r="E1090" s="9"/>
      <c r="F1090" s="9"/>
      <c r="G1090" s="9"/>
      <c r="H1090" s="9"/>
      <c r="I1090" s="9"/>
      <c r="J1090" s="9"/>
      <c r="K1090" s="9"/>
      <c r="L1090" s="9"/>
      <c r="M1090" s="223"/>
      <c r="N1090" s="9"/>
      <c r="O1090" s="9"/>
      <c r="P1090" s="9"/>
      <c r="Q1090" s="9"/>
      <c r="R1090" s="9"/>
      <c r="S1090" s="223"/>
      <c r="T1090" s="223"/>
      <c r="U1090" s="223"/>
      <c r="V1090" s="9"/>
      <c r="W1090" s="9"/>
      <c r="X1090" s="9"/>
      <c r="Y1090" s="204"/>
      <c r="Z1090" s="9"/>
      <c r="AA1090" s="9"/>
      <c r="AB1090" s="9"/>
      <c r="AC1090" s="9"/>
    </row>
    <row r="1091" ht="15.75" customHeight="1">
      <c r="A1091" s="9"/>
      <c r="B1091" s="9"/>
      <c r="C1091" s="9"/>
      <c r="D1091" s="9"/>
      <c r="E1091" s="9"/>
      <c r="F1091" s="9"/>
      <c r="G1091" s="9"/>
      <c r="H1091" s="9"/>
      <c r="I1091" s="9"/>
      <c r="J1091" s="9"/>
      <c r="K1091" s="9"/>
      <c r="L1091" s="9"/>
      <c r="M1091" s="223"/>
      <c r="N1091" s="9"/>
      <c r="O1091" s="9"/>
      <c r="P1091" s="9"/>
      <c r="Q1091" s="9"/>
      <c r="R1091" s="9"/>
      <c r="S1091" s="223"/>
      <c r="T1091" s="223"/>
      <c r="U1091" s="223"/>
      <c r="V1091" s="9"/>
      <c r="W1091" s="9"/>
      <c r="X1091" s="9"/>
      <c r="Y1091" s="204"/>
      <c r="Z1091" s="9"/>
      <c r="AA1091" s="9"/>
      <c r="AB1091" s="9"/>
      <c r="AC1091" s="9"/>
    </row>
    <row r="1092" ht="15.75" customHeight="1">
      <c r="A1092" s="9"/>
      <c r="B1092" s="9"/>
      <c r="C1092" s="9"/>
      <c r="D1092" s="9"/>
      <c r="E1092" s="9"/>
      <c r="F1092" s="9"/>
      <c r="G1092" s="9"/>
      <c r="H1092" s="9"/>
      <c r="I1092" s="9"/>
      <c r="J1092" s="9"/>
      <c r="K1092" s="9"/>
      <c r="L1092" s="9"/>
      <c r="M1092" s="223"/>
      <c r="N1092" s="9"/>
      <c r="O1092" s="9"/>
      <c r="P1092" s="9"/>
      <c r="Q1092" s="9"/>
      <c r="R1092" s="9"/>
      <c r="S1092" s="223"/>
      <c r="T1092" s="223"/>
      <c r="U1092" s="223"/>
      <c r="V1092" s="9"/>
      <c r="W1092" s="9"/>
      <c r="X1092" s="9"/>
      <c r="Y1092" s="204"/>
      <c r="Z1092" s="9"/>
      <c r="AA1092" s="9"/>
      <c r="AB1092" s="9"/>
      <c r="AC1092" s="9"/>
    </row>
  </sheetData>
  <mergeCells count="452">
    <mergeCell ref="U29:U32"/>
    <mergeCell ref="V29:V32"/>
    <mergeCell ref="A29:A32"/>
    <mergeCell ref="B29:B32"/>
    <mergeCell ref="C29:C32"/>
    <mergeCell ref="D29:D32"/>
    <mergeCell ref="E29:E32"/>
    <mergeCell ref="F29:F32"/>
    <mergeCell ref="K29:K32"/>
    <mergeCell ref="G2:J2"/>
    <mergeCell ref="K2:P2"/>
    <mergeCell ref="Q2:S2"/>
    <mergeCell ref="T2:U2"/>
    <mergeCell ref="V2:V3"/>
    <mergeCell ref="A1:G1"/>
    <mergeCell ref="A2:A3"/>
    <mergeCell ref="B2:B3"/>
    <mergeCell ref="C2:C3"/>
    <mergeCell ref="D2:D3"/>
    <mergeCell ref="E2:E3"/>
    <mergeCell ref="F2:F3"/>
    <mergeCell ref="S4:S6"/>
    <mergeCell ref="T4:T6"/>
    <mergeCell ref="U4:U6"/>
    <mergeCell ref="V4:V6"/>
    <mergeCell ref="L4:L6"/>
    <mergeCell ref="M4:M6"/>
    <mergeCell ref="N4:N6"/>
    <mergeCell ref="O4:O6"/>
    <mergeCell ref="P4:P6"/>
    <mergeCell ref="Q4:Q6"/>
    <mergeCell ref="R4:R6"/>
    <mergeCell ref="A4:A6"/>
    <mergeCell ref="B4:B6"/>
    <mergeCell ref="C4:C6"/>
    <mergeCell ref="D4:D6"/>
    <mergeCell ref="E4:E6"/>
    <mergeCell ref="F4:F6"/>
    <mergeCell ref="K4:K6"/>
    <mergeCell ref="S10:S11"/>
    <mergeCell ref="T10:T11"/>
    <mergeCell ref="U10:U11"/>
    <mergeCell ref="V10:V11"/>
    <mergeCell ref="U45:U46"/>
    <mergeCell ref="V45:V46"/>
    <mergeCell ref="A45:A46"/>
    <mergeCell ref="B45:B46"/>
    <mergeCell ref="C45:C46"/>
    <mergeCell ref="D45:D46"/>
    <mergeCell ref="E45:E46"/>
    <mergeCell ref="F45:F46"/>
    <mergeCell ref="K45:K46"/>
    <mergeCell ref="K51:K52"/>
    <mergeCell ref="L51:L52"/>
    <mergeCell ref="M51:M52"/>
    <mergeCell ref="N51:N52"/>
    <mergeCell ref="O51:O52"/>
    <mergeCell ref="P51:P52"/>
    <mergeCell ref="Q51:Q52"/>
    <mergeCell ref="A51:A52"/>
    <mergeCell ref="B51:B52"/>
    <mergeCell ref="C51:C52"/>
    <mergeCell ref="D51:D52"/>
    <mergeCell ref="E51:E52"/>
    <mergeCell ref="F51:F52"/>
    <mergeCell ref="J51:J52"/>
    <mergeCell ref="S45:S46"/>
    <mergeCell ref="T45:T46"/>
    <mergeCell ref="L45:L46"/>
    <mergeCell ref="M45:M46"/>
    <mergeCell ref="N45:N46"/>
    <mergeCell ref="O45:O46"/>
    <mergeCell ref="P45:P46"/>
    <mergeCell ref="Q45:Q46"/>
    <mergeCell ref="R45:R46"/>
    <mergeCell ref="S47:S48"/>
    <mergeCell ref="T47:T48"/>
    <mergeCell ref="U47:U48"/>
    <mergeCell ref="V47:V48"/>
    <mergeCell ref="L47:L48"/>
    <mergeCell ref="M47:M48"/>
    <mergeCell ref="N47:N48"/>
    <mergeCell ref="O47:O48"/>
    <mergeCell ref="P47:P48"/>
    <mergeCell ref="Q47:Q48"/>
    <mergeCell ref="R47:R48"/>
    <mergeCell ref="A47:A48"/>
    <mergeCell ref="B47:B48"/>
    <mergeCell ref="C47:C48"/>
    <mergeCell ref="D47:D48"/>
    <mergeCell ref="E47:E48"/>
    <mergeCell ref="F47:F48"/>
    <mergeCell ref="K47:K48"/>
    <mergeCell ref="R51:R52"/>
    <mergeCell ref="S51:S52"/>
    <mergeCell ref="T51:T52"/>
    <mergeCell ref="U51:U52"/>
    <mergeCell ref="V51:V52"/>
    <mergeCell ref="U54:U55"/>
    <mergeCell ref="V54:V55"/>
    <mergeCell ref="A54:A55"/>
    <mergeCell ref="B54:B55"/>
    <mergeCell ref="C54:C55"/>
    <mergeCell ref="D54:D55"/>
    <mergeCell ref="E54:E55"/>
    <mergeCell ref="F54:F55"/>
    <mergeCell ref="K54:K55"/>
    <mergeCell ref="L10:L11"/>
    <mergeCell ref="M10:M11"/>
    <mergeCell ref="N10:N11"/>
    <mergeCell ref="O10:O11"/>
    <mergeCell ref="P10:P11"/>
    <mergeCell ref="Q10:Q11"/>
    <mergeCell ref="R10:R11"/>
    <mergeCell ref="A10:A11"/>
    <mergeCell ref="B10:B11"/>
    <mergeCell ref="C10:C11"/>
    <mergeCell ref="D10:D11"/>
    <mergeCell ref="E10:E11"/>
    <mergeCell ref="F10:F11"/>
    <mergeCell ref="K10:K11"/>
    <mergeCell ref="S16:S17"/>
    <mergeCell ref="T16:T17"/>
    <mergeCell ref="L16:L17"/>
    <mergeCell ref="M16:M17"/>
    <mergeCell ref="N16:N17"/>
    <mergeCell ref="O16:O17"/>
    <mergeCell ref="P16:P17"/>
    <mergeCell ref="Q16:Q17"/>
    <mergeCell ref="R16:R17"/>
    <mergeCell ref="U16:U17"/>
    <mergeCell ref="V16:V17"/>
    <mergeCell ref="A16:A17"/>
    <mergeCell ref="B16:B17"/>
    <mergeCell ref="C16:C17"/>
    <mergeCell ref="D16:D17"/>
    <mergeCell ref="E16:E17"/>
    <mergeCell ref="F16:F17"/>
    <mergeCell ref="K16:K17"/>
    <mergeCell ref="S20:S21"/>
    <mergeCell ref="T20:T21"/>
    <mergeCell ref="L20:L21"/>
    <mergeCell ref="M20:M21"/>
    <mergeCell ref="N20:N21"/>
    <mergeCell ref="O20:O21"/>
    <mergeCell ref="P20:P21"/>
    <mergeCell ref="Q20:Q21"/>
    <mergeCell ref="R20:R21"/>
    <mergeCell ref="U20:U21"/>
    <mergeCell ref="V20:V21"/>
    <mergeCell ref="A20:A21"/>
    <mergeCell ref="B20:B21"/>
    <mergeCell ref="C20:C21"/>
    <mergeCell ref="D20:D21"/>
    <mergeCell ref="E20:E21"/>
    <mergeCell ref="F20:F21"/>
    <mergeCell ref="K20:K21"/>
    <mergeCell ref="S29:S32"/>
    <mergeCell ref="T29:T32"/>
    <mergeCell ref="L29:L32"/>
    <mergeCell ref="M29:M32"/>
    <mergeCell ref="N29:N32"/>
    <mergeCell ref="O29:O32"/>
    <mergeCell ref="P29:P32"/>
    <mergeCell ref="Q29:Q32"/>
    <mergeCell ref="R29:R32"/>
    <mergeCell ref="S54:S55"/>
    <mergeCell ref="T54:T55"/>
    <mergeCell ref="L54:L55"/>
    <mergeCell ref="M54:M55"/>
    <mergeCell ref="N54:N55"/>
    <mergeCell ref="O54:O55"/>
    <mergeCell ref="P54:P55"/>
    <mergeCell ref="Q54:Q55"/>
    <mergeCell ref="R54:R55"/>
    <mergeCell ref="S56:S58"/>
    <mergeCell ref="T56:T58"/>
    <mergeCell ref="U56:U58"/>
    <mergeCell ref="V56:V58"/>
    <mergeCell ref="L56:L58"/>
    <mergeCell ref="M56:M58"/>
    <mergeCell ref="N56:N58"/>
    <mergeCell ref="O56:O58"/>
    <mergeCell ref="P56:P58"/>
    <mergeCell ref="Q56:Q58"/>
    <mergeCell ref="R56:R58"/>
    <mergeCell ref="A56:A58"/>
    <mergeCell ref="B56:B58"/>
    <mergeCell ref="C56:C58"/>
    <mergeCell ref="D56:D58"/>
    <mergeCell ref="E56:E58"/>
    <mergeCell ref="F56:F58"/>
    <mergeCell ref="K56:K58"/>
    <mergeCell ref="R67:R68"/>
    <mergeCell ref="S67:S68"/>
    <mergeCell ref="T67:T68"/>
    <mergeCell ref="U67:U68"/>
    <mergeCell ref="V67:V68"/>
    <mergeCell ref="A67:A68"/>
    <mergeCell ref="B67:B68"/>
    <mergeCell ref="C67:C68"/>
    <mergeCell ref="D67:D68"/>
    <mergeCell ref="E67:E68"/>
    <mergeCell ref="F67:F68"/>
    <mergeCell ref="Q67:Q68"/>
    <mergeCell ref="U124:U126"/>
    <mergeCell ref="V124:V126"/>
    <mergeCell ref="A124:A126"/>
    <mergeCell ref="B124:B126"/>
    <mergeCell ref="C124:C126"/>
    <mergeCell ref="D124:D126"/>
    <mergeCell ref="E124:E126"/>
    <mergeCell ref="F124:F126"/>
    <mergeCell ref="K124:K126"/>
    <mergeCell ref="S145:S146"/>
    <mergeCell ref="T145:T146"/>
    <mergeCell ref="L145:L146"/>
    <mergeCell ref="M145:M146"/>
    <mergeCell ref="N145:N146"/>
    <mergeCell ref="O145:O146"/>
    <mergeCell ref="P145:P146"/>
    <mergeCell ref="Q145:Q146"/>
    <mergeCell ref="R145:R146"/>
    <mergeCell ref="U145:U146"/>
    <mergeCell ref="V145:V146"/>
    <mergeCell ref="A145:A146"/>
    <mergeCell ref="B145:B146"/>
    <mergeCell ref="C145:C146"/>
    <mergeCell ref="D145:D146"/>
    <mergeCell ref="E145:E146"/>
    <mergeCell ref="F145:F146"/>
    <mergeCell ref="K145:K146"/>
    <mergeCell ref="S149:S153"/>
    <mergeCell ref="T149:T153"/>
    <mergeCell ref="O161:U161"/>
    <mergeCell ref="L149:L153"/>
    <mergeCell ref="M149:M153"/>
    <mergeCell ref="N149:N153"/>
    <mergeCell ref="O149:O153"/>
    <mergeCell ref="P149:P153"/>
    <mergeCell ref="Q149:Q153"/>
    <mergeCell ref="R149:R153"/>
    <mergeCell ref="A149:A153"/>
    <mergeCell ref="B149:B153"/>
    <mergeCell ref="C149:C153"/>
    <mergeCell ref="D149:D153"/>
    <mergeCell ref="E149:E153"/>
    <mergeCell ref="F149:F153"/>
    <mergeCell ref="K149:K153"/>
    <mergeCell ref="B154:I154"/>
    <mergeCell ref="B155:I155"/>
    <mergeCell ref="B156:I156"/>
    <mergeCell ref="B157:I157"/>
    <mergeCell ref="B158:I158"/>
    <mergeCell ref="B161:D161"/>
    <mergeCell ref="E161:J161"/>
    <mergeCell ref="B163:B180"/>
    <mergeCell ref="B181:B206"/>
    <mergeCell ref="B207:H207"/>
    <mergeCell ref="B208:H208"/>
    <mergeCell ref="K208:M208"/>
    <mergeCell ref="B209:H209"/>
    <mergeCell ref="B210:D210"/>
    <mergeCell ref="O219:P219"/>
    <mergeCell ref="O220:P220"/>
    <mergeCell ref="O221:P221"/>
    <mergeCell ref="O222:P222"/>
    <mergeCell ref="B224:J224"/>
    <mergeCell ref="O224:P224"/>
    <mergeCell ref="A225:A227"/>
    <mergeCell ref="B225:B227"/>
    <mergeCell ref="E210:H210"/>
    <mergeCell ref="B211:H211"/>
    <mergeCell ref="B212:H212"/>
    <mergeCell ref="B213:H213"/>
    <mergeCell ref="B214:H214"/>
    <mergeCell ref="B215:H215"/>
    <mergeCell ref="A217:D217"/>
    <mergeCell ref="S103:S104"/>
    <mergeCell ref="T103:T104"/>
    <mergeCell ref="U103:U104"/>
    <mergeCell ref="V103:V104"/>
    <mergeCell ref="L103:L104"/>
    <mergeCell ref="M103:M104"/>
    <mergeCell ref="N103:N104"/>
    <mergeCell ref="O103:O104"/>
    <mergeCell ref="P103:P104"/>
    <mergeCell ref="Q103:Q104"/>
    <mergeCell ref="R103:R104"/>
    <mergeCell ref="A103:A104"/>
    <mergeCell ref="B103:B104"/>
    <mergeCell ref="C103:C104"/>
    <mergeCell ref="D103:D104"/>
    <mergeCell ref="E103:E104"/>
    <mergeCell ref="F103:F104"/>
    <mergeCell ref="K103:K104"/>
    <mergeCell ref="S108:S109"/>
    <mergeCell ref="T108:T109"/>
    <mergeCell ref="U108:U109"/>
    <mergeCell ref="V108:V109"/>
    <mergeCell ref="L108:L109"/>
    <mergeCell ref="M108:M109"/>
    <mergeCell ref="N108:N109"/>
    <mergeCell ref="O108:O109"/>
    <mergeCell ref="P108:P109"/>
    <mergeCell ref="Q108:Q109"/>
    <mergeCell ref="R108:R109"/>
    <mergeCell ref="A108:A109"/>
    <mergeCell ref="B108:B109"/>
    <mergeCell ref="C108:C109"/>
    <mergeCell ref="D108:D109"/>
    <mergeCell ref="E108:E109"/>
    <mergeCell ref="F108:F109"/>
    <mergeCell ref="K108:K109"/>
    <mergeCell ref="U149:U153"/>
    <mergeCell ref="V149:V153"/>
    <mergeCell ref="S70:S71"/>
    <mergeCell ref="T70:T71"/>
    <mergeCell ref="U70:U71"/>
    <mergeCell ref="V70:V71"/>
    <mergeCell ref="L70:L71"/>
    <mergeCell ref="M70:M71"/>
    <mergeCell ref="N70:N71"/>
    <mergeCell ref="O70:O71"/>
    <mergeCell ref="P70:P71"/>
    <mergeCell ref="Q70:Q71"/>
    <mergeCell ref="R70:R71"/>
    <mergeCell ref="A70:A71"/>
    <mergeCell ref="B70:B71"/>
    <mergeCell ref="C70:C71"/>
    <mergeCell ref="D70:D71"/>
    <mergeCell ref="E70:E71"/>
    <mergeCell ref="F70:F71"/>
    <mergeCell ref="K70:K71"/>
    <mergeCell ref="S74:S75"/>
    <mergeCell ref="T74:T75"/>
    <mergeCell ref="U74:U75"/>
    <mergeCell ref="V74:V75"/>
    <mergeCell ref="W74:W75"/>
    <mergeCell ref="L74:L75"/>
    <mergeCell ref="M74:M75"/>
    <mergeCell ref="N74:N75"/>
    <mergeCell ref="O74:O75"/>
    <mergeCell ref="P74:P75"/>
    <mergeCell ref="Q74:Q75"/>
    <mergeCell ref="R74:R75"/>
    <mergeCell ref="A74:A75"/>
    <mergeCell ref="B74:B75"/>
    <mergeCell ref="C74:C75"/>
    <mergeCell ref="D74:D75"/>
    <mergeCell ref="E74:E75"/>
    <mergeCell ref="F74:F75"/>
    <mergeCell ref="K74:K75"/>
    <mergeCell ref="U85:U86"/>
    <mergeCell ref="V85:V86"/>
    <mergeCell ref="A85:A86"/>
    <mergeCell ref="B85:B86"/>
    <mergeCell ref="C85:C86"/>
    <mergeCell ref="D85:D86"/>
    <mergeCell ref="E85:E86"/>
    <mergeCell ref="F85:F86"/>
    <mergeCell ref="K85:K86"/>
    <mergeCell ref="L96:L98"/>
    <mergeCell ref="M96:M98"/>
    <mergeCell ref="N96:N98"/>
    <mergeCell ref="O96:O98"/>
    <mergeCell ref="P96:P98"/>
    <mergeCell ref="Q96:Q98"/>
    <mergeCell ref="R96:R98"/>
    <mergeCell ref="A96:A98"/>
    <mergeCell ref="B96:B98"/>
    <mergeCell ref="C96:C98"/>
    <mergeCell ref="D96:D98"/>
    <mergeCell ref="E96:E98"/>
    <mergeCell ref="F96:F98"/>
    <mergeCell ref="K96:K98"/>
    <mergeCell ref="S101:S102"/>
    <mergeCell ref="T101:T102"/>
    <mergeCell ref="L101:L102"/>
    <mergeCell ref="M101:M102"/>
    <mergeCell ref="N101:N102"/>
    <mergeCell ref="O101:O102"/>
    <mergeCell ref="P101:P102"/>
    <mergeCell ref="Q101:Q102"/>
    <mergeCell ref="R101:R102"/>
    <mergeCell ref="S85:S86"/>
    <mergeCell ref="T85:T86"/>
    <mergeCell ref="L85:L86"/>
    <mergeCell ref="M85:M86"/>
    <mergeCell ref="N85:N86"/>
    <mergeCell ref="O85:O86"/>
    <mergeCell ref="P85:P86"/>
    <mergeCell ref="Q85:Q86"/>
    <mergeCell ref="R85:R86"/>
    <mergeCell ref="S93:S95"/>
    <mergeCell ref="T93:T95"/>
    <mergeCell ref="U93:U95"/>
    <mergeCell ref="V93:V95"/>
    <mergeCell ref="L93:L95"/>
    <mergeCell ref="M93:M95"/>
    <mergeCell ref="N93:N95"/>
    <mergeCell ref="O93:O95"/>
    <mergeCell ref="P93:P95"/>
    <mergeCell ref="Q93:Q95"/>
    <mergeCell ref="R93:R95"/>
    <mergeCell ref="A93:A95"/>
    <mergeCell ref="B93:B95"/>
    <mergeCell ref="C93:C95"/>
    <mergeCell ref="D93:D95"/>
    <mergeCell ref="E93:E95"/>
    <mergeCell ref="F93:F95"/>
    <mergeCell ref="K93:K95"/>
    <mergeCell ref="S96:S98"/>
    <mergeCell ref="T96:T98"/>
    <mergeCell ref="U96:U98"/>
    <mergeCell ref="V96:V98"/>
    <mergeCell ref="U101:U102"/>
    <mergeCell ref="V101:V102"/>
    <mergeCell ref="A101:A102"/>
    <mergeCell ref="B101:B102"/>
    <mergeCell ref="C101:C102"/>
    <mergeCell ref="D101:D102"/>
    <mergeCell ref="E101:E102"/>
    <mergeCell ref="F101:F102"/>
    <mergeCell ref="K101:K102"/>
    <mergeCell ref="S124:S126"/>
    <mergeCell ref="T124:T126"/>
    <mergeCell ref="L124:L126"/>
    <mergeCell ref="M124:M126"/>
    <mergeCell ref="N124:N126"/>
    <mergeCell ref="O124:O126"/>
    <mergeCell ref="P124:P126"/>
    <mergeCell ref="Q124:Q126"/>
    <mergeCell ref="R124:R126"/>
    <mergeCell ref="S137:S138"/>
    <mergeCell ref="T137:T138"/>
    <mergeCell ref="L137:L138"/>
    <mergeCell ref="M137:M138"/>
    <mergeCell ref="N137:N138"/>
    <mergeCell ref="O137:O138"/>
    <mergeCell ref="P137:P138"/>
    <mergeCell ref="Q137:Q138"/>
    <mergeCell ref="R137:R138"/>
    <mergeCell ref="U137:U138"/>
    <mergeCell ref="V137:V138"/>
    <mergeCell ref="A137:A138"/>
    <mergeCell ref="B137:B138"/>
    <mergeCell ref="C137:C138"/>
    <mergeCell ref="D137:D138"/>
    <mergeCell ref="E137:E138"/>
    <mergeCell ref="F137:F138"/>
    <mergeCell ref="K137:K138"/>
  </mergeCells>
  <dataValidations>
    <dataValidation type="list" allowBlank="1" showErrorMessage="1" sqref="R4 R7:R10 R12:R16 R18:R20 R22:R29 R33:R45 R47 R49:R51 R53:R54 R56 R59:R67 R69:R70 R72:R74 R76:R85 R87:R93 R96 R99:R101 R103 R105:R108 R110:R124 R127:R137 R139:R145 R147:R149">
      <formula1>"Cty trả ship"</formula1>
    </dataValidation>
    <dataValidation type="list" allowBlank="1" showErrorMessage="1" sqref="P4 P7:P10 P12:P16 P18:P20 P22:P29 P33:P45 P47 P49:P51 P53:P54 P56 P59:P70 P72:P74 P76:P85 P87:P93 P96 P99:P101 P103 P105:P108 P110:P124 P127:P137 P139:P145 P147:P149">
      <formula1>"Đã thu"</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4.0" topLeftCell="E1" activePane="topRight" state="frozen"/>
      <selection activeCell="F2" sqref="F2" pane="topRight"/>
    </sheetView>
  </sheetViews>
  <sheetFormatPr customHeight="1" defaultColWidth="12.63" defaultRowHeight="15.0"/>
  <cols>
    <col customWidth="1" min="1" max="1" width="8.75"/>
    <col customWidth="1" min="2" max="2" width="14.75"/>
    <col customWidth="1" min="3" max="3" width="22.38"/>
    <col customWidth="1" min="4" max="4" width="30.63"/>
    <col customWidth="1" min="5" max="5" width="19.13"/>
    <col customWidth="1" min="6" max="6" width="55.75"/>
    <col customWidth="1" min="7" max="7" width="20.38"/>
    <col customWidth="1" min="8" max="8" width="15.13"/>
    <col customWidth="1" min="9" max="9" width="17.38"/>
    <col customWidth="1" min="10" max="10" width="16.88"/>
    <col customWidth="1" min="11" max="11" width="16.13"/>
    <col customWidth="1" min="12" max="14" width="18.75"/>
    <col customWidth="1" min="15" max="15" width="20.38"/>
    <col customWidth="1" min="16" max="16" width="18.25"/>
    <col customWidth="1" min="17" max="17" width="18.5"/>
    <col customWidth="1" min="18" max="19" width="17.88"/>
    <col customWidth="1" min="20" max="20" width="18.75"/>
    <col customWidth="1" min="21" max="21" width="20.38"/>
    <col customWidth="1" min="22" max="22" width="15.63"/>
    <col customWidth="1" min="23" max="23" width="32.75"/>
    <col customWidth="1" min="24" max="24" width="8.63"/>
    <col customWidth="1" min="25" max="25" width="21.13"/>
    <col customWidth="1" min="26" max="26" width="16.63"/>
    <col customWidth="1" min="27" max="30" width="12.63"/>
  </cols>
  <sheetData>
    <row r="1" ht="27.75" customHeight="1">
      <c r="A1" s="403" t="s">
        <v>347</v>
      </c>
      <c r="B1" s="2"/>
      <c r="C1" s="2"/>
      <c r="D1" s="2"/>
      <c r="E1" s="2"/>
      <c r="F1" s="2"/>
      <c r="G1" s="3"/>
      <c r="H1" s="404"/>
      <c r="I1" s="404"/>
      <c r="J1" s="404"/>
      <c r="K1" s="404"/>
      <c r="L1" s="405"/>
      <c r="M1" s="405"/>
      <c r="N1" s="404"/>
      <c r="O1" s="404"/>
      <c r="P1" s="404"/>
      <c r="Q1" s="404"/>
      <c r="R1" s="404"/>
      <c r="S1" s="404"/>
      <c r="T1" s="405"/>
      <c r="U1" s="406"/>
      <c r="V1" s="406"/>
      <c r="W1" s="404"/>
      <c r="X1" s="23"/>
      <c r="Y1" s="23"/>
      <c r="Z1" s="24"/>
      <c r="AA1" s="25"/>
      <c r="AB1" s="25"/>
      <c r="AC1" s="25"/>
      <c r="AD1" s="22"/>
    </row>
    <row r="2" ht="40.5" customHeight="1">
      <c r="A2" s="10" t="s">
        <v>1</v>
      </c>
      <c r="B2" s="11" t="s">
        <v>2</v>
      </c>
      <c r="C2" s="12" t="s">
        <v>3</v>
      </c>
      <c r="D2" s="13" t="s">
        <v>4</v>
      </c>
      <c r="E2" s="14" t="s">
        <v>5</v>
      </c>
      <c r="F2" s="13" t="s">
        <v>6</v>
      </c>
      <c r="G2" s="15" t="s">
        <v>7</v>
      </c>
      <c r="H2" s="16"/>
      <c r="I2" s="16"/>
      <c r="J2" s="17"/>
      <c r="K2" s="18" t="s">
        <v>8</v>
      </c>
      <c r="L2" s="16"/>
      <c r="M2" s="16"/>
      <c r="N2" s="16"/>
      <c r="O2" s="16"/>
      <c r="P2" s="16"/>
      <c r="Q2" s="17"/>
      <c r="R2" s="19" t="s">
        <v>9</v>
      </c>
      <c r="S2" s="16"/>
      <c r="T2" s="17"/>
      <c r="U2" s="20" t="s">
        <v>10</v>
      </c>
      <c r="V2" s="17"/>
      <c r="W2" s="21" t="s">
        <v>11</v>
      </c>
      <c r="X2" s="22"/>
      <c r="Y2" s="23"/>
      <c r="Z2" s="24"/>
      <c r="AA2" s="25"/>
      <c r="AB2" s="25"/>
      <c r="AC2" s="25"/>
      <c r="AD2" s="22"/>
    </row>
    <row r="3" ht="48.0" customHeight="1">
      <c r="A3" s="26"/>
      <c r="B3" s="26"/>
      <c r="C3" s="26"/>
      <c r="D3" s="26"/>
      <c r="E3" s="26"/>
      <c r="F3" s="26"/>
      <c r="G3" s="27" t="s">
        <v>12</v>
      </c>
      <c r="H3" s="27" t="s">
        <v>13</v>
      </c>
      <c r="I3" s="28" t="s">
        <v>14</v>
      </c>
      <c r="J3" s="29" t="s">
        <v>15</v>
      </c>
      <c r="K3" s="30" t="s">
        <v>16</v>
      </c>
      <c r="L3" s="31" t="s">
        <v>17</v>
      </c>
      <c r="M3" s="32" t="s">
        <v>18</v>
      </c>
      <c r="N3" s="33" t="s">
        <v>19</v>
      </c>
      <c r="O3" s="34" t="s">
        <v>20</v>
      </c>
      <c r="P3" s="407" t="s">
        <v>21</v>
      </c>
      <c r="Q3" s="408"/>
      <c r="R3" s="36" t="s">
        <v>22</v>
      </c>
      <c r="S3" s="37" t="s">
        <v>23</v>
      </c>
      <c r="T3" s="37" t="s">
        <v>445</v>
      </c>
      <c r="U3" s="38" t="s">
        <v>25</v>
      </c>
      <c r="V3" s="38" t="s">
        <v>26</v>
      </c>
      <c r="W3" s="26"/>
      <c r="X3" s="22"/>
      <c r="Y3" s="23"/>
      <c r="Z3" s="24"/>
      <c r="AA3" s="25"/>
      <c r="AB3" s="25"/>
      <c r="AC3" s="25"/>
      <c r="AD3" s="22"/>
    </row>
    <row r="4" ht="30.0" customHeight="1">
      <c r="A4" s="64">
        <v>1.0</v>
      </c>
      <c r="B4" s="120">
        <v>45225.0</v>
      </c>
      <c r="C4" s="409">
        <v>1.699597991453E12</v>
      </c>
      <c r="D4" s="410" t="s">
        <v>446</v>
      </c>
      <c r="E4" s="411" t="s">
        <v>447</v>
      </c>
      <c r="F4" s="121" t="s">
        <v>448</v>
      </c>
      <c r="G4" s="45" t="s">
        <v>30</v>
      </c>
      <c r="H4" s="46">
        <v>6.0</v>
      </c>
      <c r="I4" s="47">
        <f t="shared" ref="I4:I22" si="1">VLOOKUP(G4,$Y$4:$Z$155,2,0)</f>
        <v>220000</v>
      </c>
      <c r="J4" s="48">
        <f t="shared" ref="J4:J64" si="2">I4*H4</f>
        <v>1320000</v>
      </c>
      <c r="K4" s="76">
        <f>SUM(J4)</f>
        <v>1320000</v>
      </c>
      <c r="L4" s="89"/>
      <c r="M4" s="78"/>
      <c r="N4" s="79"/>
      <c r="O4" s="80">
        <f t="shared" ref="O4:O5" si="3">K4+L4-M4-N4</f>
        <v>1320000</v>
      </c>
      <c r="P4" s="81" t="s">
        <v>449</v>
      </c>
      <c r="Q4" s="81" t="s">
        <v>31</v>
      </c>
      <c r="R4" s="82">
        <v>58002.0</v>
      </c>
      <c r="S4" s="83" t="s">
        <v>32</v>
      </c>
      <c r="T4" s="84" t="s">
        <v>33</v>
      </c>
      <c r="U4" s="412"/>
      <c r="V4" s="412"/>
      <c r="W4" s="412"/>
      <c r="X4" s="22"/>
      <c r="Y4" s="60" t="s">
        <v>34</v>
      </c>
      <c r="Z4" s="61">
        <v>65000.0</v>
      </c>
      <c r="AA4" s="25"/>
      <c r="AB4" s="25"/>
      <c r="AC4" s="25"/>
      <c r="AD4" s="22"/>
    </row>
    <row r="5" ht="30.0" customHeight="1">
      <c r="A5" s="152">
        <v>2.0</v>
      </c>
      <c r="B5" s="40">
        <v>45225.0</v>
      </c>
      <c r="C5" s="111" t="s">
        <v>450</v>
      </c>
      <c r="D5" s="142" t="s">
        <v>50</v>
      </c>
      <c r="E5" s="143" t="s">
        <v>451</v>
      </c>
      <c r="F5" s="142" t="s">
        <v>193</v>
      </c>
      <c r="G5" s="63" t="s">
        <v>30</v>
      </c>
      <c r="H5" s="64">
        <v>1.0</v>
      </c>
      <c r="I5" s="47">
        <f t="shared" si="1"/>
        <v>220000</v>
      </c>
      <c r="J5" s="48">
        <f t="shared" si="2"/>
        <v>220000</v>
      </c>
      <c r="K5" s="49">
        <f>SUM(J5:J6)</f>
        <v>440000</v>
      </c>
      <c r="L5" s="146"/>
      <c r="M5" s="51">
        <f>23360</f>
        <v>23360</v>
      </c>
      <c r="N5" s="52"/>
      <c r="O5" s="53">
        <f t="shared" si="3"/>
        <v>416640</v>
      </c>
      <c r="P5" s="99" t="s">
        <v>449</v>
      </c>
      <c r="Q5" s="99" t="s">
        <v>31</v>
      </c>
      <c r="R5" s="146"/>
      <c r="S5" s="119"/>
      <c r="T5" s="57" t="s">
        <v>33</v>
      </c>
      <c r="U5" s="147"/>
      <c r="V5" s="147"/>
      <c r="W5" s="142" t="s">
        <v>53</v>
      </c>
      <c r="X5" s="106"/>
      <c r="Y5" s="65" t="s">
        <v>36</v>
      </c>
      <c r="Z5" s="66">
        <v>180000.0</v>
      </c>
      <c r="AA5" s="107"/>
      <c r="AB5" s="107"/>
      <c r="AC5" s="107"/>
      <c r="AD5" s="106"/>
    </row>
    <row r="6" ht="30.0" customHeight="1">
      <c r="A6" s="67"/>
      <c r="B6" s="67"/>
      <c r="C6" s="67"/>
      <c r="D6" s="67"/>
      <c r="E6" s="67"/>
      <c r="F6" s="67"/>
      <c r="G6" s="68" t="s">
        <v>35</v>
      </c>
      <c r="H6" s="69">
        <v>1.0</v>
      </c>
      <c r="I6" s="47">
        <f t="shared" si="1"/>
        <v>220000</v>
      </c>
      <c r="J6" s="48">
        <f t="shared" si="2"/>
        <v>220000</v>
      </c>
      <c r="K6" s="67"/>
      <c r="L6" s="67"/>
      <c r="M6" s="67"/>
      <c r="N6" s="67"/>
      <c r="O6" s="67"/>
      <c r="P6" s="67"/>
      <c r="Q6" s="67"/>
      <c r="R6" s="67"/>
      <c r="S6" s="67"/>
      <c r="T6" s="67"/>
      <c r="U6" s="67"/>
      <c r="V6" s="67"/>
      <c r="W6" s="67"/>
      <c r="X6" s="106"/>
      <c r="Y6" s="65" t="s">
        <v>38</v>
      </c>
      <c r="Z6" s="66">
        <v>160000.0</v>
      </c>
      <c r="AA6" s="107"/>
      <c r="AB6" s="107"/>
      <c r="AC6" s="107"/>
      <c r="AD6" s="106"/>
    </row>
    <row r="7" ht="30.0" customHeight="1">
      <c r="A7" s="69">
        <v>3.0</v>
      </c>
      <c r="B7" s="413">
        <v>45225.0</v>
      </c>
      <c r="C7" s="69" t="s">
        <v>452</v>
      </c>
      <c r="D7" s="68" t="s">
        <v>50</v>
      </c>
      <c r="E7" s="71" t="s">
        <v>91</v>
      </c>
      <c r="F7" s="68" t="s">
        <v>74</v>
      </c>
      <c r="G7" s="68" t="s">
        <v>30</v>
      </c>
      <c r="H7" s="69">
        <v>1.0</v>
      </c>
      <c r="I7" s="47">
        <f t="shared" si="1"/>
        <v>220000</v>
      </c>
      <c r="J7" s="48">
        <f t="shared" si="2"/>
        <v>220000</v>
      </c>
      <c r="K7" s="76">
        <f>SUM(J7)</f>
        <v>220000</v>
      </c>
      <c r="L7" s="77"/>
      <c r="M7" s="78">
        <f>14716</f>
        <v>14716</v>
      </c>
      <c r="N7" s="79"/>
      <c r="O7" s="80">
        <f t="shared" ref="O7:O8" si="4">K7+L7-M7-N7</f>
        <v>205284</v>
      </c>
      <c r="P7" s="81" t="s">
        <v>449</v>
      </c>
      <c r="Q7" s="81" t="s">
        <v>31</v>
      </c>
      <c r="R7" s="90"/>
      <c r="S7" s="91"/>
      <c r="T7" s="84" t="s">
        <v>33</v>
      </c>
      <c r="U7" s="85"/>
      <c r="V7" s="414"/>
      <c r="W7" s="415" t="s">
        <v>53</v>
      </c>
      <c r="X7" s="106"/>
      <c r="Y7" s="65" t="s">
        <v>43</v>
      </c>
      <c r="Z7" s="87">
        <v>65000.0</v>
      </c>
      <c r="AA7" s="107"/>
      <c r="AB7" s="107"/>
      <c r="AC7" s="107"/>
      <c r="AD7" s="106"/>
    </row>
    <row r="8" ht="30.0" customHeight="1">
      <c r="A8" s="94">
        <v>4.0</v>
      </c>
      <c r="B8" s="416">
        <v>45225.0</v>
      </c>
      <c r="C8" s="94">
        <v>1.722837216653E12</v>
      </c>
      <c r="D8" s="417" t="s">
        <v>453</v>
      </c>
      <c r="E8" s="97" t="s">
        <v>454</v>
      </c>
      <c r="F8" s="417" t="s">
        <v>455</v>
      </c>
      <c r="G8" s="68" t="s">
        <v>456</v>
      </c>
      <c r="H8" s="69">
        <v>2.0</v>
      </c>
      <c r="I8" s="47">
        <f t="shared" si="1"/>
        <v>45000</v>
      </c>
      <c r="J8" s="48">
        <f t="shared" si="2"/>
        <v>90000</v>
      </c>
      <c r="K8" s="49">
        <f>sum(J8:J10)</f>
        <v>180000</v>
      </c>
      <c r="L8" s="418">
        <v>37001.0</v>
      </c>
      <c r="M8" s="51"/>
      <c r="N8" s="117">
        <v>17001.0</v>
      </c>
      <c r="O8" s="53">
        <f t="shared" si="4"/>
        <v>200000</v>
      </c>
      <c r="P8" s="99" t="s">
        <v>449</v>
      </c>
      <c r="Q8" s="99" t="s">
        <v>31</v>
      </c>
      <c r="R8" s="118"/>
      <c r="S8" s="119"/>
      <c r="T8" s="57" t="s">
        <v>33</v>
      </c>
      <c r="U8" s="113"/>
      <c r="V8" s="113"/>
      <c r="W8" s="58"/>
      <c r="X8" s="106"/>
      <c r="Y8" s="65" t="s">
        <v>48</v>
      </c>
      <c r="Z8" s="66">
        <v>55000.0</v>
      </c>
      <c r="AA8" s="107"/>
      <c r="AB8" s="107"/>
      <c r="AC8" s="107"/>
      <c r="AD8" s="106"/>
    </row>
    <row r="9" ht="30.0" customHeight="1">
      <c r="A9" s="62"/>
      <c r="B9" s="62"/>
      <c r="C9" s="62"/>
      <c r="D9" s="62"/>
      <c r="E9" s="62"/>
      <c r="F9" s="62"/>
      <c r="G9" s="68" t="s">
        <v>75</v>
      </c>
      <c r="H9" s="69">
        <v>1.0</v>
      </c>
      <c r="I9" s="47">
        <f t="shared" si="1"/>
        <v>45000</v>
      </c>
      <c r="J9" s="48">
        <f t="shared" si="2"/>
        <v>45000</v>
      </c>
      <c r="K9" s="62"/>
      <c r="L9" s="62"/>
      <c r="M9" s="62"/>
      <c r="N9" s="62"/>
      <c r="O9" s="62"/>
      <c r="P9" s="62"/>
      <c r="Q9" s="62"/>
      <c r="R9" s="62"/>
      <c r="S9" s="62"/>
      <c r="T9" s="62"/>
      <c r="U9" s="62"/>
      <c r="V9" s="62"/>
      <c r="W9" s="62"/>
      <c r="X9" s="106"/>
      <c r="Y9" s="93" t="s">
        <v>54</v>
      </c>
      <c r="Z9" s="87">
        <v>40000.0</v>
      </c>
      <c r="AA9" s="107"/>
      <c r="AB9" s="107"/>
      <c r="AC9" s="107"/>
      <c r="AD9" s="106"/>
    </row>
    <row r="10" ht="30.0" customHeight="1">
      <c r="A10" s="67"/>
      <c r="B10" s="67"/>
      <c r="C10" s="67"/>
      <c r="D10" s="67"/>
      <c r="E10" s="67"/>
      <c r="F10" s="67"/>
      <c r="G10" s="68" t="s">
        <v>457</v>
      </c>
      <c r="H10" s="69">
        <v>1.0</v>
      </c>
      <c r="I10" s="47">
        <f t="shared" si="1"/>
        <v>45000</v>
      </c>
      <c r="J10" s="48">
        <f t="shared" si="2"/>
        <v>45000</v>
      </c>
      <c r="K10" s="67"/>
      <c r="L10" s="67"/>
      <c r="M10" s="67"/>
      <c r="N10" s="67"/>
      <c r="O10" s="67"/>
      <c r="P10" s="67"/>
      <c r="Q10" s="67"/>
      <c r="R10" s="67"/>
      <c r="S10" s="67"/>
      <c r="T10" s="67"/>
      <c r="U10" s="67"/>
      <c r="V10" s="67"/>
      <c r="W10" s="67"/>
      <c r="X10" s="106"/>
      <c r="Y10" s="65" t="s">
        <v>60</v>
      </c>
      <c r="Z10" s="66">
        <v>45000.0</v>
      </c>
      <c r="AA10" s="107"/>
      <c r="AB10" s="107"/>
      <c r="AC10" s="107"/>
      <c r="AD10" s="106"/>
    </row>
    <row r="11" ht="30.0" customHeight="1">
      <c r="A11" s="104">
        <v>5.0</v>
      </c>
      <c r="B11" s="120">
        <v>45226.0</v>
      </c>
      <c r="C11" s="93" t="s">
        <v>458</v>
      </c>
      <c r="D11" s="92" t="s">
        <v>459</v>
      </c>
      <c r="E11" s="105" t="s">
        <v>460</v>
      </c>
      <c r="F11" s="92" t="s">
        <v>461</v>
      </c>
      <c r="G11" s="68" t="s">
        <v>30</v>
      </c>
      <c r="H11" s="69">
        <v>1.0</v>
      </c>
      <c r="I11" s="47">
        <f t="shared" si="1"/>
        <v>220000</v>
      </c>
      <c r="J11" s="48">
        <f t="shared" si="2"/>
        <v>220000</v>
      </c>
      <c r="K11" s="76">
        <f t="shared" ref="K11:K16" si="5">SUM(J11)</f>
        <v>220000</v>
      </c>
      <c r="L11" s="65"/>
      <c r="M11" s="78">
        <f>13876</f>
        <v>13876</v>
      </c>
      <c r="N11" s="79"/>
      <c r="O11" s="80">
        <f t="shared" ref="O11:O17" si="6">K11+L11-M11-N11</f>
        <v>206124</v>
      </c>
      <c r="P11" s="81" t="s">
        <v>449</v>
      </c>
      <c r="Q11" s="81" t="s">
        <v>31</v>
      </c>
      <c r="R11" s="65"/>
      <c r="S11" s="91"/>
      <c r="T11" s="84" t="s">
        <v>33</v>
      </c>
      <c r="U11" s="122"/>
      <c r="V11" s="122"/>
      <c r="W11" s="415" t="s">
        <v>53</v>
      </c>
      <c r="X11" s="106"/>
      <c r="Y11" s="93" t="s">
        <v>62</v>
      </c>
      <c r="Z11" s="87">
        <v>55000.0</v>
      </c>
      <c r="AA11" s="107"/>
      <c r="AB11" s="107"/>
      <c r="AC11" s="107"/>
      <c r="AD11" s="106"/>
    </row>
    <row r="12" ht="33.75" customHeight="1">
      <c r="A12" s="104">
        <v>6.0</v>
      </c>
      <c r="B12" s="120">
        <v>45226.0</v>
      </c>
      <c r="C12" s="93" t="s">
        <v>462</v>
      </c>
      <c r="D12" s="92" t="s">
        <v>459</v>
      </c>
      <c r="E12" s="105" t="s">
        <v>463</v>
      </c>
      <c r="F12" s="92" t="s">
        <v>464</v>
      </c>
      <c r="G12" s="68" t="s">
        <v>30</v>
      </c>
      <c r="H12" s="64">
        <v>1.0</v>
      </c>
      <c r="I12" s="47">
        <f t="shared" si="1"/>
        <v>220000</v>
      </c>
      <c r="J12" s="48">
        <f t="shared" si="2"/>
        <v>220000</v>
      </c>
      <c r="K12" s="76">
        <f t="shared" si="5"/>
        <v>220000</v>
      </c>
      <c r="L12" s="65"/>
      <c r="M12" s="78">
        <f>12476</f>
        <v>12476</v>
      </c>
      <c r="N12" s="79"/>
      <c r="O12" s="80">
        <f t="shared" si="6"/>
        <v>207524</v>
      </c>
      <c r="P12" s="81" t="s">
        <v>449</v>
      </c>
      <c r="Q12" s="81" t="s">
        <v>31</v>
      </c>
      <c r="R12" s="65"/>
      <c r="S12" s="91"/>
      <c r="T12" s="84" t="s">
        <v>33</v>
      </c>
      <c r="U12" s="122"/>
      <c r="V12" s="122"/>
      <c r="W12" s="415" t="s">
        <v>53</v>
      </c>
      <c r="X12" s="106"/>
      <c r="Y12" s="65" t="s">
        <v>66</v>
      </c>
      <c r="Z12" s="66">
        <v>205000.0</v>
      </c>
      <c r="AA12" s="107"/>
      <c r="AB12" s="107"/>
      <c r="AC12" s="107"/>
      <c r="AD12" s="106"/>
    </row>
    <row r="13" ht="30.0" customHeight="1">
      <c r="A13" s="104">
        <v>7.0</v>
      </c>
      <c r="B13" s="120">
        <v>45226.0</v>
      </c>
      <c r="C13" s="93" t="s">
        <v>465</v>
      </c>
      <c r="D13" s="92" t="s">
        <v>459</v>
      </c>
      <c r="E13" s="105" t="s">
        <v>466</v>
      </c>
      <c r="F13" s="92" t="s">
        <v>467</v>
      </c>
      <c r="G13" s="63" t="s">
        <v>30</v>
      </c>
      <c r="H13" s="64">
        <v>1.0</v>
      </c>
      <c r="I13" s="47">
        <f t="shared" si="1"/>
        <v>220000</v>
      </c>
      <c r="J13" s="48">
        <f t="shared" si="2"/>
        <v>220000</v>
      </c>
      <c r="K13" s="76">
        <f t="shared" si="5"/>
        <v>220000</v>
      </c>
      <c r="L13" s="65"/>
      <c r="M13" s="78">
        <f>14516</f>
        <v>14516</v>
      </c>
      <c r="N13" s="79"/>
      <c r="O13" s="80">
        <f t="shared" si="6"/>
        <v>205484</v>
      </c>
      <c r="P13" s="81" t="s">
        <v>449</v>
      </c>
      <c r="Q13" s="81" t="s">
        <v>31</v>
      </c>
      <c r="R13" s="65"/>
      <c r="S13" s="91"/>
      <c r="T13" s="84" t="s">
        <v>33</v>
      </c>
      <c r="U13" s="122"/>
      <c r="V13" s="122"/>
      <c r="W13" s="415" t="s">
        <v>53</v>
      </c>
      <c r="X13" s="106"/>
      <c r="Y13" s="93" t="s">
        <v>67</v>
      </c>
      <c r="Z13" s="87">
        <v>45000.0</v>
      </c>
      <c r="AA13" s="107"/>
      <c r="AB13" s="107"/>
      <c r="AC13" s="107"/>
      <c r="AD13" s="106"/>
    </row>
    <row r="14" ht="36.0" customHeight="1">
      <c r="A14" s="104">
        <v>8.0</v>
      </c>
      <c r="B14" s="120">
        <v>45226.0</v>
      </c>
      <c r="C14" s="93">
        <v>1.705090429125E12</v>
      </c>
      <c r="D14" s="92" t="s">
        <v>369</v>
      </c>
      <c r="E14" s="105" t="s">
        <v>370</v>
      </c>
      <c r="F14" s="121" t="s">
        <v>371</v>
      </c>
      <c r="G14" s="63" t="s">
        <v>30</v>
      </c>
      <c r="H14" s="64">
        <v>1.0</v>
      </c>
      <c r="I14" s="47">
        <f t="shared" si="1"/>
        <v>220000</v>
      </c>
      <c r="J14" s="48">
        <f t="shared" si="2"/>
        <v>220000</v>
      </c>
      <c r="K14" s="76">
        <f t="shared" si="5"/>
        <v>220000</v>
      </c>
      <c r="L14" s="108">
        <v>40001.0</v>
      </c>
      <c r="M14" s="78"/>
      <c r="N14" s="115">
        <v>20001.0</v>
      </c>
      <c r="O14" s="80">
        <f t="shared" si="6"/>
        <v>240000</v>
      </c>
      <c r="P14" s="81" t="s">
        <v>449</v>
      </c>
      <c r="Q14" s="81" t="s">
        <v>31</v>
      </c>
      <c r="R14" s="65"/>
      <c r="S14" s="91"/>
      <c r="T14" s="84" t="s">
        <v>33</v>
      </c>
      <c r="U14" s="122"/>
      <c r="V14" s="122"/>
      <c r="W14" s="122"/>
      <c r="X14" s="106"/>
      <c r="Y14" s="110" t="s">
        <v>71</v>
      </c>
      <c r="Z14" s="66">
        <v>85000.0</v>
      </c>
      <c r="AA14" s="107"/>
      <c r="AB14" s="107"/>
      <c r="AC14" s="107"/>
      <c r="AD14" s="106"/>
    </row>
    <row r="15" ht="36.0" customHeight="1">
      <c r="A15" s="104">
        <v>9.0</v>
      </c>
      <c r="B15" s="120">
        <v>45227.0</v>
      </c>
      <c r="C15" s="93" t="s">
        <v>468</v>
      </c>
      <c r="D15" s="92" t="s">
        <v>459</v>
      </c>
      <c r="E15" s="105" t="s">
        <v>469</v>
      </c>
      <c r="F15" s="92" t="s">
        <v>70</v>
      </c>
      <c r="G15" s="63" t="s">
        <v>30</v>
      </c>
      <c r="H15" s="64">
        <v>1.0</v>
      </c>
      <c r="I15" s="47">
        <f t="shared" si="1"/>
        <v>220000</v>
      </c>
      <c r="J15" s="48">
        <f t="shared" si="2"/>
        <v>220000</v>
      </c>
      <c r="K15" s="76">
        <f t="shared" si="5"/>
        <v>220000</v>
      </c>
      <c r="L15" s="109"/>
      <c r="M15" s="78">
        <f>13876</f>
        <v>13876</v>
      </c>
      <c r="N15" s="79"/>
      <c r="O15" s="80">
        <f t="shared" si="6"/>
        <v>206124</v>
      </c>
      <c r="P15" s="81" t="s">
        <v>449</v>
      </c>
      <c r="Q15" s="81" t="s">
        <v>31</v>
      </c>
      <c r="R15" s="65"/>
      <c r="S15" s="91"/>
      <c r="T15" s="84" t="s">
        <v>33</v>
      </c>
      <c r="U15" s="122"/>
      <c r="V15" s="122"/>
      <c r="W15" s="415" t="s">
        <v>53</v>
      </c>
      <c r="X15" s="106"/>
      <c r="Y15" s="65" t="s">
        <v>76</v>
      </c>
      <c r="Z15" s="66">
        <v>90000.0</v>
      </c>
      <c r="AA15" s="107"/>
      <c r="AB15" s="107"/>
      <c r="AC15" s="107"/>
      <c r="AD15" s="106"/>
    </row>
    <row r="16" ht="36.0" customHeight="1">
      <c r="A16" s="69">
        <v>10.0</v>
      </c>
      <c r="B16" s="120">
        <v>45227.0</v>
      </c>
      <c r="C16" s="69" t="s">
        <v>470</v>
      </c>
      <c r="D16" s="92" t="s">
        <v>459</v>
      </c>
      <c r="E16" s="71" t="s">
        <v>471</v>
      </c>
      <c r="F16" s="88" t="s">
        <v>472</v>
      </c>
      <c r="G16" s="63" t="s">
        <v>30</v>
      </c>
      <c r="H16" s="64">
        <v>1.0</v>
      </c>
      <c r="I16" s="47">
        <f t="shared" si="1"/>
        <v>220000</v>
      </c>
      <c r="J16" s="48">
        <f t="shared" si="2"/>
        <v>220000</v>
      </c>
      <c r="K16" s="76">
        <f t="shared" si="5"/>
        <v>220000</v>
      </c>
      <c r="L16" s="77"/>
      <c r="M16" s="78">
        <f>13156</f>
        <v>13156</v>
      </c>
      <c r="N16" s="79"/>
      <c r="O16" s="80">
        <f t="shared" si="6"/>
        <v>206844</v>
      </c>
      <c r="P16" s="81" t="s">
        <v>449</v>
      </c>
      <c r="Q16" s="81" t="s">
        <v>31</v>
      </c>
      <c r="R16" s="90"/>
      <c r="S16" s="91"/>
      <c r="T16" s="84" t="s">
        <v>33</v>
      </c>
      <c r="U16" s="419"/>
      <c r="V16" s="419"/>
      <c r="W16" s="415" t="s">
        <v>53</v>
      </c>
      <c r="X16" s="106"/>
      <c r="Y16" s="65" t="s">
        <v>80</v>
      </c>
      <c r="Z16" s="66">
        <v>85000.0</v>
      </c>
      <c r="AA16" s="107"/>
      <c r="AB16" s="107"/>
      <c r="AC16" s="107"/>
      <c r="AD16" s="106"/>
    </row>
    <row r="17" ht="36.0" customHeight="1">
      <c r="A17" s="111">
        <v>11.0</v>
      </c>
      <c r="B17" s="40">
        <v>45227.0</v>
      </c>
      <c r="C17" s="111">
        <v>1.71910848591E12</v>
      </c>
      <c r="D17" s="148" t="s">
        <v>473</v>
      </c>
      <c r="E17" s="143" t="s">
        <v>474</v>
      </c>
      <c r="F17" s="142" t="s">
        <v>475</v>
      </c>
      <c r="G17" s="63" t="s">
        <v>30</v>
      </c>
      <c r="H17" s="64">
        <v>2.0</v>
      </c>
      <c r="I17" s="47">
        <f t="shared" si="1"/>
        <v>220000</v>
      </c>
      <c r="J17" s="48">
        <f t="shared" si="2"/>
        <v>440000</v>
      </c>
      <c r="K17" s="49">
        <f>sum(J17:J21)</f>
        <v>1790000</v>
      </c>
      <c r="L17" s="144"/>
      <c r="M17" s="51"/>
      <c r="N17" s="52"/>
      <c r="O17" s="53">
        <f t="shared" si="6"/>
        <v>1790000</v>
      </c>
      <c r="P17" s="99" t="s">
        <v>449</v>
      </c>
      <c r="Q17" s="99" t="s">
        <v>31</v>
      </c>
      <c r="R17" s="145">
        <v>46002.0</v>
      </c>
      <c r="S17" s="56" t="s">
        <v>32</v>
      </c>
      <c r="T17" s="57" t="s">
        <v>33</v>
      </c>
      <c r="U17" s="147"/>
      <c r="V17" s="147"/>
      <c r="W17" s="147"/>
      <c r="X17" s="106"/>
      <c r="Y17" s="65" t="s">
        <v>81</v>
      </c>
      <c r="Z17" s="66">
        <v>150000.0</v>
      </c>
      <c r="AA17" s="107"/>
      <c r="AB17" s="107"/>
      <c r="AC17" s="107"/>
      <c r="AD17" s="106"/>
    </row>
    <row r="18" ht="36.0" customHeight="1">
      <c r="A18" s="62"/>
      <c r="B18" s="62"/>
      <c r="C18" s="62"/>
      <c r="D18" s="62"/>
      <c r="E18" s="62"/>
      <c r="F18" s="62"/>
      <c r="G18" s="72" t="s">
        <v>476</v>
      </c>
      <c r="H18" s="73">
        <v>6.0</v>
      </c>
      <c r="I18" s="74">
        <f t="shared" si="1"/>
        <v>55000</v>
      </c>
      <c r="J18" s="75">
        <f t="shared" si="2"/>
        <v>330000</v>
      </c>
      <c r="K18" s="62"/>
      <c r="L18" s="62"/>
      <c r="M18" s="62"/>
      <c r="N18" s="62"/>
      <c r="O18" s="62"/>
      <c r="P18" s="62"/>
      <c r="Q18" s="62"/>
      <c r="R18" s="62"/>
      <c r="S18" s="62"/>
      <c r="T18" s="62"/>
      <c r="U18" s="62"/>
      <c r="V18" s="62"/>
      <c r="W18" s="62"/>
      <c r="X18" s="106"/>
      <c r="Y18" s="65" t="s">
        <v>85</v>
      </c>
      <c r="Z18" s="66">
        <v>125000.0</v>
      </c>
      <c r="AA18" s="107"/>
      <c r="AB18" s="107"/>
      <c r="AC18" s="107"/>
      <c r="AD18" s="106"/>
    </row>
    <row r="19" ht="36.0" customHeight="1">
      <c r="A19" s="62"/>
      <c r="B19" s="62"/>
      <c r="C19" s="62"/>
      <c r="D19" s="62"/>
      <c r="E19" s="62"/>
      <c r="F19" s="62"/>
      <c r="G19" s="72" t="s">
        <v>477</v>
      </c>
      <c r="H19" s="73">
        <v>6.0</v>
      </c>
      <c r="I19" s="74">
        <f t="shared" si="1"/>
        <v>65000</v>
      </c>
      <c r="J19" s="75">
        <f t="shared" si="2"/>
        <v>390000</v>
      </c>
      <c r="K19" s="62"/>
      <c r="L19" s="62"/>
      <c r="M19" s="62"/>
      <c r="N19" s="62"/>
      <c r="O19" s="62"/>
      <c r="P19" s="62"/>
      <c r="Q19" s="62"/>
      <c r="R19" s="62"/>
      <c r="S19" s="62"/>
      <c r="T19" s="62"/>
      <c r="U19" s="62"/>
      <c r="V19" s="62"/>
      <c r="W19" s="62"/>
      <c r="X19" s="106"/>
      <c r="Y19" s="65" t="s">
        <v>89</v>
      </c>
      <c r="Z19" s="66">
        <v>35000.0</v>
      </c>
      <c r="AA19" s="107"/>
      <c r="AB19" s="107"/>
      <c r="AC19" s="107"/>
      <c r="AD19" s="106"/>
    </row>
    <row r="20" ht="36.0" customHeight="1">
      <c r="A20" s="62"/>
      <c r="B20" s="62"/>
      <c r="C20" s="62"/>
      <c r="D20" s="62"/>
      <c r="E20" s="62"/>
      <c r="F20" s="62"/>
      <c r="G20" s="72" t="s">
        <v>478</v>
      </c>
      <c r="H20" s="73">
        <v>6.0</v>
      </c>
      <c r="I20" s="74">
        <f t="shared" si="1"/>
        <v>65000</v>
      </c>
      <c r="J20" s="75">
        <f t="shared" si="2"/>
        <v>390000</v>
      </c>
      <c r="K20" s="62"/>
      <c r="L20" s="62"/>
      <c r="M20" s="62"/>
      <c r="N20" s="62"/>
      <c r="O20" s="62"/>
      <c r="P20" s="62"/>
      <c r="Q20" s="62"/>
      <c r="R20" s="62"/>
      <c r="S20" s="62"/>
      <c r="T20" s="62"/>
      <c r="U20" s="62"/>
      <c r="V20" s="62"/>
      <c r="W20" s="62"/>
      <c r="X20" s="106"/>
      <c r="Y20" s="65" t="s">
        <v>93</v>
      </c>
      <c r="Z20" s="66">
        <v>90000.0</v>
      </c>
      <c r="AA20" s="107"/>
      <c r="AB20" s="107"/>
      <c r="AC20" s="107"/>
      <c r="AD20" s="106"/>
    </row>
    <row r="21" ht="36.0" customHeight="1">
      <c r="A21" s="67"/>
      <c r="B21" s="67"/>
      <c r="C21" s="67"/>
      <c r="D21" s="67"/>
      <c r="E21" s="67"/>
      <c r="F21" s="67"/>
      <c r="G21" s="72" t="s">
        <v>479</v>
      </c>
      <c r="H21" s="73">
        <v>6.0</v>
      </c>
      <c r="I21" s="74">
        <f t="shared" si="1"/>
        <v>40000</v>
      </c>
      <c r="J21" s="75">
        <f t="shared" si="2"/>
        <v>240000</v>
      </c>
      <c r="K21" s="67"/>
      <c r="L21" s="67"/>
      <c r="M21" s="67"/>
      <c r="N21" s="67"/>
      <c r="O21" s="67"/>
      <c r="P21" s="67"/>
      <c r="Q21" s="67"/>
      <c r="R21" s="67"/>
      <c r="S21" s="67"/>
      <c r="T21" s="67"/>
      <c r="U21" s="67"/>
      <c r="V21" s="67"/>
      <c r="W21" s="67"/>
      <c r="X21" s="106"/>
      <c r="Y21" s="65" t="s">
        <v>94</v>
      </c>
      <c r="Z21" s="66">
        <v>140000.0</v>
      </c>
      <c r="AA21" s="107"/>
      <c r="AB21" s="107"/>
      <c r="AC21" s="107"/>
      <c r="AD21" s="106"/>
    </row>
    <row r="22" ht="36.0" customHeight="1">
      <c r="A22" s="93">
        <v>12.0</v>
      </c>
      <c r="B22" s="120">
        <v>45227.0</v>
      </c>
      <c r="C22" s="93">
        <v>1.71917002579E12</v>
      </c>
      <c r="D22" s="92" t="s">
        <v>480</v>
      </c>
      <c r="E22" s="105" t="s">
        <v>481</v>
      </c>
      <c r="F22" s="121" t="s">
        <v>482</v>
      </c>
      <c r="G22" s="63" t="s">
        <v>75</v>
      </c>
      <c r="H22" s="64">
        <v>2.0</v>
      </c>
      <c r="I22" s="47">
        <f t="shared" si="1"/>
        <v>45000</v>
      </c>
      <c r="J22" s="48">
        <f t="shared" si="2"/>
        <v>90000</v>
      </c>
      <c r="K22" s="76">
        <f t="shared" ref="K22:K23" si="7">SUM(J22)</f>
        <v>90000</v>
      </c>
      <c r="L22" s="108">
        <v>37001.0</v>
      </c>
      <c r="M22" s="78"/>
      <c r="N22" s="115">
        <v>17001.0</v>
      </c>
      <c r="O22" s="80">
        <f t="shared" ref="O22:O24" si="8">K22+L22-M22-N22</f>
        <v>110000</v>
      </c>
      <c r="P22" s="81" t="s">
        <v>449</v>
      </c>
      <c r="Q22" s="420" t="s">
        <v>31</v>
      </c>
      <c r="R22" s="65"/>
      <c r="S22" s="91"/>
      <c r="T22" s="84" t="s">
        <v>33</v>
      </c>
      <c r="U22" s="122"/>
      <c r="V22" s="122"/>
      <c r="W22" s="122"/>
      <c r="X22" s="106"/>
      <c r="Y22" s="65" t="s">
        <v>97</v>
      </c>
      <c r="Z22" s="66">
        <v>95000.0</v>
      </c>
      <c r="AA22" s="107"/>
      <c r="AB22" s="107"/>
      <c r="AC22" s="107"/>
      <c r="AD22" s="106"/>
    </row>
    <row r="23" ht="27.75" customHeight="1">
      <c r="A23" s="160">
        <v>13.0</v>
      </c>
      <c r="B23" s="159">
        <v>45227.0</v>
      </c>
      <c r="C23" s="160" t="s">
        <v>483</v>
      </c>
      <c r="D23" s="161" t="s">
        <v>179</v>
      </c>
      <c r="E23" s="162" t="s">
        <v>484</v>
      </c>
      <c r="F23" s="161" t="s">
        <v>485</v>
      </c>
      <c r="G23" s="164" t="s">
        <v>147</v>
      </c>
      <c r="H23" s="158">
        <v>1.0</v>
      </c>
      <c r="I23" s="165"/>
      <c r="J23" s="166">
        <f t="shared" si="2"/>
        <v>0</v>
      </c>
      <c r="K23" s="167">
        <f t="shared" si="7"/>
        <v>0</v>
      </c>
      <c r="L23" s="168"/>
      <c r="M23" s="168"/>
      <c r="N23" s="168"/>
      <c r="O23" s="169">
        <f t="shared" si="8"/>
        <v>0</v>
      </c>
      <c r="P23" s="186"/>
      <c r="Q23" s="170"/>
      <c r="R23" s="172"/>
      <c r="S23" s="170"/>
      <c r="T23" s="171"/>
      <c r="U23" s="421"/>
      <c r="V23" s="421"/>
      <c r="W23" s="161" t="s">
        <v>201</v>
      </c>
      <c r="X23" s="106"/>
      <c r="Y23" s="65" t="s">
        <v>99</v>
      </c>
      <c r="Z23" s="66">
        <v>140000.0</v>
      </c>
      <c r="AA23" s="107"/>
      <c r="AB23" s="107"/>
      <c r="AC23" s="107"/>
      <c r="AD23" s="106"/>
    </row>
    <row r="24" ht="31.5" customHeight="1">
      <c r="A24" s="111">
        <v>14.0</v>
      </c>
      <c r="B24" s="40">
        <v>45229.0</v>
      </c>
      <c r="C24" s="111">
        <v>1.732948945585E12</v>
      </c>
      <c r="D24" s="422" t="s">
        <v>39</v>
      </c>
      <c r="E24" s="143" t="s">
        <v>40</v>
      </c>
      <c r="F24" s="44" t="s">
        <v>41</v>
      </c>
      <c r="G24" s="63" t="s">
        <v>30</v>
      </c>
      <c r="H24" s="64">
        <v>12.0</v>
      </c>
      <c r="I24" s="47">
        <f t="shared" ref="I24:I64" si="9">VLOOKUP(G24,$Y$4:$Z$155,2,0)</f>
        <v>220000</v>
      </c>
      <c r="J24" s="48">
        <f t="shared" si="2"/>
        <v>2640000</v>
      </c>
      <c r="K24" s="49">
        <f>SUM(J24:J37)</f>
        <v>22320000</v>
      </c>
      <c r="L24" s="144"/>
      <c r="M24" s="51"/>
      <c r="N24" s="52"/>
      <c r="O24" s="53">
        <f t="shared" si="8"/>
        <v>22320000</v>
      </c>
      <c r="P24" s="99" t="s">
        <v>449</v>
      </c>
      <c r="Q24" s="99" t="s">
        <v>31</v>
      </c>
      <c r="R24" s="145">
        <v>546904.0</v>
      </c>
      <c r="S24" s="56" t="s">
        <v>32</v>
      </c>
      <c r="T24" s="57" t="s">
        <v>33</v>
      </c>
      <c r="U24" s="147"/>
      <c r="V24" s="147"/>
      <c r="W24" s="142" t="s">
        <v>486</v>
      </c>
      <c r="X24" s="106"/>
      <c r="Y24" s="93" t="s">
        <v>487</v>
      </c>
      <c r="Z24" s="87">
        <v>220000.0</v>
      </c>
      <c r="AA24" s="107"/>
      <c r="AB24" s="107"/>
      <c r="AC24" s="107"/>
      <c r="AD24" s="106"/>
    </row>
    <row r="25" ht="31.5" customHeight="1">
      <c r="A25" s="62"/>
      <c r="B25" s="62"/>
      <c r="C25" s="62"/>
      <c r="D25" s="423"/>
      <c r="E25" s="62"/>
      <c r="F25" s="62"/>
      <c r="G25" s="68" t="s">
        <v>47</v>
      </c>
      <c r="H25" s="69">
        <v>8.0</v>
      </c>
      <c r="I25" s="47">
        <f t="shared" si="9"/>
        <v>220000</v>
      </c>
      <c r="J25" s="48">
        <f t="shared" si="2"/>
        <v>1760000</v>
      </c>
      <c r="K25" s="62"/>
      <c r="L25" s="62"/>
      <c r="M25" s="62"/>
      <c r="N25" s="62"/>
      <c r="O25" s="62"/>
      <c r="P25" s="62"/>
      <c r="Q25" s="62"/>
      <c r="R25" s="62"/>
      <c r="S25" s="62"/>
      <c r="T25" s="62"/>
      <c r="U25" s="62"/>
      <c r="V25" s="62"/>
      <c r="W25" s="62"/>
      <c r="X25" s="124"/>
      <c r="Y25" s="93" t="s">
        <v>105</v>
      </c>
      <c r="Z25" s="87">
        <v>160000.0</v>
      </c>
      <c r="AA25" s="107"/>
      <c r="AB25" s="107"/>
      <c r="AC25" s="107"/>
      <c r="AD25" s="106"/>
    </row>
    <row r="26" ht="31.5" customHeight="1">
      <c r="A26" s="62"/>
      <c r="B26" s="62"/>
      <c r="C26" s="62"/>
      <c r="D26" s="423"/>
      <c r="E26" s="62"/>
      <c r="F26" s="62"/>
      <c r="G26" s="68" t="s">
        <v>37</v>
      </c>
      <c r="H26" s="69">
        <v>12.0</v>
      </c>
      <c r="I26" s="47">
        <f t="shared" si="9"/>
        <v>220000</v>
      </c>
      <c r="J26" s="48">
        <f t="shared" si="2"/>
        <v>2640000</v>
      </c>
      <c r="K26" s="62"/>
      <c r="L26" s="62"/>
      <c r="M26" s="62"/>
      <c r="N26" s="62"/>
      <c r="O26" s="62"/>
      <c r="P26" s="62"/>
      <c r="Q26" s="62"/>
      <c r="R26" s="62"/>
      <c r="S26" s="62"/>
      <c r="T26" s="62"/>
      <c r="U26" s="62"/>
      <c r="V26" s="62"/>
      <c r="W26" s="62"/>
      <c r="X26" s="124"/>
      <c r="Y26" s="93" t="s">
        <v>488</v>
      </c>
      <c r="Z26" s="87">
        <v>45000.0</v>
      </c>
      <c r="AA26" s="107"/>
      <c r="AB26" s="107"/>
      <c r="AC26" s="107"/>
      <c r="AD26" s="106"/>
    </row>
    <row r="27" ht="31.5" customHeight="1">
      <c r="A27" s="62"/>
      <c r="B27" s="62"/>
      <c r="C27" s="62"/>
      <c r="D27" s="423"/>
      <c r="E27" s="62"/>
      <c r="F27" s="62"/>
      <c r="G27" s="68" t="s">
        <v>122</v>
      </c>
      <c r="H27" s="69">
        <v>12.0</v>
      </c>
      <c r="I27" s="47">
        <f t="shared" si="9"/>
        <v>220000</v>
      </c>
      <c r="J27" s="48">
        <f t="shared" si="2"/>
        <v>2640000</v>
      </c>
      <c r="K27" s="62"/>
      <c r="L27" s="62"/>
      <c r="M27" s="62"/>
      <c r="N27" s="62"/>
      <c r="O27" s="62"/>
      <c r="P27" s="62"/>
      <c r="Q27" s="62"/>
      <c r="R27" s="62"/>
      <c r="S27" s="62"/>
      <c r="T27" s="62"/>
      <c r="U27" s="62"/>
      <c r="V27" s="62"/>
      <c r="W27" s="62"/>
      <c r="X27" s="106"/>
      <c r="Y27" s="93" t="s">
        <v>412</v>
      </c>
      <c r="Z27" s="87">
        <v>45000.0</v>
      </c>
      <c r="AA27" s="107"/>
      <c r="AB27" s="107"/>
      <c r="AC27" s="107"/>
      <c r="AD27" s="106"/>
    </row>
    <row r="28" ht="31.5" customHeight="1">
      <c r="A28" s="62"/>
      <c r="B28" s="62"/>
      <c r="C28" s="62"/>
      <c r="D28" s="423"/>
      <c r="E28" s="62"/>
      <c r="F28" s="62"/>
      <c r="G28" s="63" t="s">
        <v>165</v>
      </c>
      <c r="H28" s="64">
        <v>6.0</v>
      </c>
      <c r="I28" s="47">
        <f t="shared" si="9"/>
        <v>220000</v>
      </c>
      <c r="J28" s="48">
        <f t="shared" si="2"/>
        <v>1320000</v>
      </c>
      <c r="K28" s="62"/>
      <c r="L28" s="62"/>
      <c r="M28" s="62"/>
      <c r="N28" s="62"/>
      <c r="O28" s="62"/>
      <c r="P28" s="62"/>
      <c r="Q28" s="62"/>
      <c r="R28" s="62"/>
      <c r="S28" s="62"/>
      <c r="T28" s="62"/>
      <c r="U28" s="62"/>
      <c r="V28" s="62"/>
      <c r="W28" s="62"/>
      <c r="X28" s="106"/>
      <c r="Y28" s="85" t="s">
        <v>121</v>
      </c>
      <c r="Z28" s="128">
        <v>220000.0</v>
      </c>
      <c r="AA28" s="107"/>
      <c r="AB28" s="107"/>
      <c r="AC28" s="107"/>
      <c r="AD28" s="106"/>
    </row>
    <row r="29" ht="31.5" customHeight="1">
      <c r="A29" s="62"/>
      <c r="B29" s="62"/>
      <c r="C29" s="62"/>
      <c r="D29" s="423"/>
      <c r="E29" s="62"/>
      <c r="F29" s="62"/>
      <c r="G29" s="63" t="s">
        <v>35</v>
      </c>
      <c r="H29" s="64">
        <v>5.0</v>
      </c>
      <c r="I29" s="47">
        <f t="shared" si="9"/>
        <v>220000</v>
      </c>
      <c r="J29" s="48">
        <f t="shared" si="2"/>
        <v>1100000</v>
      </c>
      <c r="K29" s="62"/>
      <c r="L29" s="62"/>
      <c r="M29" s="62"/>
      <c r="N29" s="62"/>
      <c r="O29" s="62"/>
      <c r="P29" s="62"/>
      <c r="Q29" s="62"/>
      <c r="R29" s="62"/>
      <c r="S29" s="62"/>
      <c r="T29" s="62"/>
      <c r="U29" s="62"/>
      <c r="V29" s="62"/>
      <c r="W29" s="62"/>
      <c r="X29" s="106"/>
      <c r="Y29" s="85" t="s">
        <v>123</v>
      </c>
      <c r="Z29" s="128">
        <v>220000.0</v>
      </c>
      <c r="AA29" s="107"/>
      <c r="AB29" s="107"/>
      <c r="AC29" s="107"/>
      <c r="AD29" s="106"/>
    </row>
    <row r="30" ht="33.0" customHeight="1">
      <c r="A30" s="62"/>
      <c r="B30" s="62"/>
      <c r="C30" s="62"/>
      <c r="D30" s="423"/>
      <c r="E30" s="62"/>
      <c r="F30" s="62"/>
      <c r="G30" s="72" t="s">
        <v>76</v>
      </c>
      <c r="H30" s="73">
        <v>12.0</v>
      </c>
      <c r="I30" s="74">
        <f t="shared" si="9"/>
        <v>90000</v>
      </c>
      <c r="J30" s="75">
        <f t="shared" si="2"/>
        <v>1080000</v>
      </c>
      <c r="K30" s="62"/>
      <c r="L30" s="62"/>
      <c r="M30" s="62"/>
      <c r="N30" s="62"/>
      <c r="O30" s="62"/>
      <c r="P30" s="62"/>
      <c r="Q30" s="62"/>
      <c r="R30" s="62"/>
      <c r="S30" s="62"/>
      <c r="T30" s="62"/>
      <c r="U30" s="62"/>
      <c r="V30" s="62"/>
      <c r="W30" s="62"/>
      <c r="X30" s="106"/>
      <c r="Y30" s="85" t="s">
        <v>124</v>
      </c>
      <c r="Z30" s="128">
        <v>220000.0</v>
      </c>
      <c r="AA30" s="107"/>
      <c r="AB30" s="107"/>
      <c r="AC30" s="107"/>
      <c r="AD30" s="106"/>
    </row>
    <row r="31" ht="31.5" customHeight="1">
      <c r="A31" s="62"/>
      <c r="B31" s="62"/>
      <c r="C31" s="62"/>
      <c r="D31" s="423"/>
      <c r="E31" s="62"/>
      <c r="F31" s="62"/>
      <c r="G31" s="72" t="s">
        <v>80</v>
      </c>
      <c r="H31" s="73">
        <v>6.0</v>
      </c>
      <c r="I31" s="74">
        <f t="shared" si="9"/>
        <v>85000</v>
      </c>
      <c r="J31" s="75">
        <f t="shared" si="2"/>
        <v>510000</v>
      </c>
      <c r="K31" s="62"/>
      <c r="L31" s="62"/>
      <c r="M31" s="62"/>
      <c r="N31" s="62"/>
      <c r="O31" s="62"/>
      <c r="P31" s="62"/>
      <c r="Q31" s="62"/>
      <c r="R31" s="62"/>
      <c r="S31" s="62"/>
      <c r="T31" s="62"/>
      <c r="U31" s="62"/>
      <c r="V31" s="62"/>
      <c r="W31" s="62"/>
      <c r="X31" s="106"/>
      <c r="Y31" s="129" t="s">
        <v>125</v>
      </c>
      <c r="Z31" s="80">
        <v>220000.0</v>
      </c>
      <c r="AA31" s="107"/>
      <c r="AB31" s="107"/>
      <c r="AC31" s="107"/>
      <c r="AD31" s="106"/>
    </row>
    <row r="32" ht="31.5" customHeight="1">
      <c r="A32" s="62"/>
      <c r="B32" s="62"/>
      <c r="C32" s="62"/>
      <c r="D32" s="423"/>
      <c r="E32" s="62"/>
      <c r="F32" s="62"/>
      <c r="G32" s="72" t="s">
        <v>487</v>
      </c>
      <c r="H32" s="73">
        <v>17.0</v>
      </c>
      <c r="I32" s="74">
        <f t="shared" si="9"/>
        <v>220000</v>
      </c>
      <c r="J32" s="75">
        <f t="shared" si="2"/>
        <v>3740000</v>
      </c>
      <c r="K32" s="62"/>
      <c r="L32" s="62"/>
      <c r="M32" s="62"/>
      <c r="N32" s="62"/>
      <c r="O32" s="62"/>
      <c r="P32" s="62"/>
      <c r="Q32" s="62"/>
      <c r="R32" s="62"/>
      <c r="S32" s="62"/>
      <c r="T32" s="62"/>
      <c r="U32" s="62"/>
      <c r="V32" s="62"/>
      <c r="W32" s="62"/>
      <c r="X32" s="106"/>
      <c r="Y32" s="129" t="s">
        <v>129</v>
      </c>
      <c r="Z32" s="80">
        <v>220000.0</v>
      </c>
      <c r="AA32" s="107"/>
      <c r="AB32" s="107"/>
      <c r="AC32" s="107"/>
      <c r="AD32" s="106"/>
    </row>
    <row r="33" ht="33.75" customHeight="1">
      <c r="A33" s="62"/>
      <c r="B33" s="62"/>
      <c r="C33" s="62"/>
      <c r="D33" s="423"/>
      <c r="E33" s="62"/>
      <c r="F33" s="62"/>
      <c r="G33" s="72" t="s">
        <v>105</v>
      </c>
      <c r="H33" s="73">
        <v>12.0</v>
      </c>
      <c r="I33" s="74">
        <f t="shared" si="9"/>
        <v>160000</v>
      </c>
      <c r="J33" s="75">
        <f t="shared" si="2"/>
        <v>1920000</v>
      </c>
      <c r="K33" s="62"/>
      <c r="L33" s="62"/>
      <c r="M33" s="62"/>
      <c r="N33" s="62"/>
      <c r="O33" s="62"/>
      <c r="P33" s="62"/>
      <c r="Q33" s="62"/>
      <c r="R33" s="62"/>
      <c r="S33" s="62"/>
      <c r="T33" s="62"/>
      <c r="U33" s="62"/>
      <c r="V33" s="62"/>
      <c r="W33" s="62"/>
      <c r="X33" s="106"/>
      <c r="Y33" s="85" t="s">
        <v>133</v>
      </c>
      <c r="Z33" s="128">
        <v>220000.0</v>
      </c>
      <c r="AA33" s="107"/>
      <c r="AB33" s="107"/>
      <c r="AC33" s="107"/>
      <c r="AD33" s="106"/>
    </row>
    <row r="34" ht="33.75" customHeight="1">
      <c r="A34" s="62"/>
      <c r="B34" s="62"/>
      <c r="C34" s="62"/>
      <c r="D34" s="423"/>
      <c r="E34" s="62"/>
      <c r="F34" s="62"/>
      <c r="G34" s="72" t="s">
        <v>479</v>
      </c>
      <c r="H34" s="73">
        <v>24.0</v>
      </c>
      <c r="I34" s="74">
        <f t="shared" si="9"/>
        <v>40000</v>
      </c>
      <c r="J34" s="75">
        <f t="shared" si="2"/>
        <v>960000</v>
      </c>
      <c r="K34" s="62"/>
      <c r="L34" s="62"/>
      <c r="M34" s="62"/>
      <c r="N34" s="62"/>
      <c r="O34" s="62"/>
      <c r="P34" s="62"/>
      <c r="Q34" s="62"/>
      <c r="R34" s="62"/>
      <c r="S34" s="62"/>
      <c r="T34" s="62"/>
      <c r="U34" s="62"/>
      <c r="V34" s="62"/>
      <c r="W34" s="62"/>
      <c r="X34" s="106"/>
      <c r="Y34" s="85" t="s">
        <v>135</v>
      </c>
      <c r="Z34" s="128">
        <v>220000.0</v>
      </c>
      <c r="AA34" s="107"/>
      <c r="AB34" s="107"/>
      <c r="AC34" s="107"/>
      <c r="AD34" s="106"/>
    </row>
    <row r="35" ht="33.75" customHeight="1">
      <c r="A35" s="62"/>
      <c r="B35" s="62"/>
      <c r="C35" s="62"/>
      <c r="D35" s="423"/>
      <c r="E35" s="62"/>
      <c r="F35" s="62"/>
      <c r="G35" s="72" t="s">
        <v>477</v>
      </c>
      <c r="H35" s="73">
        <v>24.0</v>
      </c>
      <c r="I35" s="74">
        <f t="shared" si="9"/>
        <v>65000</v>
      </c>
      <c r="J35" s="75">
        <f t="shared" si="2"/>
        <v>1560000</v>
      </c>
      <c r="K35" s="62"/>
      <c r="L35" s="62"/>
      <c r="M35" s="62"/>
      <c r="N35" s="62"/>
      <c r="O35" s="62"/>
      <c r="P35" s="62"/>
      <c r="Q35" s="62"/>
      <c r="R35" s="62"/>
      <c r="S35" s="62"/>
      <c r="T35" s="62"/>
      <c r="U35" s="62"/>
      <c r="V35" s="62"/>
      <c r="W35" s="62"/>
      <c r="X35" s="106"/>
      <c r="Y35" s="85" t="s">
        <v>139</v>
      </c>
      <c r="Z35" s="128">
        <v>80000.0</v>
      </c>
      <c r="AA35" s="107"/>
      <c r="AB35" s="107"/>
      <c r="AC35" s="107"/>
      <c r="AD35" s="106"/>
    </row>
    <row r="36" ht="33.75" customHeight="1">
      <c r="A36" s="62"/>
      <c r="B36" s="62"/>
      <c r="C36" s="62"/>
      <c r="D36" s="423"/>
      <c r="E36" s="62"/>
      <c r="F36" s="62"/>
      <c r="G36" s="72" t="s">
        <v>61</v>
      </c>
      <c r="H36" s="73">
        <v>3.0</v>
      </c>
      <c r="I36" s="74">
        <f t="shared" si="9"/>
        <v>90000</v>
      </c>
      <c r="J36" s="75">
        <f t="shared" si="2"/>
        <v>270000</v>
      </c>
      <c r="K36" s="62"/>
      <c r="L36" s="62"/>
      <c r="M36" s="62"/>
      <c r="N36" s="62"/>
      <c r="O36" s="62"/>
      <c r="P36" s="62"/>
      <c r="Q36" s="62"/>
      <c r="R36" s="62"/>
      <c r="S36" s="62"/>
      <c r="T36" s="62"/>
      <c r="U36" s="62"/>
      <c r="V36" s="62"/>
      <c r="W36" s="62"/>
      <c r="X36" s="106"/>
      <c r="Y36" s="85" t="s">
        <v>142</v>
      </c>
      <c r="Z36" s="128">
        <v>220000.0</v>
      </c>
      <c r="AA36" s="107"/>
      <c r="AB36" s="107"/>
      <c r="AC36" s="107"/>
      <c r="AD36" s="106"/>
    </row>
    <row r="37" ht="33.75" customHeight="1">
      <c r="A37" s="67"/>
      <c r="B37" s="67"/>
      <c r="C37" s="67"/>
      <c r="D37" s="102"/>
      <c r="E37" s="67"/>
      <c r="F37" s="67"/>
      <c r="G37" s="72" t="s">
        <v>489</v>
      </c>
      <c r="H37" s="73">
        <v>4.0</v>
      </c>
      <c r="I37" s="74">
        <f t="shared" si="9"/>
        <v>45000</v>
      </c>
      <c r="J37" s="75">
        <f t="shared" si="2"/>
        <v>180000</v>
      </c>
      <c r="K37" s="67"/>
      <c r="L37" s="67"/>
      <c r="M37" s="67"/>
      <c r="N37" s="67"/>
      <c r="O37" s="67"/>
      <c r="P37" s="67"/>
      <c r="Q37" s="67"/>
      <c r="R37" s="67"/>
      <c r="S37" s="67"/>
      <c r="T37" s="67"/>
      <c r="U37" s="67"/>
      <c r="V37" s="67"/>
      <c r="W37" s="67"/>
      <c r="X37" s="106"/>
      <c r="Y37" s="85" t="s">
        <v>145</v>
      </c>
      <c r="Z37" s="128">
        <v>220000.0</v>
      </c>
      <c r="AA37" s="107"/>
      <c r="AB37" s="107"/>
      <c r="AC37" s="107"/>
      <c r="AD37" s="106"/>
    </row>
    <row r="38" ht="33.75" customHeight="1">
      <c r="A38" s="104">
        <v>15.0</v>
      </c>
      <c r="B38" s="120">
        <v>45229.0</v>
      </c>
      <c r="C38" s="93" t="s">
        <v>490</v>
      </c>
      <c r="D38" s="92" t="s">
        <v>50</v>
      </c>
      <c r="E38" s="105" t="s">
        <v>491</v>
      </c>
      <c r="F38" s="92" t="s">
        <v>74</v>
      </c>
      <c r="G38" s="63" t="s">
        <v>30</v>
      </c>
      <c r="H38" s="64">
        <v>1.0</v>
      </c>
      <c r="I38" s="47">
        <f t="shared" si="9"/>
        <v>220000</v>
      </c>
      <c r="J38" s="48">
        <f t="shared" si="2"/>
        <v>220000</v>
      </c>
      <c r="K38" s="76">
        <f t="shared" ref="K38:K42" si="10">sum(J38)</f>
        <v>220000</v>
      </c>
      <c r="L38" s="65"/>
      <c r="M38" s="157">
        <f>14036</f>
        <v>14036</v>
      </c>
      <c r="N38" s="79"/>
      <c r="O38" s="80">
        <f t="shared" ref="O38:O43" si="11">K38+L38-M38-N38</f>
        <v>205964</v>
      </c>
      <c r="P38" s="81" t="s">
        <v>449</v>
      </c>
      <c r="Q38" s="81" t="s">
        <v>31</v>
      </c>
      <c r="R38" s="65"/>
      <c r="S38" s="91"/>
      <c r="T38" s="84" t="s">
        <v>33</v>
      </c>
      <c r="U38" s="122"/>
      <c r="V38" s="122"/>
      <c r="W38" s="415" t="s">
        <v>53</v>
      </c>
      <c r="X38" s="106"/>
      <c r="Y38" s="85" t="s">
        <v>153</v>
      </c>
      <c r="Z38" s="128">
        <v>45000.0</v>
      </c>
      <c r="AA38" s="107"/>
      <c r="AB38" s="107"/>
      <c r="AC38" s="107"/>
      <c r="AD38" s="106"/>
    </row>
    <row r="39" ht="33.75" customHeight="1">
      <c r="A39" s="104">
        <v>16.0</v>
      </c>
      <c r="B39" s="120">
        <v>45229.0</v>
      </c>
      <c r="C39" s="93" t="s">
        <v>492</v>
      </c>
      <c r="D39" s="92" t="s">
        <v>50</v>
      </c>
      <c r="E39" s="105" t="s">
        <v>493</v>
      </c>
      <c r="F39" s="92" t="s">
        <v>485</v>
      </c>
      <c r="G39" s="63" t="s">
        <v>30</v>
      </c>
      <c r="H39" s="64">
        <v>1.0</v>
      </c>
      <c r="I39" s="47">
        <f t="shared" si="9"/>
        <v>220000</v>
      </c>
      <c r="J39" s="48">
        <f t="shared" si="2"/>
        <v>220000</v>
      </c>
      <c r="K39" s="76">
        <f t="shared" si="10"/>
        <v>220000</v>
      </c>
      <c r="L39" s="65"/>
      <c r="M39" s="78">
        <f>35876</f>
        <v>35876</v>
      </c>
      <c r="N39" s="79"/>
      <c r="O39" s="80">
        <f t="shared" si="11"/>
        <v>184124</v>
      </c>
      <c r="P39" s="81" t="s">
        <v>449</v>
      </c>
      <c r="Q39" s="81" t="s">
        <v>31</v>
      </c>
      <c r="R39" s="65"/>
      <c r="S39" s="91"/>
      <c r="T39" s="84" t="s">
        <v>33</v>
      </c>
      <c r="U39" s="122"/>
      <c r="V39" s="122"/>
      <c r="W39" s="415" t="s">
        <v>53</v>
      </c>
      <c r="X39" s="106"/>
      <c r="Y39" s="139" t="s">
        <v>151</v>
      </c>
      <c r="Z39" s="140">
        <v>220000.0</v>
      </c>
      <c r="AA39" s="107"/>
      <c r="AB39" s="107"/>
      <c r="AC39" s="107"/>
      <c r="AD39" s="106"/>
    </row>
    <row r="40" ht="33.75" customHeight="1">
      <c r="A40" s="104">
        <v>17.0</v>
      </c>
      <c r="B40" s="120">
        <v>45229.0</v>
      </c>
      <c r="C40" s="93" t="s">
        <v>494</v>
      </c>
      <c r="D40" s="92" t="s">
        <v>50</v>
      </c>
      <c r="E40" s="105" t="s">
        <v>495</v>
      </c>
      <c r="F40" s="92" t="s">
        <v>141</v>
      </c>
      <c r="G40" s="63" t="s">
        <v>30</v>
      </c>
      <c r="H40" s="64">
        <v>1.0</v>
      </c>
      <c r="I40" s="47">
        <f t="shared" si="9"/>
        <v>220000</v>
      </c>
      <c r="J40" s="48">
        <f t="shared" si="2"/>
        <v>220000</v>
      </c>
      <c r="K40" s="76">
        <f t="shared" si="10"/>
        <v>220000</v>
      </c>
      <c r="L40" s="65"/>
      <c r="M40" s="78">
        <f>13236</f>
        <v>13236</v>
      </c>
      <c r="N40" s="79"/>
      <c r="O40" s="80">
        <f t="shared" si="11"/>
        <v>206764</v>
      </c>
      <c r="P40" s="81" t="s">
        <v>449</v>
      </c>
      <c r="Q40" s="81" t="s">
        <v>31</v>
      </c>
      <c r="R40" s="65"/>
      <c r="S40" s="91"/>
      <c r="T40" s="84" t="s">
        <v>33</v>
      </c>
      <c r="U40" s="122"/>
      <c r="V40" s="122"/>
      <c r="W40" s="415" t="s">
        <v>53</v>
      </c>
      <c r="X40" s="106"/>
      <c r="Y40" s="65" t="s">
        <v>148</v>
      </c>
      <c r="Z40" s="66">
        <v>220000.0</v>
      </c>
      <c r="AA40" s="107"/>
      <c r="AB40" s="107"/>
      <c r="AC40" s="107"/>
      <c r="AD40" s="106"/>
    </row>
    <row r="41" ht="33.75" customHeight="1">
      <c r="A41" s="64">
        <v>18.0</v>
      </c>
      <c r="B41" s="132">
        <v>45229.0</v>
      </c>
      <c r="C41" s="64">
        <v>1.721340198107E12</v>
      </c>
      <c r="D41" s="133" t="s">
        <v>348</v>
      </c>
      <c r="E41" s="131" t="s">
        <v>349</v>
      </c>
      <c r="F41" s="133" t="s">
        <v>496</v>
      </c>
      <c r="G41" s="63" t="s">
        <v>35</v>
      </c>
      <c r="H41" s="64">
        <v>10.0</v>
      </c>
      <c r="I41" s="47">
        <f t="shared" si="9"/>
        <v>220000</v>
      </c>
      <c r="J41" s="48">
        <f t="shared" si="2"/>
        <v>2200000</v>
      </c>
      <c r="K41" s="76">
        <f t="shared" si="10"/>
        <v>2200000</v>
      </c>
      <c r="L41" s="89"/>
      <c r="M41" s="78"/>
      <c r="N41" s="79"/>
      <c r="O41" s="80">
        <f t="shared" si="11"/>
        <v>2200000</v>
      </c>
      <c r="P41" s="81" t="s">
        <v>449</v>
      </c>
      <c r="Q41" s="81" t="s">
        <v>31</v>
      </c>
      <c r="R41" s="82">
        <v>78004.0</v>
      </c>
      <c r="S41" s="83" t="s">
        <v>32</v>
      </c>
      <c r="T41" s="84" t="s">
        <v>33</v>
      </c>
      <c r="U41" s="419"/>
      <c r="V41" s="419"/>
      <c r="W41" s="412"/>
      <c r="X41" s="106"/>
      <c r="Y41" s="273" t="s">
        <v>166</v>
      </c>
      <c r="Z41" s="274">
        <v>160000.0</v>
      </c>
      <c r="AA41" s="107"/>
      <c r="AB41" s="107"/>
      <c r="AC41" s="107"/>
      <c r="AD41" s="106"/>
    </row>
    <row r="42" ht="33.75" customHeight="1">
      <c r="A42" s="69">
        <v>19.0</v>
      </c>
      <c r="B42" s="132">
        <v>45231.0</v>
      </c>
      <c r="C42" s="64" t="s">
        <v>497</v>
      </c>
      <c r="D42" s="92" t="s">
        <v>50</v>
      </c>
      <c r="E42" s="131" t="s">
        <v>498</v>
      </c>
      <c r="F42" s="133" t="s">
        <v>347</v>
      </c>
      <c r="G42" s="63" t="s">
        <v>30</v>
      </c>
      <c r="H42" s="64">
        <v>1.0</v>
      </c>
      <c r="I42" s="47">
        <f t="shared" si="9"/>
        <v>220000</v>
      </c>
      <c r="J42" s="48">
        <f t="shared" si="2"/>
        <v>220000</v>
      </c>
      <c r="K42" s="76">
        <f t="shared" si="10"/>
        <v>220000</v>
      </c>
      <c r="L42" s="89"/>
      <c r="M42" s="78">
        <f>13200</f>
        <v>13200</v>
      </c>
      <c r="N42" s="79"/>
      <c r="O42" s="80">
        <f t="shared" si="11"/>
        <v>206800</v>
      </c>
      <c r="P42" s="81" t="s">
        <v>449</v>
      </c>
      <c r="Q42" s="81" t="s">
        <v>31</v>
      </c>
      <c r="R42" s="90"/>
      <c r="S42" s="91"/>
      <c r="T42" s="84" t="s">
        <v>33</v>
      </c>
      <c r="U42" s="419"/>
      <c r="V42" s="419"/>
      <c r="W42" s="415" t="s">
        <v>53</v>
      </c>
      <c r="X42" s="106"/>
      <c r="Y42" s="93" t="s">
        <v>170</v>
      </c>
      <c r="Z42" s="66">
        <v>220000.0</v>
      </c>
      <c r="AA42" s="107"/>
      <c r="AB42" s="107"/>
      <c r="AC42" s="107"/>
      <c r="AD42" s="106"/>
    </row>
    <row r="43" ht="33.75" customHeight="1">
      <c r="A43" s="94">
        <v>20.0</v>
      </c>
      <c r="B43" s="125">
        <v>45231.0</v>
      </c>
      <c r="C43" s="39" t="s">
        <v>499</v>
      </c>
      <c r="D43" s="142" t="s">
        <v>50</v>
      </c>
      <c r="E43" s="175" t="s">
        <v>500</v>
      </c>
      <c r="F43" s="424" t="s">
        <v>132</v>
      </c>
      <c r="G43" s="63" t="s">
        <v>30</v>
      </c>
      <c r="H43" s="64">
        <v>1.0</v>
      </c>
      <c r="I43" s="47">
        <f t="shared" si="9"/>
        <v>220000</v>
      </c>
      <c r="J43" s="48">
        <f t="shared" si="2"/>
        <v>220000</v>
      </c>
      <c r="K43" s="49">
        <f>sum(J43:J44)</f>
        <v>265000</v>
      </c>
      <c r="L43" s="50"/>
      <c r="M43" s="51">
        <f>15776</f>
        <v>15776</v>
      </c>
      <c r="N43" s="52"/>
      <c r="O43" s="53">
        <f t="shared" si="11"/>
        <v>249224</v>
      </c>
      <c r="P43" s="99" t="s">
        <v>449</v>
      </c>
      <c r="Q43" s="99" t="s">
        <v>31</v>
      </c>
      <c r="R43" s="118"/>
      <c r="S43" s="119"/>
      <c r="T43" s="57" t="s">
        <v>33</v>
      </c>
      <c r="U43" s="113"/>
      <c r="V43" s="113"/>
      <c r="W43" s="425" t="s">
        <v>53</v>
      </c>
      <c r="X43" s="106"/>
      <c r="Y43" s="93" t="s">
        <v>161</v>
      </c>
      <c r="Z43" s="66">
        <v>220000.0</v>
      </c>
      <c r="AA43" s="107"/>
      <c r="AB43" s="107"/>
      <c r="AC43" s="107"/>
      <c r="AD43" s="106"/>
    </row>
    <row r="44" ht="33.75" customHeight="1">
      <c r="A44" s="67"/>
      <c r="B44" s="67"/>
      <c r="C44" s="67"/>
      <c r="D44" s="67"/>
      <c r="E44" s="67"/>
      <c r="F44" s="67"/>
      <c r="G44" s="63" t="s">
        <v>456</v>
      </c>
      <c r="H44" s="64">
        <v>1.0</v>
      </c>
      <c r="I44" s="47">
        <f t="shared" si="9"/>
        <v>45000</v>
      </c>
      <c r="J44" s="48">
        <f t="shared" si="2"/>
        <v>45000</v>
      </c>
      <c r="K44" s="67"/>
      <c r="L44" s="67"/>
      <c r="M44" s="67"/>
      <c r="N44" s="67"/>
      <c r="O44" s="67"/>
      <c r="P44" s="67"/>
      <c r="Q44" s="67"/>
      <c r="R44" s="67"/>
      <c r="S44" s="67"/>
      <c r="T44" s="67"/>
      <c r="U44" s="67"/>
      <c r="V44" s="67"/>
      <c r="W44" s="67"/>
      <c r="X44" s="106"/>
      <c r="Y44" s="426"/>
      <c r="Z44" s="427"/>
      <c r="AA44" s="107"/>
      <c r="AB44" s="107"/>
      <c r="AC44" s="107"/>
      <c r="AD44" s="106"/>
    </row>
    <row r="45" ht="33.75" customHeight="1">
      <c r="A45" s="69">
        <v>21.0</v>
      </c>
      <c r="B45" s="132">
        <v>45231.0</v>
      </c>
      <c r="C45" s="64" t="s">
        <v>501</v>
      </c>
      <c r="D45" s="92" t="s">
        <v>50</v>
      </c>
      <c r="E45" s="131" t="s">
        <v>502</v>
      </c>
      <c r="F45" s="133" t="s">
        <v>464</v>
      </c>
      <c r="G45" s="63" t="s">
        <v>30</v>
      </c>
      <c r="H45" s="64">
        <v>1.0</v>
      </c>
      <c r="I45" s="47">
        <f t="shared" si="9"/>
        <v>220000</v>
      </c>
      <c r="J45" s="48">
        <f t="shared" si="2"/>
        <v>220000</v>
      </c>
      <c r="K45" s="76">
        <f t="shared" ref="K45:K49" si="12">sum(J45)</f>
        <v>220000</v>
      </c>
      <c r="L45" s="89"/>
      <c r="M45" s="78">
        <f>14876</f>
        <v>14876</v>
      </c>
      <c r="N45" s="79"/>
      <c r="O45" s="80">
        <f t="shared" ref="O45:O50" si="13">K45+L45-M45-N45</f>
        <v>205124</v>
      </c>
      <c r="P45" s="81" t="s">
        <v>449</v>
      </c>
      <c r="Q45" s="81" t="s">
        <v>31</v>
      </c>
      <c r="R45" s="90"/>
      <c r="S45" s="91"/>
      <c r="T45" s="84" t="s">
        <v>33</v>
      </c>
      <c r="U45" s="419"/>
      <c r="V45" s="419"/>
      <c r="W45" s="415" t="s">
        <v>53</v>
      </c>
      <c r="X45" s="106"/>
      <c r="Y45" s="426"/>
      <c r="Z45" s="427"/>
      <c r="AA45" s="107"/>
      <c r="AB45" s="107"/>
      <c r="AC45" s="107"/>
      <c r="AD45" s="106"/>
    </row>
    <row r="46" ht="33.75" customHeight="1">
      <c r="A46" s="69">
        <v>22.0</v>
      </c>
      <c r="B46" s="132">
        <v>45233.0</v>
      </c>
      <c r="C46" s="64">
        <v>1.701210417295E12</v>
      </c>
      <c r="D46" s="133" t="s">
        <v>503</v>
      </c>
      <c r="E46" s="105" t="s">
        <v>481</v>
      </c>
      <c r="F46" s="121" t="s">
        <v>482</v>
      </c>
      <c r="G46" s="63" t="s">
        <v>75</v>
      </c>
      <c r="H46" s="64">
        <v>2.0</v>
      </c>
      <c r="I46" s="47">
        <f t="shared" si="9"/>
        <v>45000</v>
      </c>
      <c r="J46" s="48">
        <f t="shared" si="2"/>
        <v>90000</v>
      </c>
      <c r="K46" s="76">
        <f t="shared" si="12"/>
        <v>90000</v>
      </c>
      <c r="L46" s="114">
        <v>37001.0</v>
      </c>
      <c r="M46" s="78"/>
      <c r="N46" s="115">
        <v>17001.0</v>
      </c>
      <c r="O46" s="80">
        <f t="shared" si="13"/>
        <v>110000</v>
      </c>
      <c r="P46" s="81" t="s">
        <v>449</v>
      </c>
      <c r="Q46" s="81" t="s">
        <v>31</v>
      </c>
      <c r="R46" s="90"/>
      <c r="S46" s="91"/>
      <c r="T46" s="84" t="s">
        <v>33</v>
      </c>
      <c r="U46" s="419"/>
      <c r="V46" s="419"/>
      <c r="W46" s="412"/>
      <c r="X46" s="106"/>
      <c r="Y46" s="426"/>
      <c r="Z46" s="427"/>
      <c r="AA46" s="107"/>
      <c r="AB46" s="107"/>
      <c r="AC46" s="107"/>
      <c r="AD46" s="106"/>
    </row>
    <row r="47" ht="33.75" customHeight="1">
      <c r="A47" s="69">
        <v>23.0</v>
      </c>
      <c r="B47" s="132">
        <v>45233.0</v>
      </c>
      <c r="C47" s="64" t="s">
        <v>504</v>
      </c>
      <c r="D47" s="92" t="s">
        <v>50</v>
      </c>
      <c r="E47" s="131" t="s">
        <v>505</v>
      </c>
      <c r="F47" s="133" t="s">
        <v>70</v>
      </c>
      <c r="G47" s="63" t="s">
        <v>30</v>
      </c>
      <c r="H47" s="64">
        <v>2.0</v>
      </c>
      <c r="I47" s="47">
        <f t="shared" si="9"/>
        <v>220000</v>
      </c>
      <c r="J47" s="48">
        <f t="shared" si="2"/>
        <v>440000</v>
      </c>
      <c r="K47" s="76">
        <f t="shared" si="12"/>
        <v>440000</v>
      </c>
      <c r="L47" s="89"/>
      <c r="M47" s="78">
        <f>26440</f>
        <v>26440</v>
      </c>
      <c r="N47" s="79"/>
      <c r="O47" s="80">
        <f t="shared" si="13"/>
        <v>413560</v>
      </c>
      <c r="P47" s="81" t="s">
        <v>449</v>
      </c>
      <c r="Q47" s="81" t="s">
        <v>31</v>
      </c>
      <c r="R47" s="90"/>
      <c r="S47" s="91"/>
      <c r="T47" s="84" t="s">
        <v>33</v>
      </c>
      <c r="U47" s="419"/>
      <c r="V47" s="419"/>
      <c r="W47" s="415" t="s">
        <v>53</v>
      </c>
      <c r="X47" s="106"/>
      <c r="Y47" s="426"/>
      <c r="Z47" s="427"/>
      <c r="AA47" s="107"/>
      <c r="AB47" s="107"/>
      <c r="AC47" s="107"/>
      <c r="AD47" s="106"/>
    </row>
    <row r="48" ht="33.75" customHeight="1">
      <c r="A48" s="69">
        <v>24.0</v>
      </c>
      <c r="B48" s="132">
        <v>45233.0</v>
      </c>
      <c r="C48" s="64" t="s">
        <v>506</v>
      </c>
      <c r="D48" s="92" t="s">
        <v>50</v>
      </c>
      <c r="E48" s="131" t="s">
        <v>507</v>
      </c>
      <c r="F48" s="133" t="s">
        <v>193</v>
      </c>
      <c r="G48" s="63" t="s">
        <v>30</v>
      </c>
      <c r="H48" s="64">
        <v>1.0</v>
      </c>
      <c r="I48" s="47">
        <f t="shared" si="9"/>
        <v>220000</v>
      </c>
      <c r="J48" s="48">
        <f t="shared" si="2"/>
        <v>220000</v>
      </c>
      <c r="K48" s="76">
        <f t="shared" si="12"/>
        <v>220000</v>
      </c>
      <c r="L48" s="89"/>
      <c r="M48" s="78">
        <f>13876</f>
        <v>13876</v>
      </c>
      <c r="N48" s="79"/>
      <c r="O48" s="80">
        <f t="shared" si="13"/>
        <v>206124</v>
      </c>
      <c r="P48" s="81" t="s">
        <v>449</v>
      </c>
      <c r="Q48" s="81" t="s">
        <v>31</v>
      </c>
      <c r="R48" s="90"/>
      <c r="S48" s="91"/>
      <c r="T48" s="84" t="s">
        <v>33</v>
      </c>
      <c r="U48" s="419"/>
      <c r="V48" s="419"/>
      <c r="W48" s="415" t="s">
        <v>53</v>
      </c>
      <c r="X48" s="106"/>
      <c r="Y48" s="426"/>
      <c r="Z48" s="427"/>
      <c r="AA48" s="107"/>
      <c r="AB48" s="107"/>
      <c r="AC48" s="107"/>
      <c r="AD48" s="106"/>
    </row>
    <row r="49" ht="33.75" customHeight="1">
      <c r="A49" s="69">
        <v>25.0</v>
      </c>
      <c r="B49" s="132">
        <v>45233.0</v>
      </c>
      <c r="C49" s="64" t="s">
        <v>508</v>
      </c>
      <c r="D49" s="92" t="s">
        <v>50</v>
      </c>
      <c r="E49" s="131" t="s">
        <v>509</v>
      </c>
      <c r="F49" s="133" t="s">
        <v>485</v>
      </c>
      <c r="G49" s="63" t="s">
        <v>30</v>
      </c>
      <c r="H49" s="64">
        <v>1.0</v>
      </c>
      <c r="I49" s="47">
        <f t="shared" si="9"/>
        <v>220000</v>
      </c>
      <c r="J49" s="48">
        <f t="shared" si="2"/>
        <v>220000</v>
      </c>
      <c r="K49" s="76">
        <f t="shared" si="12"/>
        <v>220000</v>
      </c>
      <c r="L49" s="89"/>
      <c r="M49" s="78">
        <f>36876</f>
        <v>36876</v>
      </c>
      <c r="N49" s="79"/>
      <c r="O49" s="80">
        <f t="shared" si="13"/>
        <v>183124</v>
      </c>
      <c r="P49" s="81" t="s">
        <v>449</v>
      </c>
      <c r="Q49" s="81" t="s">
        <v>31</v>
      </c>
      <c r="R49" s="90"/>
      <c r="S49" s="91"/>
      <c r="T49" s="84" t="s">
        <v>33</v>
      </c>
      <c r="U49" s="419"/>
      <c r="V49" s="419"/>
      <c r="W49" s="415" t="s">
        <v>53</v>
      </c>
      <c r="X49" s="106"/>
      <c r="Y49" s="426"/>
      <c r="Z49" s="427"/>
      <c r="AA49" s="107"/>
      <c r="AB49" s="107"/>
      <c r="AC49" s="107"/>
      <c r="AD49" s="106"/>
    </row>
    <row r="50" ht="33.75" customHeight="1">
      <c r="A50" s="39">
        <v>26.0</v>
      </c>
      <c r="B50" s="125">
        <v>45233.0</v>
      </c>
      <c r="C50" s="39">
        <v>1.711221183383E12</v>
      </c>
      <c r="D50" s="424" t="s">
        <v>510</v>
      </c>
      <c r="E50" s="175" t="s">
        <v>511</v>
      </c>
      <c r="F50" s="424" t="s">
        <v>512</v>
      </c>
      <c r="G50" s="63" t="s">
        <v>30</v>
      </c>
      <c r="H50" s="64">
        <v>1.0</v>
      </c>
      <c r="I50" s="47">
        <f t="shared" si="9"/>
        <v>220000</v>
      </c>
      <c r="J50" s="48">
        <f t="shared" si="2"/>
        <v>220000</v>
      </c>
      <c r="K50" s="49">
        <f>SUM(J50:J52)</f>
        <v>530000</v>
      </c>
      <c r="L50" s="116">
        <v>46002.0</v>
      </c>
      <c r="M50" s="51"/>
      <c r="N50" s="117">
        <v>26002.0</v>
      </c>
      <c r="O50" s="53">
        <f t="shared" si="13"/>
        <v>550000</v>
      </c>
      <c r="P50" s="99" t="s">
        <v>449</v>
      </c>
      <c r="Q50" s="99" t="s">
        <v>31</v>
      </c>
      <c r="R50" s="118"/>
      <c r="S50" s="119"/>
      <c r="T50" s="57" t="s">
        <v>33</v>
      </c>
      <c r="U50" s="113"/>
      <c r="V50" s="113"/>
      <c r="W50" s="113"/>
      <c r="X50" s="106"/>
      <c r="Y50" s="426"/>
      <c r="Z50" s="427"/>
      <c r="AA50" s="107"/>
      <c r="AB50" s="107"/>
      <c r="AC50" s="107"/>
      <c r="AD50" s="106"/>
    </row>
    <row r="51" ht="33.75" customHeight="1">
      <c r="A51" s="62"/>
      <c r="B51" s="62"/>
      <c r="C51" s="62"/>
      <c r="D51" s="62"/>
      <c r="E51" s="62"/>
      <c r="F51" s="62"/>
      <c r="G51" s="63" t="s">
        <v>165</v>
      </c>
      <c r="H51" s="64">
        <v>1.0</v>
      </c>
      <c r="I51" s="47">
        <f t="shared" si="9"/>
        <v>220000</v>
      </c>
      <c r="J51" s="48">
        <f t="shared" si="2"/>
        <v>220000</v>
      </c>
      <c r="K51" s="62"/>
      <c r="L51" s="62"/>
      <c r="M51" s="62"/>
      <c r="N51" s="62"/>
      <c r="O51" s="62"/>
      <c r="P51" s="62"/>
      <c r="Q51" s="62"/>
      <c r="R51" s="62"/>
      <c r="S51" s="62"/>
      <c r="T51" s="62"/>
      <c r="U51" s="62"/>
      <c r="V51" s="62"/>
      <c r="W51" s="62"/>
      <c r="X51" s="106"/>
      <c r="Y51" s="426"/>
      <c r="Z51" s="427"/>
      <c r="AA51" s="107"/>
      <c r="AB51" s="107"/>
      <c r="AC51" s="107"/>
      <c r="AD51" s="106"/>
    </row>
    <row r="52" ht="33.75" customHeight="1">
      <c r="A52" s="67"/>
      <c r="B52" s="67"/>
      <c r="C52" s="67"/>
      <c r="D52" s="67"/>
      <c r="E52" s="67"/>
      <c r="F52" s="67"/>
      <c r="G52" s="72" t="s">
        <v>76</v>
      </c>
      <c r="H52" s="73">
        <v>1.0</v>
      </c>
      <c r="I52" s="74">
        <f t="shared" si="9"/>
        <v>90000</v>
      </c>
      <c r="J52" s="75">
        <f t="shared" si="2"/>
        <v>90000</v>
      </c>
      <c r="K52" s="67"/>
      <c r="L52" s="67"/>
      <c r="M52" s="67"/>
      <c r="N52" s="67"/>
      <c r="O52" s="67"/>
      <c r="P52" s="67"/>
      <c r="Q52" s="67"/>
      <c r="R52" s="67"/>
      <c r="S52" s="67"/>
      <c r="T52" s="67"/>
      <c r="U52" s="67"/>
      <c r="V52" s="67"/>
      <c r="W52" s="67"/>
      <c r="X52" s="106"/>
      <c r="Y52" s="428"/>
      <c r="Z52" s="24"/>
      <c r="AA52" s="107"/>
      <c r="AB52" s="107"/>
      <c r="AC52" s="107"/>
      <c r="AD52" s="106"/>
    </row>
    <row r="53" ht="33.75" customHeight="1">
      <c r="A53" s="111">
        <v>27.0</v>
      </c>
      <c r="B53" s="125">
        <v>45233.0</v>
      </c>
      <c r="C53" s="111">
        <v>1.732058393641E12</v>
      </c>
      <c r="D53" s="142" t="s">
        <v>513</v>
      </c>
      <c r="E53" s="143" t="s">
        <v>514</v>
      </c>
      <c r="F53" s="44" t="s">
        <v>515</v>
      </c>
      <c r="G53" s="63" t="s">
        <v>30</v>
      </c>
      <c r="H53" s="64">
        <v>6.0</v>
      </c>
      <c r="I53" s="47">
        <f t="shared" si="9"/>
        <v>220000</v>
      </c>
      <c r="J53" s="48">
        <f t="shared" si="2"/>
        <v>1320000</v>
      </c>
      <c r="K53" s="49">
        <f>SUM(J53:J55)</f>
        <v>1760000</v>
      </c>
      <c r="L53" s="144"/>
      <c r="M53" s="51"/>
      <c r="N53" s="52"/>
      <c r="O53" s="53">
        <f>K53+L53-M53-N53</f>
        <v>1760000</v>
      </c>
      <c r="P53" s="99" t="s">
        <v>449</v>
      </c>
      <c r="Q53" s="99" t="s">
        <v>31</v>
      </c>
      <c r="R53" s="145">
        <v>71004.0</v>
      </c>
      <c r="S53" s="56" t="s">
        <v>32</v>
      </c>
      <c r="T53" s="57" t="s">
        <v>33</v>
      </c>
      <c r="U53" s="147"/>
      <c r="V53" s="147"/>
      <c r="W53" s="147"/>
      <c r="X53" s="106"/>
      <c r="Y53" s="428"/>
      <c r="Z53" s="24"/>
      <c r="AA53" s="107"/>
      <c r="AB53" s="107"/>
      <c r="AC53" s="107"/>
      <c r="AD53" s="106"/>
    </row>
    <row r="54" ht="33.75" customHeight="1">
      <c r="A54" s="62"/>
      <c r="B54" s="62"/>
      <c r="C54" s="62"/>
      <c r="D54" s="62"/>
      <c r="E54" s="62"/>
      <c r="F54" s="62"/>
      <c r="G54" s="63" t="s">
        <v>516</v>
      </c>
      <c r="H54" s="64">
        <v>1.0</v>
      </c>
      <c r="I54" s="47">
        <f t="shared" si="9"/>
        <v>220000</v>
      </c>
      <c r="J54" s="48">
        <f t="shared" si="2"/>
        <v>220000</v>
      </c>
      <c r="K54" s="62"/>
      <c r="L54" s="62"/>
      <c r="M54" s="62"/>
      <c r="N54" s="62"/>
      <c r="O54" s="62"/>
      <c r="P54" s="62"/>
      <c r="Q54" s="62"/>
      <c r="R54" s="62"/>
      <c r="S54" s="62"/>
      <c r="T54" s="62"/>
      <c r="U54" s="62"/>
      <c r="V54" s="62"/>
      <c r="W54" s="62"/>
      <c r="X54" s="106"/>
      <c r="Y54" s="428"/>
      <c r="Z54" s="24"/>
      <c r="AA54" s="107"/>
      <c r="AB54" s="107"/>
      <c r="AC54" s="107"/>
      <c r="AD54" s="106"/>
    </row>
    <row r="55" ht="33.75" customHeight="1">
      <c r="A55" s="67"/>
      <c r="B55" s="67"/>
      <c r="C55" s="67"/>
      <c r="D55" s="67"/>
      <c r="E55" s="67"/>
      <c r="F55" s="67"/>
      <c r="G55" s="63" t="s">
        <v>35</v>
      </c>
      <c r="H55" s="64">
        <v>1.0</v>
      </c>
      <c r="I55" s="47">
        <f t="shared" si="9"/>
        <v>220000</v>
      </c>
      <c r="J55" s="48">
        <f t="shared" si="2"/>
        <v>220000</v>
      </c>
      <c r="K55" s="67"/>
      <c r="L55" s="67"/>
      <c r="M55" s="67"/>
      <c r="N55" s="67"/>
      <c r="O55" s="67"/>
      <c r="P55" s="67"/>
      <c r="Q55" s="67"/>
      <c r="R55" s="67"/>
      <c r="S55" s="67"/>
      <c r="T55" s="67"/>
      <c r="U55" s="67"/>
      <c r="V55" s="67"/>
      <c r="W55" s="67"/>
      <c r="X55" s="106"/>
      <c r="Y55" s="428"/>
      <c r="Z55" s="24"/>
      <c r="AA55" s="107"/>
      <c r="AB55" s="107"/>
      <c r="AC55" s="107"/>
      <c r="AD55" s="106"/>
    </row>
    <row r="56" ht="33.75" customHeight="1">
      <c r="A56" s="93">
        <v>28.0</v>
      </c>
      <c r="B56" s="120">
        <v>45234.0</v>
      </c>
      <c r="C56" s="150">
        <v>1.717686474931E12</v>
      </c>
      <c r="D56" s="92" t="s">
        <v>517</v>
      </c>
      <c r="E56" s="105" t="s">
        <v>518</v>
      </c>
      <c r="F56" s="92" t="s">
        <v>519</v>
      </c>
      <c r="G56" s="63" t="s">
        <v>30</v>
      </c>
      <c r="H56" s="64">
        <v>3.0</v>
      </c>
      <c r="I56" s="47">
        <f t="shared" si="9"/>
        <v>220000</v>
      </c>
      <c r="J56" s="48">
        <f t="shared" si="2"/>
        <v>660000</v>
      </c>
      <c r="K56" s="76">
        <f t="shared" ref="K56:K62" si="14">sum(J56)</f>
        <v>660000</v>
      </c>
      <c r="L56" s="109"/>
      <c r="M56" s="78"/>
      <c r="N56" s="79"/>
      <c r="O56" s="80">
        <f t="shared" ref="O56:O63" si="15">K56+L56-M56-N56</f>
        <v>660000</v>
      </c>
      <c r="P56" s="81" t="s">
        <v>449</v>
      </c>
      <c r="Q56" s="81" t="s">
        <v>31</v>
      </c>
      <c r="R56" s="108">
        <v>42001.0</v>
      </c>
      <c r="S56" s="83" t="s">
        <v>32</v>
      </c>
      <c r="T56" s="84" t="s">
        <v>33</v>
      </c>
      <c r="U56" s="122"/>
      <c r="V56" s="122"/>
      <c r="W56" s="122"/>
      <c r="X56" s="106"/>
      <c r="Y56" s="428"/>
      <c r="Z56" s="24"/>
      <c r="AA56" s="107"/>
      <c r="AB56" s="107"/>
      <c r="AC56" s="107"/>
      <c r="AD56" s="106"/>
    </row>
    <row r="57" ht="33.75" customHeight="1">
      <c r="A57" s="104">
        <v>29.0</v>
      </c>
      <c r="B57" s="120">
        <v>45234.0</v>
      </c>
      <c r="C57" s="93" t="s">
        <v>520</v>
      </c>
      <c r="D57" s="92" t="s">
        <v>50</v>
      </c>
      <c r="E57" s="105" t="s">
        <v>521</v>
      </c>
      <c r="F57" s="92" t="s">
        <v>522</v>
      </c>
      <c r="G57" s="63" t="s">
        <v>30</v>
      </c>
      <c r="H57" s="64">
        <v>1.0</v>
      </c>
      <c r="I57" s="47">
        <f t="shared" si="9"/>
        <v>220000</v>
      </c>
      <c r="J57" s="48">
        <f t="shared" si="2"/>
        <v>220000</v>
      </c>
      <c r="K57" s="76">
        <f t="shared" si="14"/>
        <v>220000</v>
      </c>
      <c r="L57" s="109"/>
      <c r="M57" s="78">
        <f>34076</f>
        <v>34076</v>
      </c>
      <c r="N57" s="79"/>
      <c r="O57" s="80">
        <f t="shared" si="15"/>
        <v>185924</v>
      </c>
      <c r="P57" s="81" t="s">
        <v>449</v>
      </c>
      <c r="Q57" s="81" t="s">
        <v>31</v>
      </c>
      <c r="R57" s="109"/>
      <c r="S57" s="91"/>
      <c r="T57" s="84" t="s">
        <v>33</v>
      </c>
      <c r="U57" s="122"/>
      <c r="V57" s="122"/>
      <c r="W57" s="415" t="s">
        <v>53</v>
      </c>
      <c r="X57" s="106"/>
      <c r="Y57" s="428"/>
      <c r="Z57" s="24"/>
      <c r="AA57" s="107"/>
      <c r="AB57" s="107"/>
      <c r="AC57" s="107"/>
      <c r="AD57" s="106"/>
    </row>
    <row r="58" ht="33.75" customHeight="1">
      <c r="A58" s="104">
        <v>30.0</v>
      </c>
      <c r="B58" s="120">
        <v>45236.0</v>
      </c>
      <c r="C58" s="93">
        <v>1.705823075863E12</v>
      </c>
      <c r="D58" s="92" t="s">
        <v>480</v>
      </c>
      <c r="E58" s="105" t="s">
        <v>523</v>
      </c>
      <c r="F58" s="429" t="s">
        <v>482</v>
      </c>
      <c r="G58" s="63" t="s">
        <v>75</v>
      </c>
      <c r="H58" s="64">
        <v>2.0</v>
      </c>
      <c r="I58" s="47">
        <f t="shared" si="9"/>
        <v>45000</v>
      </c>
      <c r="J58" s="48">
        <f t="shared" si="2"/>
        <v>90000</v>
      </c>
      <c r="K58" s="76">
        <f t="shared" si="14"/>
        <v>90000</v>
      </c>
      <c r="L58" s="108">
        <v>37001.0</v>
      </c>
      <c r="M58" s="157">
        <v>17001.0</v>
      </c>
      <c r="N58" s="79"/>
      <c r="O58" s="80">
        <f t="shared" si="15"/>
        <v>110000</v>
      </c>
      <c r="P58" s="81" t="s">
        <v>449</v>
      </c>
      <c r="Q58" s="81" t="s">
        <v>31</v>
      </c>
      <c r="R58" s="109"/>
      <c r="S58" s="91"/>
      <c r="T58" s="84" t="s">
        <v>33</v>
      </c>
      <c r="U58" s="122"/>
      <c r="V58" s="122"/>
      <c r="W58" s="122"/>
      <c r="X58" s="106"/>
      <c r="Y58" s="428"/>
      <c r="Z58" s="24"/>
      <c r="AA58" s="107"/>
      <c r="AB58" s="107"/>
      <c r="AC58" s="107"/>
      <c r="AD58" s="106"/>
    </row>
    <row r="59" ht="33.75" customHeight="1">
      <c r="A59" s="104">
        <v>31.0</v>
      </c>
      <c r="B59" s="120">
        <v>45236.0</v>
      </c>
      <c r="C59" s="430">
        <v>1.705607985338E12</v>
      </c>
      <c r="D59" s="92" t="s">
        <v>337</v>
      </c>
      <c r="E59" s="105" t="s">
        <v>338</v>
      </c>
      <c r="F59" s="92" t="s">
        <v>339</v>
      </c>
      <c r="G59" s="63" t="s">
        <v>35</v>
      </c>
      <c r="H59" s="64">
        <v>1.0</v>
      </c>
      <c r="I59" s="47">
        <f t="shared" si="9"/>
        <v>220000</v>
      </c>
      <c r="J59" s="48">
        <f t="shared" si="2"/>
        <v>220000</v>
      </c>
      <c r="K59" s="76">
        <f t="shared" si="14"/>
        <v>220000</v>
      </c>
      <c r="L59" s="108">
        <v>33000.0</v>
      </c>
      <c r="M59" s="157">
        <v>13000.0</v>
      </c>
      <c r="N59" s="79"/>
      <c r="O59" s="80">
        <f t="shared" si="15"/>
        <v>240000</v>
      </c>
      <c r="P59" s="81" t="s">
        <v>449</v>
      </c>
      <c r="Q59" s="81" t="s">
        <v>31</v>
      </c>
      <c r="R59" s="109"/>
      <c r="S59" s="91"/>
      <c r="T59" s="84" t="s">
        <v>33</v>
      </c>
      <c r="U59" s="122"/>
      <c r="V59" s="122"/>
      <c r="W59" s="122"/>
      <c r="X59" s="106"/>
      <c r="Y59" s="428"/>
      <c r="Z59" s="24"/>
      <c r="AA59" s="107"/>
      <c r="AB59" s="107"/>
      <c r="AC59" s="107"/>
      <c r="AD59" s="106"/>
    </row>
    <row r="60" ht="33.75" customHeight="1">
      <c r="A60" s="104">
        <v>32.0</v>
      </c>
      <c r="B60" s="431">
        <v>45236.0</v>
      </c>
      <c r="C60" s="104" t="s">
        <v>524</v>
      </c>
      <c r="D60" s="432" t="s">
        <v>118</v>
      </c>
      <c r="E60" s="65"/>
      <c r="F60" s="92" t="s">
        <v>74</v>
      </c>
      <c r="G60" s="63" t="s">
        <v>30</v>
      </c>
      <c r="H60" s="64">
        <v>1.0</v>
      </c>
      <c r="I60" s="47">
        <f t="shared" si="9"/>
        <v>220000</v>
      </c>
      <c r="J60" s="48">
        <f t="shared" si="2"/>
        <v>220000</v>
      </c>
      <c r="K60" s="76">
        <f t="shared" si="14"/>
        <v>220000</v>
      </c>
      <c r="L60" s="109"/>
      <c r="M60" s="78">
        <f>16420+450-900</f>
        <v>15970</v>
      </c>
      <c r="N60" s="79"/>
      <c r="O60" s="80">
        <f t="shared" si="15"/>
        <v>204030</v>
      </c>
      <c r="P60" s="81" t="s">
        <v>449</v>
      </c>
      <c r="Q60" s="81" t="s">
        <v>31</v>
      </c>
      <c r="R60" s="109"/>
      <c r="S60" s="91"/>
      <c r="T60" s="84" t="s">
        <v>33</v>
      </c>
      <c r="U60" s="122"/>
      <c r="V60" s="122"/>
      <c r="W60" s="92" t="s">
        <v>525</v>
      </c>
      <c r="X60" s="106"/>
      <c r="Y60" s="428"/>
      <c r="Z60" s="24"/>
      <c r="AA60" s="107"/>
      <c r="AB60" s="107"/>
      <c r="AC60" s="107"/>
      <c r="AD60" s="106"/>
    </row>
    <row r="61" ht="33.75" customHeight="1">
      <c r="A61" s="104">
        <v>33.0</v>
      </c>
      <c r="B61" s="120">
        <v>45236.0</v>
      </c>
      <c r="C61" s="93" t="s">
        <v>526</v>
      </c>
      <c r="D61" s="92" t="s">
        <v>50</v>
      </c>
      <c r="E61" s="105" t="s">
        <v>527</v>
      </c>
      <c r="F61" s="92" t="s">
        <v>528</v>
      </c>
      <c r="G61" s="63" t="s">
        <v>30</v>
      </c>
      <c r="H61" s="64">
        <v>1.0</v>
      </c>
      <c r="I61" s="47">
        <f t="shared" si="9"/>
        <v>220000</v>
      </c>
      <c r="J61" s="48">
        <f t="shared" si="2"/>
        <v>220000</v>
      </c>
      <c r="K61" s="76">
        <f t="shared" si="14"/>
        <v>220000</v>
      </c>
      <c r="L61" s="109"/>
      <c r="M61" s="78">
        <f t="shared" ref="M61:M62" si="16">14076</f>
        <v>14076</v>
      </c>
      <c r="N61" s="79"/>
      <c r="O61" s="80">
        <f t="shared" si="15"/>
        <v>205924</v>
      </c>
      <c r="P61" s="81" t="s">
        <v>449</v>
      </c>
      <c r="Q61" s="81" t="s">
        <v>31</v>
      </c>
      <c r="R61" s="109"/>
      <c r="S61" s="91"/>
      <c r="T61" s="84" t="s">
        <v>33</v>
      </c>
      <c r="U61" s="122"/>
      <c r="V61" s="122"/>
      <c r="W61" s="415" t="s">
        <v>53</v>
      </c>
      <c r="X61" s="106"/>
      <c r="Y61" s="428"/>
      <c r="Z61" s="24"/>
      <c r="AA61" s="107"/>
      <c r="AB61" s="107"/>
      <c r="AC61" s="107"/>
      <c r="AD61" s="106"/>
    </row>
    <row r="62" ht="33.75" customHeight="1">
      <c r="A62" s="104">
        <v>34.0</v>
      </c>
      <c r="B62" s="120">
        <v>45236.0</v>
      </c>
      <c r="C62" s="93" t="s">
        <v>529</v>
      </c>
      <c r="D62" s="92" t="s">
        <v>50</v>
      </c>
      <c r="E62" s="105" t="s">
        <v>530</v>
      </c>
      <c r="F62" s="92" t="s">
        <v>464</v>
      </c>
      <c r="G62" s="63" t="s">
        <v>30</v>
      </c>
      <c r="H62" s="64">
        <v>1.0</v>
      </c>
      <c r="I62" s="47">
        <f t="shared" si="9"/>
        <v>220000</v>
      </c>
      <c r="J62" s="48">
        <f t="shared" si="2"/>
        <v>220000</v>
      </c>
      <c r="K62" s="76">
        <f t="shared" si="14"/>
        <v>220000</v>
      </c>
      <c r="L62" s="109"/>
      <c r="M62" s="78">
        <f t="shared" si="16"/>
        <v>14076</v>
      </c>
      <c r="N62" s="79"/>
      <c r="O62" s="80">
        <f t="shared" si="15"/>
        <v>205924</v>
      </c>
      <c r="P62" s="81" t="s">
        <v>449</v>
      </c>
      <c r="Q62" s="81" t="s">
        <v>31</v>
      </c>
      <c r="R62" s="109"/>
      <c r="S62" s="91"/>
      <c r="T62" s="84" t="s">
        <v>33</v>
      </c>
      <c r="U62" s="122"/>
      <c r="V62" s="122"/>
      <c r="W62" s="415" t="s">
        <v>53</v>
      </c>
      <c r="X62" s="106"/>
      <c r="Y62" s="428"/>
      <c r="Z62" s="24"/>
      <c r="AA62" s="107"/>
      <c r="AB62" s="107"/>
      <c r="AC62" s="107"/>
      <c r="AD62" s="106"/>
    </row>
    <row r="63" ht="33.75" customHeight="1">
      <c r="A63" s="152">
        <v>35.0</v>
      </c>
      <c r="B63" s="40">
        <v>45237.0</v>
      </c>
      <c r="C63" s="111">
        <v>1.703754214908E12</v>
      </c>
      <c r="D63" s="148" t="s">
        <v>440</v>
      </c>
      <c r="E63" s="143" t="s">
        <v>531</v>
      </c>
      <c r="F63" s="148" t="s">
        <v>442</v>
      </c>
      <c r="G63" s="63" t="s">
        <v>30</v>
      </c>
      <c r="H63" s="64">
        <v>15.0</v>
      </c>
      <c r="I63" s="47">
        <f t="shared" si="9"/>
        <v>220000</v>
      </c>
      <c r="J63" s="48">
        <f t="shared" si="2"/>
        <v>3300000</v>
      </c>
      <c r="K63" s="49">
        <f>SUM(J63:J64)</f>
        <v>4500000</v>
      </c>
      <c r="L63" s="144"/>
      <c r="M63" s="51"/>
      <c r="N63" s="52"/>
      <c r="O63" s="53">
        <f t="shared" si="15"/>
        <v>4500000</v>
      </c>
      <c r="P63" s="99" t="s">
        <v>449</v>
      </c>
      <c r="Q63" s="99" t="s">
        <v>31</v>
      </c>
      <c r="R63" s="145">
        <v>249334.0</v>
      </c>
      <c r="S63" s="56" t="s">
        <v>32</v>
      </c>
      <c r="T63" s="57" t="s">
        <v>33</v>
      </c>
      <c r="U63" s="147"/>
      <c r="V63" s="147"/>
      <c r="W63" s="44"/>
      <c r="X63" s="106"/>
      <c r="Y63" s="428"/>
      <c r="Z63" s="24"/>
      <c r="AA63" s="107"/>
      <c r="AB63" s="107"/>
      <c r="AC63" s="107"/>
      <c r="AD63" s="106"/>
    </row>
    <row r="64" ht="33.75" customHeight="1">
      <c r="A64" s="62"/>
      <c r="B64" s="62"/>
      <c r="C64" s="62"/>
      <c r="D64" s="62"/>
      <c r="E64" s="62"/>
      <c r="F64" s="62"/>
      <c r="G64" s="63" t="s">
        <v>383</v>
      </c>
      <c r="H64" s="64">
        <v>15.0</v>
      </c>
      <c r="I64" s="47">
        <f t="shared" si="9"/>
        <v>80000</v>
      </c>
      <c r="J64" s="48">
        <f t="shared" si="2"/>
        <v>1200000</v>
      </c>
      <c r="K64" s="67"/>
      <c r="L64" s="67"/>
      <c r="M64" s="67"/>
      <c r="N64" s="62"/>
      <c r="O64" s="62"/>
      <c r="P64" s="62"/>
      <c r="Q64" s="62"/>
      <c r="R64" s="62"/>
      <c r="S64" s="62"/>
      <c r="T64" s="62"/>
      <c r="U64" s="62"/>
      <c r="V64" s="62"/>
      <c r="W64" s="67"/>
      <c r="Y64" s="428"/>
      <c r="Z64" s="24"/>
      <c r="AA64" s="107"/>
      <c r="AB64" s="107"/>
      <c r="AC64" s="107"/>
      <c r="AD64" s="106"/>
    </row>
    <row r="65" ht="33.75" customHeight="1">
      <c r="A65" s="67"/>
      <c r="B65" s="67"/>
      <c r="C65" s="67"/>
      <c r="D65" s="67"/>
      <c r="E65" s="67"/>
      <c r="F65" s="67"/>
      <c r="G65" s="63" t="s">
        <v>30</v>
      </c>
      <c r="H65" s="64">
        <v>5.0</v>
      </c>
      <c r="I65" s="47"/>
      <c r="J65" s="48"/>
      <c r="K65" s="76"/>
      <c r="L65" s="109"/>
      <c r="M65" s="78"/>
      <c r="N65" s="67"/>
      <c r="O65" s="67"/>
      <c r="P65" s="67"/>
      <c r="Q65" s="67"/>
      <c r="R65" s="67"/>
      <c r="S65" s="67"/>
      <c r="T65" s="67"/>
      <c r="U65" s="67"/>
      <c r="V65" s="67"/>
      <c r="W65" s="121" t="s">
        <v>532</v>
      </c>
      <c r="X65" s="106"/>
      <c r="Y65" s="428"/>
      <c r="Z65" s="24"/>
      <c r="AA65" s="107"/>
      <c r="AB65" s="107"/>
      <c r="AC65" s="107"/>
      <c r="AD65" s="106"/>
    </row>
    <row r="66" ht="33.75" customHeight="1">
      <c r="A66" s="152">
        <v>36.0</v>
      </c>
      <c r="B66" s="40">
        <v>45237.0</v>
      </c>
      <c r="C66" s="111">
        <v>1.703852415659E12</v>
      </c>
      <c r="D66" s="148" t="s">
        <v>533</v>
      </c>
      <c r="E66" s="143" t="s">
        <v>534</v>
      </c>
      <c r="F66" s="142" t="s">
        <v>535</v>
      </c>
      <c r="G66" s="63" t="s">
        <v>30</v>
      </c>
      <c r="H66" s="64">
        <v>2.0</v>
      </c>
      <c r="I66" s="47">
        <f t="shared" ref="I66:I89" si="17">VLOOKUP(G66,$Y$4:$Z$155,2,0)</f>
        <v>220000</v>
      </c>
      <c r="J66" s="48">
        <f t="shared" ref="J66:J141" si="18">I66*H66</f>
        <v>440000</v>
      </c>
      <c r="K66" s="49">
        <f>SUM(J66:J67)</f>
        <v>600000</v>
      </c>
      <c r="L66" s="145">
        <v>46002.0</v>
      </c>
      <c r="M66" s="433">
        <v>16002.0</v>
      </c>
      <c r="N66" s="52"/>
      <c r="O66" s="53">
        <f>K66+L66-M66-N66</f>
        <v>630000</v>
      </c>
      <c r="P66" s="99" t="s">
        <v>449</v>
      </c>
      <c r="Q66" s="99" t="s">
        <v>31</v>
      </c>
      <c r="R66" s="145"/>
      <c r="S66" s="119"/>
      <c r="T66" s="57" t="s">
        <v>33</v>
      </c>
      <c r="U66" s="147"/>
      <c r="V66" s="147"/>
      <c r="W66" s="147"/>
      <c r="X66" s="106"/>
      <c r="Y66" s="428"/>
      <c r="Z66" s="24"/>
      <c r="AA66" s="107"/>
      <c r="AB66" s="107"/>
      <c r="AC66" s="107"/>
      <c r="AD66" s="106"/>
    </row>
    <row r="67" ht="33.75" customHeight="1">
      <c r="A67" s="67"/>
      <c r="B67" s="67"/>
      <c r="C67" s="67"/>
      <c r="D67" s="67"/>
      <c r="E67" s="67"/>
      <c r="F67" s="67"/>
      <c r="G67" s="63" t="s">
        <v>383</v>
      </c>
      <c r="H67" s="64">
        <v>2.0</v>
      </c>
      <c r="I67" s="47">
        <f t="shared" si="17"/>
        <v>80000</v>
      </c>
      <c r="J67" s="48">
        <f t="shared" si="18"/>
        <v>160000</v>
      </c>
      <c r="K67" s="67"/>
      <c r="L67" s="67"/>
      <c r="M67" s="67"/>
      <c r="N67" s="67"/>
      <c r="O67" s="67"/>
      <c r="P67" s="67"/>
      <c r="Q67" s="67"/>
      <c r="R67" s="67"/>
      <c r="S67" s="67"/>
      <c r="T67" s="67"/>
      <c r="U67" s="67"/>
      <c r="V67" s="67"/>
      <c r="W67" s="67"/>
      <c r="X67" s="106"/>
      <c r="Y67" s="428"/>
      <c r="Z67" s="24"/>
      <c r="AA67" s="107"/>
      <c r="AB67" s="107"/>
      <c r="AC67" s="107"/>
      <c r="AD67" s="106"/>
    </row>
    <row r="68" ht="33.75" customHeight="1">
      <c r="A68" s="104">
        <v>37.0</v>
      </c>
      <c r="B68" s="120">
        <v>45237.0</v>
      </c>
      <c r="C68" s="93">
        <v>1.708459504512E12</v>
      </c>
      <c r="D68" s="92" t="s">
        <v>536</v>
      </c>
      <c r="E68" s="105" t="s">
        <v>537</v>
      </c>
      <c r="F68" s="92" t="s">
        <v>538</v>
      </c>
      <c r="G68" s="63" t="s">
        <v>30</v>
      </c>
      <c r="H68" s="64">
        <v>3.0</v>
      </c>
      <c r="I68" s="47">
        <f t="shared" si="17"/>
        <v>220000</v>
      </c>
      <c r="J68" s="48">
        <f t="shared" si="18"/>
        <v>660000</v>
      </c>
      <c r="K68" s="76">
        <f>SUM(J68)</f>
        <v>660000</v>
      </c>
      <c r="L68" s="109"/>
      <c r="M68" s="78"/>
      <c r="N68" s="79"/>
      <c r="O68" s="80">
        <f t="shared" ref="O68:O70" si="19">K68+L68-M68-N68</f>
        <v>660000</v>
      </c>
      <c r="P68" s="81" t="s">
        <v>449</v>
      </c>
      <c r="Q68" s="81" t="s">
        <v>31</v>
      </c>
      <c r="R68" s="108">
        <v>49002.0</v>
      </c>
      <c r="S68" s="83" t="s">
        <v>32</v>
      </c>
      <c r="T68" s="84" t="s">
        <v>33</v>
      </c>
      <c r="U68" s="122"/>
      <c r="V68" s="122"/>
      <c r="W68" s="415"/>
      <c r="X68" s="106"/>
      <c r="Y68" s="428"/>
      <c r="Z68" s="24"/>
      <c r="AA68" s="107"/>
      <c r="AB68" s="107"/>
      <c r="AC68" s="107"/>
      <c r="AD68" s="106"/>
    </row>
    <row r="69" ht="33.75" customHeight="1">
      <c r="A69" s="104">
        <v>38.0</v>
      </c>
      <c r="B69" s="120">
        <v>45237.0</v>
      </c>
      <c r="C69" s="93" t="s">
        <v>539</v>
      </c>
      <c r="D69" s="92" t="s">
        <v>50</v>
      </c>
      <c r="E69" s="105" t="s">
        <v>540</v>
      </c>
      <c r="F69" s="92" t="s">
        <v>70</v>
      </c>
      <c r="G69" s="63" t="s">
        <v>30</v>
      </c>
      <c r="H69" s="64">
        <v>1.0</v>
      </c>
      <c r="I69" s="47">
        <f t="shared" si="17"/>
        <v>220000</v>
      </c>
      <c r="J69" s="48">
        <f t="shared" si="18"/>
        <v>220000</v>
      </c>
      <c r="K69" s="76">
        <f>sum(J69)</f>
        <v>220000</v>
      </c>
      <c r="L69" s="109"/>
      <c r="M69" s="78">
        <f>14076</f>
        <v>14076</v>
      </c>
      <c r="N69" s="79"/>
      <c r="O69" s="80">
        <f t="shared" si="19"/>
        <v>205924</v>
      </c>
      <c r="P69" s="81" t="s">
        <v>449</v>
      </c>
      <c r="Q69" s="81" t="s">
        <v>31</v>
      </c>
      <c r="R69" s="109"/>
      <c r="S69" s="91"/>
      <c r="T69" s="84" t="s">
        <v>33</v>
      </c>
      <c r="U69" s="122"/>
      <c r="V69" s="122"/>
      <c r="W69" s="415" t="s">
        <v>53</v>
      </c>
      <c r="X69" s="106"/>
      <c r="Y69" s="428"/>
      <c r="Z69" s="24"/>
      <c r="AA69" s="107"/>
      <c r="AB69" s="107"/>
      <c r="AC69" s="107"/>
      <c r="AD69" s="106"/>
    </row>
    <row r="70" ht="33.75" customHeight="1">
      <c r="A70" s="152">
        <v>39.0</v>
      </c>
      <c r="B70" s="40">
        <v>45237.0</v>
      </c>
      <c r="C70" s="111" t="s">
        <v>541</v>
      </c>
      <c r="D70" s="142" t="s">
        <v>50</v>
      </c>
      <c r="E70" s="143" t="s">
        <v>542</v>
      </c>
      <c r="F70" s="142" t="s">
        <v>119</v>
      </c>
      <c r="G70" s="63" t="s">
        <v>30</v>
      </c>
      <c r="H70" s="64">
        <v>1.0</v>
      </c>
      <c r="I70" s="47">
        <f t="shared" si="17"/>
        <v>220000</v>
      </c>
      <c r="J70" s="48">
        <f t="shared" si="18"/>
        <v>220000</v>
      </c>
      <c r="K70" s="49">
        <f>SUM(J70:J71)</f>
        <v>440000</v>
      </c>
      <c r="L70" s="146"/>
      <c r="M70" s="51">
        <f>26440</f>
        <v>26440</v>
      </c>
      <c r="N70" s="52"/>
      <c r="O70" s="53">
        <f t="shared" si="19"/>
        <v>413560</v>
      </c>
      <c r="P70" s="99" t="s">
        <v>449</v>
      </c>
      <c r="Q70" s="99" t="s">
        <v>31</v>
      </c>
      <c r="R70" s="144"/>
      <c r="S70" s="119"/>
      <c r="T70" s="57" t="s">
        <v>33</v>
      </c>
      <c r="U70" s="147"/>
      <c r="V70" s="147"/>
      <c r="W70" s="425" t="s">
        <v>53</v>
      </c>
      <c r="X70" s="106"/>
      <c r="Y70" s="428"/>
      <c r="Z70" s="24"/>
      <c r="AA70" s="107"/>
      <c r="AB70" s="107"/>
      <c r="AC70" s="107"/>
      <c r="AD70" s="106"/>
    </row>
    <row r="71" ht="33.75" customHeight="1">
      <c r="A71" s="67"/>
      <c r="B71" s="67"/>
      <c r="C71" s="67"/>
      <c r="D71" s="67"/>
      <c r="E71" s="67"/>
      <c r="F71" s="67"/>
      <c r="G71" s="63" t="s">
        <v>35</v>
      </c>
      <c r="H71" s="64">
        <v>1.0</v>
      </c>
      <c r="I71" s="47">
        <f t="shared" si="17"/>
        <v>220000</v>
      </c>
      <c r="J71" s="48">
        <f t="shared" si="18"/>
        <v>220000</v>
      </c>
      <c r="K71" s="67"/>
      <c r="L71" s="67"/>
      <c r="M71" s="67"/>
      <c r="N71" s="67"/>
      <c r="O71" s="67"/>
      <c r="P71" s="67"/>
      <c r="Q71" s="67"/>
      <c r="R71" s="67"/>
      <c r="S71" s="67"/>
      <c r="T71" s="67"/>
      <c r="U71" s="67"/>
      <c r="V71" s="67"/>
      <c r="W71" s="67"/>
      <c r="X71" s="106"/>
      <c r="Y71" s="428"/>
      <c r="Z71" s="24"/>
      <c r="AA71" s="107"/>
      <c r="AB71" s="107"/>
      <c r="AC71" s="107"/>
      <c r="AD71" s="106"/>
    </row>
    <row r="72" ht="33.75" customHeight="1">
      <c r="A72" s="104">
        <v>40.0</v>
      </c>
      <c r="B72" s="120">
        <v>45237.0</v>
      </c>
      <c r="C72" s="93" t="s">
        <v>543</v>
      </c>
      <c r="D72" s="92" t="s">
        <v>50</v>
      </c>
      <c r="E72" s="105" t="s">
        <v>544</v>
      </c>
      <c r="F72" s="92" t="s">
        <v>545</v>
      </c>
      <c r="G72" s="63" t="s">
        <v>30</v>
      </c>
      <c r="H72" s="64">
        <v>1.0</v>
      </c>
      <c r="I72" s="47">
        <f t="shared" si="17"/>
        <v>220000</v>
      </c>
      <c r="J72" s="48">
        <f t="shared" si="18"/>
        <v>220000</v>
      </c>
      <c r="K72" s="76">
        <f t="shared" ref="K72:K73" si="20">sum(J72)</f>
        <v>220000</v>
      </c>
      <c r="L72" s="65"/>
      <c r="M72" s="78">
        <f>10800</f>
        <v>10800</v>
      </c>
      <c r="N72" s="79"/>
      <c r="O72" s="80">
        <f t="shared" ref="O72:O74" si="21">K72+L72-M72-N72</f>
        <v>209200</v>
      </c>
      <c r="P72" s="81" t="s">
        <v>449</v>
      </c>
      <c r="Q72" s="81" t="s">
        <v>31</v>
      </c>
      <c r="R72" s="65"/>
      <c r="S72" s="91"/>
      <c r="T72" s="84" t="s">
        <v>33</v>
      </c>
      <c r="U72" s="122"/>
      <c r="V72" s="122"/>
      <c r="W72" s="415" t="s">
        <v>53</v>
      </c>
      <c r="X72" s="106"/>
      <c r="Y72" s="428"/>
      <c r="Z72" s="24"/>
      <c r="AA72" s="107"/>
      <c r="AB72" s="107"/>
      <c r="AC72" s="107"/>
      <c r="AD72" s="106"/>
    </row>
    <row r="73" ht="33.75" customHeight="1">
      <c r="A73" s="104">
        <v>41.0</v>
      </c>
      <c r="B73" s="120">
        <v>45237.0</v>
      </c>
      <c r="C73" s="93" t="s">
        <v>546</v>
      </c>
      <c r="D73" s="92" t="s">
        <v>50</v>
      </c>
      <c r="E73" s="110" t="s">
        <v>547</v>
      </c>
      <c r="F73" s="122" t="s">
        <v>548</v>
      </c>
      <c r="G73" s="63" t="s">
        <v>30</v>
      </c>
      <c r="H73" s="64">
        <v>5.0</v>
      </c>
      <c r="I73" s="47">
        <f t="shared" si="17"/>
        <v>220000</v>
      </c>
      <c r="J73" s="48">
        <f t="shared" si="18"/>
        <v>1100000</v>
      </c>
      <c r="K73" s="76">
        <f t="shared" si="20"/>
        <v>1100000</v>
      </c>
      <c r="L73" s="65"/>
      <c r="M73" s="78">
        <f>67828</f>
        <v>67828</v>
      </c>
      <c r="N73" s="79"/>
      <c r="O73" s="80">
        <f t="shared" si="21"/>
        <v>1032172</v>
      </c>
      <c r="P73" s="81" t="s">
        <v>449</v>
      </c>
      <c r="Q73" s="81" t="s">
        <v>31</v>
      </c>
      <c r="R73" s="65"/>
      <c r="S73" s="91"/>
      <c r="T73" s="84" t="s">
        <v>33</v>
      </c>
      <c r="U73" s="122"/>
      <c r="V73" s="122"/>
      <c r="W73" s="415" t="s">
        <v>53</v>
      </c>
      <c r="X73" s="106"/>
      <c r="Y73" s="428"/>
      <c r="Z73" s="24"/>
      <c r="AA73" s="107"/>
      <c r="AB73" s="107"/>
      <c r="AC73" s="107"/>
      <c r="AD73" s="106"/>
    </row>
    <row r="74" ht="33.75" customHeight="1">
      <c r="A74" s="111">
        <v>42.0</v>
      </c>
      <c r="B74" s="40">
        <v>45237.0</v>
      </c>
      <c r="C74" s="111">
        <v>1.721595629262E12</v>
      </c>
      <c r="D74" s="148" t="s">
        <v>247</v>
      </c>
      <c r="E74" s="143" t="s">
        <v>248</v>
      </c>
      <c r="F74" s="44" t="s">
        <v>549</v>
      </c>
      <c r="G74" s="63" t="s">
        <v>35</v>
      </c>
      <c r="H74" s="64">
        <v>2.0</v>
      </c>
      <c r="I74" s="47">
        <f t="shared" si="17"/>
        <v>220000</v>
      </c>
      <c r="J74" s="48">
        <f t="shared" si="18"/>
        <v>440000</v>
      </c>
      <c r="K74" s="49">
        <f>SUM(J74:J75)</f>
        <v>1320000</v>
      </c>
      <c r="L74" s="146"/>
      <c r="M74" s="51"/>
      <c r="N74" s="52"/>
      <c r="O74" s="53">
        <f t="shared" si="21"/>
        <v>1320000</v>
      </c>
      <c r="P74" s="99" t="s">
        <v>449</v>
      </c>
      <c r="Q74" s="99" t="s">
        <v>31</v>
      </c>
      <c r="R74" s="145">
        <v>61003.0</v>
      </c>
      <c r="S74" s="56" t="s">
        <v>32</v>
      </c>
      <c r="T74" s="57" t="s">
        <v>33</v>
      </c>
      <c r="U74" s="147"/>
      <c r="V74" s="147"/>
      <c r="W74" s="147"/>
      <c r="X74" s="106"/>
      <c r="Y74" s="428"/>
      <c r="Z74" s="24"/>
      <c r="AA74" s="107"/>
      <c r="AB74" s="107"/>
      <c r="AC74" s="107"/>
      <c r="AD74" s="106"/>
    </row>
    <row r="75" ht="33.75" customHeight="1">
      <c r="A75" s="67"/>
      <c r="B75" s="67"/>
      <c r="C75" s="67"/>
      <c r="D75" s="67"/>
      <c r="E75" s="67"/>
      <c r="F75" s="67"/>
      <c r="G75" s="63" t="s">
        <v>30</v>
      </c>
      <c r="H75" s="64">
        <v>4.0</v>
      </c>
      <c r="I75" s="47">
        <f t="shared" si="17"/>
        <v>220000</v>
      </c>
      <c r="J75" s="48">
        <f t="shared" si="18"/>
        <v>880000</v>
      </c>
      <c r="K75" s="67"/>
      <c r="L75" s="67"/>
      <c r="M75" s="67"/>
      <c r="N75" s="67"/>
      <c r="O75" s="67"/>
      <c r="P75" s="67"/>
      <c r="Q75" s="67"/>
      <c r="R75" s="67"/>
      <c r="S75" s="67"/>
      <c r="T75" s="67"/>
      <c r="U75" s="67"/>
      <c r="V75" s="67"/>
      <c r="W75" s="67"/>
      <c r="X75" s="106"/>
      <c r="Y75" s="428"/>
      <c r="Z75" s="24"/>
      <c r="AA75" s="107"/>
      <c r="AB75" s="107"/>
      <c r="AC75" s="107"/>
      <c r="AD75" s="106"/>
    </row>
    <row r="76" ht="33.75" customHeight="1">
      <c r="A76" s="111">
        <v>43.0</v>
      </c>
      <c r="B76" s="40">
        <v>45238.0</v>
      </c>
      <c r="C76" s="111">
        <v>1.722285633686E12</v>
      </c>
      <c r="D76" s="148" t="s">
        <v>550</v>
      </c>
      <c r="E76" s="143" t="s">
        <v>551</v>
      </c>
      <c r="F76" s="142" t="s">
        <v>552</v>
      </c>
      <c r="G76" s="63" t="s">
        <v>30</v>
      </c>
      <c r="H76" s="64">
        <v>10.0</v>
      </c>
      <c r="I76" s="47">
        <f t="shared" si="17"/>
        <v>220000</v>
      </c>
      <c r="J76" s="48">
        <f t="shared" si="18"/>
        <v>2200000</v>
      </c>
      <c r="K76" s="49">
        <f>sum(J76:J82)</f>
        <v>6175000</v>
      </c>
      <c r="L76" s="146"/>
      <c r="M76" s="51"/>
      <c r="N76" s="52"/>
      <c r="O76" s="53">
        <f>K76+L76-M76-N76</f>
        <v>6175000</v>
      </c>
      <c r="P76" s="99" t="s">
        <v>449</v>
      </c>
      <c r="Q76" s="99" t="s">
        <v>31</v>
      </c>
      <c r="R76" s="145">
        <v>213661.0</v>
      </c>
      <c r="S76" s="56" t="s">
        <v>32</v>
      </c>
      <c r="T76" s="57" t="s">
        <v>33</v>
      </c>
      <c r="U76" s="147"/>
      <c r="V76" s="147"/>
      <c r="W76" s="147"/>
      <c r="X76" s="106"/>
      <c r="Y76" s="428"/>
      <c r="Z76" s="24"/>
      <c r="AA76" s="107"/>
      <c r="AB76" s="107"/>
      <c r="AC76" s="107"/>
      <c r="AD76" s="106"/>
    </row>
    <row r="77" ht="33.75" customHeight="1">
      <c r="A77" s="62"/>
      <c r="B77" s="62"/>
      <c r="C77" s="62"/>
      <c r="D77" s="62"/>
      <c r="E77" s="62"/>
      <c r="F77" s="62"/>
      <c r="G77" s="63" t="s">
        <v>58</v>
      </c>
      <c r="H77" s="64">
        <v>10.0</v>
      </c>
      <c r="I77" s="47">
        <f t="shared" si="17"/>
        <v>220000</v>
      </c>
      <c r="J77" s="48">
        <f t="shared" si="18"/>
        <v>2200000</v>
      </c>
      <c r="K77" s="62"/>
      <c r="L77" s="62"/>
      <c r="M77" s="62"/>
      <c r="N77" s="62"/>
      <c r="O77" s="62"/>
      <c r="P77" s="62"/>
      <c r="Q77" s="62"/>
      <c r="R77" s="62"/>
      <c r="S77" s="62"/>
      <c r="T77" s="62"/>
      <c r="U77" s="62"/>
      <c r="V77" s="62"/>
      <c r="W77" s="62"/>
      <c r="X77" s="106"/>
      <c r="Y77" s="428"/>
      <c r="Z77" s="24"/>
      <c r="AA77" s="107"/>
      <c r="AB77" s="107"/>
      <c r="AC77" s="107"/>
      <c r="AD77" s="106"/>
    </row>
    <row r="78" ht="33.75" customHeight="1">
      <c r="A78" s="62"/>
      <c r="B78" s="62"/>
      <c r="C78" s="62"/>
      <c r="D78" s="62"/>
      <c r="E78" s="62"/>
      <c r="F78" s="62"/>
      <c r="G78" s="72" t="s">
        <v>479</v>
      </c>
      <c r="H78" s="73">
        <v>10.0</v>
      </c>
      <c r="I78" s="74">
        <f t="shared" si="17"/>
        <v>40000</v>
      </c>
      <c r="J78" s="75">
        <f t="shared" si="18"/>
        <v>400000</v>
      </c>
      <c r="K78" s="62"/>
      <c r="L78" s="62"/>
      <c r="M78" s="62"/>
      <c r="N78" s="62"/>
      <c r="O78" s="62"/>
      <c r="P78" s="62"/>
      <c r="Q78" s="62"/>
      <c r="R78" s="62"/>
      <c r="S78" s="62"/>
      <c r="T78" s="62"/>
      <c r="U78" s="62"/>
      <c r="V78" s="62"/>
      <c r="W78" s="62"/>
      <c r="X78" s="106"/>
      <c r="Y78" s="428"/>
      <c r="Z78" s="24"/>
      <c r="AA78" s="107"/>
      <c r="AB78" s="107"/>
      <c r="AC78" s="107"/>
      <c r="AD78" s="106"/>
    </row>
    <row r="79" ht="33.75" customHeight="1">
      <c r="A79" s="62"/>
      <c r="B79" s="62"/>
      <c r="C79" s="62"/>
      <c r="D79" s="62"/>
      <c r="E79" s="62"/>
      <c r="F79" s="62"/>
      <c r="G79" s="72" t="s">
        <v>478</v>
      </c>
      <c r="H79" s="73">
        <v>5.0</v>
      </c>
      <c r="I79" s="74">
        <f t="shared" si="17"/>
        <v>65000</v>
      </c>
      <c r="J79" s="75">
        <f t="shared" si="18"/>
        <v>325000</v>
      </c>
      <c r="K79" s="62"/>
      <c r="L79" s="62"/>
      <c r="M79" s="62"/>
      <c r="N79" s="62"/>
      <c r="O79" s="62"/>
      <c r="P79" s="62"/>
      <c r="Q79" s="62"/>
      <c r="R79" s="62"/>
      <c r="S79" s="62"/>
      <c r="T79" s="62"/>
      <c r="U79" s="62"/>
      <c r="V79" s="62"/>
      <c r="W79" s="62"/>
      <c r="X79" s="106"/>
      <c r="Y79" s="428"/>
      <c r="Z79" s="24"/>
      <c r="AA79" s="107"/>
      <c r="AB79" s="107"/>
      <c r="AC79" s="107"/>
      <c r="AD79" s="106"/>
    </row>
    <row r="80" ht="33.75" customHeight="1">
      <c r="A80" s="62"/>
      <c r="B80" s="62"/>
      <c r="C80" s="62"/>
      <c r="D80" s="62"/>
      <c r="E80" s="62"/>
      <c r="F80" s="62"/>
      <c r="G80" s="72" t="s">
        <v>477</v>
      </c>
      <c r="H80" s="73">
        <v>5.0</v>
      </c>
      <c r="I80" s="74">
        <f t="shared" si="17"/>
        <v>65000</v>
      </c>
      <c r="J80" s="75">
        <f t="shared" si="18"/>
        <v>325000</v>
      </c>
      <c r="K80" s="62"/>
      <c r="L80" s="62"/>
      <c r="M80" s="62"/>
      <c r="N80" s="62"/>
      <c r="O80" s="62"/>
      <c r="P80" s="62"/>
      <c r="Q80" s="62"/>
      <c r="R80" s="62"/>
      <c r="S80" s="62"/>
      <c r="T80" s="62"/>
      <c r="U80" s="62"/>
      <c r="V80" s="62"/>
      <c r="W80" s="62"/>
      <c r="X80" s="106"/>
      <c r="Y80" s="428"/>
      <c r="Z80" s="24"/>
      <c r="AA80" s="107"/>
      <c r="AB80" s="107"/>
      <c r="AC80" s="107"/>
      <c r="AD80" s="106"/>
    </row>
    <row r="81" ht="33.75" customHeight="1">
      <c r="A81" s="62"/>
      <c r="B81" s="62"/>
      <c r="C81" s="62"/>
      <c r="D81" s="62"/>
      <c r="E81" s="62"/>
      <c r="F81" s="62"/>
      <c r="G81" s="72" t="s">
        <v>476</v>
      </c>
      <c r="H81" s="73">
        <v>5.0</v>
      </c>
      <c r="I81" s="74">
        <f t="shared" si="17"/>
        <v>55000</v>
      </c>
      <c r="J81" s="75">
        <f t="shared" si="18"/>
        <v>275000</v>
      </c>
      <c r="K81" s="62"/>
      <c r="L81" s="62"/>
      <c r="M81" s="62"/>
      <c r="N81" s="62"/>
      <c r="O81" s="62"/>
      <c r="P81" s="62"/>
      <c r="Q81" s="62"/>
      <c r="R81" s="62"/>
      <c r="S81" s="62"/>
      <c r="T81" s="62"/>
      <c r="U81" s="62"/>
      <c r="V81" s="62"/>
      <c r="W81" s="62"/>
      <c r="X81" s="106"/>
      <c r="Y81" s="428"/>
      <c r="Z81" s="24"/>
      <c r="AA81" s="107"/>
      <c r="AB81" s="107"/>
      <c r="AC81" s="107"/>
      <c r="AD81" s="106"/>
    </row>
    <row r="82" ht="33.75" customHeight="1">
      <c r="A82" s="67"/>
      <c r="B82" s="67"/>
      <c r="C82" s="67"/>
      <c r="D82" s="67"/>
      <c r="E82" s="67"/>
      <c r="F82" s="67"/>
      <c r="G82" s="72" t="s">
        <v>76</v>
      </c>
      <c r="H82" s="73">
        <v>5.0</v>
      </c>
      <c r="I82" s="74">
        <f t="shared" si="17"/>
        <v>90000</v>
      </c>
      <c r="J82" s="75">
        <f t="shared" si="18"/>
        <v>450000</v>
      </c>
      <c r="K82" s="67"/>
      <c r="L82" s="67"/>
      <c r="M82" s="67"/>
      <c r="N82" s="67"/>
      <c r="O82" s="67"/>
      <c r="P82" s="67"/>
      <c r="Q82" s="67"/>
      <c r="R82" s="67"/>
      <c r="S82" s="67"/>
      <c r="T82" s="67"/>
      <c r="U82" s="67"/>
      <c r="V82" s="67"/>
      <c r="W82" s="67"/>
      <c r="X82" s="106"/>
      <c r="Y82" s="428"/>
      <c r="Z82" s="24"/>
      <c r="AA82" s="107"/>
      <c r="AB82" s="107"/>
      <c r="AC82" s="107"/>
      <c r="AD82" s="106"/>
    </row>
    <row r="83" ht="33.75" customHeight="1">
      <c r="A83" s="93">
        <v>44.0</v>
      </c>
      <c r="B83" s="120">
        <v>45238.0</v>
      </c>
      <c r="C83" s="93">
        <v>1.722336942646E12</v>
      </c>
      <c r="D83" s="155" t="s">
        <v>44</v>
      </c>
      <c r="E83" s="105" t="s">
        <v>45</v>
      </c>
      <c r="F83" s="92" t="s">
        <v>324</v>
      </c>
      <c r="G83" s="72" t="s">
        <v>76</v>
      </c>
      <c r="H83" s="73">
        <v>4.0</v>
      </c>
      <c r="I83" s="74">
        <f t="shared" si="17"/>
        <v>90000</v>
      </c>
      <c r="J83" s="75">
        <f t="shared" si="18"/>
        <v>360000</v>
      </c>
      <c r="K83" s="76">
        <f>sum(J83)</f>
        <v>360000</v>
      </c>
      <c r="L83" s="65"/>
      <c r="M83" s="78"/>
      <c r="N83" s="79"/>
      <c r="O83" s="80">
        <f t="shared" ref="O83:O84" si="22">K83+L83-M83-N83</f>
        <v>360000</v>
      </c>
      <c r="P83" s="81" t="s">
        <v>449</v>
      </c>
      <c r="Q83" s="81" t="s">
        <v>31</v>
      </c>
      <c r="R83" s="108">
        <v>46002.0</v>
      </c>
      <c r="S83" s="83" t="s">
        <v>32</v>
      </c>
      <c r="T83" s="84" t="s">
        <v>33</v>
      </c>
      <c r="U83" s="122"/>
      <c r="V83" s="122"/>
      <c r="W83" s="122"/>
      <c r="X83" s="106"/>
      <c r="Y83" s="428"/>
      <c r="Z83" s="24"/>
      <c r="AA83" s="107"/>
      <c r="AB83" s="107"/>
      <c r="AC83" s="107"/>
      <c r="AD83" s="106"/>
    </row>
    <row r="84" ht="33.75" customHeight="1">
      <c r="A84" s="111">
        <v>45.0</v>
      </c>
      <c r="B84" s="40">
        <v>45239.0</v>
      </c>
      <c r="C84" s="111">
        <v>1.708285688196E12</v>
      </c>
      <c r="D84" s="148" t="s">
        <v>553</v>
      </c>
      <c r="E84" s="143" t="s">
        <v>554</v>
      </c>
      <c r="F84" s="44" t="s">
        <v>555</v>
      </c>
      <c r="G84" s="63" t="s">
        <v>30</v>
      </c>
      <c r="H84" s="64">
        <v>1.0</v>
      </c>
      <c r="I84" s="47">
        <f t="shared" si="17"/>
        <v>220000</v>
      </c>
      <c r="J84" s="48">
        <f t="shared" si="18"/>
        <v>220000</v>
      </c>
      <c r="K84" s="49">
        <f>SUM(J84:J85)</f>
        <v>660000</v>
      </c>
      <c r="L84" s="146"/>
      <c r="M84" s="51"/>
      <c r="N84" s="52"/>
      <c r="O84" s="53">
        <f t="shared" si="22"/>
        <v>660000</v>
      </c>
      <c r="P84" s="99" t="s">
        <v>449</v>
      </c>
      <c r="Q84" s="99" t="s">
        <v>31</v>
      </c>
      <c r="R84" s="145">
        <v>40001.0</v>
      </c>
      <c r="S84" s="56" t="s">
        <v>32</v>
      </c>
      <c r="T84" s="57" t="s">
        <v>33</v>
      </c>
      <c r="U84" s="147"/>
      <c r="V84" s="147"/>
      <c r="W84" s="147"/>
      <c r="X84" s="106"/>
      <c r="Y84" s="428"/>
      <c r="Z84" s="24"/>
      <c r="AA84" s="107"/>
      <c r="AB84" s="107"/>
      <c r="AC84" s="107"/>
      <c r="AD84" s="106"/>
    </row>
    <row r="85" ht="33.75" customHeight="1">
      <c r="A85" s="67"/>
      <c r="B85" s="67"/>
      <c r="C85" s="67"/>
      <c r="D85" s="67"/>
      <c r="E85" s="67"/>
      <c r="F85" s="67"/>
      <c r="G85" s="63" t="s">
        <v>58</v>
      </c>
      <c r="H85" s="64">
        <v>2.0</v>
      </c>
      <c r="I85" s="47">
        <f t="shared" si="17"/>
        <v>220000</v>
      </c>
      <c r="J85" s="48">
        <f t="shared" si="18"/>
        <v>440000</v>
      </c>
      <c r="K85" s="67"/>
      <c r="L85" s="67"/>
      <c r="M85" s="67"/>
      <c r="N85" s="67"/>
      <c r="O85" s="67"/>
      <c r="P85" s="67"/>
      <c r="Q85" s="67"/>
      <c r="R85" s="67"/>
      <c r="S85" s="67"/>
      <c r="T85" s="67"/>
      <c r="U85" s="67"/>
      <c r="V85" s="67"/>
      <c r="W85" s="67"/>
      <c r="X85" s="106"/>
      <c r="Y85" s="428"/>
      <c r="Z85" s="24"/>
      <c r="AA85" s="107"/>
      <c r="AB85" s="107"/>
      <c r="AC85" s="107"/>
      <c r="AD85" s="106"/>
    </row>
    <row r="86" ht="33.75" customHeight="1">
      <c r="A86" s="104">
        <v>46.0</v>
      </c>
      <c r="B86" s="120">
        <v>45239.0</v>
      </c>
      <c r="C86" s="93" t="s">
        <v>556</v>
      </c>
      <c r="D86" s="92" t="s">
        <v>50</v>
      </c>
      <c r="E86" s="105" t="s">
        <v>557</v>
      </c>
      <c r="F86" s="92" t="s">
        <v>558</v>
      </c>
      <c r="G86" s="63" t="s">
        <v>30</v>
      </c>
      <c r="H86" s="64">
        <v>1.0</v>
      </c>
      <c r="I86" s="47">
        <f t="shared" si="17"/>
        <v>220000</v>
      </c>
      <c r="J86" s="48">
        <f t="shared" si="18"/>
        <v>220000</v>
      </c>
      <c r="K86" s="76">
        <f t="shared" ref="K86:K93" si="23">SUM(J86)</f>
        <v>220000</v>
      </c>
      <c r="L86" s="65"/>
      <c r="M86" s="78">
        <f>14876</f>
        <v>14876</v>
      </c>
      <c r="N86" s="79"/>
      <c r="O86" s="80">
        <f t="shared" ref="O86:O94" si="24">K86+L86-M86-N86</f>
        <v>205124</v>
      </c>
      <c r="P86" s="81" t="s">
        <v>449</v>
      </c>
      <c r="Q86" s="81" t="s">
        <v>31</v>
      </c>
      <c r="R86" s="109"/>
      <c r="S86" s="91"/>
      <c r="T86" s="84" t="s">
        <v>33</v>
      </c>
      <c r="U86" s="122"/>
      <c r="V86" s="122"/>
      <c r="W86" s="415" t="s">
        <v>53</v>
      </c>
      <c r="X86" s="106"/>
      <c r="Y86" s="428"/>
      <c r="Z86" s="24"/>
      <c r="AA86" s="107"/>
      <c r="AB86" s="107"/>
      <c r="AC86" s="107"/>
      <c r="AD86" s="106"/>
    </row>
    <row r="87" ht="33.75" customHeight="1">
      <c r="A87" s="104">
        <v>47.0</v>
      </c>
      <c r="B87" s="120">
        <v>45240.0</v>
      </c>
      <c r="C87" s="93" t="s">
        <v>559</v>
      </c>
      <c r="D87" s="92" t="s">
        <v>50</v>
      </c>
      <c r="E87" s="105" t="s">
        <v>560</v>
      </c>
      <c r="F87" s="92" t="s">
        <v>84</v>
      </c>
      <c r="G87" s="63" t="s">
        <v>30</v>
      </c>
      <c r="H87" s="64">
        <v>1.0</v>
      </c>
      <c r="I87" s="47">
        <f t="shared" si="17"/>
        <v>220000</v>
      </c>
      <c r="J87" s="48">
        <f t="shared" si="18"/>
        <v>220000</v>
      </c>
      <c r="K87" s="76">
        <f t="shared" si="23"/>
        <v>220000</v>
      </c>
      <c r="L87" s="65"/>
      <c r="M87" s="78">
        <f>29130</f>
        <v>29130</v>
      </c>
      <c r="N87" s="79"/>
      <c r="O87" s="80">
        <f t="shared" si="24"/>
        <v>190870</v>
      </c>
      <c r="P87" s="81" t="s">
        <v>449</v>
      </c>
      <c r="Q87" s="81" t="s">
        <v>31</v>
      </c>
      <c r="R87" s="109"/>
      <c r="S87" s="91"/>
      <c r="T87" s="84" t="s">
        <v>33</v>
      </c>
      <c r="U87" s="122"/>
      <c r="V87" s="122"/>
      <c r="W87" s="122"/>
      <c r="X87" s="106"/>
      <c r="Y87" s="428"/>
      <c r="Z87" s="24"/>
      <c r="AA87" s="107"/>
      <c r="AB87" s="107"/>
      <c r="AC87" s="107"/>
      <c r="AD87" s="106"/>
    </row>
    <row r="88" ht="33.75" customHeight="1">
      <c r="A88" s="104">
        <v>48.0</v>
      </c>
      <c r="B88" s="120">
        <v>45240.0</v>
      </c>
      <c r="C88" s="93" t="s">
        <v>561</v>
      </c>
      <c r="D88" s="92" t="s">
        <v>50</v>
      </c>
      <c r="E88" s="105" t="s">
        <v>562</v>
      </c>
      <c r="F88" s="92" t="s">
        <v>74</v>
      </c>
      <c r="G88" s="63" t="s">
        <v>30</v>
      </c>
      <c r="H88" s="64">
        <v>1.0</v>
      </c>
      <c r="I88" s="47">
        <f t="shared" si="17"/>
        <v>220000</v>
      </c>
      <c r="J88" s="48">
        <f t="shared" si="18"/>
        <v>220000</v>
      </c>
      <c r="K88" s="76">
        <f t="shared" si="23"/>
        <v>220000</v>
      </c>
      <c r="L88" s="65"/>
      <c r="M88" s="78">
        <f>15516</f>
        <v>15516</v>
      </c>
      <c r="N88" s="79"/>
      <c r="O88" s="80">
        <f t="shared" si="24"/>
        <v>204484</v>
      </c>
      <c r="P88" s="81" t="s">
        <v>449</v>
      </c>
      <c r="Q88" s="81" t="s">
        <v>31</v>
      </c>
      <c r="R88" s="109"/>
      <c r="S88" s="91"/>
      <c r="T88" s="84" t="s">
        <v>33</v>
      </c>
      <c r="U88" s="122"/>
      <c r="V88" s="122"/>
      <c r="W88" s="122"/>
      <c r="X88" s="106"/>
      <c r="Y88" s="428"/>
      <c r="Z88" s="24"/>
      <c r="AA88" s="107"/>
      <c r="AB88" s="107"/>
      <c r="AC88" s="107"/>
      <c r="AD88" s="106"/>
    </row>
    <row r="89" ht="33.75" customHeight="1">
      <c r="A89" s="93">
        <v>49.0</v>
      </c>
      <c r="B89" s="120">
        <v>45241.0</v>
      </c>
      <c r="C89" s="93">
        <v>1.725161551544E12</v>
      </c>
      <c r="D89" s="155" t="s">
        <v>563</v>
      </c>
      <c r="E89" s="105" t="s">
        <v>564</v>
      </c>
      <c r="F89" s="121" t="s">
        <v>565</v>
      </c>
      <c r="G89" s="63" t="s">
        <v>30</v>
      </c>
      <c r="H89" s="64">
        <v>6.0</v>
      </c>
      <c r="I89" s="47">
        <f t="shared" si="17"/>
        <v>220000</v>
      </c>
      <c r="J89" s="48">
        <f t="shared" si="18"/>
        <v>1320000</v>
      </c>
      <c r="K89" s="76">
        <f t="shared" si="23"/>
        <v>1320000</v>
      </c>
      <c r="L89" s="65"/>
      <c r="M89" s="78"/>
      <c r="N89" s="79"/>
      <c r="O89" s="80">
        <f t="shared" si="24"/>
        <v>1320000</v>
      </c>
      <c r="P89" s="81" t="s">
        <v>449</v>
      </c>
      <c r="Q89" s="81" t="s">
        <v>31</v>
      </c>
      <c r="R89" s="108">
        <v>61003.0</v>
      </c>
      <c r="S89" s="83" t="s">
        <v>32</v>
      </c>
      <c r="T89" s="84" t="s">
        <v>33</v>
      </c>
      <c r="U89" s="122"/>
      <c r="V89" s="122"/>
      <c r="W89" s="122"/>
      <c r="X89" s="106"/>
      <c r="Y89" s="428"/>
      <c r="Z89" s="24"/>
      <c r="AA89" s="107"/>
      <c r="AB89" s="107"/>
      <c r="AC89" s="107"/>
      <c r="AD89" s="106"/>
    </row>
    <row r="90" ht="33.75" customHeight="1">
      <c r="A90" s="434">
        <v>50.0</v>
      </c>
      <c r="B90" s="435">
        <v>45241.0</v>
      </c>
      <c r="C90" s="434" t="s">
        <v>566</v>
      </c>
      <c r="D90" s="436" t="s">
        <v>50</v>
      </c>
      <c r="E90" s="437" t="s">
        <v>567</v>
      </c>
      <c r="F90" s="436" t="s">
        <v>74</v>
      </c>
      <c r="G90" s="164" t="s">
        <v>30</v>
      </c>
      <c r="H90" s="158">
        <v>1.0</v>
      </c>
      <c r="I90" s="165"/>
      <c r="J90" s="438">
        <f t="shared" si="18"/>
        <v>0</v>
      </c>
      <c r="K90" s="169">
        <f t="shared" si="23"/>
        <v>0</v>
      </c>
      <c r="L90" s="439"/>
      <c r="M90" s="440">
        <f t="shared" ref="M90:M91" si="25">36876</f>
        <v>36876</v>
      </c>
      <c r="N90" s="440"/>
      <c r="O90" s="169">
        <f t="shared" si="24"/>
        <v>-36876</v>
      </c>
      <c r="P90" s="165"/>
      <c r="Q90" s="441"/>
      <c r="R90" s="442"/>
      <c r="S90" s="441"/>
      <c r="T90" s="443"/>
      <c r="U90" s="444"/>
      <c r="V90" s="444"/>
      <c r="W90" s="445" t="s">
        <v>201</v>
      </c>
      <c r="X90" s="106"/>
      <c r="Y90" s="428"/>
      <c r="Z90" s="24"/>
      <c r="AA90" s="107"/>
      <c r="AB90" s="107"/>
      <c r="AC90" s="107"/>
      <c r="AD90" s="106"/>
    </row>
    <row r="91" ht="33.75" customHeight="1">
      <c r="A91" s="104">
        <v>51.0</v>
      </c>
      <c r="B91" s="120">
        <v>45241.0</v>
      </c>
      <c r="C91" s="93" t="s">
        <v>568</v>
      </c>
      <c r="D91" s="92" t="s">
        <v>50</v>
      </c>
      <c r="E91" s="105" t="s">
        <v>569</v>
      </c>
      <c r="F91" s="92" t="s">
        <v>119</v>
      </c>
      <c r="G91" s="63" t="s">
        <v>30</v>
      </c>
      <c r="H91" s="64">
        <v>1.0</v>
      </c>
      <c r="I91" s="47">
        <f t="shared" ref="I91:I105" si="26">VLOOKUP(G91,$Y$4:$Z$155,2,0)</f>
        <v>220000</v>
      </c>
      <c r="J91" s="48">
        <f t="shared" si="18"/>
        <v>220000</v>
      </c>
      <c r="K91" s="76">
        <f t="shared" si="23"/>
        <v>220000</v>
      </c>
      <c r="L91" s="65"/>
      <c r="M91" s="78">
        <f t="shared" si="25"/>
        <v>36876</v>
      </c>
      <c r="N91" s="79"/>
      <c r="O91" s="80">
        <f t="shared" si="24"/>
        <v>183124</v>
      </c>
      <c r="P91" s="81" t="s">
        <v>449</v>
      </c>
      <c r="Q91" s="81" t="s">
        <v>31</v>
      </c>
      <c r="R91" s="446"/>
      <c r="S91" s="91"/>
      <c r="T91" s="84" t="s">
        <v>33</v>
      </c>
      <c r="U91" s="122"/>
      <c r="V91" s="122"/>
      <c r="W91" s="415" t="s">
        <v>53</v>
      </c>
      <c r="X91" s="106"/>
      <c r="Y91" s="428"/>
      <c r="Z91" s="24"/>
      <c r="AA91" s="107"/>
      <c r="AB91" s="107"/>
      <c r="AC91" s="107"/>
      <c r="AD91" s="106"/>
    </row>
    <row r="92" ht="33.75" customHeight="1">
      <c r="A92" s="93">
        <v>52.0</v>
      </c>
      <c r="B92" s="120">
        <v>45241.0</v>
      </c>
      <c r="C92" s="93">
        <v>1.725076094315E12</v>
      </c>
      <c r="D92" s="155" t="s">
        <v>44</v>
      </c>
      <c r="E92" s="105" t="s">
        <v>45</v>
      </c>
      <c r="F92" s="121" t="s">
        <v>347</v>
      </c>
      <c r="G92" s="63" t="s">
        <v>30</v>
      </c>
      <c r="H92" s="64">
        <v>10.0</v>
      </c>
      <c r="I92" s="47">
        <f t="shared" si="26"/>
        <v>220000</v>
      </c>
      <c r="J92" s="48">
        <f t="shared" si="18"/>
        <v>2200000</v>
      </c>
      <c r="K92" s="76">
        <f t="shared" si="23"/>
        <v>2200000</v>
      </c>
      <c r="L92" s="65"/>
      <c r="M92" s="78"/>
      <c r="N92" s="79"/>
      <c r="O92" s="80">
        <f t="shared" si="24"/>
        <v>2200000</v>
      </c>
      <c r="P92" s="81" t="s">
        <v>449</v>
      </c>
      <c r="Q92" s="81" t="s">
        <v>31</v>
      </c>
      <c r="R92" s="108">
        <v>78004.0</v>
      </c>
      <c r="S92" s="83" t="s">
        <v>32</v>
      </c>
      <c r="T92" s="84" t="s">
        <v>33</v>
      </c>
      <c r="U92" s="122"/>
      <c r="V92" s="122"/>
      <c r="W92" s="415"/>
      <c r="X92" s="106"/>
      <c r="Y92" s="428"/>
      <c r="Z92" s="24"/>
      <c r="AA92" s="107"/>
      <c r="AB92" s="107"/>
      <c r="AC92" s="107"/>
      <c r="AD92" s="106"/>
    </row>
    <row r="93" ht="33.75" customHeight="1">
      <c r="A93" s="93">
        <v>53.0</v>
      </c>
      <c r="B93" s="120">
        <v>45243.0</v>
      </c>
      <c r="C93" s="104" t="s">
        <v>570</v>
      </c>
      <c r="D93" s="92" t="s">
        <v>50</v>
      </c>
      <c r="E93" s="105" t="s">
        <v>571</v>
      </c>
      <c r="F93" s="92" t="s">
        <v>119</v>
      </c>
      <c r="G93" s="63" t="s">
        <v>30</v>
      </c>
      <c r="H93" s="64">
        <v>2.0</v>
      </c>
      <c r="I93" s="47">
        <f t="shared" si="26"/>
        <v>220000</v>
      </c>
      <c r="J93" s="48">
        <f t="shared" si="18"/>
        <v>440000</v>
      </c>
      <c r="K93" s="76">
        <f t="shared" si="23"/>
        <v>440000</v>
      </c>
      <c r="L93" s="65"/>
      <c r="M93" s="78">
        <f>28240</f>
        <v>28240</v>
      </c>
      <c r="N93" s="79"/>
      <c r="O93" s="80">
        <f t="shared" si="24"/>
        <v>411760</v>
      </c>
      <c r="P93" s="81" t="s">
        <v>449</v>
      </c>
      <c r="Q93" s="81" t="s">
        <v>31</v>
      </c>
      <c r="R93" s="109"/>
      <c r="S93" s="91"/>
      <c r="T93" s="84" t="s">
        <v>33</v>
      </c>
      <c r="U93" s="122"/>
      <c r="V93" s="122"/>
      <c r="W93" s="415" t="s">
        <v>53</v>
      </c>
      <c r="X93" s="106"/>
      <c r="Y93" s="428"/>
      <c r="Z93" s="24"/>
      <c r="AA93" s="107"/>
      <c r="AB93" s="107"/>
      <c r="AC93" s="107"/>
      <c r="AD93" s="106"/>
    </row>
    <row r="94" ht="33.75" customHeight="1">
      <c r="A94" s="111">
        <v>54.0</v>
      </c>
      <c r="B94" s="40">
        <v>45243.0</v>
      </c>
      <c r="C94" s="111">
        <v>1.703009724078E12</v>
      </c>
      <c r="D94" s="148" t="s">
        <v>572</v>
      </c>
      <c r="E94" s="143" t="s">
        <v>573</v>
      </c>
      <c r="F94" s="148" t="s">
        <v>574</v>
      </c>
      <c r="G94" s="63" t="s">
        <v>30</v>
      </c>
      <c r="H94" s="64">
        <v>6.0</v>
      </c>
      <c r="I94" s="47">
        <f t="shared" si="26"/>
        <v>220000</v>
      </c>
      <c r="J94" s="48">
        <f t="shared" si="18"/>
        <v>1320000</v>
      </c>
      <c r="K94" s="49">
        <f>sum(J94:J102)</f>
        <v>6540000</v>
      </c>
      <c r="L94" s="146"/>
      <c r="M94" s="51"/>
      <c r="N94" s="52"/>
      <c r="O94" s="53">
        <f t="shared" si="24"/>
        <v>6540000</v>
      </c>
      <c r="P94" s="99" t="s">
        <v>449</v>
      </c>
      <c r="Q94" s="99" t="s">
        <v>31</v>
      </c>
      <c r="R94" s="145">
        <v>187501.0</v>
      </c>
      <c r="S94" s="56" t="s">
        <v>32</v>
      </c>
      <c r="T94" s="57" t="s">
        <v>33</v>
      </c>
      <c r="U94" s="147"/>
      <c r="V94" s="147"/>
      <c r="W94" s="147"/>
      <c r="X94" s="106"/>
      <c r="Y94" s="428"/>
      <c r="Z94" s="24"/>
      <c r="AA94" s="107"/>
      <c r="AB94" s="107"/>
      <c r="AC94" s="107"/>
      <c r="AD94" s="106"/>
    </row>
    <row r="95" ht="33.75" customHeight="1">
      <c r="A95" s="62"/>
      <c r="B95" s="62"/>
      <c r="C95" s="62"/>
      <c r="D95" s="62"/>
      <c r="E95" s="62"/>
      <c r="F95" s="62"/>
      <c r="G95" s="63" t="s">
        <v>37</v>
      </c>
      <c r="H95" s="64">
        <v>3.0</v>
      </c>
      <c r="I95" s="47">
        <f t="shared" si="26"/>
        <v>220000</v>
      </c>
      <c r="J95" s="48">
        <f t="shared" si="18"/>
        <v>660000</v>
      </c>
      <c r="K95" s="62"/>
      <c r="L95" s="62"/>
      <c r="M95" s="62"/>
      <c r="N95" s="62"/>
      <c r="O95" s="62"/>
      <c r="P95" s="62"/>
      <c r="Q95" s="62"/>
      <c r="R95" s="62"/>
      <c r="S95" s="62"/>
      <c r="T95" s="62"/>
      <c r="U95" s="62"/>
      <c r="V95" s="62"/>
      <c r="W95" s="62"/>
      <c r="X95" s="106"/>
      <c r="Y95" s="428"/>
      <c r="Z95" s="24"/>
      <c r="AA95" s="107"/>
      <c r="AB95" s="107"/>
      <c r="AC95" s="107"/>
      <c r="AD95" s="106"/>
    </row>
    <row r="96" ht="33.75" customHeight="1">
      <c r="A96" s="62"/>
      <c r="B96" s="62"/>
      <c r="C96" s="62"/>
      <c r="D96" s="62"/>
      <c r="E96" s="62"/>
      <c r="F96" s="62"/>
      <c r="G96" s="63" t="s">
        <v>122</v>
      </c>
      <c r="H96" s="64">
        <v>3.0</v>
      </c>
      <c r="I96" s="47">
        <f t="shared" si="26"/>
        <v>220000</v>
      </c>
      <c r="J96" s="48">
        <f t="shared" si="18"/>
        <v>660000</v>
      </c>
      <c r="K96" s="62"/>
      <c r="L96" s="62"/>
      <c r="M96" s="62"/>
      <c r="N96" s="62"/>
      <c r="O96" s="62"/>
      <c r="P96" s="62"/>
      <c r="Q96" s="62"/>
      <c r="R96" s="62"/>
      <c r="S96" s="62"/>
      <c r="T96" s="62"/>
      <c r="U96" s="62"/>
      <c r="V96" s="62"/>
      <c r="W96" s="62"/>
      <c r="X96" s="106"/>
      <c r="Y96" s="428"/>
      <c r="Z96" s="24"/>
      <c r="AA96" s="107"/>
      <c r="AB96" s="107"/>
      <c r="AC96" s="107"/>
      <c r="AD96" s="106"/>
    </row>
    <row r="97" ht="33.75" customHeight="1">
      <c r="A97" s="62"/>
      <c r="B97" s="62"/>
      <c r="C97" s="62"/>
      <c r="D97" s="62"/>
      <c r="E97" s="62"/>
      <c r="F97" s="62"/>
      <c r="G97" s="63" t="s">
        <v>165</v>
      </c>
      <c r="H97" s="64">
        <v>3.0</v>
      </c>
      <c r="I97" s="47">
        <f t="shared" si="26"/>
        <v>220000</v>
      </c>
      <c r="J97" s="48">
        <f t="shared" si="18"/>
        <v>660000</v>
      </c>
      <c r="K97" s="62"/>
      <c r="L97" s="62"/>
      <c r="M97" s="62"/>
      <c r="N97" s="62"/>
      <c r="O97" s="62"/>
      <c r="P97" s="62"/>
      <c r="Q97" s="62"/>
      <c r="R97" s="62"/>
      <c r="S97" s="62"/>
      <c r="T97" s="62"/>
      <c r="U97" s="62"/>
      <c r="V97" s="62"/>
      <c r="W97" s="62"/>
      <c r="X97" s="106"/>
      <c r="Y97" s="428"/>
      <c r="Z97" s="24"/>
      <c r="AA97" s="107"/>
      <c r="AB97" s="107"/>
      <c r="AC97" s="107"/>
      <c r="AD97" s="106"/>
    </row>
    <row r="98" ht="33.75" customHeight="1">
      <c r="A98" s="62"/>
      <c r="B98" s="62"/>
      <c r="C98" s="62"/>
      <c r="D98" s="62"/>
      <c r="E98" s="62"/>
      <c r="F98" s="62"/>
      <c r="G98" s="72" t="s">
        <v>76</v>
      </c>
      <c r="H98" s="73">
        <v>6.0</v>
      </c>
      <c r="I98" s="74">
        <f t="shared" si="26"/>
        <v>90000</v>
      </c>
      <c r="J98" s="75">
        <f t="shared" si="18"/>
        <v>540000</v>
      </c>
      <c r="K98" s="62"/>
      <c r="L98" s="62"/>
      <c r="M98" s="62"/>
      <c r="N98" s="62"/>
      <c r="O98" s="62"/>
      <c r="P98" s="62"/>
      <c r="Q98" s="62"/>
      <c r="R98" s="62"/>
      <c r="S98" s="62"/>
      <c r="T98" s="62"/>
      <c r="U98" s="62"/>
      <c r="V98" s="62"/>
      <c r="W98" s="62"/>
      <c r="X98" s="106"/>
      <c r="Y98" s="428"/>
      <c r="Z98" s="24"/>
      <c r="AA98" s="107"/>
      <c r="AB98" s="107"/>
      <c r="AC98" s="107"/>
      <c r="AD98" s="106"/>
    </row>
    <row r="99" ht="33.75" customHeight="1">
      <c r="A99" s="62"/>
      <c r="B99" s="62"/>
      <c r="C99" s="62"/>
      <c r="D99" s="62"/>
      <c r="E99" s="62"/>
      <c r="F99" s="62"/>
      <c r="G99" s="72" t="s">
        <v>479</v>
      </c>
      <c r="H99" s="73">
        <v>12.0</v>
      </c>
      <c r="I99" s="74">
        <f t="shared" si="26"/>
        <v>40000</v>
      </c>
      <c r="J99" s="75">
        <f t="shared" si="18"/>
        <v>480000</v>
      </c>
      <c r="K99" s="62"/>
      <c r="L99" s="62"/>
      <c r="M99" s="62"/>
      <c r="N99" s="62"/>
      <c r="O99" s="62"/>
      <c r="P99" s="62"/>
      <c r="Q99" s="62"/>
      <c r="R99" s="62"/>
      <c r="S99" s="62"/>
      <c r="T99" s="62"/>
      <c r="U99" s="62"/>
      <c r="V99" s="62"/>
      <c r="W99" s="62"/>
      <c r="X99" s="106"/>
      <c r="Y99" s="428"/>
      <c r="Z99" s="24"/>
      <c r="AA99" s="107"/>
      <c r="AB99" s="107"/>
      <c r="AC99" s="107"/>
      <c r="AD99" s="106"/>
    </row>
    <row r="100" ht="33.75" customHeight="1">
      <c r="A100" s="62"/>
      <c r="B100" s="62"/>
      <c r="C100" s="62"/>
      <c r="D100" s="62"/>
      <c r="E100" s="62"/>
      <c r="F100" s="62"/>
      <c r="G100" s="72" t="s">
        <v>477</v>
      </c>
      <c r="H100" s="73">
        <v>12.0</v>
      </c>
      <c r="I100" s="74">
        <f t="shared" si="26"/>
        <v>65000</v>
      </c>
      <c r="J100" s="75">
        <f t="shared" si="18"/>
        <v>780000</v>
      </c>
      <c r="K100" s="62"/>
      <c r="L100" s="62"/>
      <c r="M100" s="62"/>
      <c r="N100" s="62"/>
      <c r="O100" s="62"/>
      <c r="P100" s="62"/>
      <c r="Q100" s="62"/>
      <c r="R100" s="62"/>
      <c r="S100" s="62"/>
      <c r="T100" s="62"/>
      <c r="U100" s="62"/>
      <c r="V100" s="62"/>
      <c r="W100" s="62"/>
      <c r="X100" s="106"/>
      <c r="Y100" s="428"/>
      <c r="Z100" s="24"/>
      <c r="AA100" s="107"/>
      <c r="AB100" s="107"/>
      <c r="AC100" s="107"/>
      <c r="AD100" s="106"/>
    </row>
    <row r="101" ht="33.75" customHeight="1">
      <c r="A101" s="62"/>
      <c r="B101" s="62"/>
      <c r="C101" s="62"/>
      <c r="D101" s="62"/>
      <c r="E101" s="62"/>
      <c r="F101" s="62"/>
      <c r="G101" s="72" t="s">
        <v>476</v>
      </c>
      <c r="H101" s="73">
        <v>12.0</v>
      </c>
      <c r="I101" s="74">
        <f t="shared" si="26"/>
        <v>55000</v>
      </c>
      <c r="J101" s="75">
        <f t="shared" si="18"/>
        <v>660000</v>
      </c>
      <c r="K101" s="62"/>
      <c r="L101" s="62"/>
      <c r="M101" s="62"/>
      <c r="N101" s="62"/>
      <c r="O101" s="62"/>
      <c r="P101" s="62"/>
      <c r="Q101" s="62"/>
      <c r="R101" s="62"/>
      <c r="S101" s="62"/>
      <c r="T101" s="62"/>
      <c r="U101" s="62"/>
      <c r="V101" s="62"/>
      <c r="W101" s="62"/>
      <c r="X101" s="106"/>
      <c r="Y101" s="428"/>
      <c r="Z101" s="24"/>
      <c r="AA101" s="107"/>
      <c r="AB101" s="107"/>
      <c r="AC101" s="107"/>
      <c r="AD101" s="106"/>
    </row>
    <row r="102" ht="33.75" customHeight="1">
      <c r="A102" s="67"/>
      <c r="B102" s="67"/>
      <c r="C102" s="67"/>
      <c r="D102" s="67"/>
      <c r="E102" s="67"/>
      <c r="F102" s="67"/>
      <c r="G102" s="72" t="s">
        <v>478</v>
      </c>
      <c r="H102" s="73">
        <v>12.0</v>
      </c>
      <c r="I102" s="74">
        <f t="shared" si="26"/>
        <v>65000</v>
      </c>
      <c r="J102" s="75">
        <f t="shared" si="18"/>
        <v>780000</v>
      </c>
      <c r="K102" s="67"/>
      <c r="L102" s="67"/>
      <c r="M102" s="67"/>
      <c r="N102" s="67"/>
      <c r="O102" s="67"/>
      <c r="P102" s="67"/>
      <c r="Q102" s="67"/>
      <c r="R102" s="67"/>
      <c r="S102" s="67"/>
      <c r="T102" s="67"/>
      <c r="U102" s="67"/>
      <c r="V102" s="67"/>
      <c r="W102" s="67"/>
      <c r="X102" s="106"/>
      <c r="Y102" s="428"/>
      <c r="Z102" s="24"/>
      <c r="AA102" s="107"/>
      <c r="AB102" s="107"/>
      <c r="AC102" s="107"/>
      <c r="AD102" s="106"/>
    </row>
    <row r="103" ht="33.75" customHeight="1">
      <c r="A103" s="93">
        <v>55.0</v>
      </c>
      <c r="B103" s="120">
        <v>45243.0</v>
      </c>
      <c r="C103" s="93">
        <v>1.703055454233E12</v>
      </c>
      <c r="D103" s="155" t="s">
        <v>513</v>
      </c>
      <c r="E103" s="105" t="s">
        <v>514</v>
      </c>
      <c r="F103" s="121" t="s">
        <v>515</v>
      </c>
      <c r="G103" s="63" t="s">
        <v>30</v>
      </c>
      <c r="H103" s="64">
        <v>5.0</v>
      </c>
      <c r="I103" s="47">
        <f t="shared" si="26"/>
        <v>220000</v>
      </c>
      <c r="J103" s="48">
        <f t="shared" si="18"/>
        <v>1100000</v>
      </c>
      <c r="K103" s="76">
        <f t="shared" ref="K103:K114" si="27">SUM(J103)</f>
        <v>1100000</v>
      </c>
      <c r="L103" s="65"/>
      <c r="M103" s="78"/>
      <c r="N103" s="79"/>
      <c r="O103" s="80">
        <f t="shared" ref="O103:O115" si="28">K103+L103-M103-N103</f>
        <v>1100000</v>
      </c>
      <c r="P103" s="81" t="s">
        <v>449</v>
      </c>
      <c r="Q103" s="81" t="s">
        <v>31</v>
      </c>
      <c r="R103" s="108">
        <v>55002.0</v>
      </c>
      <c r="S103" s="83" t="s">
        <v>32</v>
      </c>
      <c r="T103" s="84" t="s">
        <v>33</v>
      </c>
      <c r="U103" s="122"/>
      <c r="V103" s="122"/>
      <c r="W103" s="122"/>
      <c r="X103" s="106"/>
      <c r="Y103" s="428"/>
      <c r="Z103" s="24"/>
      <c r="AA103" s="107"/>
      <c r="AB103" s="107"/>
      <c r="AC103" s="107"/>
      <c r="AD103" s="106"/>
    </row>
    <row r="104" ht="33.75" customHeight="1">
      <c r="A104" s="93">
        <v>56.0</v>
      </c>
      <c r="B104" s="120">
        <v>45244.0</v>
      </c>
      <c r="C104" s="104" t="s">
        <v>575</v>
      </c>
      <c r="D104" s="92" t="s">
        <v>50</v>
      </c>
      <c r="E104" s="105" t="s">
        <v>576</v>
      </c>
      <c r="F104" s="92" t="s">
        <v>577</v>
      </c>
      <c r="G104" s="63" t="s">
        <v>30</v>
      </c>
      <c r="H104" s="64">
        <v>1.0</v>
      </c>
      <c r="I104" s="47">
        <f t="shared" si="26"/>
        <v>220000</v>
      </c>
      <c r="J104" s="48">
        <f t="shared" si="18"/>
        <v>220000</v>
      </c>
      <c r="K104" s="76">
        <f t="shared" si="27"/>
        <v>220000</v>
      </c>
      <c r="L104" s="65"/>
      <c r="M104" s="78">
        <f>K104*5%</f>
        <v>11000</v>
      </c>
      <c r="N104" s="79"/>
      <c r="O104" s="80">
        <f t="shared" si="28"/>
        <v>209000</v>
      </c>
      <c r="P104" s="81"/>
      <c r="Q104" s="176"/>
      <c r="R104" s="109"/>
      <c r="S104" s="91"/>
      <c r="T104" s="183"/>
      <c r="U104" s="122"/>
      <c r="V104" s="122"/>
      <c r="W104" s="415" t="s">
        <v>53</v>
      </c>
      <c r="X104" s="106"/>
      <c r="Y104" s="428"/>
      <c r="Z104" s="24"/>
      <c r="AA104" s="107"/>
      <c r="AB104" s="107"/>
      <c r="AC104" s="107"/>
      <c r="AD104" s="106"/>
    </row>
    <row r="105" ht="33.75" customHeight="1">
      <c r="A105" s="93">
        <v>57.0</v>
      </c>
      <c r="B105" s="120">
        <v>45244.0</v>
      </c>
      <c r="C105" s="93">
        <v>1.701121962131E12</v>
      </c>
      <c r="D105" s="155" t="s">
        <v>578</v>
      </c>
      <c r="E105" s="105" t="s">
        <v>579</v>
      </c>
      <c r="F105" s="121" t="s">
        <v>580</v>
      </c>
      <c r="G105" s="63" t="s">
        <v>30</v>
      </c>
      <c r="H105" s="64">
        <v>1.0</v>
      </c>
      <c r="I105" s="47">
        <f t="shared" si="26"/>
        <v>220000</v>
      </c>
      <c r="J105" s="48">
        <f t="shared" si="18"/>
        <v>220000</v>
      </c>
      <c r="K105" s="76">
        <f t="shared" si="27"/>
        <v>220000</v>
      </c>
      <c r="L105" s="108">
        <v>33000.0</v>
      </c>
      <c r="M105" s="157">
        <v>13000.0</v>
      </c>
      <c r="N105" s="79"/>
      <c r="O105" s="80">
        <f t="shared" si="28"/>
        <v>240000</v>
      </c>
      <c r="P105" s="81" t="s">
        <v>449</v>
      </c>
      <c r="Q105" s="81" t="s">
        <v>31</v>
      </c>
      <c r="R105" s="109"/>
      <c r="S105" s="91"/>
      <c r="T105" s="84" t="s">
        <v>33</v>
      </c>
      <c r="U105" s="122"/>
      <c r="V105" s="122"/>
      <c r="W105" s="122"/>
      <c r="X105" s="106"/>
      <c r="Y105" s="428"/>
      <c r="Z105" s="24"/>
      <c r="AA105" s="107"/>
      <c r="AB105" s="107"/>
      <c r="AC105" s="107"/>
      <c r="AD105" s="106"/>
    </row>
    <row r="106" ht="33.75" customHeight="1">
      <c r="A106" s="160">
        <v>58.0</v>
      </c>
      <c r="B106" s="159">
        <v>45244.0</v>
      </c>
      <c r="C106" s="160" t="s">
        <v>581</v>
      </c>
      <c r="D106" s="163" t="s">
        <v>179</v>
      </c>
      <c r="E106" s="162" t="s">
        <v>582</v>
      </c>
      <c r="F106" s="161" t="s">
        <v>485</v>
      </c>
      <c r="G106" s="164" t="s">
        <v>147</v>
      </c>
      <c r="H106" s="158">
        <v>1.0</v>
      </c>
      <c r="I106" s="165"/>
      <c r="J106" s="166">
        <f t="shared" si="18"/>
        <v>0</v>
      </c>
      <c r="K106" s="167">
        <f t="shared" si="27"/>
        <v>0</v>
      </c>
      <c r="L106" s="172"/>
      <c r="M106" s="168"/>
      <c r="N106" s="168"/>
      <c r="O106" s="169">
        <f t="shared" si="28"/>
        <v>0</v>
      </c>
      <c r="P106" s="186"/>
      <c r="Q106" s="170"/>
      <c r="R106" s="168"/>
      <c r="S106" s="170"/>
      <c r="T106" s="171"/>
      <c r="U106" s="421"/>
      <c r="V106" s="421"/>
      <c r="W106" s="161" t="s">
        <v>201</v>
      </c>
      <c r="X106" s="106"/>
      <c r="Y106" s="428"/>
      <c r="Z106" s="24"/>
      <c r="AA106" s="107"/>
      <c r="AB106" s="107"/>
      <c r="AC106" s="107"/>
      <c r="AD106" s="106"/>
    </row>
    <row r="107" ht="33.75" customHeight="1">
      <c r="A107" s="93">
        <v>59.0</v>
      </c>
      <c r="B107" s="120">
        <v>45244.0</v>
      </c>
      <c r="C107" s="93">
        <v>1.711728984521E12</v>
      </c>
      <c r="D107" s="155" t="s">
        <v>162</v>
      </c>
      <c r="E107" s="105" t="s">
        <v>163</v>
      </c>
      <c r="F107" s="92" t="s">
        <v>583</v>
      </c>
      <c r="G107" s="63" t="s">
        <v>30</v>
      </c>
      <c r="H107" s="64">
        <v>3.0</v>
      </c>
      <c r="I107" s="47">
        <f t="shared" ref="I107:I141" si="29">VLOOKUP(G107,$Y$4:$Z$155,2,0)</f>
        <v>220000</v>
      </c>
      <c r="J107" s="48">
        <f t="shared" si="18"/>
        <v>660000</v>
      </c>
      <c r="K107" s="76">
        <f t="shared" si="27"/>
        <v>660000</v>
      </c>
      <c r="L107" s="65"/>
      <c r="M107" s="78"/>
      <c r="N107" s="79"/>
      <c r="O107" s="80">
        <f t="shared" si="28"/>
        <v>660000</v>
      </c>
      <c r="P107" s="81" t="s">
        <v>449</v>
      </c>
      <c r="Q107" s="81" t="s">
        <v>31</v>
      </c>
      <c r="R107" s="108">
        <v>49002.0</v>
      </c>
      <c r="S107" s="83" t="s">
        <v>32</v>
      </c>
      <c r="T107" s="84" t="s">
        <v>33</v>
      </c>
      <c r="U107" s="122"/>
      <c r="V107" s="122"/>
      <c r="W107" s="122"/>
      <c r="X107" s="106"/>
      <c r="Y107" s="428"/>
      <c r="Z107" s="24"/>
      <c r="AA107" s="107"/>
      <c r="AB107" s="107"/>
      <c r="AC107" s="107"/>
      <c r="AD107" s="106"/>
    </row>
    <row r="108" ht="33.75" customHeight="1">
      <c r="A108" s="93">
        <v>60.0</v>
      </c>
      <c r="B108" s="120">
        <v>45244.0</v>
      </c>
      <c r="C108" s="104" t="s">
        <v>584</v>
      </c>
      <c r="D108" s="92" t="s">
        <v>50</v>
      </c>
      <c r="E108" s="105" t="s">
        <v>585</v>
      </c>
      <c r="F108" s="92" t="s">
        <v>461</v>
      </c>
      <c r="G108" s="63" t="s">
        <v>30</v>
      </c>
      <c r="H108" s="64">
        <v>2.0</v>
      </c>
      <c r="I108" s="47">
        <f t="shared" si="29"/>
        <v>220000</v>
      </c>
      <c r="J108" s="48">
        <f t="shared" si="18"/>
        <v>440000</v>
      </c>
      <c r="K108" s="76">
        <f t="shared" si="27"/>
        <v>440000</v>
      </c>
      <c r="L108" s="65"/>
      <c r="M108" s="78">
        <f>28240</f>
        <v>28240</v>
      </c>
      <c r="N108" s="79"/>
      <c r="O108" s="80">
        <f t="shared" si="28"/>
        <v>411760</v>
      </c>
      <c r="P108" s="81" t="s">
        <v>449</v>
      </c>
      <c r="Q108" s="81" t="s">
        <v>31</v>
      </c>
      <c r="R108" s="109"/>
      <c r="S108" s="91"/>
      <c r="T108" s="84" t="s">
        <v>33</v>
      </c>
      <c r="U108" s="122"/>
      <c r="V108" s="122"/>
      <c r="W108" s="415" t="s">
        <v>53</v>
      </c>
      <c r="X108" s="106"/>
      <c r="Y108" s="428"/>
      <c r="Z108" s="24"/>
      <c r="AA108" s="107"/>
      <c r="AB108" s="107"/>
      <c r="AC108" s="107"/>
      <c r="AD108" s="106"/>
    </row>
    <row r="109" ht="33.75" customHeight="1">
      <c r="A109" s="93">
        <v>61.0</v>
      </c>
      <c r="B109" s="120">
        <v>45244.0</v>
      </c>
      <c r="C109" s="93">
        <v>1.724009483493E12</v>
      </c>
      <c r="D109" s="155" t="s">
        <v>586</v>
      </c>
      <c r="E109" s="105" t="s">
        <v>587</v>
      </c>
      <c r="F109" s="92" t="s">
        <v>588</v>
      </c>
      <c r="G109" s="63" t="s">
        <v>75</v>
      </c>
      <c r="H109" s="64">
        <v>1.0</v>
      </c>
      <c r="I109" s="47">
        <f t="shared" si="29"/>
        <v>45000</v>
      </c>
      <c r="J109" s="48">
        <f t="shared" si="18"/>
        <v>45000</v>
      </c>
      <c r="K109" s="76">
        <f t="shared" si="27"/>
        <v>45000</v>
      </c>
      <c r="L109" s="65"/>
      <c r="M109" s="78"/>
      <c r="N109" s="79"/>
      <c r="O109" s="80">
        <f t="shared" si="28"/>
        <v>45000</v>
      </c>
      <c r="P109" s="81" t="s">
        <v>449</v>
      </c>
      <c r="Q109" s="81" t="s">
        <v>31</v>
      </c>
      <c r="R109" s="109"/>
      <c r="S109" s="91"/>
      <c r="T109" s="84" t="s">
        <v>33</v>
      </c>
      <c r="U109" s="122"/>
      <c r="V109" s="122"/>
      <c r="W109" s="415"/>
      <c r="X109" s="106"/>
      <c r="Y109" s="428"/>
      <c r="Z109" s="24"/>
      <c r="AA109" s="107"/>
      <c r="AB109" s="107"/>
      <c r="AC109" s="107"/>
      <c r="AD109" s="106"/>
    </row>
    <row r="110" ht="33.75" customHeight="1">
      <c r="A110" s="93">
        <v>62.0</v>
      </c>
      <c r="B110" s="120">
        <v>45245.0</v>
      </c>
      <c r="C110" s="104" t="s">
        <v>589</v>
      </c>
      <c r="D110" s="92" t="s">
        <v>50</v>
      </c>
      <c r="E110" s="105" t="s">
        <v>590</v>
      </c>
      <c r="F110" s="92" t="s">
        <v>271</v>
      </c>
      <c r="G110" s="63" t="s">
        <v>30</v>
      </c>
      <c r="H110" s="64">
        <v>1.0</v>
      </c>
      <c r="I110" s="47">
        <f t="shared" si="29"/>
        <v>220000</v>
      </c>
      <c r="J110" s="48">
        <f t="shared" si="18"/>
        <v>220000</v>
      </c>
      <c r="K110" s="76">
        <f t="shared" si="27"/>
        <v>220000</v>
      </c>
      <c r="L110" s="65"/>
      <c r="M110" s="78">
        <f>12916</f>
        <v>12916</v>
      </c>
      <c r="N110" s="79"/>
      <c r="O110" s="80">
        <f t="shared" si="28"/>
        <v>207084</v>
      </c>
      <c r="P110" s="81" t="s">
        <v>449</v>
      </c>
      <c r="Q110" s="81" t="s">
        <v>31</v>
      </c>
      <c r="R110" s="109"/>
      <c r="S110" s="91"/>
      <c r="T110" s="84" t="s">
        <v>33</v>
      </c>
      <c r="U110" s="122"/>
      <c r="V110" s="122"/>
      <c r="W110" s="415" t="s">
        <v>53</v>
      </c>
      <c r="X110" s="106"/>
      <c r="Y110" s="428"/>
      <c r="Z110" s="24"/>
      <c r="AA110" s="107"/>
      <c r="AB110" s="107"/>
      <c r="AC110" s="107"/>
      <c r="AD110" s="106"/>
    </row>
    <row r="111" ht="33.75" customHeight="1">
      <c r="A111" s="93">
        <v>63.0</v>
      </c>
      <c r="B111" s="120">
        <v>45246.0</v>
      </c>
      <c r="C111" s="104">
        <v>1.703502655168E12</v>
      </c>
      <c r="D111" s="155" t="s">
        <v>563</v>
      </c>
      <c r="E111" s="105" t="s">
        <v>564</v>
      </c>
      <c r="F111" s="121" t="s">
        <v>591</v>
      </c>
      <c r="G111" s="63" t="s">
        <v>30</v>
      </c>
      <c r="H111" s="64">
        <v>6.0</v>
      </c>
      <c r="I111" s="47">
        <f t="shared" si="29"/>
        <v>220000</v>
      </c>
      <c r="J111" s="48">
        <f t="shared" si="18"/>
        <v>1320000</v>
      </c>
      <c r="K111" s="76">
        <f t="shared" si="27"/>
        <v>1320000</v>
      </c>
      <c r="L111" s="65"/>
      <c r="M111" s="78"/>
      <c r="N111" s="79"/>
      <c r="O111" s="80">
        <f t="shared" si="28"/>
        <v>1320000</v>
      </c>
      <c r="P111" s="81" t="s">
        <v>449</v>
      </c>
      <c r="Q111" s="81" t="s">
        <v>31</v>
      </c>
      <c r="R111" s="108">
        <v>61003.0</v>
      </c>
      <c r="S111" s="83" t="s">
        <v>32</v>
      </c>
      <c r="T111" s="84" t="s">
        <v>33</v>
      </c>
      <c r="U111" s="122"/>
      <c r="V111" s="122"/>
      <c r="W111" s="415"/>
      <c r="X111" s="106"/>
      <c r="Y111" s="428"/>
      <c r="Z111" s="24"/>
      <c r="AA111" s="107"/>
      <c r="AB111" s="107"/>
      <c r="AC111" s="107"/>
      <c r="AD111" s="106"/>
    </row>
    <row r="112" ht="33.75" customHeight="1">
      <c r="A112" s="93">
        <v>64.0</v>
      </c>
      <c r="B112" s="120">
        <v>45246.0</v>
      </c>
      <c r="C112" s="104" t="s">
        <v>592</v>
      </c>
      <c r="D112" s="92" t="s">
        <v>50</v>
      </c>
      <c r="E112" s="105" t="s">
        <v>593</v>
      </c>
      <c r="F112" s="92" t="s">
        <v>156</v>
      </c>
      <c r="G112" s="63" t="s">
        <v>30</v>
      </c>
      <c r="H112" s="64">
        <v>5.0</v>
      </c>
      <c r="I112" s="47">
        <f t="shared" si="29"/>
        <v>220000</v>
      </c>
      <c r="J112" s="48">
        <f t="shared" si="18"/>
        <v>1100000</v>
      </c>
      <c r="K112" s="76">
        <f t="shared" si="27"/>
        <v>1100000</v>
      </c>
      <c r="L112" s="65"/>
      <c r="M112" s="78">
        <f>174068</f>
        <v>174068</v>
      </c>
      <c r="N112" s="79"/>
      <c r="O112" s="80">
        <f t="shared" si="28"/>
        <v>925932</v>
      </c>
      <c r="P112" s="81" t="s">
        <v>449</v>
      </c>
      <c r="Q112" s="81" t="s">
        <v>31</v>
      </c>
      <c r="R112" s="109"/>
      <c r="S112" s="91"/>
      <c r="T112" s="84" t="s">
        <v>33</v>
      </c>
      <c r="U112" s="122"/>
      <c r="V112" s="122"/>
      <c r="W112" s="415" t="s">
        <v>53</v>
      </c>
      <c r="X112" s="106"/>
      <c r="Y112" s="428"/>
      <c r="Z112" s="24"/>
      <c r="AA112" s="107"/>
      <c r="AB112" s="107"/>
      <c r="AC112" s="107"/>
      <c r="AD112" s="106"/>
    </row>
    <row r="113" ht="33.75" customHeight="1">
      <c r="A113" s="93">
        <v>65.0</v>
      </c>
      <c r="B113" s="120">
        <v>45246.0</v>
      </c>
      <c r="C113" s="104" t="s">
        <v>594</v>
      </c>
      <c r="D113" s="92" t="s">
        <v>50</v>
      </c>
      <c r="E113" s="105" t="s">
        <v>595</v>
      </c>
      <c r="F113" s="92" t="s">
        <v>485</v>
      </c>
      <c r="G113" s="63" t="s">
        <v>30</v>
      </c>
      <c r="H113" s="64">
        <v>3.0</v>
      </c>
      <c r="I113" s="47">
        <f t="shared" si="29"/>
        <v>220000</v>
      </c>
      <c r="J113" s="48">
        <f t="shared" si="18"/>
        <v>660000</v>
      </c>
      <c r="K113" s="76">
        <f t="shared" si="27"/>
        <v>660000</v>
      </c>
      <c r="L113" s="65"/>
      <c r="M113" s="78">
        <f>41124</f>
        <v>41124</v>
      </c>
      <c r="N113" s="79"/>
      <c r="O113" s="80">
        <f t="shared" si="28"/>
        <v>618876</v>
      </c>
      <c r="P113" s="81" t="s">
        <v>449</v>
      </c>
      <c r="Q113" s="81" t="s">
        <v>31</v>
      </c>
      <c r="R113" s="109"/>
      <c r="S113" s="91"/>
      <c r="T113" s="84" t="s">
        <v>33</v>
      </c>
      <c r="U113" s="122"/>
      <c r="V113" s="122"/>
      <c r="W113" s="415" t="s">
        <v>53</v>
      </c>
      <c r="X113" s="106"/>
      <c r="Y113" s="428"/>
      <c r="Z113" s="24"/>
      <c r="AA113" s="107"/>
      <c r="AB113" s="107"/>
      <c r="AC113" s="107"/>
      <c r="AD113" s="106"/>
    </row>
    <row r="114" ht="33.75" customHeight="1">
      <c r="A114" s="93">
        <v>66.0</v>
      </c>
      <c r="B114" s="120">
        <v>45246.0</v>
      </c>
      <c r="C114" s="93">
        <v>1.704274423026E12</v>
      </c>
      <c r="D114" s="155" t="s">
        <v>596</v>
      </c>
      <c r="E114" s="105" t="s">
        <v>597</v>
      </c>
      <c r="F114" s="92" t="s">
        <v>598</v>
      </c>
      <c r="G114" s="63" t="s">
        <v>30</v>
      </c>
      <c r="H114" s="64">
        <v>2.0</v>
      </c>
      <c r="I114" s="47">
        <f t="shared" si="29"/>
        <v>220000</v>
      </c>
      <c r="J114" s="48">
        <f t="shared" si="18"/>
        <v>440000</v>
      </c>
      <c r="K114" s="76">
        <f t="shared" si="27"/>
        <v>440000</v>
      </c>
      <c r="L114" s="108">
        <v>43001.0</v>
      </c>
      <c r="M114" s="157">
        <v>13001.0</v>
      </c>
      <c r="N114" s="79"/>
      <c r="O114" s="80">
        <f t="shared" si="28"/>
        <v>470000</v>
      </c>
      <c r="P114" s="81" t="s">
        <v>449</v>
      </c>
      <c r="Q114" s="81" t="s">
        <v>31</v>
      </c>
      <c r="R114" s="109"/>
      <c r="S114" s="91"/>
      <c r="T114" s="84" t="s">
        <v>33</v>
      </c>
      <c r="U114" s="122"/>
      <c r="V114" s="122"/>
      <c r="W114" s="122"/>
      <c r="X114" s="106"/>
      <c r="Y114" s="428"/>
      <c r="Z114" s="24"/>
      <c r="AA114" s="107"/>
      <c r="AB114" s="107"/>
      <c r="AC114" s="107"/>
      <c r="AD114" s="106"/>
    </row>
    <row r="115" ht="33.75" customHeight="1">
      <c r="A115" s="111">
        <v>67.0</v>
      </c>
      <c r="B115" s="40">
        <v>45246.0</v>
      </c>
      <c r="C115" s="111">
        <v>1.724941327102E12</v>
      </c>
      <c r="D115" s="148" t="s">
        <v>44</v>
      </c>
      <c r="E115" s="143" t="s">
        <v>45</v>
      </c>
      <c r="F115" s="142" t="s">
        <v>324</v>
      </c>
      <c r="G115" s="63" t="s">
        <v>30</v>
      </c>
      <c r="H115" s="64">
        <v>6.0</v>
      </c>
      <c r="I115" s="47">
        <f t="shared" si="29"/>
        <v>220000</v>
      </c>
      <c r="J115" s="48">
        <f t="shared" si="18"/>
        <v>1320000</v>
      </c>
      <c r="K115" s="49">
        <f>SUM(J115:J116)</f>
        <v>2200000</v>
      </c>
      <c r="L115" s="146"/>
      <c r="M115" s="51"/>
      <c r="N115" s="52"/>
      <c r="O115" s="53">
        <f t="shared" si="28"/>
        <v>2200000</v>
      </c>
      <c r="P115" s="99" t="s">
        <v>449</v>
      </c>
      <c r="Q115" s="99" t="s">
        <v>31</v>
      </c>
      <c r="R115" s="145">
        <v>78004.0</v>
      </c>
      <c r="S115" s="56" t="s">
        <v>32</v>
      </c>
      <c r="T115" s="57" t="s">
        <v>33</v>
      </c>
      <c r="U115" s="147"/>
      <c r="V115" s="147"/>
      <c r="W115" s="147"/>
      <c r="X115" s="106"/>
      <c r="Y115" s="428"/>
      <c r="Z115" s="24"/>
      <c r="AA115" s="107"/>
      <c r="AB115" s="107"/>
      <c r="AC115" s="107"/>
      <c r="AD115" s="106"/>
    </row>
    <row r="116" ht="33.75" customHeight="1">
      <c r="A116" s="67"/>
      <c r="B116" s="67"/>
      <c r="C116" s="67"/>
      <c r="D116" s="67"/>
      <c r="E116" s="67"/>
      <c r="F116" s="67"/>
      <c r="G116" s="63" t="s">
        <v>47</v>
      </c>
      <c r="H116" s="64">
        <v>4.0</v>
      </c>
      <c r="I116" s="47">
        <f t="shared" si="29"/>
        <v>220000</v>
      </c>
      <c r="J116" s="48">
        <f t="shared" si="18"/>
        <v>880000</v>
      </c>
      <c r="K116" s="67"/>
      <c r="L116" s="67"/>
      <c r="M116" s="67"/>
      <c r="N116" s="67"/>
      <c r="O116" s="67"/>
      <c r="P116" s="67"/>
      <c r="Q116" s="67"/>
      <c r="R116" s="67"/>
      <c r="S116" s="67"/>
      <c r="T116" s="67"/>
      <c r="U116" s="67"/>
      <c r="V116" s="67"/>
      <c r="W116" s="67"/>
      <c r="X116" s="106"/>
      <c r="Y116" s="428"/>
      <c r="Z116" s="24"/>
      <c r="AA116" s="107"/>
      <c r="AB116" s="107"/>
      <c r="AC116" s="107"/>
      <c r="AD116" s="106"/>
    </row>
    <row r="117" ht="33.75" customHeight="1">
      <c r="A117" s="93">
        <v>68.0</v>
      </c>
      <c r="B117" s="120">
        <v>45247.0</v>
      </c>
      <c r="C117" s="104" t="s">
        <v>599</v>
      </c>
      <c r="D117" s="92" t="s">
        <v>50</v>
      </c>
      <c r="E117" s="105" t="s">
        <v>600</v>
      </c>
      <c r="F117" s="92" t="s">
        <v>464</v>
      </c>
      <c r="G117" s="63" t="s">
        <v>30</v>
      </c>
      <c r="H117" s="64">
        <v>1.0</v>
      </c>
      <c r="I117" s="47">
        <f t="shared" si="29"/>
        <v>220000</v>
      </c>
      <c r="J117" s="48">
        <f t="shared" si="18"/>
        <v>220000</v>
      </c>
      <c r="K117" s="76">
        <f t="shared" ref="K117:K119" si="30">sum(J117)</f>
        <v>220000</v>
      </c>
      <c r="L117" s="65"/>
      <c r="M117" s="78">
        <f t="shared" ref="M117:M118" si="31">K117*5%</f>
        <v>11000</v>
      </c>
      <c r="N117" s="79"/>
      <c r="O117" s="80">
        <f t="shared" ref="O117:O120" si="32">K117+L117-M117-N117</f>
        <v>209000</v>
      </c>
      <c r="P117" s="81"/>
      <c r="Q117" s="176"/>
      <c r="R117" s="109"/>
      <c r="S117" s="91"/>
      <c r="T117" s="183"/>
      <c r="U117" s="122"/>
      <c r="V117" s="122"/>
      <c r="W117" s="415" t="s">
        <v>53</v>
      </c>
      <c r="X117" s="106"/>
      <c r="Y117" s="428"/>
      <c r="Z117" s="24"/>
      <c r="AA117" s="107"/>
      <c r="AB117" s="107"/>
      <c r="AC117" s="107"/>
      <c r="AD117" s="106"/>
    </row>
    <row r="118" ht="33.75" customHeight="1">
      <c r="A118" s="93">
        <v>69.0</v>
      </c>
      <c r="B118" s="120">
        <v>45247.0</v>
      </c>
      <c r="C118" s="104" t="s">
        <v>601</v>
      </c>
      <c r="D118" s="92" t="s">
        <v>50</v>
      </c>
      <c r="E118" s="105" t="s">
        <v>602</v>
      </c>
      <c r="F118" s="92" t="s">
        <v>119</v>
      </c>
      <c r="G118" s="63" t="s">
        <v>30</v>
      </c>
      <c r="H118" s="64">
        <v>2.0</v>
      </c>
      <c r="I118" s="47">
        <f t="shared" si="29"/>
        <v>220000</v>
      </c>
      <c r="J118" s="48">
        <f t="shared" si="18"/>
        <v>440000</v>
      </c>
      <c r="K118" s="76">
        <f t="shared" si="30"/>
        <v>440000</v>
      </c>
      <c r="L118" s="65"/>
      <c r="M118" s="78">
        <f t="shared" si="31"/>
        <v>22000</v>
      </c>
      <c r="N118" s="79"/>
      <c r="O118" s="80">
        <f t="shared" si="32"/>
        <v>418000</v>
      </c>
      <c r="P118" s="81"/>
      <c r="Q118" s="176"/>
      <c r="R118" s="108"/>
      <c r="S118" s="83"/>
      <c r="T118" s="183"/>
      <c r="U118" s="122"/>
      <c r="V118" s="122"/>
      <c r="W118" s="415" t="s">
        <v>53</v>
      </c>
      <c r="X118" s="106"/>
      <c r="Y118" s="428"/>
      <c r="Z118" s="24"/>
      <c r="AA118" s="107"/>
      <c r="AB118" s="107"/>
      <c r="AC118" s="107"/>
      <c r="AD118" s="106"/>
    </row>
    <row r="119" ht="33.75" customHeight="1">
      <c r="A119" s="93">
        <v>70.0</v>
      </c>
      <c r="B119" s="120">
        <v>45247.0</v>
      </c>
      <c r="C119" s="104">
        <v>1.713827471945E12</v>
      </c>
      <c r="D119" s="155" t="s">
        <v>603</v>
      </c>
      <c r="E119" s="105" t="s">
        <v>604</v>
      </c>
      <c r="F119" s="92" t="s">
        <v>605</v>
      </c>
      <c r="G119" s="63" t="s">
        <v>30</v>
      </c>
      <c r="H119" s="64">
        <v>10.0</v>
      </c>
      <c r="I119" s="47">
        <f t="shared" si="29"/>
        <v>220000</v>
      </c>
      <c r="J119" s="48">
        <f t="shared" si="18"/>
        <v>2200000</v>
      </c>
      <c r="K119" s="76">
        <f t="shared" si="30"/>
        <v>2200000</v>
      </c>
      <c r="L119" s="65"/>
      <c r="M119" s="78"/>
      <c r="N119" s="79"/>
      <c r="O119" s="80">
        <f t="shared" si="32"/>
        <v>2200000</v>
      </c>
      <c r="P119" s="81" t="s">
        <v>449</v>
      </c>
      <c r="Q119" s="81" t="s">
        <v>31</v>
      </c>
      <c r="R119" s="108">
        <v>69003.0</v>
      </c>
      <c r="S119" s="83" t="s">
        <v>32</v>
      </c>
      <c r="T119" s="84" t="s">
        <v>33</v>
      </c>
      <c r="U119" s="122"/>
      <c r="V119" s="122"/>
      <c r="W119" s="122"/>
      <c r="X119" s="106"/>
      <c r="Y119" s="428"/>
      <c r="Z119" s="24"/>
      <c r="AA119" s="107"/>
      <c r="AB119" s="107"/>
      <c r="AC119" s="107"/>
      <c r="AD119" s="106"/>
    </row>
    <row r="120" ht="33.75" customHeight="1">
      <c r="A120" s="111">
        <v>71.0</v>
      </c>
      <c r="B120" s="40">
        <v>45247.0</v>
      </c>
      <c r="C120" s="152">
        <v>1.729083785724E12</v>
      </c>
      <c r="D120" s="142" t="s">
        <v>606</v>
      </c>
      <c r="E120" s="143" t="s">
        <v>607</v>
      </c>
      <c r="F120" s="142" t="s">
        <v>608</v>
      </c>
      <c r="G120" s="63" t="s">
        <v>35</v>
      </c>
      <c r="H120" s="64">
        <v>2.0</v>
      </c>
      <c r="I120" s="47">
        <f t="shared" si="29"/>
        <v>220000</v>
      </c>
      <c r="J120" s="48">
        <f t="shared" si="18"/>
        <v>440000</v>
      </c>
      <c r="K120" s="49">
        <f>SUM(J120:J121)</f>
        <v>660000</v>
      </c>
      <c r="L120" s="146"/>
      <c r="M120" s="51"/>
      <c r="N120" s="52"/>
      <c r="O120" s="53">
        <f t="shared" si="32"/>
        <v>660000</v>
      </c>
      <c r="P120" s="99" t="s">
        <v>449</v>
      </c>
      <c r="Q120" s="99" t="s">
        <v>31</v>
      </c>
      <c r="R120" s="145">
        <v>49002.0</v>
      </c>
      <c r="S120" s="56" t="s">
        <v>32</v>
      </c>
      <c r="T120" s="57" t="s">
        <v>33</v>
      </c>
      <c r="U120" s="147"/>
      <c r="V120" s="147"/>
      <c r="W120" s="147"/>
      <c r="X120" s="106"/>
      <c r="Y120" s="428"/>
      <c r="Z120" s="24"/>
      <c r="AA120" s="107"/>
      <c r="AB120" s="107"/>
      <c r="AC120" s="107"/>
      <c r="AD120" s="106"/>
    </row>
    <row r="121" ht="33.75" customHeight="1">
      <c r="A121" s="67"/>
      <c r="B121" s="67"/>
      <c r="C121" s="67"/>
      <c r="D121" s="67"/>
      <c r="E121" s="67"/>
      <c r="F121" s="67"/>
      <c r="G121" s="63" t="s">
        <v>122</v>
      </c>
      <c r="H121" s="64">
        <v>1.0</v>
      </c>
      <c r="I121" s="47">
        <f t="shared" si="29"/>
        <v>220000</v>
      </c>
      <c r="J121" s="48">
        <f t="shared" si="18"/>
        <v>220000</v>
      </c>
      <c r="K121" s="67"/>
      <c r="L121" s="67"/>
      <c r="M121" s="67"/>
      <c r="N121" s="67"/>
      <c r="O121" s="67"/>
      <c r="P121" s="67"/>
      <c r="Q121" s="67"/>
      <c r="R121" s="67"/>
      <c r="S121" s="67"/>
      <c r="T121" s="67"/>
      <c r="U121" s="67"/>
      <c r="V121" s="67"/>
      <c r="W121" s="67"/>
      <c r="X121" s="106"/>
      <c r="Y121" s="428"/>
      <c r="Z121" s="24"/>
      <c r="AA121" s="107"/>
      <c r="AB121" s="107"/>
      <c r="AC121" s="107"/>
      <c r="AD121" s="106"/>
    </row>
    <row r="122" ht="33.75" customHeight="1">
      <c r="A122" s="111">
        <v>72.0</v>
      </c>
      <c r="B122" s="40">
        <v>45248.0</v>
      </c>
      <c r="C122" s="152" t="s">
        <v>609</v>
      </c>
      <c r="D122" s="142" t="s">
        <v>50</v>
      </c>
      <c r="E122" s="143" t="s">
        <v>610</v>
      </c>
      <c r="F122" s="142" t="s">
        <v>119</v>
      </c>
      <c r="G122" s="63" t="s">
        <v>30</v>
      </c>
      <c r="H122" s="64">
        <v>1.0</v>
      </c>
      <c r="I122" s="47">
        <f t="shared" si="29"/>
        <v>220000</v>
      </c>
      <c r="J122" s="48">
        <f t="shared" si="18"/>
        <v>220000</v>
      </c>
      <c r="K122" s="49">
        <f>sum(J122:J123)</f>
        <v>440000</v>
      </c>
      <c r="L122" s="146"/>
      <c r="M122" s="51">
        <f>K122*5%</f>
        <v>22000</v>
      </c>
      <c r="N122" s="52"/>
      <c r="O122" s="53">
        <f>K122+L122-M122-N122</f>
        <v>418000</v>
      </c>
      <c r="P122" s="99"/>
      <c r="Q122" s="196"/>
      <c r="R122" s="144"/>
      <c r="S122" s="119"/>
      <c r="T122" s="197"/>
      <c r="U122" s="147"/>
      <c r="V122" s="147"/>
      <c r="W122" s="425" t="s">
        <v>53</v>
      </c>
      <c r="X122" s="106"/>
      <c r="Y122" s="428"/>
      <c r="Z122" s="24"/>
      <c r="AA122" s="107"/>
      <c r="AB122" s="107"/>
      <c r="AC122" s="107"/>
      <c r="AD122" s="106"/>
    </row>
    <row r="123" ht="33.75" customHeight="1">
      <c r="A123" s="67"/>
      <c r="B123" s="67"/>
      <c r="C123" s="67"/>
      <c r="D123" s="67"/>
      <c r="E123" s="67"/>
      <c r="F123" s="67"/>
      <c r="G123" s="63" t="s">
        <v>35</v>
      </c>
      <c r="H123" s="64">
        <v>1.0</v>
      </c>
      <c r="I123" s="47">
        <f t="shared" si="29"/>
        <v>220000</v>
      </c>
      <c r="J123" s="48">
        <f t="shared" si="18"/>
        <v>220000</v>
      </c>
      <c r="K123" s="67"/>
      <c r="L123" s="67"/>
      <c r="M123" s="67"/>
      <c r="N123" s="67"/>
      <c r="O123" s="67"/>
      <c r="P123" s="67"/>
      <c r="Q123" s="67"/>
      <c r="R123" s="67"/>
      <c r="S123" s="67"/>
      <c r="T123" s="67"/>
      <c r="U123" s="67"/>
      <c r="V123" s="67"/>
      <c r="W123" s="67"/>
      <c r="X123" s="106"/>
      <c r="Y123" s="428"/>
      <c r="Z123" s="24"/>
      <c r="AA123" s="107"/>
      <c r="AB123" s="107"/>
      <c r="AC123" s="107"/>
      <c r="AD123" s="106"/>
    </row>
    <row r="124" ht="33.75" customHeight="1">
      <c r="A124" s="93">
        <v>73.0</v>
      </c>
      <c r="B124" s="120">
        <v>45248.0</v>
      </c>
      <c r="C124" s="65" t="s">
        <v>611</v>
      </c>
      <c r="D124" s="92" t="s">
        <v>179</v>
      </c>
      <c r="E124" s="105" t="s">
        <v>612</v>
      </c>
      <c r="F124" s="92" t="s">
        <v>613</v>
      </c>
      <c r="G124" s="63" t="s">
        <v>30</v>
      </c>
      <c r="H124" s="64">
        <v>1.0</v>
      </c>
      <c r="I124" s="47">
        <f t="shared" si="29"/>
        <v>220000</v>
      </c>
      <c r="J124" s="48">
        <f t="shared" si="18"/>
        <v>220000</v>
      </c>
      <c r="K124" s="76">
        <f t="shared" ref="K124:K130" si="33">sum(J124)</f>
        <v>220000</v>
      </c>
      <c r="L124" s="65"/>
      <c r="M124" s="78"/>
      <c r="N124" s="79"/>
      <c r="O124" s="80">
        <f t="shared" ref="O124:O135" si="34">K124+L124-M124-N124</f>
        <v>220000</v>
      </c>
      <c r="P124" s="81"/>
      <c r="Q124" s="176"/>
      <c r="R124" s="109"/>
      <c r="S124" s="91"/>
      <c r="T124" s="183"/>
      <c r="U124" s="122"/>
      <c r="V124" s="122"/>
      <c r="W124" s="92" t="s">
        <v>614</v>
      </c>
      <c r="X124" s="106"/>
      <c r="Y124" s="428"/>
      <c r="Z124" s="24"/>
      <c r="AA124" s="107"/>
      <c r="AB124" s="107"/>
      <c r="AC124" s="107"/>
      <c r="AD124" s="106"/>
    </row>
    <row r="125" ht="33.75" customHeight="1">
      <c r="A125" s="93">
        <v>74.0</v>
      </c>
      <c r="B125" s="120">
        <v>45248.0</v>
      </c>
      <c r="C125" s="65" t="s">
        <v>615</v>
      </c>
      <c r="D125" s="92" t="s">
        <v>179</v>
      </c>
      <c r="E125" s="105" t="s">
        <v>616</v>
      </c>
      <c r="F125" s="92" t="s">
        <v>65</v>
      </c>
      <c r="G125" s="63" t="s">
        <v>30</v>
      </c>
      <c r="H125" s="64">
        <v>1.0</v>
      </c>
      <c r="I125" s="47">
        <f t="shared" si="29"/>
        <v>220000</v>
      </c>
      <c r="J125" s="48">
        <f t="shared" si="18"/>
        <v>220000</v>
      </c>
      <c r="K125" s="76">
        <f t="shared" si="33"/>
        <v>220000</v>
      </c>
      <c r="L125" s="65"/>
      <c r="M125" s="78"/>
      <c r="N125" s="79"/>
      <c r="O125" s="80">
        <f t="shared" si="34"/>
        <v>220000</v>
      </c>
      <c r="P125" s="81"/>
      <c r="Q125" s="176"/>
      <c r="R125" s="109"/>
      <c r="S125" s="91"/>
      <c r="T125" s="183"/>
      <c r="U125" s="122"/>
      <c r="V125" s="122"/>
      <c r="W125" s="92" t="s">
        <v>614</v>
      </c>
      <c r="X125" s="106"/>
      <c r="Y125" s="428"/>
      <c r="Z125" s="24"/>
      <c r="AA125" s="107"/>
      <c r="AB125" s="107"/>
      <c r="AC125" s="107"/>
      <c r="AD125" s="106"/>
    </row>
    <row r="126" ht="33.75" customHeight="1">
      <c r="A126" s="93">
        <v>75.0</v>
      </c>
      <c r="B126" s="120">
        <v>45250.0</v>
      </c>
      <c r="C126" s="93">
        <v>1.723379929291E12</v>
      </c>
      <c r="D126" s="155" t="s">
        <v>617</v>
      </c>
      <c r="E126" s="105" t="s">
        <v>618</v>
      </c>
      <c r="F126" s="92" t="s">
        <v>619</v>
      </c>
      <c r="G126" s="63" t="s">
        <v>30</v>
      </c>
      <c r="H126" s="64">
        <v>2.0</v>
      </c>
      <c r="I126" s="47">
        <f t="shared" si="29"/>
        <v>220000</v>
      </c>
      <c r="J126" s="48">
        <f t="shared" si="18"/>
        <v>440000</v>
      </c>
      <c r="K126" s="76">
        <f t="shared" si="33"/>
        <v>440000</v>
      </c>
      <c r="L126" s="108">
        <v>43001.0</v>
      </c>
      <c r="M126" s="157">
        <v>13001.0</v>
      </c>
      <c r="N126" s="79"/>
      <c r="O126" s="80">
        <f t="shared" si="34"/>
        <v>470000</v>
      </c>
      <c r="P126" s="81" t="s">
        <v>449</v>
      </c>
      <c r="Q126" s="81" t="s">
        <v>31</v>
      </c>
      <c r="R126" s="109"/>
      <c r="S126" s="91"/>
      <c r="T126" s="84" t="s">
        <v>33</v>
      </c>
      <c r="U126" s="122"/>
      <c r="V126" s="122"/>
      <c r="W126" s="122"/>
      <c r="X126" s="106"/>
      <c r="Y126" s="428"/>
      <c r="Z126" s="24"/>
      <c r="AA126" s="107"/>
      <c r="AB126" s="107"/>
      <c r="AC126" s="107"/>
      <c r="AD126" s="106"/>
    </row>
    <row r="127" ht="33.75" customHeight="1">
      <c r="A127" s="93">
        <v>76.0</v>
      </c>
      <c r="B127" s="120">
        <v>45250.0</v>
      </c>
      <c r="C127" s="93">
        <v>1.723434073164E12</v>
      </c>
      <c r="D127" s="155" t="s">
        <v>620</v>
      </c>
      <c r="E127" s="105" t="s">
        <v>621</v>
      </c>
      <c r="F127" s="92" t="s">
        <v>622</v>
      </c>
      <c r="G127" s="63" t="s">
        <v>30</v>
      </c>
      <c r="H127" s="64">
        <v>1.0</v>
      </c>
      <c r="I127" s="47">
        <f t="shared" si="29"/>
        <v>220000</v>
      </c>
      <c r="J127" s="48">
        <f t="shared" si="18"/>
        <v>220000</v>
      </c>
      <c r="K127" s="76">
        <f t="shared" si="33"/>
        <v>220000</v>
      </c>
      <c r="L127" s="108">
        <v>33000.0</v>
      </c>
      <c r="M127" s="157">
        <v>13000.0</v>
      </c>
      <c r="N127" s="79"/>
      <c r="O127" s="80">
        <f t="shared" si="34"/>
        <v>240000</v>
      </c>
      <c r="P127" s="81"/>
      <c r="Q127" s="176"/>
      <c r="R127" s="109"/>
      <c r="S127" s="91"/>
      <c r="T127" s="183"/>
      <c r="U127" s="122"/>
      <c r="V127" s="122"/>
      <c r="W127" s="122"/>
      <c r="X127" s="106"/>
      <c r="Y127" s="428"/>
      <c r="Z127" s="24"/>
      <c r="AA127" s="107"/>
      <c r="AB127" s="107"/>
      <c r="AC127" s="107"/>
      <c r="AD127" s="106"/>
    </row>
    <row r="128" ht="33.75" customHeight="1">
      <c r="A128" s="93">
        <v>77.0</v>
      </c>
      <c r="B128" s="120">
        <v>45250.0</v>
      </c>
      <c r="C128" s="104" t="s">
        <v>623</v>
      </c>
      <c r="D128" s="92" t="s">
        <v>50</v>
      </c>
      <c r="E128" s="447" t="s">
        <v>624</v>
      </c>
      <c r="F128" s="432" t="s">
        <v>119</v>
      </c>
      <c r="G128" s="63" t="s">
        <v>30</v>
      </c>
      <c r="H128" s="64">
        <v>1.0</v>
      </c>
      <c r="I128" s="47">
        <f t="shared" si="29"/>
        <v>220000</v>
      </c>
      <c r="J128" s="48">
        <f t="shared" si="18"/>
        <v>220000</v>
      </c>
      <c r="K128" s="76">
        <f t="shared" si="33"/>
        <v>220000</v>
      </c>
      <c r="L128" s="109"/>
      <c r="M128" s="78">
        <f t="shared" ref="M128:M131" si="35">K128*5%</f>
        <v>11000</v>
      </c>
      <c r="N128" s="79"/>
      <c r="O128" s="80">
        <f t="shared" si="34"/>
        <v>209000</v>
      </c>
      <c r="P128" s="81"/>
      <c r="Q128" s="176"/>
      <c r="R128" s="109"/>
      <c r="S128" s="91"/>
      <c r="T128" s="183"/>
      <c r="U128" s="122"/>
      <c r="V128" s="122"/>
      <c r="W128" s="415" t="s">
        <v>53</v>
      </c>
      <c r="X128" s="106"/>
      <c r="Y128" s="428"/>
      <c r="Z128" s="24"/>
      <c r="AA128" s="107"/>
      <c r="AB128" s="107"/>
      <c r="AC128" s="107"/>
      <c r="AD128" s="106"/>
    </row>
    <row r="129" ht="33.75" customHeight="1">
      <c r="A129" s="93">
        <v>78.0</v>
      </c>
      <c r="B129" s="120">
        <v>45250.0</v>
      </c>
      <c r="C129" s="104" t="s">
        <v>625</v>
      </c>
      <c r="D129" s="92" t="s">
        <v>50</v>
      </c>
      <c r="E129" s="447" t="s">
        <v>626</v>
      </c>
      <c r="F129" s="432" t="s">
        <v>119</v>
      </c>
      <c r="G129" s="63" t="s">
        <v>30</v>
      </c>
      <c r="H129" s="64">
        <v>1.0</v>
      </c>
      <c r="I129" s="47">
        <f t="shared" si="29"/>
        <v>220000</v>
      </c>
      <c r="J129" s="48">
        <f t="shared" si="18"/>
        <v>220000</v>
      </c>
      <c r="K129" s="76">
        <f t="shared" si="33"/>
        <v>220000</v>
      </c>
      <c r="L129" s="109"/>
      <c r="M129" s="78">
        <f t="shared" si="35"/>
        <v>11000</v>
      </c>
      <c r="N129" s="79"/>
      <c r="O129" s="80">
        <f t="shared" si="34"/>
        <v>209000</v>
      </c>
      <c r="P129" s="81"/>
      <c r="Q129" s="176"/>
      <c r="R129" s="109"/>
      <c r="S129" s="91"/>
      <c r="T129" s="183"/>
      <c r="U129" s="122"/>
      <c r="V129" s="122"/>
      <c r="W129" s="415" t="s">
        <v>53</v>
      </c>
      <c r="X129" s="106"/>
      <c r="Y129" s="428"/>
      <c r="Z129" s="24"/>
      <c r="AA129" s="107"/>
      <c r="AB129" s="107"/>
      <c r="AC129" s="107"/>
      <c r="AD129" s="106"/>
    </row>
    <row r="130" ht="33.75" customHeight="1">
      <c r="A130" s="93">
        <v>79.0</v>
      </c>
      <c r="B130" s="120">
        <v>45250.0</v>
      </c>
      <c r="C130" s="104" t="s">
        <v>627</v>
      </c>
      <c r="D130" s="92" t="s">
        <v>50</v>
      </c>
      <c r="E130" s="447" t="s">
        <v>628</v>
      </c>
      <c r="F130" s="432" t="s">
        <v>548</v>
      </c>
      <c r="G130" s="63" t="s">
        <v>30</v>
      </c>
      <c r="H130" s="64">
        <v>1.0</v>
      </c>
      <c r="I130" s="47">
        <f t="shared" si="29"/>
        <v>220000</v>
      </c>
      <c r="J130" s="48">
        <f t="shared" si="18"/>
        <v>220000</v>
      </c>
      <c r="K130" s="76">
        <f t="shared" si="33"/>
        <v>220000</v>
      </c>
      <c r="L130" s="109"/>
      <c r="M130" s="78">
        <f t="shared" si="35"/>
        <v>11000</v>
      </c>
      <c r="N130" s="79"/>
      <c r="O130" s="80">
        <f t="shared" si="34"/>
        <v>209000</v>
      </c>
      <c r="P130" s="81"/>
      <c r="Q130" s="176"/>
      <c r="R130" s="109"/>
      <c r="S130" s="91"/>
      <c r="T130" s="183"/>
      <c r="U130" s="122"/>
      <c r="V130" s="122"/>
      <c r="W130" s="415" t="s">
        <v>53</v>
      </c>
      <c r="X130" s="106"/>
      <c r="Y130" s="428"/>
      <c r="Z130" s="24"/>
      <c r="AA130" s="107"/>
      <c r="AB130" s="107"/>
      <c r="AC130" s="107"/>
      <c r="AD130" s="106"/>
    </row>
    <row r="131" ht="33.75" customHeight="1">
      <c r="A131" s="93">
        <v>80.0</v>
      </c>
      <c r="B131" s="120">
        <v>45250.0</v>
      </c>
      <c r="C131" s="104" t="s">
        <v>629</v>
      </c>
      <c r="D131" s="92" t="s">
        <v>50</v>
      </c>
      <c r="E131" s="105" t="s">
        <v>630</v>
      </c>
      <c r="F131" s="92" t="s">
        <v>613</v>
      </c>
      <c r="G131" s="63" t="s">
        <v>112</v>
      </c>
      <c r="H131" s="64">
        <v>2.0</v>
      </c>
      <c r="I131" s="47">
        <f t="shared" si="29"/>
        <v>160000</v>
      </c>
      <c r="J131" s="48">
        <f t="shared" si="18"/>
        <v>320000</v>
      </c>
      <c r="K131" s="76">
        <f>SUM(J131)</f>
        <v>320000</v>
      </c>
      <c r="L131" s="109"/>
      <c r="M131" s="78">
        <f t="shared" si="35"/>
        <v>16000</v>
      </c>
      <c r="N131" s="79"/>
      <c r="O131" s="80">
        <f t="shared" si="34"/>
        <v>304000</v>
      </c>
      <c r="P131" s="81"/>
      <c r="Q131" s="176"/>
      <c r="R131" s="109"/>
      <c r="S131" s="91"/>
      <c r="T131" s="183"/>
      <c r="U131" s="122"/>
      <c r="V131" s="122"/>
      <c r="W131" s="415" t="s">
        <v>53</v>
      </c>
      <c r="X131" s="106"/>
      <c r="Y131" s="428"/>
      <c r="Z131" s="24"/>
      <c r="AA131" s="107"/>
      <c r="AB131" s="107"/>
      <c r="AC131" s="107"/>
      <c r="AD131" s="106"/>
    </row>
    <row r="132" ht="33.75" customHeight="1">
      <c r="A132" s="93">
        <v>81.0</v>
      </c>
      <c r="B132" s="120">
        <v>45250.0</v>
      </c>
      <c r="C132" s="104" t="s">
        <v>631</v>
      </c>
      <c r="D132" s="92" t="s">
        <v>118</v>
      </c>
      <c r="E132" s="93"/>
      <c r="F132" s="92" t="s">
        <v>74</v>
      </c>
      <c r="G132" s="63" t="s">
        <v>30</v>
      </c>
      <c r="H132" s="64">
        <v>1.0</v>
      </c>
      <c r="I132" s="47">
        <f t="shared" si="29"/>
        <v>220000</v>
      </c>
      <c r="J132" s="48">
        <f t="shared" si="18"/>
        <v>220000</v>
      </c>
      <c r="K132" s="76">
        <f t="shared" ref="K132:K133" si="36">sum(J132)</f>
        <v>220000</v>
      </c>
      <c r="L132" s="109"/>
      <c r="M132" s="78"/>
      <c r="N132" s="79"/>
      <c r="O132" s="80">
        <f t="shared" si="34"/>
        <v>220000</v>
      </c>
      <c r="P132" s="81"/>
      <c r="Q132" s="176"/>
      <c r="R132" s="109"/>
      <c r="S132" s="91"/>
      <c r="T132" s="183"/>
      <c r="U132" s="122"/>
      <c r="V132" s="122"/>
      <c r="W132" s="415" t="s">
        <v>120</v>
      </c>
      <c r="X132" s="106"/>
      <c r="Y132" s="428"/>
      <c r="Z132" s="24"/>
      <c r="AA132" s="107"/>
      <c r="AB132" s="107"/>
      <c r="AC132" s="107"/>
      <c r="AD132" s="106"/>
    </row>
    <row r="133" ht="33.75" customHeight="1">
      <c r="A133" s="93">
        <v>82.0</v>
      </c>
      <c r="B133" s="120">
        <v>45251.0</v>
      </c>
      <c r="C133" s="104" t="s">
        <v>632</v>
      </c>
      <c r="D133" s="92" t="s">
        <v>50</v>
      </c>
      <c r="E133" s="105" t="s">
        <v>633</v>
      </c>
      <c r="F133" s="92" t="s">
        <v>180</v>
      </c>
      <c r="G133" s="63" t="s">
        <v>30</v>
      </c>
      <c r="H133" s="64">
        <v>1.0</v>
      </c>
      <c r="I133" s="47">
        <f t="shared" si="29"/>
        <v>220000</v>
      </c>
      <c r="J133" s="48">
        <f t="shared" si="18"/>
        <v>220000</v>
      </c>
      <c r="K133" s="76">
        <f t="shared" si="36"/>
        <v>220000</v>
      </c>
      <c r="L133" s="109"/>
      <c r="M133" s="78">
        <f t="shared" ref="M133:M134" si="37">K133*5%</f>
        <v>11000</v>
      </c>
      <c r="N133" s="79"/>
      <c r="O133" s="80">
        <f t="shared" si="34"/>
        <v>209000</v>
      </c>
      <c r="P133" s="81"/>
      <c r="Q133" s="176"/>
      <c r="R133" s="109"/>
      <c r="S133" s="91"/>
      <c r="T133" s="183"/>
      <c r="U133" s="122"/>
      <c r="V133" s="122"/>
      <c r="W133" s="415" t="s">
        <v>53</v>
      </c>
      <c r="X133" s="106"/>
      <c r="Y133" s="428"/>
      <c r="Z133" s="24"/>
      <c r="AA133" s="107"/>
      <c r="AB133" s="107"/>
      <c r="AC133" s="107"/>
      <c r="AD133" s="106"/>
    </row>
    <row r="134" ht="33.75" customHeight="1">
      <c r="A134" s="93">
        <v>83.0</v>
      </c>
      <c r="B134" s="120">
        <v>45251.0</v>
      </c>
      <c r="C134" s="104" t="s">
        <v>634</v>
      </c>
      <c r="D134" s="92" t="s">
        <v>50</v>
      </c>
      <c r="E134" s="105" t="s">
        <v>635</v>
      </c>
      <c r="F134" s="92" t="s">
        <v>461</v>
      </c>
      <c r="G134" s="63" t="s">
        <v>35</v>
      </c>
      <c r="H134" s="64">
        <v>1.0</v>
      </c>
      <c r="I134" s="47">
        <f t="shared" si="29"/>
        <v>220000</v>
      </c>
      <c r="J134" s="48">
        <f t="shared" si="18"/>
        <v>220000</v>
      </c>
      <c r="K134" s="76">
        <f>SUM(J134)</f>
        <v>220000</v>
      </c>
      <c r="L134" s="109"/>
      <c r="M134" s="78">
        <f t="shared" si="37"/>
        <v>11000</v>
      </c>
      <c r="N134" s="79"/>
      <c r="O134" s="80">
        <f t="shared" si="34"/>
        <v>209000</v>
      </c>
      <c r="P134" s="81"/>
      <c r="Q134" s="176"/>
      <c r="R134" s="109"/>
      <c r="S134" s="91"/>
      <c r="T134" s="183"/>
      <c r="U134" s="122"/>
      <c r="V134" s="122"/>
      <c r="W134" s="415" t="s">
        <v>53</v>
      </c>
      <c r="X134" s="106"/>
      <c r="Y134" s="428"/>
      <c r="Z134" s="24"/>
      <c r="AA134" s="107"/>
      <c r="AB134" s="107"/>
      <c r="AC134" s="107"/>
      <c r="AD134" s="106"/>
    </row>
    <row r="135" ht="33.75" customHeight="1">
      <c r="A135" s="111">
        <v>84.0</v>
      </c>
      <c r="B135" s="40">
        <v>45252.0</v>
      </c>
      <c r="C135" s="111">
        <v>1.711709949781E12</v>
      </c>
      <c r="D135" s="148" t="s">
        <v>440</v>
      </c>
      <c r="E135" s="143" t="s">
        <v>441</v>
      </c>
      <c r="F135" s="142" t="s">
        <v>442</v>
      </c>
      <c r="G135" s="63" t="s">
        <v>30</v>
      </c>
      <c r="H135" s="64">
        <v>10.0</v>
      </c>
      <c r="I135" s="47">
        <f t="shared" si="29"/>
        <v>220000</v>
      </c>
      <c r="J135" s="48">
        <f t="shared" si="18"/>
        <v>2200000</v>
      </c>
      <c r="K135" s="49">
        <f>sum(J135:J137)</f>
        <v>3320000</v>
      </c>
      <c r="L135" s="144"/>
      <c r="M135" s="51"/>
      <c r="N135" s="52"/>
      <c r="O135" s="53">
        <f t="shared" si="34"/>
        <v>3320000</v>
      </c>
      <c r="P135" s="99"/>
      <c r="Q135" s="196"/>
      <c r="R135" s="145">
        <v>179666.0</v>
      </c>
      <c r="S135" s="56" t="s">
        <v>32</v>
      </c>
      <c r="T135" s="197"/>
      <c r="U135" s="147"/>
      <c r="V135" s="147"/>
      <c r="W135" s="44" t="s">
        <v>636</v>
      </c>
      <c r="X135" s="106"/>
      <c r="Y135" s="428"/>
      <c r="Z135" s="24"/>
      <c r="AA135" s="107"/>
      <c r="AB135" s="107"/>
      <c r="AC135" s="107"/>
      <c r="AD135" s="106"/>
    </row>
    <row r="136" ht="33.75" customHeight="1">
      <c r="A136" s="62"/>
      <c r="B136" s="62"/>
      <c r="C136" s="62"/>
      <c r="D136" s="62"/>
      <c r="E136" s="62"/>
      <c r="F136" s="62"/>
      <c r="G136" s="63" t="s">
        <v>147</v>
      </c>
      <c r="H136" s="64">
        <v>10.0</v>
      </c>
      <c r="I136" s="47">
        <f t="shared" si="29"/>
        <v>80000</v>
      </c>
      <c r="J136" s="48">
        <f t="shared" si="18"/>
        <v>800000</v>
      </c>
      <c r="K136" s="62"/>
      <c r="L136" s="62"/>
      <c r="M136" s="62"/>
      <c r="N136" s="62"/>
      <c r="O136" s="62"/>
      <c r="P136" s="62"/>
      <c r="Q136" s="62"/>
      <c r="R136" s="62"/>
      <c r="S136" s="62"/>
      <c r="T136" s="62"/>
      <c r="U136" s="62"/>
      <c r="V136" s="62"/>
      <c r="W136" s="62"/>
      <c r="Y136" s="428"/>
      <c r="Z136" s="24"/>
      <c r="AA136" s="107"/>
      <c r="AB136" s="107"/>
      <c r="AC136" s="107"/>
      <c r="AD136" s="106"/>
    </row>
    <row r="137" ht="33.75" customHeight="1">
      <c r="A137" s="67"/>
      <c r="B137" s="67"/>
      <c r="C137" s="67"/>
      <c r="D137" s="67"/>
      <c r="E137" s="67"/>
      <c r="F137" s="67"/>
      <c r="G137" s="63" t="s">
        <v>112</v>
      </c>
      <c r="H137" s="64">
        <v>2.0</v>
      </c>
      <c r="I137" s="47">
        <f t="shared" si="29"/>
        <v>160000</v>
      </c>
      <c r="J137" s="48">
        <f t="shared" si="18"/>
        <v>320000</v>
      </c>
      <c r="K137" s="67"/>
      <c r="L137" s="67"/>
      <c r="M137" s="67"/>
      <c r="N137" s="67"/>
      <c r="O137" s="67"/>
      <c r="P137" s="67"/>
      <c r="Q137" s="67"/>
      <c r="R137" s="67"/>
      <c r="S137" s="67"/>
      <c r="T137" s="67"/>
      <c r="U137" s="67"/>
      <c r="V137" s="67"/>
      <c r="W137" s="67"/>
      <c r="Y137" s="428"/>
      <c r="Z137" s="24"/>
      <c r="AA137" s="107"/>
      <c r="AB137" s="107"/>
      <c r="AC137" s="107"/>
      <c r="AD137" s="106"/>
    </row>
    <row r="138" ht="33.75" customHeight="1">
      <c r="A138" s="93">
        <v>85.0</v>
      </c>
      <c r="B138" s="120">
        <v>45252.0</v>
      </c>
      <c r="C138" s="93">
        <v>1.711854257519E12</v>
      </c>
      <c r="D138" s="155" t="s">
        <v>363</v>
      </c>
      <c r="E138" s="105" t="s">
        <v>364</v>
      </c>
      <c r="F138" s="121" t="s">
        <v>637</v>
      </c>
      <c r="G138" s="63" t="s">
        <v>30</v>
      </c>
      <c r="H138" s="64">
        <v>70.0</v>
      </c>
      <c r="I138" s="47">
        <f t="shared" si="29"/>
        <v>220000</v>
      </c>
      <c r="J138" s="48">
        <f t="shared" si="18"/>
        <v>15400000</v>
      </c>
      <c r="K138" s="76">
        <f>J138</f>
        <v>15400000</v>
      </c>
      <c r="L138" s="109"/>
      <c r="M138" s="78"/>
      <c r="N138" s="79"/>
      <c r="O138" s="80">
        <f t="shared" ref="O138:O141" si="38">K138+L138-M138-N138</f>
        <v>15400000</v>
      </c>
      <c r="P138" s="81" t="s">
        <v>449</v>
      </c>
      <c r="Q138" s="81" t="s">
        <v>31</v>
      </c>
      <c r="R138" s="108">
        <v>425519.0</v>
      </c>
      <c r="S138" s="83" t="s">
        <v>32</v>
      </c>
      <c r="T138" s="84" t="s">
        <v>33</v>
      </c>
      <c r="U138" s="122"/>
      <c r="V138" s="122"/>
      <c r="W138" s="122"/>
      <c r="X138" s="106"/>
      <c r="Y138" s="428"/>
      <c r="Z138" s="24"/>
      <c r="AA138" s="107"/>
      <c r="AB138" s="107"/>
      <c r="AC138" s="107"/>
      <c r="AD138" s="106"/>
    </row>
    <row r="139" ht="33.75" customHeight="1">
      <c r="A139" s="93">
        <v>86.0</v>
      </c>
      <c r="B139" s="120">
        <v>45252.0</v>
      </c>
      <c r="C139" s="104" t="s">
        <v>638</v>
      </c>
      <c r="D139" s="92" t="s">
        <v>50</v>
      </c>
      <c r="E139" s="105" t="s">
        <v>639</v>
      </c>
      <c r="F139" s="92" t="s">
        <v>141</v>
      </c>
      <c r="G139" s="63" t="s">
        <v>30</v>
      </c>
      <c r="H139" s="64">
        <v>4.0</v>
      </c>
      <c r="I139" s="47">
        <f t="shared" si="29"/>
        <v>220000</v>
      </c>
      <c r="J139" s="48">
        <f t="shared" si="18"/>
        <v>880000</v>
      </c>
      <c r="K139" s="76">
        <f t="shared" ref="K139:K141" si="39">sum(J139)</f>
        <v>880000</v>
      </c>
      <c r="L139" s="109"/>
      <c r="M139" s="78">
        <f t="shared" ref="M139:M140" si="40">K139*5%</f>
        <v>44000</v>
      </c>
      <c r="N139" s="79"/>
      <c r="O139" s="80">
        <f t="shared" si="38"/>
        <v>836000</v>
      </c>
      <c r="P139" s="81"/>
      <c r="Q139" s="176"/>
      <c r="R139" s="109"/>
      <c r="S139" s="91"/>
      <c r="T139" s="183"/>
      <c r="U139" s="122"/>
      <c r="V139" s="122"/>
      <c r="W139" s="415" t="s">
        <v>53</v>
      </c>
      <c r="X139" s="106"/>
      <c r="Y139" s="428"/>
      <c r="Z139" s="24"/>
      <c r="AA139" s="107"/>
      <c r="AB139" s="107"/>
      <c r="AC139" s="107"/>
      <c r="AD139" s="106"/>
    </row>
    <row r="140" ht="33.75" customHeight="1">
      <c r="A140" s="93">
        <v>87.0</v>
      </c>
      <c r="B140" s="120">
        <v>45252.0</v>
      </c>
      <c r="C140" s="104" t="s">
        <v>640</v>
      </c>
      <c r="D140" s="92" t="s">
        <v>50</v>
      </c>
      <c r="E140" s="105" t="s">
        <v>641</v>
      </c>
      <c r="F140" s="92" t="s">
        <v>193</v>
      </c>
      <c r="G140" s="63" t="s">
        <v>30</v>
      </c>
      <c r="H140" s="64">
        <v>1.0</v>
      </c>
      <c r="I140" s="47">
        <f t="shared" si="29"/>
        <v>220000</v>
      </c>
      <c r="J140" s="48">
        <f t="shared" si="18"/>
        <v>220000</v>
      </c>
      <c r="K140" s="76">
        <f t="shared" si="39"/>
        <v>220000</v>
      </c>
      <c r="L140" s="65"/>
      <c r="M140" s="78">
        <f t="shared" si="40"/>
        <v>11000</v>
      </c>
      <c r="N140" s="79"/>
      <c r="O140" s="80">
        <f t="shared" si="38"/>
        <v>209000</v>
      </c>
      <c r="P140" s="81"/>
      <c r="Q140" s="176"/>
      <c r="R140" s="109"/>
      <c r="S140" s="91"/>
      <c r="T140" s="183"/>
      <c r="U140" s="122"/>
      <c r="V140" s="122"/>
      <c r="W140" s="415" t="s">
        <v>53</v>
      </c>
      <c r="X140" s="106"/>
      <c r="Y140" s="428"/>
      <c r="Z140" s="24"/>
      <c r="AA140" s="107"/>
      <c r="AB140" s="107"/>
      <c r="AC140" s="107"/>
      <c r="AD140" s="106"/>
    </row>
    <row r="141" ht="33.75" customHeight="1">
      <c r="A141" s="93">
        <v>88.0</v>
      </c>
      <c r="B141" s="120">
        <v>45252.0</v>
      </c>
      <c r="C141" s="93" t="s">
        <v>642</v>
      </c>
      <c r="D141" s="92" t="s">
        <v>179</v>
      </c>
      <c r="E141" s="105" t="s">
        <v>643</v>
      </c>
      <c r="F141" s="92" t="s">
        <v>70</v>
      </c>
      <c r="G141" s="63" t="s">
        <v>290</v>
      </c>
      <c r="H141" s="64">
        <v>1.0</v>
      </c>
      <c r="I141" s="47">
        <f t="shared" si="29"/>
        <v>220000</v>
      </c>
      <c r="J141" s="48">
        <f t="shared" si="18"/>
        <v>220000</v>
      </c>
      <c r="K141" s="76">
        <f t="shared" si="39"/>
        <v>220000</v>
      </c>
      <c r="L141" s="65"/>
      <c r="M141" s="78"/>
      <c r="N141" s="79"/>
      <c r="O141" s="80">
        <f t="shared" si="38"/>
        <v>220000</v>
      </c>
      <c r="P141" s="81"/>
      <c r="Q141" s="176"/>
      <c r="R141" s="109"/>
      <c r="S141" s="91"/>
      <c r="T141" s="183"/>
      <c r="U141" s="122"/>
      <c r="V141" s="122"/>
      <c r="W141" s="92" t="s">
        <v>614</v>
      </c>
      <c r="X141" s="106"/>
      <c r="Y141" s="428"/>
      <c r="Z141" s="24"/>
      <c r="AA141" s="107"/>
      <c r="AB141" s="107"/>
      <c r="AC141" s="107"/>
      <c r="AD141" s="106"/>
    </row>
    <row r="142" ht="33.75" customHeight="1">
      <c r="A142" s="111">
        <v>89.0</v>
      </c>
      <c r="B142" s="40">
        <v>45252.0</v>
      </c>
      <c r="C142" s="111">
        <v>1.711474570534E12</v>
      </c>
      <c r="D142" s="148" t="s">
        <v>644</v>
      </c>
      <c r="E142" s="143" t="s">
        <v>45</v>
      </c>
      <c r="F142" s="448" t="s">
        <v>324</v>
      </c>
      <c r="G142" s="126"/>
      <c r="H142" s="126"/>
      <c r="I142" s="449"/>
      <c r="J142" s="450"/>
      <c r="K142" s="49"/>
      <c r="L142" s="146"/>
      <c r="M142" s="51"/>
      <c r="N142" s="52"/>
      <c r="O142" s="53"/>
      <c r="P142" s="99"/>
      <c r="Q142" s="196"/>
      <c r="R142" s="145">
        <v>79985.0</v>
      </c>
      <c r="S142" s="56" t="s">
        <v>32</v>
      </c>
      <c r="T142" s="197"/>
      <c r="U142" s="92" t="s">
        <v>30</v>
      </c>
      <c r="V142" s="93">
        <v>6.0</v>
      </c>
      <c r="W142" s="451" t="s">
        <v>645</v>
      </c>
      <c r="X142" s="106"/>
      <c r="Y142" s="428"/>
      <c r="Z142" s="24"/>
      <c r="AA142" s="107"/>
      <c r="AB142" s="107"/>
      <c r="AC142" s="107"/>
      <c r="AD142" s="106"/>
    </row>
    <row r="143" ht="33.75" customHeight="1">
      <c r="A143" s="62"/>
      <c r="B143" s="62"/>
      <c r="C143" s="62"/>
      <c r="D143" s="62"/>
      <c r="E143" s="62"/>
      <c r="F143" s="423"/>
      <c r="G143" s="62"/>
      <c r="H143" s="62"/>
      <c r="I143" s="62"/>
      <c r="J143" s="452"/>
      <c r="K143" s="62"/>
      <c r="L143" s="62"/>
      <c r="M143" s="62"/>
      <c r="N143" s="62"/>
      <c r="O143" s="62"/>
      <c r="P143" s="62"/>
      <c r="Q143" s="62"/>
      <c r="R143" s="62"/>
      <c r="S143" s="62"/>
      <c r="T143" s="62"/>
      <c r="U143" s="92" t="s">
        <v>165</v>
      </c>
      <c r="V143" s="93">
        <v>2.0</v>
      </c>
      <c r="W143" s="423"/>
      <c r="X143" s="106"/>
      <c r="Y143" s="428"/>
      <c r="Z143" s="24"/>
      <c r="AA143" s="107"/>
      <c r="AB143" s="107"/>
      <c r="AC143" s="107"/>
      <c r="AD143" s="106"/>
    </row>
    <row r="144" ht="33.75" customHeight="1">
      <c r="A144" s="62"/>
      <c r="B144" s="62"/>
      <c r="C144" s="62"/>
      <c r="D144" s="62"/>
      <c r="E144" s="62"/>
      <c r="F144" s="423"/>
      <c r="G144" s="62"/>
      <c r="H144" s="62"/>
      <c r="I144" s="62"/>
      <c r="J144" s="452"/>
      <c r="K144" s="62"/>
      <c r="L144" s="62"/>
      <c r="M144" s="62"/>
      <c r="N144" s="62"/>
      <c r="O144" s="62"/>
      <c r="P144" s="62"/>
      <c r="Q144" s="62"/>
      <c r="R144" s="62"/>
      <c r="S144" s="62"/>
      <c r="T144" s="62"/>
      <c r="U144" s="92" t="s">
        <v>122</v>
      </c>
      <c r="V144" s="93">
        <v>2.0</v>
      </c>
      <c r="W144" s="423"/>
      <c r="X144" s="106"/>
      <c r="Y144" s="428"/>
      <c r="Z144" s="24"/>
      <c r="AA144" s="107"/>
      <c r="AB144" s="107"/>
      <c r="AC144" s="107"/>
      <c r="AD144" s="106"/>
    </row>
    <row r="145" ht="33.75" customHeight="1">
      <c r="A145" s="67"/>
      <c r="B145" s="67"/>
      <c r="C145" s="67"/>
      <c r="D145" s="67"/>
      <c r="E145" s="67"/>
      <c r="F145" s="102"/>
      <c r="G145" s="67"/>
      <c r="H145" s="67"/>
      <c r="I145" s="67"/>
      <c r="J145" s="453"/>
      <c r="K145" s="67"/>
      <c r="L145" s="67"/>
      <c r="M145" s="67"/>
      <c r="N145" s="67"/>
      <c r="O145" s="67"/>
      <c r="P145" s="67"/>
      <c r="Q145" s="67"/>
      <c r="R145" s="67"/>
      <c r="S145" s="67"/>
      <c r="T145" s="67"/>
      <c r="U145" s="92" t="s">
        <v>47</v>
      </c>
      <c r="V145" s="93">
        <v>3.0</v>
      </c>
      <c r="W145" s="102"/>
      <c r="X145" s="106"/>
      <c r="Y145" s="428"/>
      <c r="Z145" s="24"/>
      <c r="AA145" s="107"/>
      <c r="AB145" s="107"/>
      <c r="AC145" s="107"/>
      <c r="AD145" s="106"/>
    </row>
    <row r="146" ht="33.75" customHeight="1">
      <c r="A146" s="93">
        <v>90.0</v>
      </c>
      <c r="B146" s="120">
        <v>45253.0</v>
      </c>
      <c r="C146" s="93">
        <v>1.723056063111E12</v>
      </c>
      <c r="D146" s="155" t="s">
        <v>646</v>
      </c>
      <c r="E146" s="105" t="s">
        <v>647</v>
      </c>
      <c r="F146" s="454" t="s">
        <v>648</v>
      </c>
      <c r="G146" s="63" t="s">
        <v>58</v>
      </c>
      <c r="H146" s="64">
        <v>1.0</v>
      </c>
      <c r="I146" s="455">
        <f t="shared" ref="I146:I148" si="41">VLOOKUP(G146,$Y$4:$Z$155,2,0)</f>
        <v>220000</v>
      </c>
      <c r="J146" s="48">
        <f t="shared" ref="J146:J155" si="42">I146*H146</f>
        <v>220000</v>
      </c>
      <c r="K146" s="76">
        <f t="shared" ref="K146:K149" si="43">SUM(J146)</f>
        <v>220000</v>
      </c>
      <c r="L146" s="108">
        <v>37001.0</v>
      </c>
      <c r="M146" s="78"/>
      <c r="N146" s="79">
        <f>17001</f>
        <v>17001</v>
      </c>
      <c r="O146" s="80">
        <f t="shared" ref="O146:O150" si="44">K146+L146-M146-N146</f>
        <v>240000</v>
      </c>
      <c r="P146" s="81"/>
      <c r="Q146" s="176"/>
      <c r="R146" s="109"/>
      <c r="S146" s="91"/>
      <c r="T146" s="183"/>
      <c r="U146" s="122"/>
      <c r="V146" s="122"/>
      <c r="W146" s="122"/>
      <c r="X146" s="106"/>
      <c r="Y146" s="428"/>
      <c r="Z146" s="24"/>
      <c r="AA146" s="107"/>
      <c r="AB146" s="107"/>
      <c r="AC146" s="107"/>
      <c r="AD146" s="106"/>
    </row>
    <row r="147" ht="33.75" customHeight="1">
      <c r="A147" s="93">
        <v>91.0</v>
      </c>
      <c r="B147" s="120">
        <v>45254.0</v>
      </c>
      <c r="C147" s="65" t="s">
        <v>649</v>
      </c>
      <c r="D147" s="155" t="s">
        <v>118</v>
      </c>
      <c r="E147" s="65"/>
      <c r="F147" s="456" t="s">
        <v>156</v>
      </c>
      <c r="G147" s="457" t="s">
        <v>75</v>
      </c>
      <c r="H147" s="64">
        <v>1.0</v>
      </c>
      <c r="I147" s="455">
        <f t="shared" si="41"/>
        <v>45000</v>
      </c>
      <c r="J147" s="48">
        <f t="shared" si="42"/>
        <v>45000</v>
      </c>
      <c r="K147" s="76">
        <f t="shared" si="43"/>
        <v>45000</v>
      </c>
      <c r="L147" s="109"/>
      <c r="M147" s="78"/>
      <c r="N147" s="79"/>
      <c r="O147" s="80">
        <f t="shared" si="44"/>
        <v>45000</v>
      </c>
      <c r="P147" s="81"/>
      <c r="Q147" s="176"/>
      <c r="R147" s="109"/>
      <c r="S147" s="91"/>
      <c r="T147" s="183"/>
      <c r="U147" s="122"/>
      <c r="V147" s="122"/>
      <c r="W147" s="415" t="s">
        <v>120</v>
      </c>
      <c r="X147" s="106"/>
      <c r="Y147" s="428"/>
      <c r="Z147" s="24"/>
      <c r="AA147" s="107"/>
      <c r="AB147" s="107"/>
      <c r="AC147" s="107"/>
      <c r="AD147" s="106"/>
    </row>
    <row r="148" ht="33.75" customHeight="1">
      <c r="A148" s="93">
        <v>92.0</v>
      </c>
      <c r="B148" s="120">
        <v>45254.0</v>
      </c>
      <c r="C148" s="65" t="s">
        <v>650</v>
      </c>
      <c r="D148" s="155" t="s">
        <v>118</v>
      </c>
      <c r="E148" s="65"/>
      <c r="F148" s="122" t="s">
        <v>193</v>
      </c>
      <c r="G148" s="457" t="s">
        <v>144</v>
      </c>
      <c r="H148" s="64">
        <v>1.0</v>
      </c>
      <c r="I148" s="455">
        <f t="shared" si="41"/>
        <v>220000</v>
      </c>
      <c r="J148" s="48">
        <f t="shared" si="42"/>
        <v>220000</v>
      </c>
      <c r="K148" s="76">
        <f t="shared" si="43"/>
        <v>220000</v>
      </c>
      <c r="L148" s="109"/>
      <c r="M148" s="78"/>
      <c r="N148" s="79"/>
      <c r="O148" s="80">
        <f t="shared" si="44"/>
        <v>220000</v>
      </c>
      <c r="P148" s="81"/>
      <c r="Q148" s="176"/>
      <c r="R148" s="109"/>
      <c r="S148" s="91"/>
      <c r="T148" s="183"/>
      <c r="U148" s="122"/>
      <c r="V148" s="122"/>
      <c r="W148" s="415" t="s">
        <v>120</v>
      </c>
      <c r="X148" s="106"/>
      <c r="Y148" s="428"/>
      <c r="Z148" s="24"/>
      <c r="AA148" s="107"/>
      <c r="AB148" s="107"/>
      <c r="AC148" s="107"/>
      <c r="AD148" s="106"/>
    </row>
    <row r="149" ht="33.75" customHeight="1">
      <c r="A149" s="93">
        <v>93.0</v>
      </c>
      <c r="B149" s="120">
        <v>45254.0</v>
      </c>
      <c r="C149" s="93">
        <v>1.713723348586E12</v>
      </c>
      <c r="D149" s="155" t="s">
        <v>440</v>
      </c>
      <c r="E149" s="105" t="s">
        <v>441</v>
      </c>
      <c r="F149" s="92" t="s">
        <v>442</v>
      </c>
      <c r="G149" s="63" t="s">
        <v>37</v>
      </c>
      <c r="H149" s="64">
        <v>10.0</v>
      </c>
      <c r="I149" s="455"/>
      <c r="J149" s="48">
        <f t="shared" si="42"/>
        <v>0</v>
      </c>
      <c r="K149" s="76">
        <f t="shared" si="43"/>
        <v>0</v>
      </c>
      <c r="L149" s="109"/>
      <c r="M149" s="78"/>
      <c r="N149" s="79"/>
      <c r="O149" s="80">
        <f t="shared" si="44"/>
        <v>0</v>
      </c>
      <c r="P149" s="81"/>
      <c r="Q149" s="176"/>
      <c r="R149" s="108">
        <v>80590.0</v>
      </c>
      <c r="S149" s="83" t="s">
        <v>32</v>
      </c>
      <c r="T149" s="183"/>
      <c r="U149" s="122"/>
      <c r="V149" s="122"/>
      <c r="W149" s="121" t="s">
        <v>651</v>
      </c>
      <c r="X149" s="106"/>
      <c r="Y149" s="428"/>
      <c r="Z149" s="24"/>
      <c r="AA149" s="107"/>
      <c r="AB149" s="107"/>
      <c r="AC149" s="107"/>
      <c r="AD149" s="106"/>
    </row>
    <row r="150" ht="33.75" customHeight="1">
      <c r="A150" s="111">
        <v>94.0</v>
      </c>
      <c r="B150" s="40">
        <v>45254.0</v>
      </c>
      <c r="C150" s="146"/>
      <c r="D150" s="148" t="s">
        <v>114</v>
      </c>
      <c r="E150" s="143" t="s">
        <v>652</v>
      </c>
      <c r="F150" s="142" t="s">
        <v>653</v>
      </c>
      <c r="G150" s="63" t="s">
        <v>30</v>
      </c>
      <c r="H150" s="64">
        <v>2.0</v>
      </c>
      <c r="I150" s="455">
        <f t="shared" ref="I150:I153" si="45">VLOOKUP(G150,$Y$4:$Z$155,2,0)</f>
        <v>220000</v>
      </c>
      <c r="J150" s="48">
        <f t="shared" si="42"/>
        <v>440000</v>
      </c>
      <c r="K150" s="49">
        <f>SUM(J150:J152)</f>
        <v>1540000</v>
      </c>
      <c r="L150" s="144"/>
      <c r="M150" s="51"/>
      <c r="N150" s="52"/>
      <c r="O150" s="53">
        <f t="shared" si="44"/>
        <v>1540000</v>
      </c>
      <c r="P150" s="99" t="s">
        <v>449</v>
      </c>
      <c r="Q150" s="99" t="s">
        <v>31</v>
      </c>
      <c r="R150" s="144"/>
      <c r="S150" s="119"/>
      <c r="T150" s="197"/>
      <c r="U150" s="147"/>
      <c r="V150" s="147"/>
      <c r="W150" s="142" t="s">
        <v>654</v>
      </c>
      <c r="X150" s="106"/>
      <c r="Y150" s="428"/>
      <c r="Z150" s="24"/>
      <c r="AA150" s="107"/>
      <c r="AB150" s="107"/>
      <c r="AC150" s="107"/>
      <c r="AD150" s="106"/>
    </row>
    <row r="151" ht="33.75" customHeight="1">
      <c r="A151" s="62"/>
      <c r="B151" s="62"/>
      <c r="C151" s="62"/>
      <c r="D151" s="62"/>
      <c r="E151" s="62"/>
      <c r="F151" s="62"/>
      <c r="G151" s="63" t="s">
        <v>47</v>
      </c>
      <c r="H151" s="64">
        <v>3.0</v>
      </c>
      <c r="I151" s="455">
        <f t="shared" si="45"/>
        <v>220000</v>
      </c>
      <c r="J151" s="48">
        <f t="shared" si="42"/>
        <v>660000</v>
      </c>
      <c r="K151" s="62"/>
      <c r="L151" s="62"/>
      <c r="M151" s="62"/>
      <c r="N151" s="62"/>
      <c r="O151" s="62"/>
      <c r="P151" s="62"/>
      <c r="Q151" s="62"/>
      <c r="R151" s="62"/>
      <c r="S151" s="62"/>
      <c r="T151" s="62"/>
      <c r="U151" s="62"/>
      <c r="V151" s="62"/>
      <c r="W151" s="62"/>
      <c r="X151" s="106"/>
      <c r="Y151" s="428"/>
      <c r="Z151" s="24"/>
      <c r="AA151" s="107"/>
      <c r="AB151" s="107"/>
      <c r="AC151" s="107"/>
      <c r="AD151" s="106"/>
    </row>
    <row r="152" ht="33.75" customHeight="1">
      <c r="A152" s="67"/>
      <c r="B152" s="67"/>
      <c r="C152" s="67"/>
      <c r="D152" s="67"/>
      <c r="E152" s="67"/>
      <c r="F152" s="67"/>
      <c r="G152" s="63" t="s">
        <v>58</v>
      </c>
      <c r="H152" s="64">
        <v>2.0</v>
      </c>
      <c r="I152" s="455">
        <f t="shared" si="45"/>
        <v>220000</v>
      </c>
      <c r="J152" s="48">
        <f t="shared" si="42"/>
        <v>440000</v>
      </c>
      <c r="K152" s="67"/>
      <c r="L152" s="67"/>
      <c r="M152" s="67"/>
      <c r="N152" s="67"/>
      <c r="O152" s="67"/>
      <c r="P152" s="67"/>
      <c r="Q152" s="67"/>
      <c r="R152" s="67"/>
      <c r="S152" s="67"/>
      <c r="T152" s="67"/>
      <c r="U152" s="67"/>
      <c r="V152" s="67"/>
      <c r="W152" s="67"/>
      <c r="X152" s="106"/>
      <c r="Y152" s="428"/>
      <c r="Z152" s="24"/>
      <c r="AA152" s="107"/>
      <c r="AB152" s="107"/>
      <c r="AC152" s="107"/>
      <c r="AD152" s="106"/>
    </row>
    <row r="153" ht="33.75" customHeight="1">
      <c r="A153" s="93">
        <v>95.0</v>
      </c>
      <c r="B153" s="120">
        <v>45255.0</v>
      </c>
      <c r="C153" s="93" t="s">
        <v>655</v>
      </c>
      <c r="D153" s="155" t="s">
        <v>50</v>
      </c>
      <c r="E153" s="105" t="s">
        <v>656</v>
      </c>
      <c r="F153" s="92" t="s">
        <v>65</v>
      </c>
      <c r="G153" s="63" t="s">
        <v>30</v>
      </c>
      <c r="H153" s="64">
        <v>1.0</v>
      </c>
      <c r="I153" s="455">
        <f t="shared" si="45"/>
        <v>220000</v>
      </c>
      <c r="J153" s="48">
        <f t="shared" si="42"/>
        <v>220000</v>
      </c>
      <c r="K153" s="76">
        <f t="shared" ref="K153:K156" si="46">SUM(J153)</f>
        <v>220000</v>
      </c>
      <c r="L153" s="109"/>
      <c r="M153" s="78">
        <f>K153*5%</f>
        <v>11000</v>
      </c>
      <c r="N153" s="79"/>
      <c r="O153" s="80">
        <f t="shared" ref="O153:O155" si="47">K153+L153-M153-N153</f>
        <v>209000</v>
      </c>
      <c r="P153" s="81"/>
      <c r="Q153" s="176"/>
      <c r="R153" s="109"/>
      <c r="S153" s="91"/>
      <c r="T153" s="183"/>
      <c r="U153" s="122"/>
      <c r="V153" s="122"/>
      <c r="W153" s="122"/>
      <c r="X153" s="106"/>
      <c r="Y153" s="428"/>
      <c r="Z153" s="24"/>
      <c r="AA153" s="107"/>
      <c r="AB153" s="107"/>
      <c r="AC153" s="107"/>
      <c r="AD153" s="106"/>
    </row>
    <row r="154" ht="33.75" customHeight="1">
      <c r="A154" s="65"/>
      <c r="B154" s="458"/>
      <c r="C154" s="65"/>
      <c r="D154" s="284"/>
      <c r="E154" s="65"/>
      <c r="F154" s="122"/>
      <c r="G154" s="457"/>
      <c r="H154" s="85"/>
      <c r="I154" s="455"/>
      <c r="J154" s="48">
        <f t="shared" si="42"/>
        <v>0</v>
      </c>
      <c r="K154" s="76">
        <f t="shared" si="46"/>
        <v>0</v>
      </c>
      <c r="L154" s="109"/>
      <c r="M154" s="78"/>
      <c r="N154" s="79"/>
      <c r="O154" s="80">
        <f t="shared" si="47"/>
        <v>0</v>
      </c>
      <c r="P154" s="81"/>
      <c r="Q154" s="176"/>
      <c r="R154" s="109"/>
      <c r="S154" s="91"/>
      <c r="T154" s="183"/>
      <c r="U154" s="122"/>
      <c r="V154" s="122"/>
      <c r="W154" s="122"/>
      <c r="X154" s="106"/>
      <c r="Y154" s="428"/>
      <c r="Z154" s="24"/>
      <c r="AA154" s="107"/>
      <c r="AB154" s="107"/>
      <c r="AC154" s="107"/>
      <c r="AD154" s="106"/>
    </row>
    <row r="155" ht="33.75" customHeight="1">
      <c r="A155" s="65"/>
      <c r="B155" s="458"/>
      <c r="C155" s="65"/>
      <c r="D155" s="284"/>
      <c r="E155" s="65"/>
      <c r="F155" s="122"/>
      <c r="G155" s="457"/>
      <c r="H155" s="85"/>
      <c r="I155" s="459"/>
      <c r="J155" s="48">
        <f t="shared" si="42"/>
        <v>0</v>
      </c>
      <c r="K155" s="76">
        <f t="shared" si="46"/>
        <v>0</v>
      </c>
      <c r="L155" s="109"/>
      <c r="M155" s="78"/>
      <c r="N155" s="79"/>
      <c r="O155" s="80">
        <f t="shared" si="47"/>
        <v>0</v>
      </c>
      <c r="P155" s="81"/>
      <c r="Q155" s="176"/>
      <c r="R155" s="109"/>
      <c r="S155" s="91"/>
      <c r="T155" s="183"/>
      <c r="U155" s="122"/>
      <c r="V155" s="122"/>
      <c r="W155" s="122"/>
      <c r="X155" s="106"/>
      <c r="Y155" s="428"/>
      <c r="Z155" s="24"/>
      <c r="AA155" s="107"/>
      <c r="AB155" s="107"/>
      <c r="AC155" s="107"/>
      <c r="AD155" s="106"/>
    </row>
    <row r="156" ht="30.75" customHeight="1">
      <c r="A156" s="22"/>
      <c r="B156" s="198" t="s">
        <v>384</v>
      </c>
      <c r="C156" s="16"/>
      <c r="D156" s="16"/>
      <c r="E156" s="16"/>
      <c r="F156" s="16"/>
      <c r="G156" s="16"/>
      <c r="H156" s="16"/>
      <c r="I156" s="17"/>
      <c r="J156" s="199">
        <f>sum(J4:J155)</f>
        <v>101600000</v>
      </c>
      <c r="K156" s="460">
        <f t="shared" si="46"/>
        <v>101600000</v>
      </c>
      <c r="L156" s="201">
        <f t="shared" ref="L156:N156" si="48">SUM(L4:L155)</f>
        <v>502012</v>
      </c>
      <c r="M156" s="202">
        <f t="shared" si="48"/>
        <v>1206377</v>
      </c>
      <c r="N156" s="201">
        <f t="shared" si="48"/>
        <v>114007</v>
      </c>
      <c r="O156" s="203">
        <f>K156+L156-N156-M156</f>
        <v>100781628</v>
      </c>
      <c r="P156" s="201"/>
      <c r="Q156" s="201"/>
      <c r="R156" s="201">
        <f>SUM(R4:R155)</f>
        <v>2954204</v>
      </c>
      <c r="S156" s="201"/>
      <c r="T156" s="201"/>
      <c r="U156" s="201"/>
      <c r="V156" s="201">
        <f t="shared" ref="V156:W156" si="49">SUM(V4:V155)</f>
        <v>13</v>
      </c>
      <c r="W156" s="201">
        <f t="shared" si="49"/>
        <v>0</v>
      </c>
      <c r="X156" s="22"/>
      <c r="Y156" s="461"/>
      <c r="Z156" s="462"/>
      <c r="AA156" s="25"/>
      <c r="AB156" s="25"/>
      <c r="AC156" s="25"/>
      <c r="AD156" s="22"/>
    </row>
    <row r="157" ht="30.75" customHeight="1">
      <c r="A157" s="22"/>
      <c r="B157" s="463" t="s">
        <v>385</v>
      </c>
      <c r="C157" s="16"/>
      <c r="D157" s="16"/>
      <c r="E157" s="16"/>
      <c r="F157" s="16"/>
      <c r="G157" s="16"/>
      <c r="H157" s="16"/>
      <c r="I157" s="17"/>
      <c r="J157" s="207">
        <f>SUMIF(G4:G155, "&lt;&gt;*Omi*", J4:J155)</f>
        <v>17035000</v>
      </c>
      <c r="K157" s="208"/>
      <c r="L157" s="208"/>
      <c r="M157" s="209"/>
      <c r="N157" s="210"/>
      <c r="O157" s="211"/>
      <c r="P157" s="210"/>
      <c r="Q157" s="210"/>
      <c r="R157" s="23"/>
      <c r="S157" s="23"/>
      <c r="T157" s="23"/>
      <c r="U157" s="23"/>
      <c r="V157" s="464"/>
      <c r="W157" s="464"/>
      <c r="X157" s="22"/>
      <c r="Y157" s="150"/>
      <c r="Z157" s="151"/>
      <c r="AA157" s="25"/>
      <c r="AB157" s="25"/>
      <c r="AC157" s="25"/>
      <c r="AD157" s="22"/>
    </row>
    <row r="158" ht="24.75" customHeight="1">
      <c r="A158" s="22"/>
      <c r="B158" s="214" t="s">
        <v>386</v>
      </c>
      <c r="C158" s="16"/>
      <c r="D158" s="16"/>
      <c r="E158" s="16"/>
      <c r="F158" s="16"/>
      <c r="G158" s="16"/>
      <c r="H158" s="16"/>
      <c r="I158" s="17"/>
      <c r="J158" s="215">
        <f>J156-J157</f>
        <v>84565000</v>
      </c>
      <c r="K158" s="208"/>
      <c r="L158" s="208"/>
      <c r="M158" s="208"/>
      <c r="N158" s="216"/>
      <c r="O158" s="216"/>
      <c r="P158" s="23"/>
      <c r="Q158" s="23"/>
      <c r="R158" s="23"/>
      <c r="S158" s="23"/>
      <c r="T158" s="23"/>
      <c r="U158" s="23"/>
      <c r="V158" s="464"/>
      <c r="W158" s="464"/>
      <c r="X158" s="22"/>
      <c r="Y158" s="22"/>
      <c r="Z158" s="465"/>
      <c r="AA158" s="25"/>
      <c r="AB158" s="25"/>
      <c r="AC158" s="25"/>
      <c r="AD158" s="22"/>
    </row>
    <row r="159" ht="24.75" customHeight="1">
      <c r="A159" s="22"/>
      <c r="B159" s="217" t="s">
        <v>387</v>
      </c>
      <c r="C159" s="16"/>
      <c r="D159" s="16"/>
      <c r="E159" s="16"/>
      <c r="F159" s="16"/>
      <c r="G159" s="16"/>
      <c r="H159" s="16"/>
      <c r="I159" s="17"/>
      <c r="J159" s="207">
        <f>SUMIF(S4:S155,"Cty trả ship",R4:R155)</f>
        <v>2954204</v>
      </c>
      <c r="K159" s="208"/>
      <c r="L159" s="208"/>
      <c r="M159" s="208"/>
      <c r="N159" s="216"/>
      <c r="O159" s="216"/>
      <c r="P159" s="23"/>
      <c r="Q159" s="23"/>
      <c r="R159" s="23"/>
      <c r="S159" s="23"/>
      <c r="T159" s="23"/>
      <c r="U159" s="23"/>
      <c r="V159" s="464"/>
      <c r="W159" s="464"/>
      <c r="X159" s="22"/>
      <c r="Y159" s="23"/>
      <c r="Z159" s="24"/>
      <c r="AA159" s="25"/>
      <c r="AB159" s="25"/>
      <c r="AC159" s="25"/>
      <c r="AD159" s="22"/>
    </row>
    <row r="160" ht="24.75" customHeight="1">
      <c r="A160" s="22"/>
      <c r="B160" s="220" t="s">
        <v>388</v>
      </c>
      <c r="C160" s="16"/>
      <c r="D160" s="16"/>
      <c r="E160" s="16"/>
      <c r="F160" s="16"/>
      <c r="G160" s="16"/>
      <c r="H160" s="16"/>
      <c r="I160" s="17"/>
      <c r="J160" s="221">
        <f>N156</f>
        <v>114007</v>
      </c>
      <c r="K160" s="208"/>
      <c r="L160" s="208"/>
      <c r="M160" s="210"/>
      <c r="N160" s="210"/>
      <c r="O160" s="211"/>
      <c r="P160" s="210"/>
      <c r="Q160" s="210"/>
      <c r="R160" s="23"/>
      <c r="S160" s="23"/>
      <c r="T160" s="210"/>
      <c r="U160" s="210"/>
      <c r="V160" s="466"/>
      <c r="W160" s="466"/>
      <c r="X160" s="210"/>
      <c r="Y160" s="23"/>
      <c r="Z160" s="24"/>
      <c r="AA160" s="25"/>
      <c r="AB160" s="25"/>
      <c r="AC160" s="25"/>
      <c r="AD160" s="22"/>
    </row>
    <row r="161" ht="15.75" customHeight="1">
      <c r="A161" s="22"/>
      <c r="B161" s="22"/>
      <c r="C161" s="22"/>
      <c r="D161" s="22"/>
      <c r="E161" s="22"/>
      <c r="F161" s="467"/>
      <c r="G161" s="468"/>
      <c r="H161" s="469"/>
      <c r="I161" s="25"/>
      <c r="J161" s="25"/>
      <c r="K161" s="22"/>
      <c r="L161" s="468"/>
      <c r="M161" s="468"/>
      <c r="N161" s="22"/>
      <c r="O161" s="470"/>
      <c r="P161" s="22"/>
      <c r="Q161" s="22"/>
      <c r="R161" s="22"/>
      <c r="S161" s="22"/>
      <c r="T161" s="468"/>
      <c r="U161" s="22"/>
      <c r="V161" s="471"/>
      <c r="W161" s="471"/>
      <c r="X161" s="22"/>
      <c r="Y161" s="22"/>
      <c r="Z161" s="465"/>
      <c r="AA161" s="25"/>
      <c r="AB161" s="25"/>
      <c r="AC161" s="25"/>
      <c r="AD161" s="22"/>
    </row>
    <row r="162" ht="15.75" customHeight="1">
      <c r="A162" s="23"/>
      <c r="B162" s="472"/>
      <c r="C162" s="473"/>
      <c r="D162" s="474"/>
      <c r="E162" s="475"/>
      <c r="F162" s="474"/>
      <c r="G162" s="476"/>
      <c r="H162" s="476"/>
      <c r="I162" s="476"/>
      <c r="J162" s="233"/>
      <c r="K162" s="233"/>
      <c r="L162" s="233"/>
      <c r="M162" s="233"/>
      <c r="N162" s="233"/>
      <c r="O162" s="477"/>
      <c r="P162" s="23"/>
      <c r="Q162" s="23"/>
      <c r="R162" s="23"/>
      <c r="S162" s="23"/>
      <c r="T162" s="23"/>
      <c r="U162" s="23"/>
      <c r="V162" s="464"/>
      <c r="W162" s="464"/>
      <c r="X162" s="210"/>
      <c r="Y162" s="23"/>
      <c r="Z162" s="24"/>
      <c r="AA162" s="25"/>
      <c r="AB162" s="25"/>
      <c r="AC162" s="25"/>
      <c r="AD162" s="22"/>
    </row>
    <row r="163" ht="24.0" customHeight="1">
      <c r="A163" s="23"/>
      <c r="B163" s="236"/>
      <c r="C163" s="16"/>
      <c r="D163" s="17"/>
      <c r="E163" s="236" t="s">
        <v>389</v>
      </c>
      <c r="F163" s="16"/>
      <c r="G163" s="16"/>
      <c r="H163" s="16"/>
      <c r="I163" s="16"/>
      <c r="J163" s="17"/>
      <c r="K163" s="23"/>
      <c r="L163" s="23"/>
      <c r="M163" s="238"/>
      <c r="N163" s="238"/>
      <c r="O163" s="239" t="s">
        <v>390</v>
      </c>
      <c r="P163" s="16"/>
      <c r="Q163" s="16"/>
      <c r="R163" s="16"/>
      <c r="S163" s="16"/>
      <c r="T163" s="16"/>
      <c r="U163" s="17"/>
      <c r="V163" s="478"/>
      <c r="W163" s="479"/>
      <c r="X163" s="208"/>
      <c r="Y163" s="23"/>
      <c r="Z163" s="24"/>
      <c r="AA163" s="25"/>
      <c r="AB163" s="25"/>
      <c r="AC163" s="25"/>
      <c r="AD163" s="22"/>
    </row>
    <row r="164" ht="15.75" customHeight="1">
      <c r="A164" s="23"/>
      <c r="B164" s="241" t="s">
        <v>391</v>
      </c>
      <c r="C164" s="242" t="s">
        <v>392</v>
      </c>
      <c r="D164" s="243" t="s">
        <v>393</v>
      </c>
      <c r="E164" s="244" t="s">
        <v>394</v>
      </c>
      <c r="F164" s="243" t="s">
        <v>395</v>
      </c>
      <c r="G164" s="201" t="s">
        <v>396</v>
      </c>
      <c r="H164" s="243" t="s">
        <v>397</v>
      </c>
      <c r="I164" s="246" t="s">
        <v>398</v>
      </c>
      <c r="J164" s="247" t="s">
        <v>399</v>
      </c>
      <c r="K164" s="23"/>
      <c r="L164" s="23"/>
      <c r="M164" s="248"/>
      <c r="N164" s="480"/>
      <c r="O164" s="250" t="s">
        <v>400</v>
      </c>
      <c r="P164" s="250" t="s">
        <v>657</v>
      </c>
      <c r="Q164" s="250" t="s">
        <v>401</v>
      </c>
      <c r="R164" s="251" t="s">
        <v>658</v>
      </c>
      <c r="S164" s="251" t="s">
        <v>403</v>
      </c>
      <c r="T164" s="252" t="s">
        <v>405</v>
      </c>
      <c r="U164" s="253" t="s">
        <v>406</v>
      </c>
      <c r="V164" s="481"/>
      <c r="W164" s="482"/>
      <c r="X164" s="208"/>
      <c r="Y164" s="23"/>
      <c r="Z164" s="24"/>
      <c r="AA164" s="25"/>
      <c r="AB164" s="25"/>
      <c r="AC164" s="25"/>
      <c r="AD164" s="22"/>
    </row>
    <row r="165" ht="21.75" customHeight="1">
      <c r="A165" s="23"/>
      <c r="B165" s="254" t="s">
        <v>407</v>
      </c>
      <c r="C165" s="85" t="s">
        <v>121</v>
      </c>
      <c r="D165" s="255">
        <f t="shared" ref="D165:D206" si="50">SUMIF($G$4:$G$158,C165,$H$4:$H$158)</f>
        <v>1</v>
      </c>
      <c r="E165" s="65"/>
      <c r="F165" s="255"/>
      <c r="G165" s="256">
        <f t="shared" ref="G165:G206" si="51">D165-E165-F165</f>
        <v>1</v>
      </c>
      <c r="H165" s="128">
        <v>220000.0</v>
      </c>
      <c r="I165" s="217">
        <f t="shared" ref="I165:I206" si="52">G165*H165</f>
        <v>220000</v>
      </c>
      <c r="J165" s="257">
        <f t="shared" ref="J165:J206" si="53">SUMIF($U$4:$U$155,C165,$V$4:$V$155)</f>
        <v>0</v>
      </c>
      <c r="K165" s="23"/>
      <c r="L165" s="23"/>
      <c r="M165" s="258"/>
      <c r="N165" s="259"/>
      <c r="O165" s="260">
        <v>45226.0</v>
      </c>
      <c r="P165" s="261">
        <f>206204+206204+195440</f>
        <v>607848</v>
      </c>
      <c r="Q165" s="261"/>
      <c r="R165" s="263"/>
      <c r="S165" s="262"/>
      <c r="T165" s="264">
        <f t="shared" ref="T165:T193" si="54">P165+Q165-R165-S165</f>
        <v>607848</v>
      </c>
      <c r="U165" s="483" t="s">
        <v>659</v>
      </c>
      <c r="V165" s="484"/>
      <c r="W165" s="485"/>
      <c r="X165" s="486"/>
      <c r="Y165" s="23"/>
      <c r="Z165" s="24"/>
      <c r="AA165" s="25"/>
      <c r="AB165" s="25"/>
      <c r="AC165" s="25"/>
      <c r="AD165" s="22"/>
    </row>
    <row r="166" ht="21.75" customHeight="1">
      <c r="A166" s="23"/>
      <c r="B166" s="62"/>
      <c r="C166" s="85" t="s">
        <v>123</v>
      </c>
      <c r="D166" s="255">
        <f t="shared" si="50"/>
        <v>1</v>
      </c>
      <c r="E166" s="65"/>
      <c r="F166" s="255"/>
      <c r="G166" s="256">
        <f t="shared" si="51"/>
        <v>1</v>
      </c>
      <c r="H166" s="128">
        <v>220000.0</v>
      </c>
      <c r="I166" s="217">
        <f t="shared" si="52"/>
        <v>220000</v>
      </c>
      <c r="J166" s="257">
        <f t="shared" si="53"/>
        <v>0</v>
      </c>
      <c r="K166" s="23"/>
      <c r="L166" s="23"/>
      <c r="M166" s="258"/>
      <c r="N166" s="259"/>
      <c r="O166" s="260">
        <v>45226.0</v>
      </c>
      <c r="P166" s="261">
        <f>510000+660000</f>
        <v>1170000</v>
      </c>
      <c r="Q166" s="261"/>
      <c r="R166" s="487">
        <f>63002+78004+69003</f>
        <v>210009</v>
      </c>
      <c r="S166" s="262"/>
      <c r="T166" s="264">
        <f t="shared" si="54"/>
        <v>959991</v>
      </c>
      <c r="U166" s="488"/>
      <c r="V166" s="484"/>
      <c r="W166" s="485"/>
      <c r="X166" s="486"/>
      <c r="Y166" s="23"/>
      <c r="Z166" s="24"/>
      <c r="AA166" s="25"/>
      <c r="AB166" s="25"/>
      <c r="AC166" s="25"/>
      <c r="AD166" s="22"/>
    </row>
    <row r="167" ht="21.75" customHeight="1">
      <c r="A167" s="23"/>
      <c r="B167" s="62"/>
      <c r="C167" s="85" t="s">
        <v>124</v>
      </c>
      <c r="D167" s="255">
        <f t="shared" si="50"/>
        <v>15</v>
      </c>
      <c r="E167" s="65"/>
      <c r="F167" s="255"/>
      <c r="G167" s="256">
        <f t="shared" si="51"/>
        <v>15</v>
      </c>
      <c r="H167" s="128">
        <v>220000.0</v>
      </c>
      <c r="I167" s="217">
        <f t="shared" si="52"/>
        <v>3300000</v>
      </c>
      <c r="J167" s="257">
        <f t="shared" si="53"/>
        <v>3</v>
      </c>
      <c r="K167" s="23"/>
      <c r="L167" s="23"/>
      <c r="M167" s="258"/>
      <c r="N167" s="259"/>
      <c r="O167" s="260">
        <v>45229.0</v>
      </c>
      <c r="P167" s="261"/>
      <c r="Q167" s="261">
        <f>22320000</f>
        <v>22320000</v>
      </c>
      <c r="R167" s="487"/>
      <c r="S167" s="262"/>
      <c r="T167" s="264">
        <f t="shared" si="54"/>
        <v>22320000</v>
      </c>
      <c r="U167" s="483" t="s">
        <v>408</v>
      </c>
      <c r="V167" s="484"/>
      <c r="W167" s="485"/>
      <c r="X167" s="486"/>
      <c r="Y167" s="23"/>
      <c r="Z167" s="24"/>
      <c r="AA167" s="25"/>
      <c r="AB167" s="25"/>
      <c r="AC167" s="25"/>
      <c r="AD167" s="22"/>
    </row>
    <row r="168" ht="21.75" customHeight="1">
      <c r="A168" s="23"/>
      <c r="B168" s="62"/>
      <c r="C168" s="129" t="s">
        <v>125</v>
      </c>
      <c r="D168" s="255">
        <f t="shared" si="50"/>
        <v>0</v>
      </c>
      <c r="E168" s="65"/>
      <c r="F168" s="255"/>
      <c r="G168" s="256">
        <f t="shared" si="51"/>
        <v>0</v>
      </c>
      <c r="H168" s="80">
        <v>220000.0</v>
      </c>
      <c r="I168" s="217">
        <f t="shared" si="52"/>
        <v>0</v>
      </c>
      <c r="J168" s="257">
        <f t="shared" si="53"/>
        <v>0</v>
      </c>
      <c r="K168" s="23"/>
      <c r="L168" s="23"/>
      <c r="M168" s="258"/>
      <c r="N168" s="259"/>
      <c r="O168" s="260">
        <v>45229.0</v>
      </c>
      <c r="P168" s="261">
        <f>186364+205124+825360+186532+186924</f>
        <v>1590304</v>
      </c>
      <c r="Q168" s="261"/>
      <c r="R168" s="487"/>
      <c r="S168" s="262"/>
      <c r="T168" s="264">
        <f t="shared" si="54"/>
        <v>1590304</v>
      </c>
      <c r="U168" s="483" t="s">
        <v>659</v>
      </c>
      <c r="V168" s="484"/>
      <c r="W168" s="485"/>
      <c r="X168" s="486"/>
      <c r="Y168" s="23"/>
      <c r="Z168" s="24"/>
      <c r="AA168" s="25"/>
      <c r="AB168" s="25"/>
      <c r="AC168" s="25"/>
      <c r="AD168" s="22"/>
    </row>
    <row r="169" ht="21.75" customHeight="1">
      <c r="A169" s="23"/>
      <c r="B169" s="62"/>
      <c r="C169" s="129" t="s">
        <v>129</v>
      </c>
      <c r="D169" s="255">
        <f t="shared" si="50"/>
        <v>16</v>
      </c>
      <c r="E169" s="65"/>
      <c r="F169" s="269"/>
      <c r="G169" s="256">
        <f t="shared" si="51"/>
        <v>16</v>
      </c>
      <c r="H169" s="80">
        <v>220000.0</v>
      </c>
      <c r="I169" s="217">
        <f t="shared" si="52"/>
        <v>3520000</v>
      </c>
      <c r="J169" s="257">
        <f t="shared" si="53"/>
        <v>2</v>
      </c>
      <c r="K169" s="23"/>
      <c r="L169" s="23"/>
      <c r="M169" s="258"/>
      <c r="N169" s="259"/>
      <c r="O169" s="260">
        <v>45229.0</v>
      </c>
      <c r="P169" s="261">
        <f>2200000+2200000</f>
        <v>4400000</v>
      </c>
      <c r="Q169" s="261">
        <f>O4+O8+O22</f>
        <v>1630000</v>
      </c>
      <c r="R169" s="487"/>
      <c r="S169" s="262">
        <f>L8+L14+R17+R4+L22</f>
        <v>218007</v>
      </c>
      <c r="T169" s="264">
        <f t="shared" si="54"/>
        <v>5811993</v>
      </c>
      <c r="U169" s="488"/>
      <c r="V169" s="484"/>
      <c r="W169" s="485"/>
      <c r="X169" s="486"/>
      <c r="Y169" s="23"/>
      <c r="Z169" s="24"/>
      <c r="AA169" s="25"/>
      <c r="AB169" s="25"/>
      <c r="AC169" s="25"/>
      <c r="AD169" s="22"/>
    </row>
    <row r="170" ht="21.75" customHeight="1">
      <c r="A170" s="23"/>
      <c r="B170" s="62"/>
      <c r="C170" s="85" t="s">
        <v>133</v>
      </c>
      <c r="D170" s="255">
        <f t="shared" si="50"/>
        <v>25</v>
      </c>
      <c r="E170" s="65"/>
      <c r="F170" s="269"/>
      <c r="G170" s="256">
        <f t="shared" si="51"/>
        <v>25</v>
      </c>
      <c r="H170" s="128">
        <v>220000.0</v>
      </c>
      <c r="I170" s="217">
        <f t="shared" si="52"/>
        <v>5500000</v>
      </c>
      <c r="J170" s="257">
        <f t="shared" si="53"/>
        <v>0</v>
      </c>
      <c r="K170" s="23"/>
      <c r="L170" s="23"/>
      <c r="M170" s="258"/>
      <c r="N170" s="259"/>
      <c r="O170" s="271">
        <v>45231.0</v>
      </c>
      <c r="P170" s="261"/>
      <c r="Q170" s="261">
        <f>O17+O14</f>
        <v>2030000</v>
      </c>
      <c r="R170" s="487"/>
      <c r="S170" s="262">
        <f>R41+R24</f>
        <v>624908</v>
      </c>
      <c r="T170" s="264">
        <f t="shared" si="54"/>
        <v>1405092</v>
      </c>
      <c r="U170" s="488"/>
      <c r="V170" s="484"/>
      <c r="W170" s="485"/>
      <c r="X170" s="486"/>
      <c r="Y170" s="23"/>
      <c r="Z170" s="24"/>
      <c r="AA170" s="25"/>
      <c r="AB170" s="25"/>
      <c r="AC170" s="25"/>
      <c r="AD170" s="22"/>
    </row>
    <row r="171" ht="21.75" customHeight="1">
      <c r="A171" s="23"/>
      <c r="B171" s="62"/>
      <c r="C171" s="85" t="s">
        <v>135</v>
      </c>
      <c r="D171" s="255">
        <f t="shared" si="50"/>
        <v>0</v>
      </c>
      <c r="E171" s="65"/>
      <c r="F171" s="269"/>
      <c r="G171" s="256">
        <f t="shared" si="51"/>
        <v>0</v>
      </c>
      <c r="H171" s="128">
        <v>220000.0</v>
      </c>
      <c r="I171" s="217">
        <f t="shared" si="52"/>
        <v>0</v>
      </c>
      <c r="J171" s="257">
        <f t="shared" si="53"/>
        <v>0</v>
      </c>
      <c r="K171" s="23"/>
      <c r="L171" s="23"/>
      <c r="M171" s="258"/>
      <c r="N171" s="259"/>
      <c r="O171" s="271">
        <v>45233.0</v>
      </c>
      <c r="P171" s="261">
        <f>205484+207600+206124+206616+183484+412672</f>
        <v>1421980</v>
      </c>
      <c r="Q171" s="261"/>
      <c r="R171" s="487"/>
      <c r="S171" s="262"/>
      <c r="T171" s="264">
        <f t="shared" si="54"/>
        <v>1421980</v>
      </c>
      <c r="U171" s="483" t="s">
        <v>659</v>
      </c>
      <c r="V171" s="484"/>
      <c r="W171" s="485"/>
      <c r="X171" s="486"/>
      <c r="Y171" s="23"/>
      <c r="Z171" s="24"/>
      <c r="AA171" s="25"/>
      <c r="AB171" s="25"/>
      <c r="AC171" s="25"/>
      <c r="AD171" s="22"/>
    </row>
    <row r="172" ht="21.75" customHeight="1">
      <c r="A172" s="23"/>
      <c r="B172" s="62"/>
      <c r="C172" s="85" t="s">
        <v>139</v>
      </c>
      <c r="D172" s="255">
        <f t="shared" si="50"/>
        <v>29</v>
      </c>
      <c r="E172" s="65"/>
      <c r="F172" s="270">
        <v>2.0</v>
      </c>
      <c r="G172" s="256">
        <f t="shared" si="51"/>
        <v>27</v>
      </c>
      <c r="H172" s="128">
        <v>80000.0</v>
      </c>
      <c r="I172" s="217">
        <f t="shared" si="52"/>
        <v>2160000</v>
      </c>
      <c r="J172" s="257">
        <f t="shared" si="53"/>
        <v>0</v>
      </c>
      <c r="K172" s="23"/>
      <c r="L172" s="23"/>
      <c r="M172" s="258"/>
      <c r="N172" s="259"/>
      <c r="O172" s="271">
        <v>45233.0</v>
      </c>
      <c r="P172" s="261"/>
      <c r="Q172" s="261">
        <f>O41</f>
        <v>2200000</v>
      </c>
      <c r="R172" s="487"/>
      <c r="S172" s="262"/>
      <c r="T172" s="264">
        <f t="shared" si="54"/>
        <v>2200000</v>
      </c>
      <c r="U172" s="488"/>
      <c r="V172" s="484"/>
      <c r="W172" s="485"/>
      <c r="X172" s="486"/>
      <c r="Y172" s="23"/>
      <c r="Z172" s="24"/>
      <c r="AA172" s="25"/>
      <c r="AB172" s="25"/>
      <c r="AC172" s="25"/>
      <c r="AD172" s="22"/>
    </row>
    <row r="173" ht="21.75" customHeight="1">
      <c r="A173" s="23"/>
      <c r="B173" s="62"/>
      <c r="C173" s="85" t="s">
        <v>142</v>
      </c>
      <c r="D173" s="255">
        <f t="shared" si="50"/>
        <v>1</v>
      </c>
      <c r="E173" s="65"/>
      <c r="F173" s="269"/>
      <c r="G173" s="256">
        <f t="shared" si="51"/>
        <v>1</v>
      </c>
      <c r="H173" s="128">
        <v>220000.0</v>
      </c>
      <c r="I173" s="217">
        <f t="shared" si="52"/>
        <v>220000</v>
      </c>
      <c r="J173" s="257">
        <f t="shared" si="53"/>
        <v>0</v>
      </c>
      <c r="K173" s="23"/>
      <c r="L173" s="23"/>
      <c r="M173" s="258"/>
      <c r="N173" s="259"/>
      <c r="O173" s="271">
        <v>45236.0</v>
      </c>
      <c r="P173" s="261">
        <f>367832</f>
        <v>367832</v>
      </c>
      <c r="Q173" s="261">
        <f>O5+O12+O11+O15+O16+O13+O7</f>
        <v>1654024</v>
      </c>
      <c r="R173" s="487"/>
      <c r="S173" s="262"/>
      <c r="T173" s="264">
        <f t="shared" si="54"/>
        <v>2021856</v>
      </c>
      <c r="U173" s="483" t="s">
        <v>659</v>
      </c>
      <c r="V173" s="484"/>
      <c r="W173" s="485"/>
      <c r="X173" s="486"/>
      <c r="Y173" s="23"/>
      <c r="Z173" s="24"/>
      <c r="AA173" s="25"/>
      <c r="AB173" s="25"/>
      <c r="AC173" s="25"/>
      <c r="AD173" s="22"/>
    </row>
    <row r="174" ht="21.75" customHeight="1">
      <c r="A174" s="23"/>
      <c r="B174" s="62"/>
      <c r="C174" s="85" t="s">
        <v>145</v>
      </c>
      <c r="D174" s="255">
        <f t="shared" si="50"/>
        <v>276</v>
      </c>
      <c r="E174" s="93">
        <v>5.0</v>
      </c>
      <c r="F174" s="270">
        <v>1.0</v>
      </c>
      <c r="G174" s="256">
        <f t="shared" si="51"/>
        <v>270</v>
      </c>
      <c r="H174" s="128">
        <v>220000.0</v>
      </c>
      <c r="I174" s="217">
        <f t="shared" si="52"/>
        <v>59400000</v>
      </c>
      <c r="J174" s="257">
        <f t="shared" si="53"/>
        <v>6</v>
      </c>
      <c r="K174" s="23"/>
      <c r="L174" s="23"/>
      <c r="M174" s="258"/>
      <c r="N174" s="259"/>
      <c r="O174" s="271">
        <v>45236.0</v>
      </c>
      <c r="P174" s="261"/>
      <c r="Q174" s="261">
        <f>O50+O46</f>
        <v>660000</v>
      </c>
      <c r="R174" s="487"/>
      <c r="S174" s="262">
        <f>L50+L46+R53</f>
        <v>154007</v>
      </c>
      <c r="T174" s="264">
        <f t="shared" si="54"/>
        <v>505993</v>
      </c>
      <c r="U174" s="488"/>
      <c r="V174" s="484"/>
      <c r="W174" s="485"/>
      <c r="X174" s="486"/>
      <c r="Y174" s="23"/>
      <c r="Z174" s="24"/>
      <c r="AA174" s="25"/>
      <c r="AB174" s="25"/>
      <c r="AC174" s="25"/>
      <c r="AD174" s="22"/>
    </row>
    <row r="175" ht="21.75" customHeight="1">
      <c r="A175" s="23"/>
      <c r="B175" s="62"/>
      <c r="C175" s="85" t="s">
        <v>153</v>
      </c>
      <c r="D175" s="255">
        <f t="shared" si="50"/>
        <v>9</v>
      </c>
      <c r="E175" s="65"/>
      <c r="F175" s="269"/>
      <c r="G175" s="256">
        <f t="shared" si="51"/>
        <v>9</v>
      </c>
      <c r="H175" s="128">
        <v>45000.0</v>
      </c>
      <c r="I175" s="217">
        <f t="shared" si="52"/>
        <v>405000</v>
      </c>
      <c r="J175" s="257">
        <f t="shared" si="53"/>
        <v>0</v>
      </c>
      <c r="K175" s="23"/>
      <c r="L175" s="23"/>
      <c r="M175" s="258"/>
      <c r="N175" s="259"/>
      <c r="O175" s="271">
        <v>45238.0</v>
      </c>
      <c r="P175" s="261"/>
      <c r="Q175" s="261">
        <f>O59+O53+O56</f>
        <v>2660000</v>
      </c>
      <c r="R175" s="487"/>
      <c r="S175" s="262">
        <f>L59+L58</f>
        <v>70001</v>
      </c>
      <c r="T175" s="264">
        <f t="shared" si="54"/>
        <v>2589999</v>
      </c>
      <c r="U175" s="488"/>
      <c r="V175" s="484"/>
      <c r="W175" s="485"/>
      <c r="X175" s="486"/>
      <c r="Y175" s="23"/>
      <c r="Z175" s="24"/>
      <c r="AA175" s="25"/>
      <c r="AB175" s="25"/>
      <c r="AC175" s="25"/>
      <c r="AD175" s="22"/>
    </row>
    <row r="176" ht="21.75" customHeight="1">
      <c r="A176" s="23"/>
      <c r="B176" s="62"/>
      <c r="C176" s="273" t="s">
        <v>161</v>
      </c>
      <c r="D176" s="255">
        <f t="shared" si="50"/>
        <v>15</v>
      </c>
      <c r="E176" s="65"/>
      <c r="F176" s="269"/>
      <c r="G176" s="256">
        <f t="shared" si="51"/>
        <v>15</v>
      </c>
      <c r="H176" s="274">
        <v>220000.0</v>
      </c>
      <c r="I176" s="217">
        <f t="shared" si="52"/>
        <v>3300000</v>
      </c>
      <c r="J176" s="257">
        <f t="shared" si="53"/>
        <v>0</v>
      </c>
      <c r="K176" s="23"/>
      <c r="L176" s="23"/>
      <c r="M176" s="258"/>
      <c r="N176" s="259"/>
      <c r="O176" s="271">
        <v>45238.0</v>
      </c>
      <c r="P176" s="261"/>
      <c r="Q176" s="261">
        <f>O38+O39+O40</f>
        <v>596852</v>
      </c>
      <c r="R176" s="487"/>
      <c r="S176" s="262"/>
      <c r="T176" s="264">
        <f t="shared" si="54"/>
        <v>596852</v>
      </c>
      <c r="U176" s="483" t="s">
        <v>659</v>
      </c>
      <c r="V176" s="484"/>
      <c r="W176" s="485"/>
      <c r="X176" s="486"/>
      <c r="Y176" s="23"/>
      <c r="Z176" s="24"/>
      <c r="AA176" s="25"/>
      <c r="AB176" s="25"/>
      <c r="AC176" s="25"/>
      <c r="AD176" s="22"/>
    </row>
    <row r="177" ht="21.75" customHeight="1">
      <c r="A177" s="23"/>
      <c r="B177" s="62"/>
      <c r="C177" s="273" t="s">
        <v>488</v>
      </c>
      <c r="D177" s="255">
        <f t="shared" si="50"/>
        <v>1</v>
      </c>
      <c r="E177" s="65"/>
      <c r="F177" s="269"/>
      <c r="G177" s="256">
        <f t="shared" si="51"/>
        <v>1</v>
      </c>
      <c r="H177" s="274">
        <v>45000.0</v>
      </c>
      <c r="I177" s="217">
        <f t="shared" si="52"/>
        <v>45000</v>
      </c>
      <c r="J177" s="257">
        <f t="shared" si="53"/>
        <v>0</v>
      </c>
      <c r="K177" s="23"/>
      <c r="L177" s="23"/>
      <c r="M177" s="258"/>
      <c r="N177" s="259"/>
      <c r="O177" s="271">
        <v>45240.0</v>
      </c>
      <c r="P177" s="261"/>
      <c r="Q177" s="261">
        <f>O83+O74+O58+O68</f>
        <v>2450000</v>
      </c>
      <c r="R177" s="487"/>
      <c r="S177" s="262">
        <f>R68+R74+R83+R63+L66+R76</f>
        <v>665004</v>
      </c>
      <c r="T177" s="264">
        <f t="shared" si="54"/>
        <v>1784996</v>
      </c>
      <c r="U177" s="488"/>
      <c r="V177" s="484"/>
      <c r="W177" s="485"/>
      <c r="X177" s="486"/>
      <c r="Y177" s="23"/>
      <c r="Z177" s="24"/>
      <c r="AA177" s="25"/>
      <c r="AB177" s="25"/>
      <c r="AC177" s="25"/>
      <c r="AD177" s="22"/>
    </row>
    <row r="178" ht="21.75" customHeight="1">
      <c r="A178" s="23"/>
      <c r="B178" s="62"/>
      <c r="C178" s="273" t="s">
        <v>412</v>
      </c>
      <c r="D178" s="255">
        <f t="shared" si="50"/>
        <v>3</v>
      </c>
      <c r="E178" s="65"/>
      <c r="F178" s="269"/>
      <c r="G178" s="256">
        <f t="shared" si="51"/>
        <v>3</v>
      </c>
      <c r="H178" s="274">
        <v>45000.0</v>
      </c>
      <c r="I178" s="217">
        <f t="shared" si="52"/>
        <v>135000</v>
      </c>
      <c r="J178" s="257">
        <f t="shared" si="53"/>
        <v>0</v>
      </c>
      <c r="K178" s="23"/>
      <c r="L178" s="23"/>
      <c r="M178" s="258"/>
      <c r="N178" s="259"/>
      <c r="O178" s="271">
        <v>45243.0</v>
      </c>
      <c r="P178" s="261"/>
      <c r="Q178" s="261">
        <f>O42+O43+O45+O47+O48+O49</f>
        <v>1463956</v>
      </c>
      <c r="R178" s="487"/>
      <c r="S178" s="262"/>
      <c r="T178" s="264">
        <f t="shared" si="54"/>
        <v>1463956</v>
      </c>
      <c r="U178" s="483" t="s">
        <v>659</v>
      </c>
      <c r="V178" s="484"/>
      <c r="W178" s="485"/>
      <c r="X178" s="486"/>
      <c r="Y178" s="23"/>
      <c r="Z178" s="24"/>
      <c r="AA178" s="25"/>
      <c r="AB178" s="25"/>
      <c r="AC178" s="25"/>
      <c r="AD178" s="22"/>
    </row>
    <row r="179" ht="21.75" customHeight="1">
      <c r="A179" s="23"/>
      <c r="B179" s="62"/>
      <c r="C179" s="273" t="s">
        <v>151</v>
      </c>
      <c r="D179" s="255">
        <f t="shared" si="50"/>
        <v>25</v>
      </c>
      <c r="E179" s="93">
        <v>10.0</v>
      </c>
      <c r="F179" s="269"/>
      <c r="G179" s="256">
        <f t="shared" si="51"/>
        <v>15</v>
      </c>
      <c r="H179" s="274">
        <v>220000.0</v>
      </c>
      <c r="I179" s="217">
        <f t="shared" si="52"/>
        <v>3300000</v>
      </c>
      <c r="J179" s="257">
        <f t="shared" si="53"/>
        <v>0</v>
      </c>
      <c r="K179" s="23"/>
      <c r="L179" s="23"/>
      <c r="M179" s="258"/>
      <c r="N179" s="259"/>
      <c r="O179" s="271">
        <v>45243.0</v>
      </c>
      <c r="P179" s="261"/>
      <c r="Q179" s="261">
        <f>O84+O66</f>
        <v>1290000</v>
      </c>
      <c r="R179" s="487"/>
      <c r="S179" s="262">
        <f>R84+R89+R92</f>
        <v>179008</v>
      </c>
      <c r="T179" s="264">
        <f t="shared" si="54"/>
        <v>1110992</v>
      </c>
      <c r="U179" s="488"/>
      <c r="V179" s="484"/>
      <c r="W179" s="485"/>
      <c r="X179" s="486"/>
      <c r="Y179" s="23"/>
      <c r="Z179" s="24"/>
      <c r="AA179" s="25"/>
      <c r="AB179" s="25"/>
      <c r="AC179" s="25"/>
      <c r="AD179" s="22"/>
    </row>
    <row r="180" ht="21.75" customHeight="1">
      <c r="A180" s="23"/>
      <c r="B180" s="62"/>
      <c r="C180" s="65" t="s">
        <v>148</v>
      </c>
      <c r="D180" s="255">
        <f t="shared" si="50"/>
        <v>10</v>
      </c>
      <c r="E180" s="65"/>
      <c r="F180" s="269"/>
      <c r="G180" s="256">
        <f t="shared" si="51"/>
        <v>10</v>
      </c>
      <c r="H180" s="66">
        <v>220000.0</v>
      </c>
      <c r="I180" s="217">
        <f t="shared" si="52"/>
        <v>2200000</v>
      </c>
      <c r="J180" s="257">
        <f t="shared" si="53"/>
        <v>2</v>
      </c>
      <c r="K180" s="23"/>
      <c r="L180" s="23"/>
      <c r="M180" s="258"/>
      <c r="N180" s="259"/>
      <c r="O180" s="271">
        <v>45245.0</v>
      </c>
      <c r="P180" s="261"/>
      <c r="Q180" s="261">
        <f>O63+O89+O103+O76+O92</f>
        <v>15295000</v>
      </c>
      <c r="R180" s="487"/>
      <c r="S180" s="262">
        <f>R103+R94</f>
        <v>242503</v>
      </c>
      <c r="T180" s="264">
        <f t="shared" si="54"/>
        <v>15052497</v>
      </c>
      <c r="U180" s="488"/>
      <c r="V180" s="484"/>
      <c r="W180" s="485"/>
      <c r="X180" s="486"/>
      <c r="Y180" s="23"/>
      <c r="Z180" s="24"/>
      <c r="AA180" s="25"/>
      <c r="AB180" s="25"/>
      <c r="AC180" s="25"/>
      <c r="AD180" s="22"/>
    </row>
    <row r="181" ht="21.75" customHeight="1">
      <c r="A181" s="278"/>
      <c r="B181" s="62"/>
      <c r="C181" s="276" t="s">
        <v>166</v>
      </c>
      <c r="D181" s="255">
        <f t="shared" si="50"/>
        <v>4</v>
      </c>
      <c r="E181" s="65"/>
      <c r="F181" s="269"/>
      <c r="G181" s="256">
        <f t="shared" si="51"/>
        <v>4</v>
      </c>
      <c r="H181" s="277">
        <v>160000.0</v>
      </c>
      <c r="I181" s="217">
        <f t="shared" si="52"/>
        <v>640000</v>
      </c>
      <c r="J181" s="257">
        <f t="shared" si="53"/>
        <v>0</v>
      </c>
      <c r="K181" s="278"/>
      <c r="L181" s="278"/>
      <c r="M181" s="259"/>
      <c r="N181" s="259"/>
      <c r="O181" s="271">
        <v>45246.0</v>
      </c>
      <c r="P181" s="261"/>
      <c r="Q181" s="261">
        <f>O57+O61+O62+O70</f>
        <v>1011332</v>
      </c>
      <c r="R181" s="487"/>
      <c r="S181" s="262"/>
      <c r="T181" s="264">
        <f t="shared" si="54"/>
        <v>1011332</v>
      </c>
      <c r="U181" s="483" t="s">
        <v>659</v>
      </c>
      <c r="V181" s="484"/>
      <c r="W181" s="485"/>
      <c r="X181" s="489"/>
      <c r="Y181" s="278"/>
      <c r="Z181" s="490"/>
      <c r="AA181" s="491"/>
      <c r="AB181" s="491"/>
      <c r="AC181" s="491"/>
      <c r="AD181" s="492"/>
    </row>
    <row r="182" ht="21.0" customHeight="1">
      <c r="A182" s="278"/>
      <c r="B182" s="62"/>
      <c r="C182" s="276" t="s">
        <v>170</v>
      </c>
      <c r="D182" s="255">
        <f t="shared" si="50"/>
        <v>0</v>
      </c>
      <c r="E182" s="65"/>
      <c r="F182" s="269"/>
      <c r="G182" s="256">
        <f t="shared" si="51"/>
        <v>0</v>
      </c>
      <c r="H182" s="277">
        <v>220000.0</v>
      </c>
      <c r="I182" s="217">
        <f t="shared" si="52"/>
        <v>0</v>
      </c>
      <c r="J182" s="257">
        <f t="shared" si="53"/>
        <v>0</v>
      </c>
      <c r="K182" s="278"/>
      <c r="L182" s="278"/>
      <c r="M182" s="259"/>
      <c r="N182" s="259"/>
      <c r="O182" s="271">
        <v>45247.0</v>
      </c>
      <c r="P182" s="261"/>
      <c r="Q182" s="261">
        <f>O105+O109+O94</f>
        <v>6825000</v>
      </c>
      <c r="R182" s="487"/>
      <c r="S182" s="262">
        <f>R107+L105</f>
        <v>82002</v>
      </c>
      <c r="T182" s="264">
        <f t="shared" si="54"/>
        <v>6742998</v>
      </c>
      <c r="U182" s="483"/>
      <c r="V182" s="484"/>
      <c r="W182" s="485"/>
      <c r="X182" s="489"/>
      <c r="Y182" s="278"/>
      <c r="Z182" s="490"/>
      <c r="AA182" s="491"/>
      <c r="AB182" s="491"/>
      <c r="AC182" s="491"/>
      <c r="AD182" s="492"/>
    </row>
    <row r="183" ht="21.0" customHeight="1">
      <c r="A183" s="23"/>
      <c r="B183" s="254" t="s">
        <v>415</v>
      </c>
      <c r="C183" s="283" t="s">
        <v>34</v>
      </c>
      <c r="D183" s="255">
        <f t="shared" si="50"/>
        <v>47</v>
      </c>
      <c r="E183" s="284"/>
      <c r="F183" s="269"/>
      <c r="G183" s="256">
        <f t="shared" si="51"/>
        <v>47</v>
      </c>
      <c r="H183" s="61">
        <v>65000.0</v>
      </c>
      <c r="I183" s="217">
        <f t="shared" si="52"/>
        <v>3055000</v>
      </c>
      <c r="J183" s="257">
        <f t="shared" si="53"/>
        <v>0</v>
      </c>
      <c r="K183" s="23"/>
      <c r="L183" s="23"/>
      <c r="M183" s="258"/>
      <c r="N183" s="259"/>
      <c r="O183" s="271">
        <v>45247.0</v>
      </c>
      <c r="P183" s="261"/>
      <c r="Q183" s="261">
        <f>O69+O72+O73</f>
        <v>1447296</v>
      </c>
      <c r="R183" s="487"/>
      <c r="S183" s="262"/>
      <c r="T183" s="264">
        <f t="shared" si="54"/>
        <v>1447296</v>
      </c>
      <c r="U183" s="483" t="s">
        <v>659</v>
      </c>
      <c r="V183" s="481"/>
      <c r="W183" s="493"/>
      <c r="X183" s="486"/>
      <c r="Y183" s="23"/>
      <c r="Z183" s="24"/>
      <c r="AA183" s="25"/>
      <c r="AB183" s="25"/>
      <c r="AC183" s="25"/>
      <c r="AD183" s="22"/>
    </row>
    <row r="184" ht="21.0" customHeight="1">
      <c r="A184" s="23"/>
      <c r="B184" s="62"/>
      <c r="C184" s="285" t="s">
        <v>36</v>
      </c>
      <c r="D184" s="255">
        <f t="shared" si="50"/>
        <v>0</v>
      </c>
      <c r="E184" s="284"/>
      <c r="F184" s="269"/>
      <c r="G184" s="256">
        <f t="shared" si="51"/>
        <v>0</v>
      </c>
      <c r="H184" s="66">
        <v>180000.0</v>
      </c>
      <c r="I184" s="217">
        <f t="shared" si="52"/>
        <v>0</v>
      </c>
      <c r="J184" s="257">
        <f t="shared" si="53"/>
        <v>0</v>
      </c>
      <c r="K184" s="23"/>
      <c r="L184" s="23"/>
      <c r="M184" s="286"/>
      <c r="N184" s="259"/>
      <c r="O184" s="271">
        <v>45250.0</v>
      </c>
      <c r="P184" s="261"/>
      <c r="Q184" s="261">
        <f>O114+O120+O119+O107+O115+O111</f>
        <v>7510000</v>
      </c>
      <c r="R184" s="487"/>
      <c r="S184" s="262">
        <f>L114+R115+R111+R119+R120</f>
        <v>300013</v>
      </c>
      <c r="T184" s="264">
        <f t="shared" si="54"/>
        <v>7209987</v>
      </c>
      <c r="U184" s="488"/>
      <c r="V184" s="481"/>
      <c r="W184" s="493"/>
      <c r="X184" s="486"/>
      <c r="Y184" s="23"/>
      <c r="Z184" s="24"/>
      <c r="AA184" s="25"/>
      <c r="AB184" s="25"/>
      <c r="AC184" s="25"/>
      <c r="AD184" s="22"/>
    </row>
    <row r="185" ht="21.0" customHeight="1">
      <c r="A185" s="23"/>
      <c r="B185" s="62"/>
      <c r="C185" s="285" t="s">
        <v>38</v>
      </c>
      <c r="D185" s="255">
        <f t="shared" si="50"/>
        <v>0</v>
      </c>
      <c r="E185" s="284"/>
      <c r="F185" s="269"/>
      <c r="G185" s="256">
        <f t="shared" si="51"/>
        <v>0</v>
      </c>
      <c r="H185" s="66">
        <v>160000.0</v>
      </c>
      <c r="I185" s="217">
        <f t="shared" si="52"/>
        <v>0</v>
      </c>
      <c r="J185" s="257">
        <f t="shared" si="53"/>
        <v>0</v>
      </c>
      <c r="K185" s="23"/>
      <c r="L185" s="23"/>
      <c r="M185" s="23"/>
      <c r="N185" s="259"/>
      <c r="O185" s="494">
        <v>45252.0</v>
      </c>
      <c r="P185" s="261"/>
      <c r="Q185" s="261">
        <f>O86+O87+O88+O91</f>
        <v>783602</v>
      </c>
      <c r="R185" s="487"/>
      <c r="S185" s="262"/>
      <c r="T185" s="264">
        <f t="shared" si="54"/>
        <v>783602</v>
      </c>
      <c r="U185" s="483" t="s">
        <v>659</v>
      </c>
      <c r="V185" s="495"/>
      <c r="W185" s="493"/>
      <c r="X185" s="486"/>
      <c r="Y185" s="23"/>
      <c r="Z185" s="24"/>
      <c r="AA185" s="25"/>
      <c r="AB185" s="25"/>
      <c r="AC185" s="25"/>
      <c r="AD185" s="22"/>
    </row>
    <row r="186" ht="21.0" customHeight="1">
      <c r="A186" s="23"/>
      <c r="B186" s="62"/>
      <c r="C186" s="285" t="s">
        <v>43</v>
      </c>
      <c r="D186" s="255">
        <f t="shared" si="50"/>
        <v>23</v>
      </c>
      <c r="E186" s="284"/>
      <c r="F186" s="269"/>
      <c r="G186" s="256">
        <f t="shared" si="51"/>
        <v>23</v>
      </c>
      <c r="H186" s="87">
        <v>65000.0</v>
      </c>
      <c r="I186" s="217">
        <f t="shared" si="52"/>
        <v>1495000</v>
      </c>
      <c r="J186" s="257">
        <f t="shared" si="53"/>
        <v>0</v>
      </c>
      <c r="K186" s="23"/>
      <c r="L186" s="23"/>
      <c r="M186" s="23"/>
      <c r="N186" s="259"/>
      <c r="O186" s="271">
        <v>45253.0</v>
      </c>
      <c r="P186" s="261">
        <f>205932</f>
        <v>205932</v>
      </c>
      <c r="Q186" s="496">
        <f>O60</f>
        <v>204030</v>
      </c>
      <c r="R186" s="487"/>
      <c r="S186" s="262">
        <f>11000</f>
        <v>11000</v>
      </c>
      <c r="T186" s="264">
        <f t="shared" si="54"/>
        <v>398962</v>
      </c>
      <c r="U186" s="483" t="s">
        <v>660</v>
      </c>
      <c r="V186" s="495"/>
      <c r="W186" s="493"/>
      <c r="X186" s="486"/>
      <c r="Y186" s="23"/>
      <c r="Z186" s="24"/>
      <c r="AA186" s="25"/>
      <c r="AB186" s="25"/>
      <c r="AC186" s="25"/>
      <c r="AD186" s="22"/>
    </row>
    <row r="187" ht="21.0" customHeight="1">
      <c r="A187" s="23"/>
      <c r="B187" s="62"/>
      <c r="C187" s="285" t="s">
        <v>48</v>
      </c>
      <c r="D187" s="255">
        <f t="shared" si="50"/>
        <v>23</v>
      </c>
      <c r="E187" s="284"/>
      <c r="F187" s="269"/>
      <c r="G187" s="256">
        <f t="shared" si="51"/>
        <v>23</v>
      </c>
      <c r="H187" s="66">
        <v>55000.0</v>
      </c>
      <c r="I187" s="217">
        <f t="shared" si="52"/>
        <v>1265000</v>
      </c>
      <c r="J187" s="257">
        <f t="shared" si="53"/>
        <v>0</v>
      </c>
      <c r="K187" s="23"/>
      <c r="L187" s="23"/>
      <c r="M187" s="23"/>
      <c r="N187" s="259"/>
      <c r="O187" s="271">
        <v>45253.0</v>
      </c>
      <c r="P187" s="261"/>
      <c r="Q187" s="261">
        <f>O93+O108</f>
        <v>823520</v>
      </c>
      <c r="R187" s="487"/>
      <c r="S187" s="262"/>
      <c r="T187" s="264">
        <f t="shared" si="54"/>
        <v>823520</v>
      </c>
      <c r="U187" s="483" t="s">
        <v>659</v>
      </c>
      <c r="V187" s="495"/>
      <c r="W187" s="493"/>
      <c r="X187" s="486"/>
      <c r="Y187" s="23"/>
      <c r="Z187" s="24"/>
      <c r="AA187" s="25"/>
      <c r="AB187" s="25"/>
      <c r="AC187" s="25"/>
      <c r="AD187" s="22"/>
    </row>
    <row r="188" ht="21.0" customHeight="1">
      <c r="A188" s="23"/>
      <c r="B188" s="62"/>
      <c r="C188" s="287" t="s">
        <v>54</v>
      </c>
      <c r="D188" s="255">
        <f t="shared" si="50"/>
        <v>52</v>
      </c>
      <c r="E188" s="284"/>
      <c r="F188" s="269"/>
      <c r="G188" s="256">
        <f t="shared" si="51"/>
        <v>52</v>
      </c>
      <c r="H188" s="87">
        <v>40000.0</v>
      </c>
      <c r="I188" s="217">
        <f t="shared" si="52"/>
        <v>2080000</v>
      </c>
      <c r="J188" s="257">
        <f t="shared" si="53"/>
        <v>0</v>
      </c>
      <c r="K188" s="23"/>
      <c r="L188" s="23"/>
      <c r="M188" s="23"/>
      <c r="N188" s="259"/>
      <c r="O188" s="271">
        <v>45254.0</v>
      </c>
      <c r="P188" s="261"/>
      <c r="Q188" s="261">
        <f>O150</f>
        <v>1540000</v>
      </c>
      <c r="R188" s="487"/>
      <c r="S188" s="262"/>
      <c r="T188" s="264">
        <f t="shared" si="54"/>
        <v>1540000</v>
      </c>
      <c r="U188" s="483" t="s">
        <v>661</v>
      </c>
      <c r="V188" s="495"/>
      <c r="W188" s="493"/>
      <c r="X188" s="486"/>
      <c r="Y188" s="23"/>
      <c r="Z188" s="24"/>
      <c r="AA188" s="25"/>
      <c r="AB188" s="25"/>
      <c r="AC188" s="25"/>
      <c r="AD188" s="22"/>
    </row>
    <row r="189" ht="21.0" customHeight="1">
      <c r="A189" s="23"/>
      <c r="B189" s="62"/>
      <c r="C189" s="285" t="s">
        <v>60</v>
      </c>
      <c r="D189" s="255">
        <f t="shared" si="50"/>
        <v>4</v>
      </c>
      <c r="E189" s="284"/>
      <c r="F189" s="269"/>
      <c r="G189" s="256">
        <f t="shared" si="51"/>
        <v>4</v>
      </c>
      <c r="H189" s="66">
        <v>45000.0</v>
      </c>
      <c r="I189" s="217">
        <f t="shared" si="52"/>
        <v>180000</v>
      </c>
      <c r="J189" s="257">
        <f t="shared" si="53"/>
        <v>0</v>
      </c>
      <c r="K189" s="23"/>
      <c r="L189" s="23"/>
      <c r="M189" s="23"/>
      <c r="N189" s="259"/>
      <c r="O189" s="271">
        <v>45254.0</v>
      </c>
      <c r="P189" s="261"/>
      <c r="Q189" s="261">
        <f>O138+O126</f>
        <v>15870000</v>
      </c>
      <c r="R189" s="487"/>
      <c r="S189" s="262">
        <f>R135+R138+L127+L126+R142</f>
        <v>761171</v>
      </c>
      <c r="T189" s="264">
        <f t="shared" si="54"/>
        <v>15108829</v>
      </c>
      <c r="U189" s="488"/>
      <c r="V189" s="495"/>
      <c r="W189" s="493"/>
      <c r="X189" s="486"/>
      <c r="Y189" s="23"/>
      <c r="Z189" s="24"/>
      <c r="AA189" s="25"/>
      <c r="AB189" s="25"/>
      <c r="AC189" s="25"/>
      <c r="AD189" s="22"/>
    </row>
    <row r="190" ht="21.0" customHeight="1">
      <c r="A190" s="23"/>
      <c r="B190" s="62"/>
      <c r="C190" s="287" t="s">
        <v>62</v>
      </c>
      <c r="D190" s="255">
        <f t="shared" si="50"/>
        <v>0</v>
      </c>
      <c r="E190" s="284"/>
      <c r="F190" s="269"/>
      <c r="G190" s="256">
        <f t="shared" si="51"/>
        <v>0</v>
      </c>
      <c r="H190" s="87">
        <v>55000.0</v>
      </c>
      <c r="I190" s="217">
        <f t="shared" si="52"/>
        <v>0</v>
      </c>
      <c r="J190" s="257">
        <f t="shared" si="53"/>
        <v>0</v>
      </c>
      <c r="K190" s="23"/>
      <c r="L190" s="23"/>
      <c r="M190" s="23"/>
      <c r="N190" s="259"/>
      <c r="O190" s="271">
        <v>45255.0</v>
      </c>
      <c r="P190" s="261"/>
      <c r="Q190" s="261">
        <f>O110+O112+O113</f>
        <v>1751892</v>
      </c>
      <c r="R190" s="487"/>
      <c r="S190" s="262"/>
      <c r="T190" s="264">
        <f t="shared" si="54"/>
        <v>1751892</v>
      </c>
      <c r="U190" s="483" t="s">
        <v>659</v>
      </c>
      <c r="V190" s="495"/>
      <c r="W190" s="493"/>
      <c r="X190" s="486"/>
      <c r="Y190" s="23"/>
      <c r="Z190" s="24"/>
      <c r="AA190" s="25"/>
      <c r="AB190" s="25"/>
      <c r="AC190" s="25"/>
      <c r="AD190" s="22"/>
    </row>
    <row r="191" ht="21.0" customHeight="1">
      <c r="A191" s="23"/>
      <c r="B191" s="62"/>
      <c r="C191" s="285" t="s">
        <v>66</v>
      </c>
      <c r="D191" s="255">
        <f t="shared" si="50"/>
        <v>0</v>
      </c>
      <c r="E191" s="284"/>
      <c r="F191" s="269"/>
      <c r="G191" s="256">
        <f t="shared" si="51"/>
        <v>0</v>
      </c>
      <c r="H191" s="66">
        <v>205000.0</v>
      </c>
      <c r="I191" s="217">
        <f t="shared" si="52"/>
        <v>0</v>
      </c>
      <c r="J191" s="257">
        <f t="shared" si="53"/>
        <v>0</v>
      </c>
      <c r="K191" s="23"/>
      <c r="L191" s="23"/>
      <c r="M191" s="23"/>
      <c r="N191" s="259"/>
      <c r="O191" s="497"/>
      <c r="P191" s="261"/>
      <c r="Q191" s="261"/>
      <c r="R191" s="487"/>
      <c r="S191" s="262"/>
      <c r="T191" s="264">
        <f t="shared" si="54"/>
        <v>0</v>
      </c>
      <c r="U191" s="488"/>
      <c r="V191" s="495"/>
      <c r="W191" s="493"/>
      <c r="X191" s="486"/>
      <c r="Y191" s="23"/>
      <c r="Z191" s="24"/>
      <c r="AA191" s="25"/>
      <c r="AB191" s="25"/>
      <c r="AC191" s="25"/>
      <c r="AD191" s="22"/>
    </row>
    <row r="192" ht="21.0" customHeight="1">
      <c r="A192" s="23"/>
      <c r="B192" s="62"/>
      <c r="C192" s="287" t="s">
        <v>67</v>
      </c>
      <c r="D192" s="255">
        <f t="shared" si="50"/>
        <v>0</v>
      </c>
      <c r="E192" s="284"/>
      <c r="F192" s="269"/>
      <c r="G192" s="256">
        <f t="shared" si="51"/>
        <v>0</v>
      </c>
      <c r="H192" s="87">
        <v>45000.0</v>
      </c>
      <c r="I192" s="217">
        <f t="shared" si="52"/>
        <v>0</v>
      </c>
      <c r="J192" s="257">
        <f t="shared" si="53"/>
        <v>0</v>
      </c>
      <c r="K192" s="23"/>
      <c r="L192" s="23"/>
      <c r="M192" s="23"/>
      <c r="N192" s="259"/>
      <c r="O192" s="497"/>
      <c r="P192" s="261"/>
      <c r="Q192" s="261"/>
      <c r="R192" s="487"/>
      <c r="S192" s="262"/>
      <c r="T192" s="264">
        <f t="shared" si="54"/>
        <v>0</v>
      </c>
      <c r="U192" s="488"/>
      <c r="V192" s="495"/>
      <c r="W192" s="493"/>
      <c r="X192" s="486"/>
      <c r="Y192" s="23"/>
      <c r="Z192" s="24"/>
      <c r="AA192" s="25"/>
      <c r="AB192" s="25"/>
      <c r="AC192" s="25"/>
      <c r="AD192" s="22"/>
    </row>
    <row r="193" ht="21.0" customHeight="1">
      <c r="A193" s="23"/>
      <c r="B193" s="62"/>
      <c r="C193" s="288" t="s">
        <v>71</v>
      </c>
      <c r="D193" s="255">
        <f t="shared" si="50"/>
        <v>0</v>
      </c>
      <c r="E193" s="284"/>
      <c r="F193" s="269"/>
      <c r="G193" s="256">
        <f t="shared" si="51"/>
        <v>0</v>
      </c>
      <c r="H193" s="66">
        <v>85000.0</v>
      </c>
      <c r="I193" s="217">
        <f t="shared" si="52"/>
        <v>0</v>
      </c>
      <c r="J193" s="257">
        <f t="shared" si="53"/>
        <v>0</v>
      </c>
      <c r="K193" s="23"/>
      <c r="L193" s="23"/>
      <c r="M193" s="23"/>
      <c r="N193" s="259"/>
      <c r="O193" s="497"/>
      <c r="P193" s="261"/>
      <c r="Q193" s="261"/>
      <c r="R193" s="487"/>
      <c r="S193" s="262"/>
      <c r="T193" s="264">
        <f t="shared" si="54"/>
        <v>0</v>
      </c>
      <c r="U193" s="488"/>
      <c r="V193" s="495"/>
      <c r="W193" s="493"/>
      <c r="X193" s="486"/>
      <c r="Y193" s="23"/>
      <c r="Z193" s="24"/>
      <c r="AA193" s="25"/>
      <c r="AB193" s="25"/>
      <c r="AC193" s="25"/>
      <c r="AD193" s="22"/>
    </row>
    <row r="194" ht="21.0" customHeight="1">
      <c r="A194" s="23"/>
      <c r="B194" s="62"/>
      <c r="C194" s="285" t="s">
        <v>76</v>
      </c>
      <c r="D194" s="255">
        <f t="shared" si="50"/>
        <v>28</v>
      </c>
      <c r="E194" s="284"/>
      <c r="F194" s="269"/>
      <c r="G194" s="256">
        <f t="shared" si="51"/>
        <v>28</v>
      </c>
      <c r="H194" s="66">
        <v>90000.0</v>
      </c>
      <c r="I194" s="217">
        <f t="shared" si="52"/>
        <v>2520000</v>
      </c>
      <c r="J194" s="257">
        <f t="shared" si="53"/>
        <v>0</v>
      </c>
      <c r="K194" s="23"/>
      <c r="L194" s="23"/>
      <c r="M194" s="23"/>
      <c r="N194" s="289"/>
      <c r="O194" s="498" t="s">
        <v>418</v>
      </c>
      <c r="P194" s="498">
        <f t="shared" ref="P194:T194" si="55">sum(P165:P193)</f>
        <v>9763896</v>
      </c>
      <c r="Q194" s="498">
        <f t="shared" si="55"/>
        <v>92016504</v>
      </c>
      <c r="R194" s="498">
        <f t="shared" si="55"/>
        <v>210009</v>
      </c>
      <c r="S194" s="498">
        <f t="shared" si="55"/>
        <v>3307624</v>
      </c>
      <c r="T194" s="498">
        <f t="shared" si="55"/>
        <v>98262767</v>
      </c>
      <c r="U194" s="498"/>
      <c r="V194" s="495"/>
      <c r="W194" s="493"/>
      <c r="X194" s="486"/>
      <c r="Y194" s="23"/>
      <c r="Z194" s="24"/>
      <c r="AA194" s="25"/>
      <c r="AB194" s="25"/>
      <c r="AC194" s="25"/>
      <c r="AD194" s="22"/>
    </row>
    <row r="195" ht="21.0" customHeight="1">
      <c r="A195" s="23"/>
      <c r="B195" s="62"/>
      <c r="C195" s="285" t="s">
        <v>80</v>
      </c>
      <c r="D195" s="255">
        <f t="shared" si="50"/>
        <v>6</v>
      </c>
      <c r="E195" s="284"/>
      <c r="F195" s="269"/>
      <c r="G195" s="256">
        <f t="shared" si="51"/>
        <v>6</v>
      </c>
      <c r="H195" s="66">
        <v>85000.0</v>
      </c>
      <c r="I195" s="217">
        <f t="shared" si="52"/>
        <v>510000</v>
      </c>
      <c r="J195" s="257">
        <f t="shared" si="53"/>
        <v>0</v>
      </c>
      <c r="K195" s="23"/>
      <c r="L195" s="23"/>
      <c r="M195" s="23"/>
      <c r="N195" s="23"/>
      <c r="O195" s="499"/>
      <c r="P195" s="335"/>
      <c r="Q195" s="335"/>
      <c r="R195" s="335"/>
      <c r="S195" s="335"/>
      <c r="T195" s="335"/>
      <c r="U195" s="500"/>
      <c r="V195" s="495"/>
      <c r="W195" s="493"/>
      <c r="X195" s="486"/>
      <c r="Y195" s="23"/>
      <c r="Z195" s="24"/>
      <c r="AA195" s="25"/>
      <c r="AB195" s="25"/>
      <c r="AC195" s="25"/>
      <c r="AD195" s="22"/>
    </row>
    <row r="196" ht="21.0" customHeight="1">
      <c r="A196" s="23"/>
      <c r="B196" s="62"/>
      <c r="C196" s="285" t="s">
        <v>81</v>
      </c>
      <c r="D196" s="255">
        <f t="shared" si="50"/>
        <v>0</v>
      </c>
      <c r="E196" s="284"/>
      <c r="F196" s="269"/>
      <c r="G196" s="256">
        <f t="shared" si="51"/>
        <v>0</v>
      </c>
      <c r="H196" s="66">
        <v>150000.0</v>
      </c>
      <c r="I196" s="217">
        <f t="shared" si="52"/>
        <v>0</v>
      </c>
      <c r="J196" s="257">
        <f t="shared" si="53"/>
        <v>0</v>
      </c>
      <c r="K196" s="23"/>
      <c r="L196" s="23"/>
      <c r="M196" s="23"/>
      <c r="N196" s="23"/>
      <c r="O196" s="499"/>
      <c r="P196" s="335"/>
      <c r="Q196" s="335"/>
      <c r="R196" s="335"/>
      <c r="S196" s="335"/>
      <c r="T196" s="335"/>
      <c r="U196" s="500"/>
      <c r="V196" s="495"/>
      <c r="W196" s="493"/>
      <c r="X196" s="486"/>
      <c r="Y196" s="23"/>
      <c r="Z196" s="24"/>
      <c r="AA196" s="25"/>
      <c r="AB196" s="25"/>
      <c r="AC196" s="25"/>
      <c r="AD196" s="22"/>
    </row>
    <row r="197" ht="21.0" customHeight="1">
      <c r="A197" s="23"/>
      <c r="B197" s="62"/>
      <c r="C197" s="285" t="s">
        <v>85</v>
      </c>
      <c r="D197" s="255">
        <f t="shared" si="50"/>
        <v>0</v>
      </c>
      <c r="E197" s="284"/>
      <c r="F197" s="269"/>
      <c r="G197" s="256">
        <f t="shared" si="51"/>
        <v>0</v>
      </c>
      <c r="H197" s="66">
        <v>125000.0</v>
      </c>
      <c r="I197" s="217">
        <f t="shared" si="52"/>
        <v>0</v>
      </c>
      <c r="J197" s="257">
        <f t="shared" si="53"/>
        <v>0</v>
      </c>
      <c r="K197" s="23"/>
      <c r="L197" s="23"/>
      <c r="M197" s="23"/>
      <c r="N197" s="23"/>
      <c r="O197" s="499"/>
      <c r="P197" s="335"/>
      <c r="Q197" s="335"/>
      <c r="R197" s="335"/>
      <c r="S197" s="335"/>
      <c r="T197" s="335"/>
      <c r="U197" s="500"/>
      <c r="V197" s="495"/>
      <c r="W197" s="466"/>
      <c r="X197" s="210"/>
      <c r="Y197" s="23"/>
      <c r="Z197" s="24"/>
      <c r="AA197" s="25"/>
      <c r="AB197" s="25"/>
      <c r="AC197" s="25"/>
      <c r="AD197" s="22"/>
    </row>
    <row r="198" ht="21.0" customHeight="1">
      <c r="A198" s="23"/>
      <c r="B198" s="62"/>
      <c r="C198" s="285" t="s">
        <v>89</v>
      </c>
      <c r="D198" s="255">
        <f t="shared" si="50"/>
        <v>0</v>
      </c>
      <c r="E198" s="284"/>
      <c r="F198" s="269"/>
      <c r="G198" s="256">
        <f t="shared" si="51"/>
        <v>0</v>
      </c>
      <c r="H198" s="66">
        <v>35000.0</v>
      </c>
      <c r="I198" s="217">
        <f t="shared" si="52"/>
        <v>0</v>
      </c>
      <c r="J198" s="257">
        <f t="shared" si="53"/>
        <v>0</v>
      </c>
      <c r="K198" s="23"/>
      <c r="L198" s="23"/>
      <c r="M198" s="23"/>
      <c r="N198" s="23"/>
      <c r="O198" s="499"/>
      <c r="P198" s="335"/>
      <c r="Q198" s="335"/>
      <c r="R198" s="335"/>
      <c r="S198" s="335"/>
      <c r="T198" s="335"/>
      <c r="U198" s="500"/>
      <c r="V198" s="495"/>
      <c r="W198" s="493"/>
      <c r="X198" s="486"/>
      <c r="Y198" s="23"/>
      <c r="Z198" s="24"/>
      <c r="AA198" s="25"/>
      <c r="AB198" s="25"/>
      <c r="AC198" s="25"/>
      <c r="AD198" s="22"/>
    </row>
    <row r="199" ht="21.0" customHeight="1">
      <c r="A199" s="23"/>
      <c r="B199" s="62"/>
      <c r="C199" s="285" t="s">
        <v>93</v>
      </c>
      <c r="D199" s="255">
        <f t="shared" si="50"/>
        <v>3</v>
      </c>
      <c r="E199" s="284"/>
      <c r="F199" s="269"/>
      <c r="G199" s="256">
        <f t="shared" si="51"/>
        <v>3</v>
      </c>
      <c r="H199" s="66">
        <v>90000.0</v>
      </c>
      <c r="I199" s="217">
        <f t="shared" si="52"/>
        <v>270000</v>
      </c>
      <c r="J199" s="257">
        <f t="shared" si="53"/>
        <v>0</v>
      </c>
      <c r="K199" s="23"/>
      <c r="L199" s="23"/>
      <c r="M199" s="23"/>
      <c r="N199" s="23"/>
      <c r="O199" s="499"/>
      <c r="P199" s="335"/>
      <c r="Q199" s="335"/>
      <c r="R199" s="335"/>
      <c r="S199" s="335"/>
      <c r="T199" s="335"/>
      <c r="U199" s="500"/>
      <c r="V199" s="495"/>
      <c r="W199" s="493"/>
      <c r="X199" s="486"/>
      <c r="Y199" s="23"/>
      <c r="Z199" s="24"/>
      <c r="AA199" s="25"/>
      <c r="AB199" s="25"/>
      <c r="AC199" s="25"/>
      <c r="AD199" s="22"/>
    </row>
    <row r="200" ht="21.0" customHeight="1">
      <c r="A200" s="23"/>
      <c r="B200" s="62"/>
      <c r="C200" s="285" t="s">
        <v>94</v>
      </c>
      <c r="D200" s="255">
        <f t="shared" si="50"/>
        <v>0</v>
      </c>
      <c r="E200" s="284"/>
      <c r="F200" s="269"/>
      <c r="G200" s="256">
        <f t="shared" si="51"/>
        <v>0</v>
      </c>
      <c r="H200" s="66">
        <v>140000.0</v>
      </c>
      <c r="I200" s="217">
        <f t="shared" si="52"/>
        <v>0</v>
      </c>
      <c r="J200" s="257">
        <f t="shared" si="53"/>
        <v>0</v>
      </c>
      <c r="K200" s="23"/>
      <c r="L200" s="23"/>
      <c r="M200" s="23"/>
      <c r="N200" s="23"/>
      <c r="O200" s="499"/>
      <c r="P200" s="335"/>
      <c r="Q200" s="335"/>
      <c r="R200" s="335"/>
      <c r="S200" s="335"/>
      <c r="T200" s="335"/>
      <c r="U200" s="500"/>
      <c r="V200" s="495"/>
      <c r="W200" s="485"/>
      <c r="X200" s="486"/>
      <c r="Y200" s="23"/>
      <c r="Z200" s="24"/>
      <c r="AA200" s="25"/>
      <c r="AB200" s="25"/>
      <c r="AC200" s="25"/>
      <c r="AD200" s="22"/>
    </row>
    <row r="201" ht="21.0" customHeight="1">
      <c r="A201" s="23"/>
      <c r="B201" s="62"/>
      <c r="C201" s="285" t="s">
        <v>97</v>
      </c>
      <c r="D201" s="255">
        <f t="shared" si="50"/>
        <v>0</v>
      </c>
      <c r="E201" s="284"/>
      <c r="F201" s="269"/>
      <c r="G201" s="256">
        <f t="shared" si="51"/>
        <v>0</v>
      </c>
      <c r="H201" s="66">
        <v>95000.0</v>
      </c>
      <c r="I201" s="217">
        <f t="shared" si="52"/>
        <v>0</v>
      </c>
      <c r="J201" s="257">
        <f t="shared" si="53"/>
        <v>0</v>
      </c>
      <c r="K201" s="23"/>
      <c r="L201" s="23"/>
      <c r="M201" s="23"/>
      <c r="N201" s="23"/>
      <c r="O201" s="499"/>
      <c r="P201" s="335"/>
      <c r="Q201" s="335"/>
      <c r="R201" s="335"/>
      <c r="S201" s="335"/>
      <c r="T201" s="335"/>
      <c r="U201" s="500"/>
      <c r="V201" s="482"/>
      <c r="W201" s="485"/>
      <c r="X201" s="486"/>
      <c r="Y201" s="23"/>
      <c r="Z201" s="24"/>
      <c r="AA201" s="25"/>
      <c r="AB201" s="25"/>
      <c r="AC201" s="25"/>
      <c r="AD201" s="22"/>
    </row>
    <row r="202" ht="21.0" customHeight="1">
      <c r="A202" s="23"/>
      <c r="B202" s="62"/>
      <c r="C202" s="285" t="s">
        <v>99</v>
      </c>
      <c r="D202" s="255">
        <f t="shared" si="50"/>
        <v>0</v>
      </c>
      <c r="E202" s="284"/>
      <c r="F202" s="269"/>
      <c r="G202" s="256">
        <f t="shared" si="51"/>
        <v>0</v>
      </c>
      <c r="H202" s="66">
        <v>140000.0</v>
      </c>
      <c r="I202" s="217">
        <f t="shared" si="52"/>
        <v>0</v>
      </c>
      <c r="J202" s="257">
        <f t="shared" si="53"/>
        <v>0</v>
      </c>
      <c r="K202" s="23"/>
      <c r="L202" s="23"/>
      <c r="M202" s="23"/>
      <c r="N202" s="23"/>
      <c r="O202" s="499"/>
      <c r="P202" s="335"/>
      <c r="Q202" s="335"/>
      <c r="R202" s="335"/>
      <c r="S202" s="335"/>
      <c r="T202" s="335"/>
      <c r="U202" s="23"/>
      <c r="V202" s="482"/>
      <c r="W202" s="485"/>
      <c r="X202" s="486"/>
      <c r="Y202" s="23"/>
      <c r="Z202" s="24"/>
      <c r="AA202" s="25"/>
      <c r="AB202" s="25"/>
      <c r="AC202" s="25"/>
      <c r="AD202" s="22"/>
    </row>
    <row r="203" ht="21.0" customHeight="1">
      <c r="A203" s="23"/>
      <c r="B203" s="62"/>
      <c r="C203" s="287" t="s">
        <v>487</v>
      </c>
      <c r="D203" s="255">
        <f t="shared" si="50"/>
        <v>17</v>
      </c>
      <c r="E203" s="284"/>
      <c r="F203" s="269"/>
      <c r="G203" s="256">
        <f t="shared" si="51"/>
        <v>17</v>
      </c>
      <c r="H203" s="87">
        <v>220000.0</v>
      </c>
      <c r="I203" s="217">
        <f t="shared" si="52"/>
        <v>3740000</v>
      </c>
      <c r="J203" s="257">
        <f t="shared" si="53"/>
        <v>0</v>
      </c>
      <c r="K203" s="23"/>
      <c r="L203" s="23"/>
      <c r="M203" s="23"/>
      <c r="N203" s="23"/>
      <c r="O203" s="499"/>
      <c r="P203" s="335"/>
      <c r="Q203" s="335"/>
      <c r="R203" s="335"/>
      <c r="S203" s="335"/>
      <c r="T203" s="335"/>
      <c r="U203" s="23"/>
      <c r="V203" s="482"/>
      <c r="W203" s="485"/>
      <c r="X203" s="486"/>
      <c r="Y203" s="23"/>
      <c r="Z203" s="24"/>
      <c r="AA203" s="25"/>
      <c r="AB203" s="25"/>
      <c r="AC203" s="25"/>
      <c r="AD203" s="22"/>
    </row>
    <row r="204" ht="21.0" customHeight="1">
      <c r="A204" s="23"/>
      <c r="B204" s="62"/>
      <c r="C204" s="287" t="s">
        <v>105</v>
      </c>
      <c r="D204" s="255">
        <f t="shared" si="50"/>
        <v>12</v>
      </c>
      <c r="E204" s="284"/>
      <c r="F204" s="269"/>
      <c r="G204" s="256">
        <f t="shared" si="51"/>
        <v>12</v>
      </c>
      <c r="H204" s="87">
        <v>160000.0</v>
      </c>
      <c r="I204" s="217">
        <f t="shared" si="52"/>
        <v>1920000</v>
      </c>
      <c r="J204" s="257">
        <f t="shared" si="53"/>
        <v>0</v>
      </c>
      <c r="K204" s="23"/>
      <c r="L204" s="23"/>
      <c r="M204" s="23"/>
      <c r="N204" s="23"/>
      <c r="O204" s="499"/>
      <c r="P204" s="335"/>
      <c r="Q204" s="335"/>
      <c r="R204" s="335"/>
      <c r="S204" s="335"/>
      <c r="T204" s="335"/>
      <c r="U204" s="23"/>
      <c r="V204" s="482"/>
      <c r="W204" s="466"/>
      <c r="X204" s="210"/>
      <c r="Y204" s="23"/>
      <c r="Z204" s="24"/>
      <c r="AA204" s="25"/>
      <c r="AB204" s="25"/>
      <c r="AC204" s="25"/>
      <c r="AD204" s="22"/>
    </row>
    <row r="205" ht="21.0" customHeight="1">
      <c r="A205" s="23"/>
      <c r="B205" s="62"/>
      <c r="C205" s="285" t="s">
        <v>113</v>
      </c>
      <c r="D205" s="255">
        <f t="shared" si="50"/>
        <v>0</v>
      </c>
      <c r="E205" s="284"/>
      <c r="F205" s="269"/>
      <c r="G205" s="256">
        <f t="shared" si="51"/>
        <v>0</v>
      </c>
      <c r="H205" s="66">
        <v>75000.0</v>
      </c>
      <c r="I205" s="217">
        <f t="shared" si="52"/>
        <v>0</v>
      </c>
      <c r="J205" s="257">
        <f t="shared" si="53"/>
        <v>0</v>
      </c>
      <c r="K205" s="23"/>
      <c r="L205" s="23"/>
      <c r="M205" s="23"/>
      <c r="N205" s="23"/>
      <c r="O205" s="499"/>
      <c r="P205" s="335"/>
      <c r="Q205" s="335"/>
      <c r="R205" s="335"/>
      <c r="S205" s="335"/>
      <c r="T205" s="335"/>
      <c r="U205" s="23"/>
      <c r="V205" s="482"/>
      <c r="W205" s="466"/>
      <c r="X205" s="210"/>
      <c r="Y205" s="23"/>
      <c r="Z205" s="24"/>
      <c r="AA205" s="25"/>
      <c r="AB205" s="25"/>
      <c r="AC205" s="25"/>
      <c r="AD205" s="22"/>
    </row>
    <row r="206" ht="21.0" customHeight="1">
      <c r="A206" s="23"/>
      <c r="B206" s="67"/>
      <c r="C206" s="300" t="s">
        <v>116</v>
      </c>
      <c r="D206" s="301">
        <f t="shared" si="50"/>
        <v>0</v>
      </c>
      <c r="E206" s="501"/>
      <c r="F206" s="305"/>
      <c r="G206" s="256">
        <f t="shared" si="51"/>
        <v>0</v>
      </c>
      <c r="H206" s="302">
        <v>475000.0</v>
      </c>
      <c r="I206" s="217">
        <f t="shared" si="52"/>
        <v>0</v>
      </c>
      <c r="J206" s="257">
        <f t="shared" si="53"/>
        <v>0</v>
      </c>
      <c r="K206" s="23"/>
      <c r="L206" s="23"/>
      <c r="M206" s="23"/>
      <c r="N206" s="23"/>
      <c r="O206" s="499"/>
      <c r="P206" s="335"/>
      <c r="Q206" s="335"/>
      <c r="R206" s="335"/>
      <c r="S206" s="335"/>
      <c r="T206" s="335"/>
      <c r="U206" s="23"/>
      <c r="V206" s="482"/>
      <c r="W206" s="466"/>
      <c r="X206" s="210"/>
      <c r="Y206" s="23"/>
      <c r="Z206" s="24"/>
      <c r="AA206" s="25"/>
      <c r="AB206" s="25"/>
      <c r="AC206" s="25"/>
      <c r="AD206" s="22"/>
    </row>
    <row r="207" ht="25.5" customHeight="1">
      <c r="A207" s="23"/>
      <c r="B207" s="306" t="s">
        <v>419</v>
      </c>
      <c r="C207" s="16"/>
      <c r="D207" s="16"/>
      <c r="E207" s="16"/>
      <c r="F207" s="16"/>
      <c r="G207" s="16"/>
      <c r="H207" s="17"/>
      <c r="I207" s="307">
        <f>SUM(I165:I182)</f>
        <v>84565000</v>
      </c>
      <c r="J207" s="23"/>
      <c r="K207" s="23"/>
      <c r="L207" s="23"/>
      <c r="M207" s="23"/>
      <c r="N207" s="23"/>
      <c r="O207" s="499"/>
      <c r="P207" s="335"/>
      <c r="Q207" s="335"/>
      <c r="R207" s="335"/>
      <c r="S207" s="335"/>
      <c r="T207" s="335"/>
      <c r="U207" s="335"/>
      <c r="V207" s="482"/>
      <c r="W207" s="464"/>
      <c r="X207" s="210"/>
      <c r="Y207" s="23"/>
      <c r="Z207" s="24"/>
      <c r="AA207" s="25"/>
      <c r="AB207" s="25"/>
      <c r="AC207" s="25"/>
      <c r="AD207" s="22"/>
    </row>
    <row r="208" ht="22.5" customHeight="1">
      <c r="A208" s="23"/>
      <c r="B208" s="308" t="s">
        <v>385</v>
      </c>
      <c r="C208" s="16"/>
      <c r="D208" s="16"/>
      <c r="E208" s="16"/>
      <c r="F208" s="16"/>
      <c r="G208" s="16"/>
      <c r="H208" s="17"/>
      <c r="I208" s="309">
        <f>SUM(I183:I206)</f>
        <v>17035000</v>
      </c>
      <c r="J208" s="23"/>
      <c r="K208" s="502" t="s">
        <v>420</v>
      </c>
      <c r="L208" s="17"/>
      <c r="M208" s="503"/>
      <c r="N208" s="504"/>
      <c r="O208" s="499"/>
      <c r="P208" s="335"/>
      <c r="Q208" s="335"/>
      <c r="R208" s="335"/>
      <c r="S208" s="335"/>
      <c r="T208" s="335"/>
      <c r="U208" s="335"/>
      <c r="V208" s="482"/>
      <c r="W208" s="464"/>
      <c r="X208" s="210"/>
      <c r="Y208" s="23"/>
      <c r="Z208" s="24"/>
      <c r="AA208" s="25"/>
      <c r="AB208" s="25"/>
      <c r="AC208" s="25"/>
      <c r="AD208" s="22"/>
    </row>
    <row r="209" ht="22.5" customHeight="1">
      <c r="A209" s="23"/>
      <c r="B209" s="505" t="s">
        <v>421</v>
      </c>
      <c r="C209" s="16"/>
      <c r="D209" s="16"/>
      <c r="E209" s="16"/>
      <c r="F209" s="16"/>
      <c r="G209" s="16"/>
      <c r="H209" s="17"/>
      <c r="I209" s="313">
        <f>SUM(I207:I208)</f>
        <v>101600000</v>
      </c>
      <c r="J209" s="23"/>
      <c r="K209" s="323" t="s">
        <v>422</v>
      </c>
      <c r="L209" s="86">
        <f>10380000-480000</f>
        <v>9900000</v>
      </c>
      <c r="M209" s="23"/>
      <c r="N209" s="23"/>
      <c r="O209" s="477"/>
      <c r="P209" s="23"/>
      <c r="Q209" s="23"/>
      <c r="R209" s="23"/>
      <c r="S209" s="23"/>
      <c r="T209" s="23"/>
      <c r="U209" s="23"/>
      <c r="V209" s="464"/>
      <c r="W209" s="464"/>
      <c r="X209" s="210"/>
      <c r="Y209" s="23"/>
      <c r="Z209" s="24"/>
      <c r="AA209" s="25"/>
      <c r="AB209" s="25"/>
      <c r="AC209" s="25"/>
      <c r="AD209" s="22"/>
    </row>
    <row r="210" ht="22.5" customHeight="1">
      <c r="A210" s="23"/>
      <c r="B210" s="317"/>
      <c r="C210" s="16"/>
      <c r="D210" s="17"/>
      <c r="E210" s="506" t="s">
        <v>423</v>
      </c>
      <c r="F210" s="16"/>
      <c r="G210" s="16"/>
      <c r="H210" s="17"/>
      <c r="I210" s="319">
        <f>O156</f>
        <v>100781628</v>
      </c>
      <c r="J210" s="23"/>
      <c r="K210" s="323" t="s">
        <v>424</v>
      </c>
      <c r="L210" s="86">
        <f>sumif(Q4:Q155,"Đã thu",K4:K155)</f>
        <v>92635000</v>
      </c>
      <c r="M210" s="23"/>
      <c r="N210" s="23"/>
      <c r="O210" s="477"/>
      <c r="P210" s="23"/>
      <c r="Q210" s="23"/>
      <c r="R210" s="23"/>
      <c r="S210" s="23"/>
      <c r="T210" s="23"/>
      <c r="U210" s="23"/>
      <c r="V210" s="464"/>
      <c r="W210" s="464"/>
      <c r="X210" s="210"/>
      <c r="Y210" s="23"/>
      <c r="Z210" s="24"/>
      <c r="AA210" s="25"/>
      <c r="AB210" s="25"/>
      <c r="AC210" s="25"/>
      <c r="AD210" s="22"/>
    </row>
    <row r="211" ht="22.5" customHeight="1">
      <c r="A211" s="23"/>
      <c r="B211" s="321" t="s">
        <v>425</v>
      </c>
      <c r="C211" s="16"/>
      <c r="D211" s="16"/>
      <c r="E211" s="16"/>
      <c r="F211" s="16"/>
      <c r="G211" s="16"/>
      <c r="H211" s="17"/>
      <c r="I211" s="322">
        <f>SUMIF(Q4:Q155,"Đã thu",O4:O155)</f>
        <v>92016504</v>
      </c>
      <c r="J211" s="23"/>
      <c r="K211" s="507" t="s">
        <v>415</v>
      </c>
      <c r="L211" s="508">
        <f>I208</f>
        <v>17035000</v>
      </c>
      <c r="M211" s="210"/>
      <c r="N211" s="210"/>
      <c r="O211" s="477"/>
      <c r="P211" s="23"/>
      <c r="Q211" s="23"/>
      <c r="R211" s="23"/>
      <c r="S211" s="23"/>
      <c r="T211" s="23"/>
      <c r="U211" s="23"/>
      <c r="V211" s="464"/>
      <c r="W211" s="464"/>
      <c r="X211" s="210"/>
      <c r="Y211" s="23"/>
      <c r="Z211" s="24"/>
      <c r="AA211" s="25"/>
      <c r="AB211" s="25"/>
      <c r="AC211" s="25"/>
      <c r="AD211" s="22"/>
    </row>
    <row r="212" ht="22.5" customHeight="1">
      <c r="A212" s="509"/>
      <c r="B212" s="326" t="s">
        <v>426</v>
      </c>
      <c r="C212" s="16"/>
      <c r="D212" s="16"/>
      <c r="E212" s="16"/>
      <c r="F212" s="16"/>
      <c r="G212" s="16"/>
      <c r="H212" s="17"/>
      <c r="I212" s="327">
        <f>I210-I211</f>
        <v>8765124</v>
      </c>
      <c r="J212" s="23"/>
      <c r="K212" s="328" t="s">
        <v>407</v>
      </c>
      <c r="L212" s="508">
        <f>sum(L209:L210)-L211</f>
        <v>85500000</v>
      </c>
      <c r="M212" s="210"/>
      <c r="N212" s="210"/>
      <c r="O212" s="477"/>
      <c r="P212" s="23"/>
      <c r="Q212" s="23"/>
      <c r="R212" s="23"/>
      <c r="S212" s="23"/>
      <c r="T212" s="23"/>
      <c r="U212" s="23"/>
      <c r="V212" s="464"/>
      <c r="W212" s="464"/>
      <c r="X212" s="210"/>
      <c r="Y212" s="23"/>
      <c r="Z212" s="24"/>
      <c r="AA212" s="25"/>
      <c r="AB212" s="25"/>
      <c r="AC212" s="25"/>
      <c r="AD212" s="22"/>
    </row>
    <row r="213" ht="22.5" customHeight="1">
      <c r="A213" s="509"/>
      <c r="B213" s="330" t="s">
        <v>427</v>
      </c>
      <c r="C213" s="16"/>
      <c r="D213" s="16"/>
      <c r="E213" s="16"/>
      <c r="F213" s="16"/>
      <c r="G213" s="16"/>
      <c r="H213" s="17"/>
      <c r="I213" s="331">
        <f>L156+R156</f>
        <v>3456216</v>
      </c>
      <c r="J213" s="23"/>
      <c r="K213" s="335"/>
      <c r="L213" s="335"/>
      <c r="M213" s="23"/>
      <c r="N213" s="23"/>
      <c r="O213" s="477"/>
      <c r="P213" s="23"/>
      <c r="Q213" s="23"/>
      <c r="R213" s="23"/>
      <c r="S213" s="23"/>
      <c r="T213" s="23"/>
      <c r="U213" s="23"/>
      <c r="V213" s="464"/>
      <c r="W213" s="464"/>
      <c r="X213" s="210"/>
      <c r="Y213" s="23"/>
      <c r="Z213" s="24"/>
      <c r="AA213" s="25"/>
      <c r="AB213" s="25"/>
      <c r="AC213" s="25"/>
      <c r="AD213" s="22"/>
    </row>
    <row r="214" ht="22.5" customHeight="1">
      <c r="A214" s="23"/>
      <c r="B214" s="321" t="s">
        <v>428</v>
      </c>
      <c r="C214" s="16"/>
      <c r="D214" s="16"/>
      <c r="E214" s="16"/>
      <c r="F214" s="16"/>
      <c r="G214" s="16"/>
      <c r="H214" s="17"/>
      <c r="I214" s="207">
        <f>SUMIF($T$4:$T$155,"x",R4:R155)+SUMIF($T$4:$T$155,"x",$L$4:$L$155)</f>
        <v>3045974</v>
      </c>
      <c r="J214" s="23"/>
      <c r="K214" s="335"/>
      <c r="L214" s="335"/>
      <c r="M214" s="335"/>
      <c r="N214" s="335"/>
      <c r="O214" s="477"/>
      <c r="P214" s="23"/>
      <c r="Q214" s="23"/>
      <c r="R214" s="23"/>
      <c r="S214" s="23"/>
      <c r="T214" s="23"/>
      <c r="U214" s="23"/>
      <c r="V214" s="464"/>
      <c r="W214" s="464"/>
      <c r="X214" s="210"/>
      <c r="Y214" s="23"/>
      <c r="Z214" s="24"/>
      <c r="AA214" s="25"/>
      <c r="AB214" s="25"/>
      <c r="AC214" s="25"/>
      <c r="AD214" s="22"/>
    </row>
    <row r="215" ht="22.5" customHeight="1">
      <c r="A215" s="23"/>
      <c r="B215" s="326" t="s">
        <v>429</v>
      </c>
      <c r="C215" s="16"/>
      <c r="D215" s="16"/>
      <c r="E215" s="16"/>
      <c r="F215" s="16"/>
      <c r="G215" s="16"/>
      <c r="H215" s="17"/>
      <c r="I215" s="327">
        <f>I213-I214</f>
        <v>410242</v>
      </c>
      <c r="J215" s="23"/>
      <c r="K215" s="335"/>
      <c r="L215" s="335"/>
      <c r="M215" s="23"/>
      <c r="N215" s="23"/>
      <c r="O215" s="477"/>
      <c r="P215" s="23"/>
      <c r="Q215" s="23"/>
      <c r="R215" s="23"/>
      <c r="S215" s="23"/>
      <c r="T215" s="23"/>
      <c r="U215" s="23"/>
      <c r="V215" s="464"/>
      <c r="W215" s="464"/>
      <c r="X215" s="210"/>
      <c r="Y215" s="23"/>
      <c r="Z215" s="24"/>
      <c r="AA215" s="25"/>
      <c r="AB215" s="25"/>
      <c r="AC215" s="25"/>
      <c r="AD215" s="22"/>
    </row>
    <row r="216" ht="15.75" customHeight="1">
      <c r="A216" s="23"/>
      <c r="B216" s="510"/>
      <c r="C216" s="510"/>
      <c r="D216" s="510"/>
      <c r="E216" s="511"/>
      <c r="F216" s="512"/>
      <c r="G216" s="23"/>
      <c r="H216" s="23"/>
      <c r="I216" s="23"/>
      <c r="J216" s="23"/>
      <c r="K216" s="23"/>
      <c r="L216" s="23"/>
      <c r="M216" s="23"/>
      <c r="N216" s="23"/>
      <c r="O216" s="477"/>
      <c r="P216" s="23"/>
      <c r="Q216" s="23"/>
      <c r="R216" s="23"/>
      <c r="S216" s="23"/>
      <c r="T216" s="23"/>
      <c r="U216" s="23"/>
      <c r="V216" s="464"/>
      <c r="W216" s="464"/>
      <c r="X216" s="210"/>
      <c r="Y216" s="23"/>
      <c r="Z216" s="24"/>
      <c r="AA216" s="25"/>
      <c r="AB216" s="25"/>
      <c r="AC216" s="25"/>
      <c r="AD216" s="22"/>
    </row>
    <row r="217" ht="15.75" customHeight="1">
      <c r="A217" s="339" t="s">
        <v>430</v>
      </c>
      <c r="E217" s="511"/>
      <c r="F217" s="512"/>
      <c r="G217" s="23"/>
      <c r="H217" s="23"/>
      <c r="I217" s="23"/>
      <c r="J217" s="23"/>
      <c r="K217" s="23"/>
      <c r="L217" s="23"/>
      <c r="M217" s="23"/>
      <c r="N217" s="23"/>
      <c r="O217" s="477"/>
      <c r="P217" s="23"/>
      <c r="Q217" s="23"/>
      <c r="R217" s="23"/>
      <c r="S217" s="23"/>
      <c r="T217" s="23"/>
      <c r="U217" s="23"/>
      <c r="V217" s="464"/>
      <c r="W217" s="464"/>
      <c r="X217" s="210"/>
      <c r="Y217" s="23"/>
      <c r="Z217" s="24"/>
      <c r="AA217" s="25"/>
      <c r="AB217" s="25"/>
      <c r="AC217" s="25"/>
      <c r="AD217" s="22"/>
    </row>
    <row r="218" ht="15.75" customHeight="1">
      <c r="A218" s="513"/>
      <c r="B218" s="514"/>
      <c r="C218" s="514"/>
      <c r="D218" s="514"/>
      <c r="E218" s="514"/>
      <c r="F218" s="514"/>
      <c r="G218" s="514"/>
      <c r="H218" s="514"/>
      <c r="I218" s="514"/>
      <c r="J218" s="514"/>
      <c r="K218" s="514"/>
      <c r="L218" s="515"/>
      <c r="M218" s="515"/>
      <c r="N218" s="514"/>
      <c r="O218" s="516"/>
      <c r="P218" s="107"/>
      <c r="Q218" s="107"/>
      <c r="R218" s="107"/>
      <c r="S218" s="107"/>
      <c r="T218" s="428"/>
      <c r="U218" s="107"/>
      <c r="V218" s="517"/>
      <c r="W218" s="517"/>
      <c r="X218" s="107"/>
      <c r="Y218" s="107"/>
      <c r="Z218" s="24"/>
      <c r="AA218" s="25"/>
      <c r="AB218" s="25"/>
      <c r="AC218" s="25"/>
      <c r="AD218" s="22"/>
    </row>
    <row r="219" ht="15.75" customHeight="1">
      <c r="A219" s="513"/>
      <c r="B219" s="346" t="s">
        <v>431</v>
      </c>
      <c r="C219" s="347" t="s">
        <v>432</v>
      </c>
      <c r="D219" s="348" t="s">
        <v>433</v>
      </c>
      <c r="E219" s="348" t="s">
        <v>434</v>
      </c>
      <c r="F219" s="349" t="s">
        <v>5</v>
      </c>
      <c r="G219" s="348" t="s">
        <v>435</v>
      </c>
      <c r="H219" s="348" t="s">
        <v>25</v>
      </c>
      <c r="I219" s="349" t="s">
        <v>26</v>
      </c>
      <c r="J219" s="349" t="s">
        <v>436</v>
      </c>
      <c r="K219" s="349" t="s">
        <v>437</v>
      </c>
      <c r="L219" s="349" t="s">
        <v>438</v>
      </c>
      <c r="M219" s="518" t="s">
        <v>9</v>
      </c>
      <c r="N219" s="519" t="s">
        <v>439</v>
      </c>
      <c r="O219" s="352"/>
      <c r="P219" s="352"/>
      <c r="Q219" s="352"/>
      <c r="R219" s="513"/>
      <c r="S219" s="513"/>
      <c r="T219" s="513"/>
      <c r="U219" s="513"/>
      <c r="V219" s="513"/>
      <c r="W219" s="520"/>
      <c r="X219" s="513"/>
      <c r="Y219" s="335"/>
      <c r="Z219" s="521"/>
      <c r="AA219" s="25"/>
      <c r="AB219" s="25"/>
      <c r="AC219" s="25"/>
      <c r="AD219" s="22"/>
    </row>
    <row r="220" ht="36.75" customHeight="1">
      <c r="A220" s="522"/>
      <c r="B220" s="69">
        <v>10.0</v>
      </c>
      <c r="C220" s="70">
        <v>45220.0</v>
      </c>
      <c r="D220" s="523" t="s">
        <v>662</v>
      </c>
      <c r="E220" s="366" t="s">
        <v>50</v>
      </c>
      <c r="F220" s="71" t="s">
        <v>663</v>
      </c>
      <c r="G220" s="366" t="s">
        <v>70</v>
      </c>
      <c r="H220" s="366" t="s">
        <v>30</v>
      </c>
      <c r="I220" s="69">
        <v>1.0</v>
      </c>
      <c r="J220" s="524">
        <v>220000.0</v>
      </c>
      <c r="K220" s="525">
        <f t="shared" ref="K220:K226" si="56">J220*I220</f>
        <v>220000</v>
      </c>
      <c r="L220" s="69" t="s">
        <v>33</v>
      </c>
      <c r="M220" s="526"/>
      <c r="N220" s="524" t="s">
        <v>201</v>
      </c>
      <c r="O220" s="352"/>
      <c r="P220" s="352"/>
      <c r="Q220" s="352"/>
      <c r="R220" s="513"/>
      <c r="S220" s="513"/>
      <c r="T220" s="513"/>
      <c r="U220" s="513"/>
      <c r="V220" s="513"/>
      <c r="W220" s="520"/>
      <c r="X220" s="527"/>
      <c r="Y220" s="527"/>
      <c r="Z220" s="528"/>
      <c r="AA220" s="25"/>
      <c r="AB220" s="25"/>
      <c r="AC220" s="25"/>
      <c r="AD220" s="22"/>
    </row>
    <row r="221" ht="36.75" customHeight="1">
      <c r="A221" s="522"/>
      <c r="B221" s="69">
        <v>11.0</v>
      </c>
      <c r="C221" s="413">
        <v>45227.0</v>
      </c>
      <c r="D221" s="69" t="s">
        <v>483</v>
      </c>
      <c r="E221" s="69" t="s">
        <v>179</v>
      </c>
      <c r="F221" s="71" t="s">
        <v>484</v>
      </c>
      <c r="G221" s="69" t="s">
        <v>485</v>
      </c>
      <c r="H221" s="366" t="s">
        <v>147</v>
      </c>
      <c r="I221" s="69">
        <v>1.0</v>
      </c>
      <c r="J221" s="524">
        <v>80000.0</v>
      </c>
      <c r="K221" s="525">
        <f t="shared" si="56"/>
        <v>80000</v>
      </c>
      <c r="L221" s="69" t="s">
        <v>33</v>
      </c>
      <c r="M221" s="526"/>
      <c r="N221" s="524" t="s">
        <v>201</v>
      </c>
      <c r="O221" s="352"/>
      <c r="P221" s="352"/>
      <c r="Q221" s="352"/>
      <c r="R221" s="513"/>
      <c r="S221" s="513"/>
      <c r="T221" s="513"/>
      <c r="U221" s="513"/>
      <c r="V221" s="513"/>
      <c r="W221" s="520"/>
      <c r="X221" s="529"/>
      <c r="Y221" s="527"/>
      <c r="Z221" s="528"/>
      <c r="AA221" s="25"/>
      <c r="AB221" s="25"/>
      <c r="AC221" s="25"/>
      <c r="AD221" s="22"/>
    </row>
    <row r="222" ht="36.75" customHeight="1">
      <c r="A222" s="522"/>
      <c r="B222" s="373">
        <v>11.0</v>
      </c>
      <c r="C222" s="530">
        <v>45241.0</v>
      </c>
      <c r="D222" s="377" t="s">
        <v>566</v>
      </c>
      <c r="E222" s="373" t="s">
        <v>50</v>
      </c>
      <c r="F222" s="374" t="s">
        <v>567</v>
      </c>
      <c r="G222" s="373" t="s">
        <v>74</v>
      </c>
      <c r="H222" s="366" t="s">
        <v>30</v>
      </c>
      <c r="I222" s="373">
        <v>1.0</v>
      </c>
      <c r="J222" s="524">
        <v>220000.0</v>
      </c>
      <c r="K222" s="525">
        <f t="shared" si="56"/>
        <v>220000</v>
      </c>
      <c r="L222" s="69" t="s">
        <v>33</v>
      </c>
      <c r="M222" s="526"/>
      <c r="N222" s="524" t="s">
        <v>201</v>
      </c>
      <c r="O222" s="352"/>
      <c r="P222" s="352"/>
      <c r="Q222" s="352"/>
      <c r="R222" s="513"/>
      <c r="S222" s="513"/>
      <c r="T222" s="513"/>
      <c r="U222" s="513"/>
      <c r="V222" s="513"/>
      <c r="W222" s="520"/>
      <c r="X222" s="529"/>
      <c r="Y222" s="527"/>
      <c r="Z222" s="528"/>
      <c r="AA222" s="25"/>
      <c r="AB222" s="25"/>
      <c r="AC222" s="25"/>
      <c r="AD222" s="22"/>
    </row>
    <row r="223" ht="31.5" customHeight="1">
      <c r="A223" s="531"/>
      <c r="B223" s="377">
        <v>11.0</v>
      </c>
      <c r="C223" s="532">
        <v>45244.0</v>
      </c>
      <c r="D223" s="377" t="s">
        <v>581</v>
      </c>
      <c r="E223" s="377" t="s">
        <v>179</v>
      </c>
      <c r="F223" s="379" t="s">
        <v>582</v>
      </c>
      <c r="G223" s="377" t="s">
        <v>485</v>
      </c>
      <c r="H223" s="377" t="s">
        <v>147</v>
      </c>
      <c r="I223" s="377">
        <v>1.0</v>
      </c>
      <c r="J223" s="524">
        <v>80000.0</v>
      </c>
      <c r="K223" s="525">
        <f t="shared" si="56"/>
        <v>80000</v>
      </c>
      <c r="L223" s="265" t="s">
        <v>33</v>
      </c>
      <c r="M223" s="533"/>
      <c r="N223" s="524" t="s">
        <v>201</v>
      </c>
      <c r="O223" s="352"/>
      <c r="P223" s="352"/>
      <c r="Q223" s="352"/>
      <c r="R223" s="352"/>
      <c r="S223" s="352"/>
      <c r="T223" s="352"/>
      <c r="U223" s="352"/>
      <c r="V223" s="352"/>
      <c r="W223" s="534"/>
      <c r="X223" s="466"/>
      <c r="Y223" s="464"/>
      <c r="Z223" s="535"/>
      <c r="AA223" s="491"/>
      <c r="AB223" s="491"/>
      <c r="AC223" s="491"/>
      <c r="AD223" s="492"/>
    </row>
    <row r="224" ht="31.5" customHeight="1">
      <c r="A224" s="531"/>
      <c r="B224" s="536">
        <v>11.0</v>
      </c>
      <c r="C224" s="537">
        <v>45252.0</v>
      </c>
      <c r="D224" s="111">
        <v>1.711709949781E12</v>
      </c>
      <c r="E224" s="148" t="s">
        <v>440</v>
      </c>
      <c r="F224" s="143" t="s">
        <v>441</v>
      </c>
      <c r="G224" s="538" t="s">
        <v>442</v>
      </c>
      <c r="H224" s="536" t="s">
        <v>30</v>
      </c>
      <c r="I224" s="536">
        <v>10.0</v>
      </c>
      <c r="J224" s="539">
        <v>220000.0</v>
      </c>
      <c r="K224" s="525">
        <f t="shared" si="56"/>
        <v>2200000</v>
      </c>
      <c r="L224" s="540"/>
      <c r="M224" s="540"/>
      <c r="N224" s="539" t="s">
        <v>664</v>
      </c>
      <c r="O224" s="352"/>
      <c r="P224" s="352"/>
      <c r="Q224" s="352"/>
      <c r="R224" s="352"/>
      <c r="S224" s="352"/>
      <c r="T224" s="352"/>
      <c r="U224" s="352"/>
      <c r="V224" s="352"/>
      <c r="W224" s="534"/>
      <c r="X224" s="466"/>
      <c r="Y224" s="464"/>
      <c r="Z224" s="535"/>
      <c r="AA224" s="491"/>
      <c r="AB224" s="491"/>
      <c r="AC224" s="491"/>
      <c r="AD224" s="492"/>
    </row>
    <row r="225" ht="31.5" customHeight="1">
      <c r="A225" s="531"/>
      <c r="B225" s="62"/>
      <c r="C225" s="62"/>
      <c r="D225" s="62"/>
      <c r="E225" s="62"/>
      <c r="F225" s="62"/>
      <c r="G225" s="62"/>
      <c r="H225" s="536" t="s">
        <v>147</v>
      </c>
      <c r="I225" s="536">
        <v>10.0</v>
      </c>
      <c r="J225" s="539">
        <v>80000.0</v>
      </c>
      <c r="K225" s="525">
        <f t="shared" si="56"/>
        <v>800000</v>
      </c>
      <c r="L225" s="62"/>
      <c r="M225" s="62"/>
      <c r="N225" s="62"/>
      <c r="O225" s="352"/>
      <c r="P225" s="352"/>
      <c r="Q225" s="352"/>
      <c r="R225" s="352"/>
      <c r="S225" s="352"/>
      <c r="T225" s="352"/>
      <c r="U225" s="352"/>
      <c r="V225" s="352"/>
      <c r="W225" s="534"/>
      <c r="X225" s="466"/>
      <c r="Y225" s="464"/>
      <c r="Z225" s="535"/>
      <c r="AA225" s="491"/>
      <c r="AB225" s="491"/>
      <c r="AC225" s="491"/>
      <c r="AD225" s="492"/>
    </row>
    <row r="226" ht="31.5" customHeight="1">
      <c r="A226" s="531"/>
      <c r="B226" s="62"/>
      <c r="C226" s="62"/>
      <c r="D226" s="67"/>
      <c r="E226" s="67"/>
      <c r="F226" s="67"/>
      <c r="G226" s="67"/>
      <c r="H226" s="536" t="s">
        <v>112</v>
      </c>
      <c r="I226" s="536">
        <v>2.0</v>
      </c>
      <c r="J226" s="539">
        <v>160000.0</v>
      </c>
      <c r="K226" s="525">
        <f t="shared" si="56"/>
        <v>320000</v>
      </c>
      <c r="L226" s="67"/>
      <c r="M226" s="67"/>
      <c r="N226" s="67"/>
      <c r="O226" s="352"/>
      <c r="P226" s="352"/>
      <c r="Q226" s="352"/>
      <c r="R226" s="352"/>
      <c r="S226" s="352"/>
      <c r="T226" s="352"/>
      <c r="U226" s="352"/>
      <c r="V226" s="352"/>
      <c r="W226" s="534"/>
      <c r="X226" s="466"/>
      <c r="Y226" s="464"/>
      <c r="Z226" s="535"/>
      <c r="AA226" s="491"/>
      <c r="AB226" s="491"/>
      <c r="AC226" s="491"/>
      <c r="AD226" s="492"/>
    </row>
    <row r="227" ht="31.5" customHeight="1">
      <c r="A227" s="541"/>
      <c r="B227" s="389" t="s">
        <v>421</v>
      </c>
      <c r="C227" s="16"/>
      <c r="D227" s="16"/>
      <c r="E227" s="16"/>
      <c r="F227" s="16"/>
      <c r="G227" s="16"/>
      <c r="H227" s="16"/>
      <c r="I227" s="16"/>
      <c r="J227" s="17"/>
      <c r="K227" s="390">
        <f>SUM(K220:K226)</f>
        <v>3920000</v>
      </c>
      <c r="L227" s="392"/>
      <c r="M227" s="542"/>
      <c r="N227" s="392"/>
      <c r="O227" s="352"/>
      <c r="P227" s="352"/>
      <c r="Q227" s="352"/>
      <c r="R227" s="513"/>
      <c r="S227" s="513"/>
      <c r="T227" s="513"/>
      <c r="U227" s="513"/>
      <c r="V227" s="513"/>
      <c r="W227" s="520"/>
      <c r="X227" s="529"/>
      <c r="Y227" s="527"/>
      <c r="Z227" s="528"/>
      <c r="AA227" s="25"/>
      <c r="AB227" s="25"/>
      <c r="AC227" s="25"/>
      <c r="AD227" s="22"/>
    </row>
    <row r="228" ht="15.75" customHeight="1">
      <c r="A228" s="107"/>
      <c r="B228" s="428"/>
      <c r="C228" s="543"/>
      <c r="D228" s="544"/>
      <c r="E228" s="544"/>
      <c r="F228" s="544"/>
      <c r="G228" s="259"/>
      <c r="H228" s="428"/>
      <c r="I228" s="107"/>
      <c r="J228" s="107"/>
      <c r="K228" s="107"/>
      <c r="L228" s="428"/>
      <c r="M228" s="428"/>
      <c r="N228" s="107"/>
      <c r="O228" s="516"/>
      <c r="P228" s="107"/>
      <c r="Q228" s="107"/>
      <c r="R228" s="545"/>
      <c r="S228" s="545"/>
      <c r="T228" s="545"/>
      <c r="U228" s="545"/>
      <c r="V228" s="545"/>
      <c r="W228" s="546"/>
      <c r="X228" s="107"/>
      <c r="Y228" s="107"/>
      <c r="Z228" s="24"/>
      <c r="AA228" s="25"/>
      <c r="AB228" s="25"/>
      <c r="AC228" s="25"/>
      <c r="AD228" s="22"/>
    </row>
    <row r="229" ht="15.75" customHeight="1">
      <c r="A229" s="22"/>
      <c r="B229" s="428"/>
      <c r="C229" s="543"/>
      <c r="D229" s="544"/>
      <c r="E229" s="544"/>
      <c r="F229" s="544"/>
      <c r="G229" s="259"/>
      <c r="H229" s="469"/>
      <c r="I229" s="25"/>
      <c r="J229" s="25"/>
      <c r="K229" s="22"/>
      <c r="L229" s="468"/>
      <c r="M229" s="468"/>
      <c r="N229" s="22"/>
      <c r="O229" s="470"/>
      <c r="P229" s="22"/>
      <c r="Q229" s="22"/>
      <c r="R229" s="22"/>
      <c r="S229" s="22"/>
      <c r="T229" s="468"/>
      <c r="U229" s="22"/>
      <c r="V229" s="547"/>
      <c r="W229" s="548"/>
      <c r="X229" s="22"/>
      <c r="Y229" s="22"/>
      <c r="Z229" s="465"/>
      <c r="AA229" s="25"/>
      <c r="AB229" s="25"/>
      <c r="AC229" s="25"/>
      <c r="AD229" s="22"/>
    </row>
    <row r="230" ht="15.75" customHeight="1">
      <c r="A230" s="22"/>
      <c r="B230" s="428"/>
      <c r="C230" s="549"/>
      <c r="D230" s="22"/>
      <c r="E230" s="22"/>
      <c r="F230" s="467"/>
      <c r="G230" s="468"/>
      <c r="H230" s="469"/>
      <c r="I230" s="25"/>
      <c r="J230" s="25"/>
      <c r="K230" s="22"/>
      <c r="L230" s="468"/>
      <c r="M230" s="468"/>
      <c r="N230" s="22"/>
      <c r="O230" s="470"/>
      <c r="P230" s="22"/>
      <c r="Q230" s="22"/>
      <c r="R230" s="22"/>
      <c r="S230" s="22"/>
      <c r="T230" s="468"/>
      <c r="U230" s="22"/>
      <c r="V230" s="550"/>
      <c r="W230" s="551"/>
      <c r="X230" s="22"/>
      <c r="Y230" s="22"/>
      <c r="Z230" s="465"/>
      <c r="AA230" s="22"/>
      <c r="AB230" s="22"/>
      <c r="AC230" s="22"/>
      <c r="AD230" s="22"/>
    </row>
    <row r="231" ht="15.75" customHeight="1">
      <c r="A231" s="22"/>
      <c r="B231" s="468"/>
      <c r="C231" s="549"/>
      <c r="D231" s="22"/>
      <c r="E231" s="22"/>
      <c r="F231" s="467"/>
      <c r="G231" s="468"/>
      <c r="H231" s="469"/>
      <c r="I231" s="25"/>
      <c r="J231" s="25"/>
      <c r="K231" s="22"/>
      <c r="L231" s="468"/>
      <c r="M231" s="468"/>
      <c r="N231" s="22"/>
      <c r="O231" s="470"/>
      <c r="P231" s="22"/>
      <c r="Q231" s="22"/>
      <c r="R231" s="22"/>
      <c r="S231" s="22"/>
      <c r="T231" s="468"/>
      <c r="U231" s="22"/>
      <c r="V231" s="550"/>
      <c r="W231" s="551"/>
      <c r="X231" s="22"/>
      <c r="Y231" s="22"/>
      <c r="Z231" s="465"/>
      <c r="AA231" s="22"/>
      <c r="AB231" s="22"/>
      <c r="AC231" s="22"/>
      <c r="AD231" s="22"/>
    </row>
    <row r="232" ht="15.75" customHeight="1">
      <c r="A232" s="22"/>
      <c r="B232" s="468"/>
      <c r="C232" s="549"/>
      <c r="D232" s="22"/>
      <c r="E232" s="22"/>
      <c r="F232" s="467"/>
      <c r="G232" s="468"/>
      <c r="H232" s="469"/>
      <c r="I232" s="25"/>
      <c r="J232" s="25"/>
      <c r="K232" s="22"/>
      <c r="L232" s="468"/>
      <c r="M232" s="468"/>
      <c r="N232" s="22"/>
      <c r="O232" s="470"/>
      <c r="P232" s="22"/>
      <c r="Q232" s="22"/>
      <c r="R232" s="22"/>
      <c r="S232" s="22"/>
      <c r="T232" s="468"/>
      <c r="U232" s="22"/>
      <c r="V232" s="550"/>
      <c r="W232" s="551"/>
      <c r="X232" s="22"/>
      <c r="Y232" s="22"/>
      <c r="Z232" s="465"/>
      <c r="AA232" s="22"/>
      <c r="AB232" s="22"/>
      <c r="AC232" s="22"/>
      <c r="AD232" s="22"/>
    </row>
    <row r="233" ht="15.75" customHeight="1">
      <c r="A233" s="22"/>
      <c r="B233" s="468"/>
      <c r="C233" s="549"/>
      <c r="D233" s="22"/>
      <c r="E233" s="22"/>
      <c r="F233" s="467"/>
      <c r="G233" s="468"/>
      <c r="H233" s="469"/>
      <c r="I233" s="25"/>
      <c r="J233" s="25"/>
      <c r="K233" s="22"/>
      <c r="L233" s="468"/>
      <c r="M233" s="468"/>
      <c r="N233" s="22"/>
      <c r="O233" s="470"/>
      <c r="P233" s="22"/>
      <c r="Q233" s="22"/>
      <c r="R233" s="22"/>
      <c r="S233" s="22"/>
      <c r="T233" s="468"/>
      <c r="U233" s="22"/>
      <c r="V233" s="550"/>
      <c r="W233" s="551"/>
      <c r="X233" s="22"/>
      <c r="Y233" s="22"/>
      <c r="Z233" s="465"/>
      <c r="AA233" s="22"/>
      <c r="AB233" s="22"/>
      <c r="AC233" s="22"/>
      <c r="AD233" s="22"/>
    </row>
    <row r="234" ht="15.75" customHeight="1">
      <c r="A234" s="22"/>
      <c r="B234" s="468"/>
      <c r="C234" s="549"/>
      <c r="D234" s="22"/>
      <c r="E234" s="22"/>
      <c r="F234" s="467"/>
      <c r="G234" s="468"/>
      <c r="H234" s="469"/>
      <c r="I234" s="25"/>
      <c r="J234" s="25"/>
      <c r="K234" s="22"/>
      <c r="L234" s="468"/>
      <c r="M234" s="468"/>
      <c r="N234" s="22"/>
      <c r="O234" s="470"/>
      <c r="P234" s="22"/>
      <c r="Q234" s="22"/>
      <c r="R234" s="22"/>
      <c r="S234" s="22"/>
      <c r="T234" s="468"/>
      <c r="U234" s="22"/>
      <c r="V234" s="550"/>
      <c r="W234" s="551"/>
      <c r="X234" s="22"/>
      <c r="Y234" s="22"/>
      <c r="Z234" s="465"/>
      <c r="AA234" s="22"/>
      <c r="AB234" s="22"/>
      <c r="AC234" s="22"/>
      <c r="AD234" s="22"/>
    </row>
    <row r="235" ht="15.75" customHeight="1">
      <c r="A235" s="22"/>
      <c r="B235" s="468"/>
      <c r="C235" s="549"/>
      <c r="D235" s="22"/>
      <c r="E235" s="22"/>
      <c r="F235" s="467"/>
      <c r="G235" s="468"/>
      <c r="H235" s="469"/>
      <c r="I235" s="25"/>
      <c r="J235" s="25"/>
      <c r="K235" s="22"/>
      <c r="L235" s="468"/>
      <c r="M235" s="468"/>
      <c r="N235" s="22"/>
      <c r="O235" s="470"/>
      <c r="P235" s="22"/>
      <c r="Q235" s="22"/>
      <c r="R235" s="22"/>
      <c r="S235" s="22"/>
      <c r="T235" s="468"/>
      <c r="U235" s="22"/>
      <c r="V235" s="550"/>
      <c r="W235" s="551"/>
      <c r="X235" s="22"/>
      <c r="Y235" s="22"/>
      <c r="Z235" s="465"/>
      <c r="AA235" s="22"/>
      <c r="AB235" s="22"/>
      <c r="AC235" s="22"/>
      <c r="AD235" s="22"/>
    </row>
    <row r="236" ht="15.75" customHeight="1">
      <c r="A236" s="22"/>
      <c r="B236" s="468"/>
      <c r="C236" s="549"/>
      <c r="D236" s="22"/>
      <c r="E236" s="22"/>
      <c r="F236" s="467"/>
      <c r="G236" s="468"/>
      <c r="H236" s="469"/>
      <c r="I236" s="25"/>
      <c r="J236" s="25"/>
      <c r="K236" s="22"/>
      <c r="L236" s="468"/>
      <c r="M236" s="468"/>
      <c r="N236" s="22"/>
      <c r="O236" s="470"/>
      <c r="P236" s="22"/>
      <c r="Q236" s="22"/>
      <c r="R236" s="22"/>
      <c r="S236" s="22"/>
      <c r="T236" s="468"/>
      <c r="U236" s="22"/>
      <c r="V236" s="550"/>
      <c r="W236" s="551"/>
      <c r="X236" s="22"/>
      <c r="Y236" s="22"/>
      <c r="Z236" s="465"/>
      <c r="AA236" s="22"/>
      <c r="AB236" s="22"/>
      <c r="AC236" s="22"/>
      <c r="AD236" s="22"/>
    </row>
    <row r="237" ht="15.75" customHeight="1">
      <c r="A237" s="22"/>
      <c r="B237" s="468"/>
      <c r="C237" s="549"/>
      <c r="D237" s="22"/>
      <c r="E237" s="22"/>
      <c r="F237" s="467"/>
      <c r="G237" s="468"/>
      <c r="H237" s="469"/>
      <c r="I237" s="25"/>
      <c r="J237" s="25"/>
      <c r="K237" s="22"/>
      <c r="L237" s="468"/>
      <c r="M237" s="468"/>
      <c r="N237" s="22"/>
      <c r="O237" s="470"/>
      <c r="P237" s="22"/>
      <c r="Q237" s="22"/>
      <c r="R237" s="22"/>
      <c r="S237" s="22"/>
      <c r="T237" s="468"/>
      <c r="U237" s="22"/>
      <c r="V237" s="550"/>
      <c r="W237" s="551"/>
      <c r="X237" s="22"/>
      <c r="Y237" s="22"/>
      <c r="Z237" s="465"/>
      <c r="AA237" s="22"/>
      <c r="AB237" s="22"/>
      <c r="AC237" s="22"/>
      <c r="AD237" s="22"/>
    </row>
    <row r="238" ht="15.75" customHeight="1">
      <c r="A238" s="22"/>
      <c r="B238" s="468"/>
      <c r="C238" s="549"/>
      <c r="D238" s="22"/>
      <c r="E238" s="22"/>
      <c r="F238" s="467"/>
      <c r="G238" s="468"/>
      <c r="H238" s="469"/>
      <c r="I238" s="25"/>
      <c r="J238" s="25"/>
      <c r="K238" s="22"/>
      <c r="L238" s="468"/>
      <c r="M238" s="468"/>
      <c r="N238" s="22"/>
      <c r="O238" s="470"/>
      <c r="P238" s="22"/>
      <c r="Q238" s="22"/>
      <c r="R238" s="22"/>
      <c r="S238" s="22"/>
      <c r="T238" s="468"/>
      <c r="U238" s="22"/>
      <c r="V238" s="550"/>
      <c r="W238" s="551"/>
      <c r="X238" s="22"/>
      <c r="Y238" s="22"/>
      <c r="Z238" s="465"/>
      <c r="AA238" s="22"/>
      <c r="AB238" s="22"/>
      <c r="AC238" s="22"/>
      <c r="AD238" s="22"/>
    </row>
    <row r="239" ht="15.75" customHeight="1">
      <c r="A239" s="22"/>
      <c r="B239" s="468"/>
      <c r="C239" s="549"/>
      <c r="D239" s="22"/>
      <c r="E239" s="22"/>
      <c r="F239" s="467"/>
      <c r="G239" s="468"/>
      <c r="H239" s="469"/>
      <c r="I239" s="25"/>
      <c r="J239" s="25"/>
      <c r="K239" s="22"/>
      <c r="L239" s="468"/>
      <c r="M239" s="468"/>
      <c r="N239" s="22"/>
      <c r="O239" s="470"/>
      <c r="P239" s="22"/>
      <c r="Q239" s="22"/>
      <c r="R239" s="22"/>
      <c r="S239" s="22"/>
      <c r="T239" s="468"/>
      <c r="U239" s="22"/>
      <c r="V239" s="550"/>
      <c r="W239" s="551"/>
      <c r="X239" s="22"/>
      <c r="Y239" s="22"/>
      <c r="Z239" s="465"/>
      <c r="AA239" s="22"/>
      <c r="AB239" s="22"/>
      <c r="AC239" s="22"/>
      <c r="AD239" s="22"/>
    </row>
    <row r="240" ht="15.75" customHeight="1">
      <c r="A240" s="22"/>
      <c r="B240" s="468"/>
      <c r="C240" s="549"/>
      <c r="D240" s="22"/>
      <c r="E240" s="22"/>
      <c r="F240" s="467"/>
      <c r="G240" s="468"/>
      <c r="H240" s="469"/>
      <c r="I240" s="25"/>
      <c r="J240" s="25"/>
      <c r="K240" s="22"/>
      <c r="L240" s="468"/>
      <c r="M240" s="468"/>
      <c r="N240" s="22"/>
      <c r="O240" s="470"/>
      <c r="P240" s="22"/>
      <c r="Q240" s="22"/>
      <c r="R240" s="22"/>
      <c r="S240" s="22"/>
      <c r="T240" s="468"/>
      <c r="U240" s="22"/>
      <c r="V240" s="550"/>
      <c r="W240" s="551"/>
      <c r="X240" s="22"/>
      <c r="Y240" s="22"/>
      <c r="Z240" s="465"/>
      <c r="AA240" s="22"/>
      <c r="AB240" s="22"/>
      <c r="AC240" s="22"/>
      <c r="AD240" s="22"/>
    </row>
    <row r="241" ht="15.75" customHeight="1">
      <c r="A241" s="22"/>
      <c r="B241" s="468"/>
      <c r="C241" s="549"/>
      <c r="D241" s="22"/>
      <c r="E241" s="22"/>
      <c r="F241" s="467"/>
      <c r="G241" s="468"/>
      <c r="H241" s="469"/>
      <c r="I241" s="25"/>
      <c r="J241" s="25"/>
      <c r="K241" s="22"/>
      <c r="L241" s="468"/>
      <c r="M241" s="468"/>
      <c r="N241" s="22"/>
      <c r="O241" s="470"/>
      <c r="P241" s="22"/>
      <c r="Q241" s="22"/>
      <c r="R241" s="22"/>
      <c r="S241" s="22"/>
      <c r="T241" s="468"/>
      <c r="U241" s="22"/>
      <c r="V241" s="552"/>
      <c r="W241" s="553"/>
      <c r="X241" s="22"/>
      <c r="Y241" s="22"/>
      <c r="Z241" s="465"/>
      <c r="AA241" s="22"/>
      <c r="AB241" s="22"/>
      <c r="AC241" s="22"/>
      <c r="AD241" s="22"/>
    </row>
    <row r="242" ht="15.75" customHeight="1">
      <c r="A242" s="22"/>
      <c r="B242" s="22"/>
      <c r="C242" s="22"/>
      <c r="D242" s="22"/>
      <c r="E242" s="22"/>
      <c r="F242" s="22"/>
      <c r="G242" s="22"/>
      <c r="H242" s="22"/>
      <c r="I242" s="22"/>
      <c r="J242" s="22"/>
      <c r="K242" s="22"/>
      <c r="L242" s="468"/>
      <c r="M242" s="468"/>
      <c r="N242" s="22"/>
      <c r="O242" s="22"/>
      <c r="P242" s="22"/>
      <c r="Q242" s="22"/>
      <c r="R242" s="22"/>
      <c r="S242" s="22"/>
      <c r="T242" s="468"/>
      <c r="U242" s="22"/>
      <c r="V242" s="22"/>
      <c r="W242" s="22"/>
      <c r="X242" s="22"/>
      <c r="Y242" s="22"/>
      <c r="Z242" s="465"/>
      <c r="AA242" s="22"/>
      <c r="AB242" s="22"/>
      <c r="AC242" s="22"/>
      <c r="AD242" s="22"/>
    </row>
    <row r="243" ht="15.75" customHeight="1">
      <c r="A243" s="22"/>
      <c r="B243" s="22"/>
      <c r="C243" s="22"/>
      <c r="D243" s="22"/>
      <c r="E243" s="22"/>
      <c r="F243" s="22"/>
      <c r="G243" s="22"/>
      <c r="H243" s="22"/>
      <c r="I243" s="22"/>
      <c r="J243" s="22"/>
      <c r="K243" s="22"/>
      <c r="L243" s="468"/>
      <c r="M243" s="468"/>
      <c r="N243" s="22"/>
      <c r="O243" s="22"/>
      <c r="P243" s="22"/>
      <c r="Q243" s="22"/>
      <c r="R243" s="22"/>
      <c r="S243" s="22"/>
      <c r="T243" s="468"/>
      <c r="U243" s="22"/>
      <c r="V243" s="22"/>
      <c r="W243" s="22"/>
      <c r="X243" s="22"/>
      <c r="Y243" s="22"/>
      <c r="Z243" s="465"/>
      <c r="AA243" s="22"/>
      <c r="AB243" s="22"/>
      <c r="AC243" s="22"/>
      <c r="AD243" s="22"/>
    </row>
    <row r="244" ht="15.75" customHeight="1">
      <c r="A244" s="22"/>
      <c r="B244" s="22"/>
      <c r="C244" s="22"/>
      <c r="D244" s="22"/>
      <c r="E244" s="22"/>
      <c r="F244" s="22"/>
      <c r="G244" s="22"/>
      <c r="H244" s="22"/>
      <c r="I244" s="22"/>
      <c r="J244" s="22"/>
      <c r="K244" s="22"/>
      <c r="L244" s="468"/>
      <c r="M244" s="468"/>
      <c r="N244" s="22"/>
      <c r="O244" s="22"/>
      <c r="P244" s="22"/>
      <c r="Q244" s="22"/>
      <c r="R244" s="22"/>
      <c r="S244" s="22"/>
      <c r="T244" s="468"/>
      <c r="U244" s="22"/>
      <c r="V244" s="22"/>
      <c r="W244" s="22"/>
      <c r="X244" s="22"/>
      <c r="Y244" s="22"/>
      <c r="Z244" s="465"/>
      <c r="AA244" s="22"/>
      <c r="AB244" s="22"/>
      <c r="AC244" s="22"/>
      <c r="AD244" s="22"/>
    </row>
    <row r="245" ht="15.75" customHeight="1">
      <c r="A245" s="22"/>
      <c r="B245" s="22"/>
      <c r="C245" s="22"/>
      <c r="D245" s="22"/>
      <c r="E245" s="22"/>
      <c r="F245" s="22"/>
      <c r="G245" s="22"/>
      <c r="H245" s="22"/>
      <c r="I245" s="22"/>
      <c r="J245" s="22"/>
      <c r="K245" s="22"/>
      <c r="L245" s="468"/>
      <c r="M245" s="468"/>
      <c r="N245" s="22"/>
      <c r="O245" s="22"/>
      <c r="P245" s="22"/>
      <c r="Q245" s="22"/>
      <c r="R245" s="22"/>
      <c r="S245" s="22"/>
      <c r="T245" s="468"/>
      <c r="U245" s="22"/>
      <c r="V245" s="22"/>
      <c r="W245" s="22"/>
      <c r="X245" s="22"/>
      <c r="Y245" s="22"/>
      <c r="Z245" s="465"/>
      <c r="AA245" s="22"/>
      <c r="AB245" s="22"/>
      <c r="AC245" s="22"/>
      <c r="AD245" s="22"/>
    </row>
    <row r="246" ht="15.75" customHeight="1">
      <c r="A246" s="22"/>
      <c r="B246" s="22"/>
      <c r="C246" s="22"/>
      <c r="D246" s="22"/>
      <c r="E246" s="22"/>
      <c r="F246" s="22"/>
      <c r="G246" s="22"/>
      <c r="H246" s="22"/>
      <c r="I246" s="22"/>
      <c r="J246" s="22"/>
      <c r="K246" s="22"/>
      <c r="L246" s="468"/>
      <c r="M246" s="468"/>
      <c r="N246" s="22"/>
      <c r="O246" s="22"/>
      <c r="P246" s="22"/>
      <c r="Q246" s="22"/>
      <c r="R246" s="22"/>
      <c r="S246" s="22"/>
      <c r="T246" s="468"/>
      <c r="U246" s="22"/>
      <c r="V246" s="22"/>
      <c r="W246" s="22"/>
      <c r="X246" s="22"/>
      <c r="Y246" s="22"/>
      <c r="Z246" s="465"/>
      <c r="AA246" s="22"/>
      <c r="AB246" s="22"/>
      <c r="AC246" s="22"/>
      <c r="AD246" s="22"/>
    </row>
    <row r="247" ht="15.75" customHeight="1">
      <c r="A247" s="22"/>
      <c r="B247" s="22"/>
      <c r="C247" s="22"/>
      <c r="D247" s="22"/>
      <c r="E247" s="22"/>
      <c r="F247" s="22"/>
      <c r="G247" s="22"/>
      <c r="H247" s="22"/>
      <c r="I247" s="22"/>
      <c r="J247" s="22"/>
      <c r="K247" s="22"/>
      <c r="L247" s="468"/>
      <c r="M247" s="468"/>
      <c r="N247" s="22"/>
      <c r="O247" s="22"/>
      <c r="P247" s="22"/>
      <c r="Q247" s="22"/>
      <c r="R247" s="22"/>
      <c r="S247" s="22"/>
      <c r="T247" s="468"/>
      <c r="U247" s="22"/>
      <c r="V247" s="22"/>
      <c r="W247" s="22"/>
      <c r="X247" s="22"/>
      <c r="Y247" s="22"/>
      <c r="Z247" s="465"/>
      <c r="AA247" s="22"/>
      <c r="AB247" s="22"/>
      <c r="AC247" s="22"/>
      <c r="AD247" s="22"/>
    </row>
    <row r="248" ht="15.75" customHeight="1">
      <c r="A248" s="22"/>
      <c r="B248" s="22"/>
      <c r="C248" s="22"/>
      <c r="D248" s="22"/>
      <c r="E248" s="22"/>
      <c r="F248" s="22"/>
      <c r="G248" s="22"/>
      <c r="H248" s="22"/>
      <c r="I248" s="22"/>
      <c r="J248" s="22"/>
      <c r="K248" s="22"/>
      <c r="L248" s="468"/>
      <c r="M248" s="468"/>
      <c r="N248" s="22"/>
      <c r="O248" s="22"/>
      <c r="P248" s="22"/>
      <c r="Q248" s="22"/>
      <c r="R248" s="22"/>
      <c r="S248" s="22"/>
      <c r="T248" s="468"/>
      <c r="U248" s="22"/>
      <c r="V248" s="22"/>
      <c r="W248" s="22"/>
      <c r="X248" s="22"/>
      <c r="Y248" s="22"/>
      <c r="Z248" s="465"/>
      <c r="AA248" s="22"/>
      <c r="AB248" s="22"/>
      <c r="AC248" s="22"/>
      <c r="AD248" s="22"/>
    </row>
    <row r="249" ht="15.75" customHeight="1">
      <c r="A249" s="22"/>
      <c r="B249" s="22"/>
      <c r="C249" s="22"/>
      <c r="D249" s="22"/>
      <c r="E249" s="22"/>
      <c r="F249" s="22"/>
      <c r="G249" s="22"/>
      <c r="H249" s="22"/>
      <c r="I249" s="22"/>
      <c r="J249" s="22"/>
      <c r="K249" s="22"/>
      <c r="L249" s="468"/>
      <c r="M249" s="468"/>
      <c r="N249" s="22"/>
      <c r="O249" s="22"/>
      <c r="P249" s="22"/>
      <c r="Q249" s="22"/>
      <c r="R249" s="22"/>
      <c r="S249" s="22"/>
      <c r="T249" s="468"/>
      <c r="U249" s="22"/>
      <c r="V249" s="22"/>
      <c r="W249" s="22"/>
      <c r="X249" s="22"/>
      <c r="Y249" s="22"/>
      <c r="Z249" s="465"/>
      <c r="AA249" s="22"/>
      <c r="AB249" s="22"/>
      <c r="AC249" s="22"/>
      <c r="AD249" s="22"/>
    </row>
    <row r="250" ht="15.75" customHeight="1">
      <c r="A250" s="22"/>
      <c r="B250" s="22"/>
      <c r="C250" s="22"/>
      <c r="D250" s="22"/>
      <c r="E250" s="22"/>
      <c r="F250" s="22"/>
      <c r="G250" s="22"/>
      <c r="H250" s="22"/>
      <c r="I250" s="22"/>
      <c r="J250" s="22"/>
      <c r="K250" s="22"/>
      <c r="L250" s="468"/>
      <c r="M250" s="468"/>
      <c r="N250" s="22"/>
      <c r="O250" s="22"/>
      <c r="P250" s="22"/>
      <c r="Q250" s="22"/>
      <c r="R250" s="22"/>
      <c r="S250" s="22"/>
      <c r="T250" s="468"/>
      <c r="U250" s="22"/>
      <c r="V250" s="22"/>
      <c r="W250" s="22"/>
      <c r="X250" s="22"/>
      <c r="Y250" s="22"/>
      <c r="Z250" s="465"/>
      <c r="AA250" s="22"/>
      <c r="AB250" s="22"/>
      <c r="AC250" s="22"/>
      <c r="AD250" s="22"/>
    </row>
    <row r="251" ht="15.75" customHeight="1">
      <c r="A251" s="22"/>
      <c r="B251" s="22"/>
      <c r="C251" s="22"/>
      <c r="D251" s="22"/>
      <c r="E251" s="22"/>
      <c r="F251" s="22"/>
      <c r="G251" s="22"/>
      <c r="H251" s="22"/>
      <c r="I251" s="22"/>
      <c r="J251" s="22"/>
      <c r="K251" s="22"/>
      <c r="L251" s="468"/>
      <c r="M251" s="468"/>
      <c r="N251" s="22"/>
      <c r="O251" s="22"/>
      <c r="P251" s="22"/>
      <c r="Q251" s="22"/>
      <c r="R251" s="22"/>
      <c r="S251" s="22"/>
      <c r="T251" s="468"/>
      <c r="U251" s="22"/>
      <c r="V251" s="22"/>
      <c r="W251" s="22"/>
      <c r="X251" s="22"/>
      <c r="Y251" s="22"/>
      <c r="Z251" s="465"/>
      <c r="AA251" s="22"/>
      <c r="AB251" s="22"/>
      <c r="AC251" s="22"/>
      <c r="AD251" s="22"/>
    </row>
    <row r="252" ht="15.75" customHeight="1">
      <c r="A252" s="22"/>
      <c r="B252" s="22"/>
      <c r="C252" s="22"/>
      <c r="D252" s="22"/>
      <c r="E252" s="22"/>
      <c r="F252" s="22"/>
      <c r="G252" s="22"/>
      <c r="H252" s="22"/>
      <c r="I252" s="22"/>
      <c r="J252" s="22"/>
      <c r="K252" s="22"/>
      <c r="L252" s="468"/>
      <c r="M252" s="468"/>
      <c r="N252" s="22"/>
      <c r="O252" s="22"/>
      <c r="P252" s="22"/>
      <c r="Q252" s="22"/>
      <c r="R252" s="22"/>
      <c r="S252" s="22"/>
      <c r="T252" s="468"/>
      <c r="U252" s="22"/>
      <c r="V252" s="22"/>
      <c r="W252" s="22"/>
      <c r="X252" s="22"/>
      <c r="Y252" s="22"/>
      <c r="Z252" s="465"/>
      <c r="AA252" s="22"/>
      <c r="AB252" s="22"/>
      <c r="AC252" s="22"/>
      <c r="AD252" s="22"/>
    </row>
    <row r="253" ht="15.75" customHeight="1">
      <c r="A253" s="22"/>
      <c r="B253" s="22"/>
      <c r="C253" s="22"/>
      <c r="D253" s="22"/>
      <c r="E253" s="22"/>
      <c r="F253" s="22"/>
      <c r="G253" s="22"/>
      <c r="H253" s="22"/>
      <c r="I253" s="22"/>
      <c r="J253" s="22"/>
      <c r="K253" s="22"/>
      <c r="L253" s="468"/>
      <c r="M253" s="468"/>
      <c r="N253" s="22"/>
      <c r="O253" s="22"/>
      <c r="P253" s="22"/>
      <c r="Q253" s="22"/>
      <c r="R253" s="22"/>
      <c r="S253" s="22"/>
      <c r="T253" s="468"/>
      <c r="U253" s="22"/>
      <c r="V253" s="22"/>
      <c r="W253" s="22"/>
      <c r="X253" s="22"/>
      <c r="Y253" s="22"/>
      <c r="Z253" s="465"/>
      <c r="AA253" s="22"/>
      <c r="AB253" s="22"/>
      <c r="AC253" s="22"/>
      <c r="AD253" s="22"/>
    </row>
    <row r="254" ht="15.75" customHeight="1">
      <c r="A254" s="22"/>
      <c r="B254" s="22"/>
      <c r="C254" s="22"/>
      <c r="D254" s="22"/>
      <c r="E254" s="22"/>
      <c r="F254" s="22"/>
      <c r="G254" s="22"/>
      <c r="H254" s="22"/>
      <c r="I254" s="22"/>
      <c r="J254" s="22"/>
      <c r="K254" s="22"/>
      <c r="L254" s="468"/>
      <c r="M254" s="468"/>
      <c r="N254" s="22"/>
      <c r="O254" s="22"/>
      <c r="P254" s="22"/>
      <c r="Q254" s="22"/>
      <c r="R254" s="22"/>
      <c r="S254" s="22"/>
      <c r="T254" s="468"/>
      <c r="U254" s="22"/>
      <c r="V254" s="22"/>
      <c r="W254" s="22"/>
      <c r="X254" s="22"/>
      <c r="Y254" s="22"/>
      <c r="Z254" s="465"/>
      <c r="AA254" s="22"/>
      <c r="AB254" s="22"/>
      <c r="AC254" s="22"/>
      <c r="AD254" s="22"/>
    </row>
    <row r="255" ht="15.75" customHeight="1">
      <c r="A255" s="22"/>
      <c r="B255" s="22"/>
      <c r="C255" s="22"/>
      <c r="D255" s="22"/>
      <c r="E255" s="22"/>
      <c r="F255" s="22"/>
      <c r="G255" s="22"/>
      <c r="H255" s="22"/>
      <c r="I255" s="22"/>
      <c r="J255" s="22"/>
      <c r="K255" s="22"/>
      <c r="L255" s="468"/>
      <c r="M255" s="468"/>
      <c r="N255" s="22"/>
      <c r="O255" s="22"/>
      <c r="P255" s="22"/>
      <c r="Q255" s="22"/>
      <c r="R255" s="22"/>
      <c r="S255" s="22"/>
      <c r="T255" s="468"/>
      <c r="U255" s="22"/>
      <c r="V255" s="22"/>
      <c r="W255" s="22"/>
      <c r="X255" s="22"/>
      <c r="Y255" s="22"/>
      <c r="Z255" s="465"/>
      <c r="AA255" s="22"/>
      <c r="AB255" s="22"/>
      <c r="AC255" s="22"/>
      <c r="AD255" s="22"/>
    </row>
    <row r="256" ht="15.75" customHeight="1">
      <c r="A256" s="22"/>
      <c r="B256" s="22"/>
      <c r="C256" s="22"/>
      <c r="D256" s="22"/>
      <c r="E256" s="22"/>
      <c r="F256" s="22"/>
      <c r="G256" s="22"/>
      <c r="H256" s="22"/>
      <c r="I256" s="22"/>
      <c r="J256" s="22"/>
      <c r="K256" s="22"/>
      <c r="L256" s="468"/>
      <c r="M256" s="468"/>
      <c r="N256" s="22"/>
      <c r="O256" s="22"/>
      <c r="P256" s="22"/>
      <c r="Q256" s="22"/>
      <c r="R256" s="22"/>
      <c r="S256" s="22"/>
      <c r="T256" s="468"/>
      <c r="U256" s="22"/>
      <c r="V256" s="22"/>
      <c r="W256" s="22"/>
      <c r="X256" s="22"/>
      <c r="Y256" s="22"/>
      <c r="Z256" s="465"/>
      <c r="AA256" s="22"/>
      <c r="AB256" s="22"/>
      <c r="AC256" s="22"/>
      <c r="AD256" s="22"/>
    </row>
    <row r="257" ht="15.75" customHeight="1">
      <c r="A257" s="22"/>
      <c r="B257" s="22"/>
      <c r="C257" s="22"/>
      <c r="D257" s="22"/>
      <c r="E257" s="22"/>
      <c r="F257" s="22"/>
      <c r="G257" s="22"/>
      <c r="H257" s="22"/>
      <c r="I257" s="22"/>
      <c r="J257" s="22"/>
      <c r="K257" s="22"/>
      <c r="L257" s="468"/>
      <c r="M257" s="468"/>
      <c r="N257" s="22"/>
      <c r="O257" s="22"/>
      <c r="P257" s="22"/>
      <c r="Q257" s="22"/>
      <c r="R257" s="22"/>
      <c r="S257" s="22"/>
      <c r="T257" s="468"/>
      <c r="U257" s="22"/>
      <c r="V257" s="22"/>
      <c r="W257" s="22"/>
      <c r="X257" s="22"/>
      <c r="Y257" s="22"/>
      <c r="Z257" s="465"/>
      <c r="AA257" s="22"/>
      <c r="AB257" s="22"/>
      <c r="AC257" s="22"/>
      <c r="AD257" s="22"/>
    </row>
    <row r="258" ht="15.75" customHeight="1">
      <c r="A258" s="22"/>
      <c r="B258" s="22"/>
      <c r="C258" s="22"/>
      <c r="D258" s="22"/>
      <c r="E258" s="22"/>
      <c r="F258" s="22"/>
      <c r="G258" s="22"/>
      <c r="H258" s="22"/>
      <c r="I258" s="22"/>
      <c r="J258" s="22"/>
      <c r="K258" s="22"/>
      <c r="L258" s="468"/>
      <c r="M258" s="468"/>
      <c r="N258" s="22"/>
      <c r="O258" s="22"/>
      <c r="P258" s="22"/>
      <c r="Q258" s="22"/>
      <c r="R258" s="22"/>
      <c r="S258" s="22"/>
      <c r="T258" s="468"/>
      <c r="U258" s="22"/>
      <c r="V258" s="22"/>
      <c r="W258" s="22"/>
      <c r="X258" s="22"/>
      <c r="Y258" s="22"/>
      <c r="Z258" s="465"/>
      <c r="AA258" s="22"/>
      <c r="AB258" s="22"/>
      <c r="AC258" s="22"/>
      <c r="AD258" s="22"/>
    </row>
    <row r="259" ht="15.75" customHeight="1">
      <c r="A259" s="22"/>
      <c r="B259" s="22"/>
      <c r="C259" s="22"/>
      <c r="D259" s="22"/>
      <c r="E259" s="22"/>
      <c r="F259" s="22"/>
      <c r="G259" s="22"/>
      <c r="H259" s="22"/>
      <c r="I259" s="22"/>
      <c r="J259" s="22"/>
      <c r="K259" s="22"/>
      <c r="L259" s="468"/>
      <c r="M259" s="468"/>
      <c r="N259" s="22"/>
      <c r="O259" s="22"/>
      <c r="P259" s="22"/>
      <c r="Q259" s="22"/>
      <c r="R259" s="22"/>
      <c r="S259" s="22"/>
      <c r="T259" s="468"/>
      <c r="U259" s="22"/>
      <c r="V259" s="22"/>
      <c r="W259" s="22"/>
      <c r="X259" s="22"/>
      <c r="Y259" s="22"/>
      <c r="Z259" s="465"/>
      <c r="AA259" s="22"/>
      <c r="AB259" s="22"/>
      <c r="AC259" s="22"/>
      <c r="AD259" s="22"/>
    </row>
    <row r="260" ht="15.75" customHeight="1">
      <c r="A260" s="22"/>
      <c r="B260" s="22"/>
      <c r="C260" s="22"/>
      <c r="D260" s="22"/>
      <c r="E260" s="22"/>
      <c r="F260" s="22"/>
      <c r="G260" s="22"/>
      <c r="H260" s="22"/>
      <c r="I260" s="22"/>
      <c r="J260" s="22"/>
      <c r="K260" s="22"/>
      <c r="L260" s="468"/>
      <c r="M260" s="468"/>
      <c r="N260" s="22"/>
      <c r="O260" s="22"/>
      <c r="P260" s="22"/>
      <c r="Q260" s="22"/>
      <c r="R260" s="22"/>
      <c r="S260" s="22"/>
      <c r="T260" s="468"/>
      <c r="U260" s="22"/>
      <c r="V260" s="22"/>
      <c r="W260" s="22"/>
      <c r="X260" s="22"/>
      <c r="Y260" s="22"/>
      <c r="Z260" s="465"/>
      <c r="AA260" s="22"/>
      <c r="AB260" s="22"/>
      <c r="AC260" s="22"/>
      <c r="AD260" s="22"/>
    </row>
    <row r="261" ht="15.75" customHeight="1">
      <c r="A261" s="22"/>
      <c r="B261" s="22"/>
      <c r="C261" s="22"/>
      <c r="D261" s="22"/>
      <c r="E261" s="22"/>
      <c r="F261" s="22"/>
      <c r="G261" s="22"/>
      <c r="H261" s="22"/>
      <c r="I261" s="22"/>
      <c r="J261" s="22"/>
      <c r="K261" s="22"/>
      <c r="L261" s="468"/>
      <c r="M261" s="468"/>
      <c r="N261" s="22"/>
      <c r="O261" s="22"/>
      <c r="P261" s="22"/>
      <c r="Q261" s="22"/>
      <c r="R261" s="22"/>
      <c r="S261" s="22"/>
      <c r="T261" s="468"/>
      <c r="U261" s="22"/>
      <c r="V261" s="22"/>
      <c r="W261" s="22"/>
      <c r="X261" s="22"/>
      <c r="Y261" s="22"/>
      <c r="Z261" s="465"/>
      <c r="AA261" s="22"/>
      <c r="AB261" s="22"/>
      <c r="AC261" s="22"/>
      <c r="AD261" s="22"/>
    </row>
    <row r="262" ht="15.75" customHeight="1">
      <c r="A262" s="22"/>
      <c r="B262" s="22"/>
      <c r="C262" s="22"/>
      <c r="D262" s="22"/>
      <c r="E262" s="22"/>
      <c r="F262" s="22"/>
      <c r="G262" s="22"/>
      <c r="H262" s="22"/>
      <c r="I262" s="22"/>
      <c r="J262" s="22"/>
      <c r="K262" s="22"/>
      <c r="L262" s="468"/>
      <c r="M262" s="468"/>
      <c r="N262" s="22"/>
      <c r="O262" s="22"/>
      <c r="P262" s="22"/>
      <c r="Q262" s="22"/>
      <c r="R262" s="22"/>
      <c r="S262" s="22"/>
      <c r="T262" s="468"/>
      <c r="U262" s="22"/>
      <c r="V262" s="22"/>
      <c r="W262" s="22"/>
      <c r="X262" s="22"/>
      <c r="Y262" s="22"/>
      <c r="Z262" s="465"/>
      <c r="AA262" s="22"/>
      <c r="AB262" s="22"/>
      <c r="AC262" s="22"/>
      <c r="AD262" s="22"/>
    </row>
    <row r="263" ht="15.75" customHeight="1">
      <c r="A263" s="22"/>
      <c r="B263" s="22"/>
      <c r="C263" s="22"/>
      <c r="D263" s="22"/>
      <c r="E263" s="22"/>
      <c r="F263" s="22"/>
      <c r="G263" s="22"/>
      <c r="H263" s="22"/>
      <c r="I263" s="22"/>
      <c r="J263" s="22"/>
      <c r="K263" s="22"/>
      <c r="L263" s="468"/>
      <c r="M263" s="468"/>
      <c r="N263" s="22"/>
      <c r="O263" s="22"/>
      <c r="P263" s="22"/>
      <c r="Q263" s="22"/>
      <c r="R263" s="22"/>
      <c r="S263" s="22"/>
      <c r="T263" s="468"/>
      <c r="U263" s="22"/>
      <c r="V263" s="22"/>
      <c r="W263" s="22"/>
      <c r="X263" s="22"/>
      <c r="Y263" s="22"/>
      <c r="Z263" s="465"/>
      <c r="AA263" s="22"/>
      <c r="AB263" s="22"/>
      <c r="AC263" s="22"/>
      <c r="AD263" s="22"/>
    </row>
    <row r="264" ht="15.75" customHeight="1">
      <c r="A264" s="22"/>
      <c r="B264" s="22"/>
      <c r="C264" s="22"/>
      <c r="D264" s="22"/>
      <c r="E264" s="22"/>
      <c r="F264" s="22"/>
      <c r="G264" s="22"/>
      <c r="H264" s="22"/>
      <c r="I264" s="22"/>
      <c r="J264" s="22"/>
      <c r="K264" s="22"/>
      <c r="L264" s="468"/>
      <c r="M264" s="468"/>
      <c r="N264" s="22"/>
      <c r="O264" s="22"/>
      <c r="P264" s="22"/>
      <c r="Q264" s="22"/>
      <c r="R264" s="22"/>
      <c r="S264" s="22"/>
      <c r="T264" s="468"/>
      <c r="U264" s="22"/>
      <c r="V264" s="22"/>
      <c r="W264" s="22"/>
      <c r="X264" s="22"/>
      <c r="Y264" s="22"/>
      <c r="Z264" s="465"/>
      <c r="AA264" s="22"/>
      <c r="AB264" s="22"/>
      <c r="AC264" s="22"/>
      <c r="AD264" s="22"/>
    </row>
    <row r="265" ht="15.75" customHeight="1">
      <c r="A265" s="22"/>
      <c r="B265" s="22"/>
      <c r="C265" s="22"/>
      <c r="D265" s="22"/>
      <c r="E265" s="22"/>
      <c r="F265" s="22"/>
      <c r="G265" s="22"/>
      <c r="H265" s="22"/>
      <c r="I265" s="22"/>
      <c r="J265" s="22"/>
      <c r="K265" s="22"/>
      <c r="L265" s="468"/>
      <c r="M265" s="468"/>
      <c r="N265" s="22"/>
      <c r="O265" s="22"/>
      <c r="P265" s="22"/>
      <c r="Q265" s="22"/>
      <c r="R265" s="22"/>
      <c r="S265" s="22"/>
      <c r="T265" s="468"/>
      <c r="U265" s="22"/>
      <c r="V265" s="22"/>
      <c r="W265" s="22"/>
      <c r="X265" s="22"/>
      <c r="Y265" s="22"/>
      <c r="Z265" s="465"/>
      <c r="AA265" s="22"/>
      <c r="AB265" s="22"/>
      <c r="AC265" s="22"/>
      <c r="AD265" s="22"/>
    </row>
    <row r="266" ht="15.75" customHeight="1">
      <c r="A266" s="22"/>
      <c r="B266" s="22"/>
      <c r="C266" s="22"/>
      <c r="D266" s="22"/>
      <c r="E266" s="22"/>
      <c r="F266" s="22"/>
      <c r="G266" s="22"/>
      <c r="H266" s="22"/>
      <c r="I266" s="22"/>
      <c r="J266" s="22"/>
      <c r="K266" s="22"/>
      <c r="L266" s="468"/>
      <c r="M266" s="468"/>
      <c r="N266" s="22"/>
      <c r="O266" s="22"/>
      <c r="P266" s="22"/>
      <c r="Q266" s="22"/>
      <c r="R266" s="22"/>
      <c r="S266" s="22"/>
      <c r="T266" s="468"/>
      <c r="U266" s="22"/>
      <c r="V266" s="22"/>
      <c r="W266" s="22"/>
      <c r="X266" s="22"/>
      <c r="Y266" s="22"/>
      <c r="Z266" s="465"/>
      <c r="AA266" s="22"/>
      <c r="AB266" s="22"/>
      <c r="AC266" s="22"/>
      <c r="AD266" s="22"/>
    </row>
    <row r="267" ht="15.75" customHeight="1">
      <c r="A267" s="22"/>
      <c r="B267" s="22"/>
      <c r="C267" s="22"/>
      <c r="D267" s="22"/>
      <c r="E267" s="22"/>
      <c r="F267" s="22"/>
      <c r="G267" s="22"/>
      <c r="H267" s="22"/>
      <c r="I267" s="22"/>
      <c r="J267" s="22"/>
      <c r="K267" s="22"/>
      <c r="L267" s="468"/>
      <c r="M267" s="468"/>
      <c r="N267" s="22"/>
      <c r="O267" s="22"/>
      <c r="P267" s="22"/>
      <c r="Q267" s="22"/>
      <c r="R267" s="22"/>
      <c r="S267" s="22"/>
      <c r="T267" s="468"/>
      <c r="U267" s="22"/>
      <c r="V267" s="22"/>
      <c r="W267" s="22"/>
      <c r="X267" s="22"/>
      <c r="Y267" s="22"/>
      <c r="Z267" s="465"/>
      <c r="AA267" s="22"/>
      <c r="AB267" s="22"/>
      <c r="AC267" s="22"/>
      <c r="AD267" s="22"/>
    </row>
    <row r="268" ht="15.75" customHeight="1">
      <c r="A268" s="22"/>
      <c r="B268" s="22"/>
      <c r="C268" s="22"/>
      <c r="D268" s="22"/>
      <c r="E268" s="22"/>
      <c r="F268" s="22"/>
      <c r="G268" s="22"/>
      <c r="H268" s="22"/>
      <c r="I268" s="22"/>
      <c r="J268" s="22"/>
      <c r="K268" s="22"/>
      <c r="L268" s="468"/>
      <c r="M268" s="468"/>
      <c r="N268" s="22"/>
      <c r="O268" s="22"/>
      <c r="P268" s="22"/>
      <c r="Q268" s="22"/>
      <c r="R268" s="22"/>
      <c r="S268" s="22"/>
      <c r="T268" s="468"/>
      <c r="U268" s="22"/>
      <c r="V268" s="22"/>
      <c r="W268" s="22"/>
      <c r="X268" s="22"/>
      <c r="Y268" s="22"/>
      <c r="Z268" s="465"/>
      <c r="AA268" s="22"/>
      <c r="AB268" s="22"/>
      <c r="AC268" s="22"/>
      <c r="AD268" s="22"/>
    </row>
    <row r="269" ht="15.75" customHeight="1">
      <c r="A269" s="22"/>
      <c r="B269" s="22"/>
      <c r="C269" s="22"/>
      <c r="D269" s="22"/>
      <c r="E269" s="22"/>
      <c r="F269" s="22"/>
      <c r="G269" s="22"/>
      <c r="H269" s="22"/>
      <c r="I269" s="22"/>
      <c r="J269" s="22"/>
      <c r="K269" s="22"/>
      <c r="L269" s="468"/>
      <c r="M269" s="468"/>
      <c r="N269" s="22"/>
      <c r="O269" s="22"/>
      <c r="P269" s="22"/>
      <c r="Q269" s="22"/>
      <c r="R269" s="22"/>
      <c r="S269" s="22"/>
      <c r="T269" s="468"/>
      <c r="U269" s="22"/>
      <c r="V269" s="22"/>
      <c r="W269" s="22"/>
      <c r="X269" s="22"/>
      <c r="Y269" s="22"/>
      <c r="Z269" s="465"/>
      <c r="AA269" s="22"/>
      <c r="AB269" s="22"/>
      <c r="AC269" s="22"/>
      <c r="AD269" s="22"/>
    </row>
    <row r="270" ht="15.75" customHeight="1">
      <c r="A270" s="22"/>
      <c r="B270" s="22"/>
      <c r="C270" s="22"/>
      <c r="D270" s="22"/>
      <c r="E270" s="22"/>
      <c r="F270" s="22"/>
      <c r="G270" s="22"/>
      <c r="H270" s="22"/>
      <c r="I270" s="22"/>
      <c r="J270" s="22"/>
      <c r="K270" s="22"/>
      <c r="L270" s="468"/>
      <c r="M270" s="468"/>
      <c r="N270" s="22"/>
      <c r="O270" s="22"/>
      <c r="P270" s="22"/>
      <c r="Q270" s="22"/>
      <c r="R270" s="22"/>
      <c r="S270" s="22"/>
      <c r="T270" s="468"/>
      <c r="U270" s="22"/>
      <c r="V270" s="22"/>
      <c r="W270" s="22"/>
      <c r="X270" s="22"/>
      <c r="Y270" s="22"/>
      <c r="Z270" s="465"/>
      <c r="AA270" s="22"/>
      <c r="AB270" s="22"/>
      <c r="AC270" s="22"/>
      <c r="AD270" s="22"/>
    </row>
    <row r="271" ht="15.75" customHeight="1">
      <c r="A271" s="22"/>
      <c r="B271" s="22"/>
      <c r="C271" s="22"/>
      <c r="D271" s="22"/>
      <c r="E271" s="22"/>
      <c r="F271" s="22"/>
      <c r="G271" s="22"/>
      <c r="H271" s="22"/>
      <c r="I271" s="22"/>
      <c r="J271" s="22"/>
      <c r="K271" s="22"/>
      <c r="L271" s="468"/>
      <c r="M271" s="468"/>
      <c r="N271" s="22"/>
      <c r="O271" s="22"/>
      <c r="P271" s="22"/>
      <c r="Q271" s="22"/>
      <c r="R271" s="22"/>
      <c r="S271" s="22"/>
      <c r="T271" s="468"/>
      <c r="U271" s="22"/>
      <c r="V271" s="22"/>
      <c r="W271" s="22"/>
      <c r="X271" s="22"/>
      <c r="Y271" s="22"/>
      <c r="Z271" s="465"/>
      <c r="AA271" s="22"/>
      <c r="AB271" s="22"/>
      <c r="AC271" s="22"/>
      <c r="AD271" s="22"/>
    </row>
    <row r="272" ht="15.75" customHeight="1">
      <c r="A272" s="22"/>
      <c r="B272" s="22"/>
      <c r="C272" s="22"/>
      <c r="D272" s="22"/>
      <c r="E272" s="22"/>
      <c r="F272" s="22"/>
      <c r="G272" s="22"/>
      <c r="H272" s="22"/>
      <c r="I272" s="22"/>
      <c r="J272" s="22"/>
      <c r="K272" s="22"/>
      <c r="L272" s="468"/>
      <c r="M272" s="468"/>
      <c r="N272" s="22"/>
      <c r="O272" s="22"/>
      <c r="P272" s="22"/>
      <c r="Q272" s="22"/>
      <c r="R272" s="22"/>
      <c r="S272" s="22"/>
      <c r="T272" s="468"/>
      <c r="U272" s="22"/>
      <c r="V272" s="22"/>
      <c r="W272" s="22"/>
      <c r="X272" s="22"/>
      <c r="Y272" s="22"/>
      <c r="Z272" s="465"/>
      <c r="AA272" s="22"/>
      <c r="AB272" s="22"/>
      <c r="AC272" s="22"/>
      <c r="AD272" s="22"/>
    </row>
    <row r="273" ht="15.75" customHeight="1">
      <c r="A273" s="22"/>
      <c r="B273" s="22"/>
      <c r="C273" s="22"/>
      <c r="D273" s="22"/>
      <c r="E273" s="22"/>
      <c r="F273" s="22"/>
      <c r="G273" s="22"/>
      <c r="H273" s="22"/>
      <c r="I273" s="22"/>
      <c r="J273" s="22"/>
      <c r="K273" s="22"/>
      <c r="L273" s="468"/>
      <c r="M273" s="468"/>
      <c r="N273" s="22"/>
      <c r="O273" s="22"/>
      <c r="P273" s="22"/>
      <c r="Q273" s="22"/>
      <c r="R273" s="22"/>
      <c r="S273" s="22"/>
      <c r="T273" s="468"/>
      <c r="U273" s="22"/>
      <c r="V273" s="22"/>
      <c r="W273" s="22"/>
      <c r="X273" s="22"/>
      <c r="Y273" s="22"/>
      <c r="Z273" s="465"/>
      <c r="AA273" s="22"/>
      <c r="AB273" s="22"/>
      <c r="AC273" s="22"/>
      <c r="AD273" s="22"/>
    </row>
    <row r="274" ht="15.75" customHeight="1">
      <c r="A274" s="22"/>
      <c r="B274" s="22"/>
      <c r="C274" s="22"/>
      <c r="D274" s="22"/>
      <c r="E274" s="22"/>
      <c r="F274" s="22"/>
      <c r="G274" s="22"/>
      <c r="H274" s="22"/>
      <c r="I274" s="22"/>
      <c r="J274" s="22"/>
      <c r="K274" s="22"/>
      <c r="L274" s="468"/>
      <c r="M274" s="468"/>
      <c r="N274" s="22"/>
      <c r="O274" s="22"/>
      <c r="P274" s="22"/>
      <c r="Q274" s="22"/>
      <c r="R274" s="22"/>
      <c r="S274" s="22"/>
      <c r="T274" s="468"/>
      <c r="U274" s="22"/>
      <c r="V274" s="22"/>
      <c r="W274" s="22"/>
      <c r="X274" s="22"/>
      <c r="Y274" s="22"/>
      <c r="Z274" s="465"/>
      <c r="AA274" s="22"/>
      <c r="AB274" s="22"/>
      <c r="AC274" s="22"/>
      <c r="AD274" s="22"/>
    </row>
    <row r="275" ht="15.75" customHeight="1">
      <c r="A275" s="22"/>
      <c r="B275" s="22"/>
      <c r="C275" s="22"/>
      <c r="D275" s="22"/>
      <c r="E275" s="22"/>
      <c r="F275" s="22"/>
      <c r="G275" s="22"/>
      <c r="H275" s="22"/>
      <c r="I275" s="22"/>
      <c r="J275" s="22"/>
      <c r="K275" s="22"/>
      <c r="L275" s="468"/>
      <c r="M275" s="468"/>
      <c r="N275" s="22"/>
      <c r="O275" s="22"/>
      <c r="P275" s="22"/>
      <c r="Q275" s="22"/>
      <c r="R275" s="22"/>
      <c r="S275" s="22"/>
      <c r="T275" s="468"/>
      <c r="U275" s="22"/>
      <c r="V275" s="22"/>
      <c r="W275" s="22"/>
      <c r="X275" s="22"/>
      <c r="Y275" s="22"/>
      <c r="Z275" s="465"/>
      <c r="AA275" s="22"/>
      <c r="AB275" s="22"/>
      <c r="AC275" s="22"/>
      <c r="AD275" s="22"/>
    </row>
    <row r="276" ht="15.75" customHeight="1">
      <c r="A276" s="22"/>
      <c r="B276" s="22"/>
      <c r="C276" s="22"/>
      <c r="D276" s="22"/>
      <c r="E276" s="22"/>
      <c r="F276" s="22"/>
      <c r="G276" s="22"/>
      <c r="H276" s="22"/>
      <c r="I276" s="22"/>
      <c r="J276" s="22"/>
      <c r="K276" s="22"/>
      <c r="L276" s="468"/>
      <c r="M276" s="468"/>
      <c r="N276" s="22"/>
      <c r="O276" s="22"/>
      <c r="P276" s="22"/>
      <c r="Q276" s="22"/>
      <c r="R276" s="22"/>
      <c r="S276" s="22"/>
      <c r="T276" s="468"/>
      <c r="U276" s="22"/>
      <c r="V276" s="22"/>
      <c r="W276" s="22"/>
      <c r="X276" s="22"/>
      <c r="Y276" s="22"/>
      <c r="Z276" s="465"/>
      <c r="AA276" s="22"/>
      <c r="AB276" s="22"/>
      <c r="AC276" s="22"/>
      <c r="AD276" s="22"/>
    </row>
    <row r="277" ht="15.75" customHeight="1">
      <c r="A277" s="22"/>
      <c r="B277" s="22"/>
      <c r="C277" s="22"/>
      <c r="D277" s="22"/>
      <c r="E277" s="22"/>
      <c r="F277" s="22"/>
      <c r="G277" s="22"/>
      <c r="H277" s="22"/>
      <c r="I277" s="22"/>
      <c r="J277" s="22"/>
      <c r="K277" s="22"/>
      <c r="L277" s="468"/>
      <c r="M277" s="468"/>
      <c r="N277" s="22"/>
      <c r="O277" s="22"/>
      <c r="P277" s="22"/>
      <c r="Q277" s="22"/>
      <c r="R277" s="22"/>
      <c r="S277" s="22"/>
      <c r="T277" s="468"/>
      <c r="U277" s="22"/>
      <c r="V277" s="22"/>
      <c r="W277" s="22"/>
      <c r="X277" s="22"/>
      <c r="Y277" s="22"/>
      <c r="Z277" s="465"/>
      <c r="AA277" s="22"/>
      <c r="AB277" s="22"/>
      <c r="AC277" s="22"/>
      <c r="AD277" s="22"/>
    </row>
    <row r="278" ht="15.75" customHeight="1">
      <c r="A278" s="22"/>
      <c r="B278" s="22"/>
      <c r="C278" s="22"/>
      <c r="D278" s="22"/>
      <c r="E278" s="22"/>
      <c r="F278" s="22"/>
      <c r="G278" s="22"/>
      <c r="H278" s="22"/>
      <c r="I278" s="22"/>
      <c r="J278" s="22"/>
      <c r="K278" s="22"/>
      <c r="L278" s="468"/>
      <c r="M278" s="468"/>
      <c r="N278" s="22"/>
      <c r="O278" s="22"/>
      <c r="P278" s="22"/>
      <c r="Q278" s="22"/>
      <c r="R278" s="22"/>
      <c r="S278" s="22"/>
      <c r="T278" s="468"/>
      <c r="U278" s="22"/>
      <c r="V278" s="22"/>
      <c r="W278" s="22"/>
      <c r="X278" s="22"/>
      <c r="Y278" s="22"/>
      <c r="Z278" s="465"/>
      <c r="AA278" s="22"/>
      <c r="AB278" s="22"/>
      <c r="AC278" s="22"/>
      <c r="AD278" s="22"/>
    </row>
    <row r="279" ht="15.75" customHeight="1">
      <c r="A279" s="22"/>
      <c r="B279" s="22"/>
      <c r="C279" s="22"/>
      <c r="D279" s="22"/>
      <c r="E279" s="22"/>
      <c r="F279" s="22"/>
      <c r="G279" s="22"/>
      <c r="H279" s="22"/>
      <c r="I279" s="22"/>
      <c r="J279" s="22"/>
      <c r="K279" s="22"/>
      <c r="L279" s="468"/>
      <c r="M279" s="468"/>
      <c r="N279" s="22"/>
      <c r="O279" s="22"/>
      <c r="P279" s="22"/>
      <c r="Q279" s="22"/>
      <c r="R279" s="22"/>
      <c r="S279" s="22"/>
      <c r="T279" s="468"/>
      <c r="U279" s="22"/>
      <c r="V279" s="22"/>
      <c r="W279" s="22"/>
      <c r="X279" s="22"/>
      <c r="Y279" s="22"/>
      <c r="Z279" s="465"/>
      <c r="AA279" s="22"/>
      <c r="AB279" s="22"/>
      <c r="AC279" s="22"/>
      <c r="AD279" s="22"/>
    </row>
    <row r="280" ht="15.75" customHeight="1">
      <c r="A280" s="22"/>
      <c r="B280" s="22"/>
      <c r="C280" s="22"/>
      <c r="D280" s="22"/>
      <c r="E280" s="22"/>
      <c r="F280" s="22"/>
      <c r="G280" s="22"/>
      <c r="H280" s="22"/>
      <c r="I280" s="22"/>
      <c r="J280" s="22"/>
      <c r="K280" s="22"/>
      <c r="L280" s="468"/>
      <c r="M280" s="468"/>
      <c r="N280" s="22"/>
      <c r="O280" s="22"/>
      <c r="P280" s="22"/>
      <c r="Q280" s="22"/>
      <c r="R280" s="22"/>
      <c r="S280" s="22"/>
      <c r="T280" s="468"/>
      <c r="U280" s="22"/>
      <c r="V280" s="22"/>
      <c r="W280" s="22"/>
      <c r="X280" s="22"/>
      <c r="Y280" s="22"/>
      <c r="Z280" s="465"/>
      <c r="AA280" s="22"/>
      <c r="AB280" s="22"/>
      <c r="AC280" s="22"/>
      <c r="AD280" s="22"/>
    </row>
    <row r="281" ht="15.75" customHeight="1">
      <c r="A281" s="22"/>
      <c r="B281" s="22"/>
      <c r="C281" s="22"/>
      <c r="D281" s="22"/>
      <c r="E281" s="22"/>
      <c r="F281" s="22"/>
      <c r="G281" s="22"/>
      <c r="H281" s="22"/>
      <c r="I281" s="22"/>
      <c r="J281" s="22"/>
      <c r="K281" s="22"/>
      <c r="L281" s="468"/>
      <c r="M281" s="468"/>
      <c r="N281" s="22"/>
      <c r="O281" s="22"/>
      <c r="P281" s="22"/>
      <c r="Q281" s="22"/>
      <c r="R281" s="22"/>
      <c r="S281" s="22"/>
      <c r="T281" s="468"/>
      <c r="U281" s="22"/>
      <c r="V281" s="22"/>
      <c r="W281" s="22"/>
      <c r="X281" s="22"/>
      <c r="Y281" s="22"/>
      <c r="Z281" s="465"/>
      <c r="AA281" s="22"/>
      <c r="AB281" s="22"/>
      <c r="AC281" s="22"/>
      <c r="AD281" s="22"/>
    </row>
    <row r="282" ht="15.75" customHeight="1">
      <c r="A282" s="22"/>
      <c r="B282" s="22"/>
      <c r="C282" s="22"/>
      <c r="D282" s="22"/>
      <c r="E282" s="22"/>
      <c r="F282" s="22"/>
      <c r="G282" s="22"/>
      <c r="H282" s="22"/>
      <c r="I282" s="22"/>
      <c r="J282" s="22"/>
      <c r="K282" s="22"/>
      <c r="L282" s="468"/>
      <c r="M282" s="468"/>
      <c r="N282" s="22"/>
      <c r="O282" s="22"/>
      <c r="P282" s="22"/>
      <c r="Q282" s="22"/>
      <c r="R282" s="22"/>
      <c r="S282" s="22"/>
      <c r="T282" s="468"/>
      <c r="U282" s="22"/>
      <c r="V282" s="22"/>
      <c r="W282" s="22"/>
      <c r="X282" s="22"/>
      <c r="Y282" s="22"/>
      <c r="Z282" s="465"/>
      <c r="AA282" s="22"/>
      <c r="AB282" s="22"/>
      <c r="AC282" s="22"/>
      <c r="AD282" s="22"/>
    </row>
    <row r="283" ht="15.75" customHeight="1">
      <c r="A283" s="22"/>
      <c r="B283" s="22"/>
      <c r="C283" s="22"/>
      <c r="D283" s="22"/>
      <c r="E283" s="22"/>
      <c r="F283" s="22"/>
      <c r="G283" s="22"/>
      <c r="H283" s="22"/>
      <c r="I283" s="22"/>
      <c r="J283" s="22"/>
      <c r="K283" s="22"/>
      <c r="L283" s="468"/>
      <c r="M283" s="468"/>
      <c r="N283" s="22"/>
      <c r="O283" s="22"/>
      <c r="P283" s="22"/>
      <c r="Q283" s="22"/>
      <c r="R283" s="22"/>
      <c r="S283" s="22"/>
      <c r="T283" s="468"/>
      <c r="U283" s="22"/>
      <c r="V283" s="22"/>
      <c r="W283" s="22"/>
      <c r="X283" s="22"/>
      <c r="Y283" s="22"/>
      <c r="Z283" s="465"/>
      <c r="AA283" s="22"/>
      <c r="AB283" s="22"/>
      <c r="AC283" s="22"/>
      <c r="AD283" s="22"/>
    </row>
    <row r="284" ht="15.75" customHeight="1">
      <c r="A284" s="22"/>
      <c r="B284" s="22"/>
      <c r="C284" s="22"/>
      <c r="D284" s="22"/>
      <c r="E284" s="22"/>
      <c r="F284" s="22"/>
      <c r="G284" s="22"/>
      <c r="H284" s="22"/>
      <c r="I284" s="22"/>
      <c r="J284" s="22"/>
      <c r="K284" s="22"/>
      <c r="L284" s="468"/>
      <c r="M284" s="468"/>
      <c r="N284" s="22"/>
      <c r="O284" s="22"/>
      <c r="P284" s="22"/>
      <c r="Q284" s="22"/>
      <c r="R284" s="22"/>
      <c r="S284" s="22"/>
      <c r="T284" s="468"/>
      <c r="U284" s="22"/>
      <c r="V284" s="22"/>
      <c r="W284" s="22"/>
      <c r="X284" s="22"/>
      <c r="Y284" s="22"/>
      <c r="Z284" s="465"/>
      <c r="AA284" s="22"/>
      <c r="AB284" s="22"/>
      <c r="AC284" s="22"/>
      <c r="AD284" s="22"/>
    </row>
    <row r="285" ht="15.75" customHeight="1">
      <c r="A285" s="22"/>
      <c r="B285" s="22"/>
      <c r="C285" s="22"/>
      <c r="D285" s="22"/>
      <c r="E285" s="22"/>
      <c r="F285" s="22"/>
      <c r="G285" s="22"/>
      <c r="H285" s="22"/>
      <c r="I285" s="22"/>
      <c r="J285" s="22"/>
      <c r="K285" s="22"/>
      <c r="L285" s="468"/>
      <c r="M285" s="468"/>
      <c r="N285" s="22"/>
      <c r="O285" s="22"/>
      <c r="P285" s="22"/>
      <c r="Q285" s="22"/>
      <c r="R285" s="22"/>
      <c r="S285" s="22"/>
      <c r="T285" s="468"/>
      <c r="U285" s="22"/>
      <c r="V285" s="22"/>
      <c r="W285" s="22"/>
      <c r="X285" s="22"/>
      <c r="Y285" s="22"/>
      <c r="Z285" s="465"/>
      <c r="AA285" s="22"/>
      <c r="AB285" s="22"/>
      <c r="AC285" s="22"/>
      <c r="AD285" s="22"/>
    </row>
    <row r="286" ht="15.75" customHeight="1">
      <c r="A286" s="22"/>
      <c r="B286" s="22"/>
      <c r="C286" s="22"/>
      <c r="D286" s="22"/>
      <c r="E286" s="22"/>
      <c r="F286" s="22"/>
      <c r="G286" s="22"/>
      <c r="H286" s="22"/>
      <c r="I286" s="22"/>
      <c r="J286" s="22"/>
      <c r="K286" s="22"/>
      <c r="L286" s="468"/>
      <c r="M286" s="468"/>
      <c r="N286" s="22"/>
      <c r="O286" s="22"/>
      <c r="P286" s="22"/>
      <c r="Q286" s="22"/>
      <c r="R286" s="22"/>
      <c r="S286" s="22"/>
      <c r="T286" s="468"/>
      <c r="U286" s="22"/>
      <c r="V286" s="22"/>
      <c r="W286" s="22"/>
      <c r="X286" s="22"/>
      <c r="Y286" s="22"/>
      <c r="Z286" s="465"/>
      <c r="AA286" s="22"/>
      <c r="AB286" s="22"/>
      <c r="AC286" s="22"/>
      <c r="AD286" s="22"/>
    </row>
    <row r="287" ht="15.75" customHeight="1">
      <c r="A287" s="22"/>
      <c r="B287" s="22"/>
      <c r="C287" s="22"/>
      <c r="D287" s="22"/>
      <c r="E287" s="22"/>
      <c r="F287" s="22"/>
      <c r="G287" s="22"/>
      <c r="H287" s="22"/>
      <c r="I287" s="22"/>
      <c r="J287" s="22"/>
      <c r="K287" s="22"/>
      <c r="L287" s="468"/>
      <c r="M287" s="468"/>
      <c r="N287" s="22"/>
      <c r="O287" s="22"/>
      <c r="P287" s="22"/>
      <c r="Q287" s="22"/>
      <c r="R287" s="22"/>
      <c r="S287" s="22"/>
      <c r="T287" s="468"/>
      <c r="U287" s="22"/>
      <c r="V287" s="22"/>
      <c r="W287" s="22"/>
      <c r="X287" s="22"/>
      <c r="Y287" s="22"/>
      <c r="Z287" s="465"/>
      <c r="AA287" s="22"/>
      <c r="AB287" s="22"/>
      <c r="AC287" s="22"/>
      <c r="AD287" s="22"/>
    </row>
    <row r="288" ht="15.75" customHeight="1">
      <c r="A288" s="22"/>
      <c r="B288" s="22"/>
      <c r="C288" s="22"/>
      <c r="D288" s="22"/>
      <c r="E288" s="22"/>
      <c r="F288" s="22"/>
      <c r="G288" s="22"/>
      <c r="H288" s="22"/>
      <c r="I288" s="22"/>
      <c r="J288" s="22"/>
      <c r="K288" s="22"/>
      <c r="L288" s="468"/>
      <c r="M288" s="468"/>
      <c r="N288" s="22"/>
      <c r="O288" s="22"/>
      <c r="P288" s="22"/>
      <c r="Q288" s="22"/>
      <c r="R288" s="22"/>
      <c r="S288" s="22"/>
      <c r="T288" s="468"/>
      <c r="U288" s="22"/>
      <c r="V288" s="22"/>
      <c r="W288" s="22"/>
      <c r="X288" s="22"/>
      <c r="Y288" s="22"/>
      <c r="Z288" s="465"/>
      <c r="AA288" s="22"/>
      <c r="AB288" s="22"/>
      <c r="AC288" s="22"/>
      <c r="AD288" s="22"/>
    </row>
    <row r="289" ht="15.75" customHeight="1">
      <c r="A289" s="22"/>
      <c r="B289" s="22"/>
      <c r="C289" s="22"/>
      <c r="D289" s="22"/>
      <c r="E289" s="22"/>
      <c r="F289" s="22"/>
      <c r="G289" s="22"/>
      <c r="H289" s="22"/>
      <c r="I289" s="22"/>
      <c r="J289" s="22"/>
      <c r="K289" s="22"/>
      <c r="L289" s="468"/>
      <c r="M289" s="468"/>
      <c r="N289" s="22"/>
      <c r="O289" s="22"/>
      <c r="P289" s="22"/>
      <c r="Q289" s="22"/>
      <c r="R289" s="22"/>
      <c r="S289" s="22"/>
      <c r="T289" s="468"/>
      <c r="U289" s="22"/>
      <c r="V289" s="22"/>
      <c r="W289" s="22"/>
      <c r="X289" s="22"/>
      <c r="Y289" s="22"/>
      <c r="Z289" s="465"/>
      <c r="AA289" s="22"/>
      <c r="AB289" s="22"/>
      <c r="AC289" s="22"/>
      <c r="AD289" s="22"/>
    </row>
    <row r="290" ht="15.75" customHeight="1">
      <c r="A290" s="22"/>
      <c r="B290" s="22"/>
      <c r="C290" s="22"/>
      <c r="D290" s="22"/>
      <c r="E290" s="22"/>
      <c r="F290" s="22"/>
      <c r="G290" s="22"/>
      <c r="H290" s="22"/>
      <c r="I290" s="22"/>
      <c r="J290" s="22"/>
      <c r="K290" s="22"/>
      <c r="L290" s="468"/>
      <c r="M290" s="468"/>
      <c r="N290" s="22"/>
      <c r="O290" s="22"/>
      <c r="P290" s="22"/>
      <c r="Q290" s="22"/>
      <c r="R290" s="22"/>
      <c r="S290" s="22"/>
      <c r="T290" s="468"/>
      <c r="U290" s="22"/>
      <c r="V290" s="22"/>
      <c r="W290" s="22"/>
      <c r="X290" s="22"/>
      <c r="Y290" s="22"/>
      <c r="Z290" s="465"/>
      <c r="AA290" s="22"/>
      <c r="AB290" s="22"/>
      <c r="AC290" s="22"/>
      <c r="AD290" s="22"/>
    </row>
    <row r="291" ht="15.75" customHeight="1">
      <c r="A291" s="22"/>
      <c r="B291" s="22"/>
      <c r="C291" s="22"/>
      <c r="D291" s="22"/>
      <c r="E291" s="22"/>
      <c r="F291" s="22"/>
      <c r="G291" s="22"/>
      <c r="H291" s="22"/>
      <c r="I291" s="22"/>
      <c r="J291" s="22"/>
      <c r="K291" s="22"/>
      <c r="L291" s="468"/>
      <c r="M291" s="468"/>
      <c r="N291" s="22"/>
      <c r="O291" s="22"/>
      <c r="P291" s="22"/>
      <c r="Q291" s="22"/>
      <c r="R291" s="22"/>
      <c r="S291" s="22"/>
      <c r="T291" s="468"/>
      <c r="U291" s="22"/>
      <c r="V291" s="22"/>
      <c r="W291" s="22"/>
      <c r="X291" s="22"/>
      <c r="Y291" s="22"/>
      <c r="Z291" s="465"/>
      <c r="AA291" s="22"/>
      <c r="AB291" s="22"/>
      <c r="AC291" s="22"/>
      <c r="AD291" s="22"/>
    </row>
    <row r="292" ht="15.75" customHeight="1">
      <c r="A292" s="22"/>
      <c r="B292" s="22"/>
      <c r="C292" s="22"/>
      <c r="D292" s="22"/>
      <c r="E292" s="22"/>
      <c r="F292" s="22"/>
      <c r="G292" s="22"/>
      <c r="H292" s="22"/>
      <c r="I292" s="22"/>
      <c r="J292" s="22"/>
      <c r="K292" s="22"/>
      <c r="L292" s="468"/>
      <c r="M292" s="468"/>
      <c r="N292" s="22"/>
      <c r="O292" s="22"/>
      <c r="P292" s="22"/>
      <c r="Q292" s="22"/>
      <c r="R292" s="22"/>
      <c r="S292" s="22"/>
      <c r="T292" s="468"/>
      <c r="U292" s="22"/>
      <c r="V292" s="22"/>
      <c r="W292" s="22"/>
      <c r="X292" s="22"/>
      <c r="Y292" s="22"/>
      <c r="Z292" s="465"/>
      <c r="AA292" s="22"/>
      <c r="AB292" s="22"/>
      <c r="AC292" s="22"/>
      <c r="AD292" s="22"/>
    </row>
    <row r="293" ht="15.75" customHeight="1">
      <c r="A293" s="22"/>
      <c r="B293" s="22"/>
      <c r="C293" s="22"/>
      <c r="D293" s="22"/>
      <c r="E293" s="22"/>
      <c r="F293" s="22"/>
      <c r="G293" s="22"/>
      <c r="H293" s="22"/>
      <c r="I293" s="22"/>
      <c r="J293" s="22"/>
      <c r="K293" s="22"/>
      <c r="L293" s="468"/>
      <c r="M293" s="468"/>
      <c r="N293" s="22"/>
      <c r="O293" s="22"/>
      <c r="P293" s="22"/>
      <c r="Q293" s="22"/>
      <c r="R293" s="22"/>
      <c r="S293" s="22"/>
      <c r="T293" s="468"/>
      <c r="U293" s="22"/>
      <c r="V293" s="22"/>
      <c r="W293" s="22"/>
      <c r="X293" s="22"/>
      <c r="Y293" s="22"/>
      <c r="Z293" s="465"/>
      <c r="AA293" s="22"/>
      <c r="AB293" s="22"/>
      <c r="AC293" s="22"/>
      <c r="AD293" s="22"/>
    </row>
    <row r="294" ht="15.75" customHeight="1">
      <c r="A294" s="22"/>
      <c r="B294" s="22"/>
      <c r="C294" s="22"/>
      <c r="D294" s="22"/>
      <c r="E294" s="22"/>
      <c r="F294" s="22"/>
      <c r="G294" s="22"/>
      <c r="H294" s="22"/>
      <c r="I294" s="22"/>
      <c r="J294" s="22"/>
      <c r="K294" s="22"/>
      <c r="L294" s="468"/>
      <c r="M294" s="468"/>
      <c r="N294" s="22"/>
      <c r="O294" s="22"/>
      <c r="P294" s="22"/>
      <c r="Q294" s="22"/>
      <c r="R294" s="22"/>
      <c r="S294" s="22"/>
      <c r="T294" s="468"/>
      <c r="U294" s="22"/>
      <c r="V294" s="22"/>
      <c r="W294" s="22"/>
      <c r="X294" s="22"/>
      <c r="Y294" s="22"/>
      <c r="Z294" s="465"/>
      <c r="AA294" s="22"/>
      <c r="AB294" s="22"/>
      <c r="AC294" s="22"/>
      <c r="AD294" s="22"/>
    </row>
    <row r="295" ht="15.75" customHeight="1">
      <c r="A295" s="22"/>
      <c r="B295" s="22"/>
      <c r="C295" s="22"/>
      <c r="D295" s="22"/>
      <c r="E295" s="22"/>
      <c r="F295" s="22"/>
      <c r="G295" s="22"/>
      <c r="H295" s="22"/>
      <c r="I295" s="22"/>
      <c r="J295" s="22"/>
      <c r="K295" s="22"/>
      <c r="L295" s="468"/>
      <c r="M295" s="468"/>
      <c r="N295" s="22"/>
      <c r="O295" s="22"/>
      <c r="P295" s="22"/>
      <c r="Q295" s="22"/>
      <c r="R295" s="22"/>
      <c r="S295" s="22"/>
      <c r="T295" s="468"/>
      <c r="U295" s="22"/>
      <c r="V295" s="22"/>
      <c r="W295" s="22"/>
      <c r="X295" s="22"/>
      <c r="Y295" s="22"/>
      <c r="Z295" s="465"/>
      <c r="AA295" s="22"/>
      <c r="AB295" s="22"/>
      <c r="AC295" s="22"/>
      <c r="AD295" s="22"/>
    </row>
    <row r="296" ht="15.75" customHeight="1">
      <c r="A296" s="22"/>
      <c r="B296" s="22"/>
      <c r="C296" s="22"/>
      <c r="D296" s="22"/>
      <c r="E296" s="22"/>
      <c r="F296" s="22"/>
      <c r="G296" s="22"/>
      <c r="H296" s="22"/>
      <c r="I296" s="22"/>
      <c r="J296" s="22"/>
      <c r="K296" s="22"/>
      <c r="L296" s="468"/>
      <c r="M296" s="468"/>
      <c r="N296" s="22"/>
      <c r="O296" s="22"/>
      <c r="P296" s="22"/>
      <c r="Q296" s="22"/>
      <c r="R296" s="22"/>
      <c r="S296" s="22"/>
      <c r="T296" s="468"/>
      <c r="U296" s="22"/>
      <c r="V296" s="22"/>
      <c r="W296" s="22"/>
      <c r="X296" s="22"/>
      <c r="Y296" s="22"/>
      <c r="Z296" s="465"/>
      <c r="AA296" s="22"/>
      <c r="AB296" s="22"/>
      <c r="AC296" s="22"/>
      <c r="AD296" s="22"/>
    </row>
    <row r="297" ht="15.75" customHeight="1">
      <c r="A297" s="22"/>
      <c r="B297" s="22"/>
      <c r="C297" s="22"/>
      <c r="D297" s="22"/>
      <c r="E297" s="22"/>
      <c r="F297" s="22"/>
      <c r="G297" s="22"/>
      <c r="H297" s="22"/>
      <c r="I297" s="22"/>
      <c r="J297" s="22"/>
      <c r="K297" s="22"/>
      <c r="L297" s="468"/>
      <c r="M297" s="468"/>
      <c r="N297" s="22"/>
      <c r="O297" s="22"/>
      <c r="P297" s="22"/>
      <c r="Q297" s="22"/>
      <c r="R297" s="22"/>
      <c r="S297" s="22"/>
      <c r="T297" s="468"/>
      <c r="U297" s="22"/>
      <c r="V297" s="22"/>
      <c r="W297" s="22"/>
      <c r="X297" s="22"/>
      <c r="Y297" s="22"/>
      <c r="Z297" s="465"/>
      <c r="AA297" s="22"/>
      <c r="AB297" s="22"/>
      <c r="AC297" s="22"/>
      <c r="AD297" s="22"/>
    </row>
    <row r="298" ht="15.75" customHeight="1">
      <c r="A298" s="22"/>
      <c r="B298" s="22"/>
      <c r="C298" s="22"/>
      <c r="D298" s="22"/>
      <c r="E298" s="22"/>
      <c r="F298" s="22"/>
      <c r="G298" s="22"/>
      <c r="H298" s="22"/>
      <c r="I298" s="22"/>
      <c r="J298" s="22"/>
      <c r="K298" s="22"/>
      <c r="L298" s="468"/>
      <c r="M298" s="468"/>
      <c r="N298" s="22"/>
      <c r="O298" s="22"/>
      <c r="P298" s="22"/>
      <c r="Q298" s="22"/>
      <c r="R298" s="22"/>
      <c r="S298" s="22"/>
      <c r="T298" s="468"/>
      <c r="U298" s="22"/>
      <c r="V298" s="22"/>
      <c r="W298" s="22"/>
      <c r="X298" s="22"/>
      <c r="Y298" s="22"/>
      <c r="Z298" s="465"/>
      <c r="AA298" s="22"/>
      <c r="AB298" s="22"/>
      <c r="AC298" s="22"/>
      <c r="AD298" s="22"/>
    </row>
    <row r="299" ht="15.75" customHeight="1">
      <c r="A299" s="22"/>
      <c r="B299" s="22"/>
      <c r="C299" s="22"/>
      <c r="D299" s="22"/>
      <c r="E299" s="22"/>
      <c r="F299" s="22"/>
      <c r="G299" s="22"/>
      <c r="H299" s="22"/>
      <c r="I299" s="22"/>
      <c r="J299" s="22"/>
      <c r="K299" s="22"/>
      <c r="L299" s="468"/>
      <c r="M299" s="468"/>
      <c r="N299" s="22"/>
      <c r="O299" s="22"/>
      <c r="P299" s="22"/>
      <c r="Q299" s="22"/>
      <c r="R299" s="22"/>
      <c r="S299" s="22"/>
      <c r="T299" s="468"/>
      <c r="U299" s="22"/>
      <c r="V299" s="22"/>
      <c r="W299" s="22"/>
      <c r="X299" s="22"/>
      <c r="Y299" s="22"/>
      <c r="Z299" s="465"/>
      <c r="AA299" s="22"/>
      <c r="AB299" s="22"/>
      <c r="AC299" s="22"/>
      <c r="AD299" s="22"/>
    </row>
    <row r="300" ht="15.75" customHeight="1">
      <c r="A300" s="22"/>
      <c r="B300" s="22"/>
      <c r="C300" s="22"/>
      <c r="D300" s="22"/>
      <c r="E300" s="22"/>
      <c r="F300" s="22"/>
      <c r="G300" s="22"/>
      <c r="H300" s="22"/>
      <c r="I300" s="22"/>
      <c r="J300" s="22"/>
      <c r="K300" s="22"/>
      <c r="L300" s="468"/>
      <c r="M300" s="468"/>
      <c r="N300" s="22"/>
      <c r="O300" s="22"/>
      <c r="P300" s="22"/>
      <c r="Q300" s="22"/>
      <c r="R300" s="22"/>
      <c r="S300" s="22"/>
      <c r="T300" s="468"/>
      <c r="U300" s="22"/>
      <c r="V300" s="22"/>
      <c r="W300" s="22"/>
      <c r="X300" s="22"/>
      <c r="Y300" s="22"/>
      <c r="Z300" s="465"/>
      <c r="AA300" s="22"/>
      <c r="AB300" s="22"/>
      <c r="AC300" s="22"/>
      <c r="AD300" s="22"/>
    </row>
    <row r="301" ht="15.75" customHeight="1">
      <c r="A301" s="22"/>
      <c r="B301" s="22"/>
      <c r="C301" s="22"/>
      <c r="D301" s="22"/>
      <c r="E301" s="22"/>
      <c r="F301" s="22"/>
      <c r="G301" s="22"/>
      <c r="H301" s="22"/>
      <c r="I301" s="22"/>
      <c r="J301" s="22"/>
      <c r="K301" s="22"/>
      <c r="L301" s="468"/>
      <c r="M301" s="468"/>
      <c r="N301" s="22"/>
      <c r="O301" s="22"/>
      <c r="P301" s="22"/>
      <c r="Q301" s="22"/>
      <c r="R301" s="22"/>
      <c r="S301" s="22"/>
      <c r="T301" s="468"/>
      <c r="U301" s="22"/>
      <c r="V301" s="22"/>
      <c r="W301" s="22"/>
      <c r="X301" s="22"/>
      <c r="Y301" s="22"/>
      <c r="Z301" s="465"/>
      <c r="AA301" s="22"/>
      <c r="AB301" s="22"/>
      <c r="AC301" s="22"/>
      <c r="AD301" s="22"/>
    </row>
    <row r="302" ht="15.75" customHeight="1">
      <c r="A302" s="22"/>
      <c r="B302" s="22"/>
      <c r="C302" s="22"/>
      <c r="D302" s="22"/>
      <c r="E302" s="22"/>
      <c r="F302" s="22"/>
      <c r="G302" s="22"/>
      <c r="H302" s="22"/>
      <c r="I302" s="22"/>
      <c r="J302" s="22"/>
      <c r="K302" s="22"/>
      <c r="L302" s="468"/>
      <c r="M302" s="468"/>
      <c r="N302" s="22"/>
      <c r="O302" s="22"/>
      <c r="P302" s="22"/>
      <c r="Q302" s="22"/>
      <c r="R302" s="22"/>
      <c r="S302" s="22"/>
      <c r="T302" s="468"/>
      <c r="U302" s="22"/>
      <c r="V302" s="22"/>
      <c r="W302" s="22"/>
      <c r="X302" s="22"/>
      <c r="Y302" s="22"/>
      <c r="Z302" s="465"/>
      <c r="AA302" s="22"/>
      <c r="AB302" s="22"/>
      <c r="AC302" s="22"/>
      <c r="AD302" s="22"/>
    </row>
    <row r="303" ht="15.75" customHeight="1">
      <c r="A303" s="22"/>
      <c r="B303" s="22"/>
      <c r="C303" s="22"/>
      <c r="D303" s="22"/>
      <c r="E303" s="22"/>
      <c r="F303" s="22"/>
      <c r="G303" s="22"/>
      <c r="H303" s="22"/>
      <c r="I303" s="22"/>
      <c r="J303" s="22"/>
      <c r="K303" s="22"/>
      <c r="L303" s="468"/>
      <c r="M303" s="468"/>
      <c r="N303" s="22"/>
      <c r="O303" s="22"/>
      <c r="P303" s="22"/>
      <c r="Q303" s="22"/>
      <c r="R303" s="22"/>
      <c r="S303" s="22"/>
      <c r="T303" s="468"/>
      <c r="U303" s="22"/>
      <c r="V303" s="22"/>
      <c r="W303" s="22"/>
      <c r="X303" s="22"/>
      <c r="Y303" s="22"/>
      <c r="Z303" s="465"/>
      <c r="AA303" s="22"/>
      <c r="AB303" s="22"/>
      <c r="AC303" s="22"/>
      <c r="AD303" s="22"/>
    </row>
    <row r="304" ht="15.75" customHeight="1">
      <c r="A304" s="22"/>
      <c r="B304" s="22"/>
      <c r="C304" s="22"/>
      <c r="D304" s="22"/>
      <c r="E304" s="22"/>
      <c r="F304" s="22"/>
      <c r="G304" s="22"/>
      <c r="H304" s="22"/>
      <c r="I304" s="22"/>
      <c r="J304" s="22"/>
      <c r="K304" s="22"/>
      <c r="L304" s="468"/>
      <c r="M304" s="468"/>
      <c r="N304" s="22"/>
      <c r="O304" s="22"/>
      <c r="P304" s="22"/>
      <c r="Q304" s="22"/>
      <c r="R304" s="22"/>
      <c r="S304" s="22"/>
      <c r="T304" s="468"/>
      <c r="U304" s="22"/>
      <c r="V304" s="22"/>
      <c r="W304" s="22"/>
      <c r="X304" s="22"/>
      <c r="Y304" s="22"/>
      <c r="Z304" s="465"/>
      <c r="AA304" s="22"/>
      <c r="AB304" s="22"/>
      <c r="AC304" s="22"/>
      <c r="AD304" s="22"/>
    </row>
    <row r="305" ht="15.75" customHeight="1">
      <c r="A305" s="22"/>
      <c r="B305" s="22"/>
      <c r="C305" s="22"/>
      <c r="D305" s="22"/>
      <c r="E305" s="22"/>
      <c r="F305" s="22"/>
      <c r="G305" s="22"/>
      <c r="H305" s="22"/>
      <c r="I305" s="22"/>
      <c r="J305" s="22"/>
      <c r="K305" s="22"/>
      <c r="L305" s="468"/>
      <c r="M305" s="468"/>
      <c r="N305" s="22"/>
      <c r="O305" s="22"/>
      <c r="P305" s="22"/>
      <c r="Q305" s="22"/>
      <c r="R305" s="22"/>
      <c r="S305" s="22"/>
      <c r="T305" s="468"/>
      <c r="U305" s="22"/>
      <c r="V305" s="22"/>
      <c r="W305" s="22"/>
      <c r="X305" s="22"/>
      <c r="Y305" s="22"/>
      <c r="Z305" s="465"/>
      <c r="AA305" s="22"/>
      <c r="AB305" s="22"/>
      <c r="AC305" s="22"/>
      <c r="AD305" s="22"/>
    </row>
    <row r="306" ht="15.75" customHeight="1">
      <c r="A306" s="22"/>
      <c r="B306" s="22"/>
      <c r="C306" s="22"/>
      <c r="D306" s="22"/>
      <c r="E306" s="22"/>
      <c r="F306" s="22"/>
      <c r="G306" s="22"/>
      <c r="H306" s="22"/>
      <c r="I306" s="22"/>
      <c r="J306" s="22"/>
      <c r="K306" s="22"/>
      <c r="L306" s="468"/>
      <c r="M306" s="468"/>
      <c r="N306" s="22"/>
      <c r="O306" s="22"/>
      <c r="P306" s="22"/>
      <c r="Q306" s="22"/>
      <c r="R306" s="22"/>
      <c r="S306" s="22"/>
      <c r="T306" s="468"/>
      <c r="U306" s="22"/>
      <c r="V306" s="22"/>
      <c r="W306" s="22"/>
      <c r="X306" s="22"/>
      <c r="Y306" s="22"/>
      <c r="Z306" s="465"/>
      <c r="AA306" s="22"/>
      <c r="AB306" s="22"/>
      <c r="AC306" s="22"/>
      <c r="AD306" s="22"/>
    </row>
    <row r="307" ht="15.75" customHeight="1">
      <c r="A307" s="22"/>
      <c r="B307" s="22"/>
      <c r="C307" s="22"/>
      <c r="D307" s="22"/>
      <c r="E307" s="22"/>
      <c r="F307" s="22"/>
      <c r="G307" s="22"/>
      <c r="H307" s="22"/>
      <c r="I307" s="22"/>
      <c r="J307" s="22"/>
      <c r="K307" s="22"/>
      <c r="L307" s="468"/>
      <c r="M307" s="468"/>
      <c r="N307" s="22"/>
      <c r="O307" s="22"/>
      <c r="P307" s="22"/>
      <c r="Q307" s="22"/>
      <c r="R307" s="22"/>
      <c r="S307" s="22"/>
      <c r="T307" s="468"/>
      <c r="U307" s="22"/>
      <c r="V307" s="22"/>
      <c r="W307" s="22"/>
      <c r="X307" s="22"/>
      <c r="Y307" s="22"/>
      <c r="Z307" s="465"/>
      <c r="AA307" s="22"/>
      <c r="AB307" s="22"/>
      <c r="AC307" s="22"/>
      <c r="AD307" s="22"/>
    </row>
    <row r="308" ht="15.75" customHeight="1">
      <c r="A308" s="22"/>
      <c r="B308" s="22"/>
      <c r="C308" s="22"/>
      <c r="D308" s="22"/>
      <c r="E308" s="22"/>
      <c r="F308" s="22"/>
      <c r="G308" s="22"/>
      <c r="H308" s="22"/>
      <c r="I308" s="22"/>
      <c r="J308" s="22"/>
      <c r="K308" s="22"/>
      <c r="L308" s="468"/>
      <c r="M308" s="468"/>
      <c r="N308" s="22"/>
      <c r="O308" s="22"/>
      <c r="P308" s="22"/>
      <c r="Q308" s="22"/>
      <c r="R308" s="22"/>
      <c r="S308" s="22"/>
      <c r="T308" s="468"/>
      <c r="U308" s="22"/>
      <c r="V308" s="22"/>
      <c r="W308" s="22"/>
      <c r="X308" s="22"/>
      <c r="Y308" s="22"/>
      <c r="Z308" s="465"/>
      <c r="AA308" s="22"/>
      <c r="AB308" s="22"/>
      <c r="AC308" s="22"/>
      <c r="AD308" s="22"/>
    </row>
    <row r="309" ht="15.75" customHeight="1">
      <c r="A309" s="22"/>
      <c r="B309" s="22"/>
      <c r="C309" s="22"/>
      <c r="D309" s="22"/>
      <c r="E309" s="22"/>
      <c r="F309" s="22"/>
      <c r="G309" s="22"/>
      <c r="H309" s="22"/>
      <c r="I309" s="22"/>
      <c r="J309" s="22"/>
      <c r="K309" s="22"/>
      <c r="L309" s="468"/>
      <c r="M309" s="468"/>
      <c r="N309" s="22"/>
      <c r="O309" s="22"/>
      <c r="P309" s="22"/>
      <c r="Q309" s="22"/>
      <c r="R309" s="22"/>
      <c r="S309" s="22"/>
      <c r="T309" s="468"/>
      <c r="U309" s="22"/>
      <c r="V309" s="22"/>
      <c r="W309" s="22"/>
      <c r="X309" s="22"/>
      <c r="Y309" s="22"/>
      <c r="Z309" s="465"/>
      <c r="AA309" s="22"/>
      <c r="AB309" s="22"/>
      <c r="AC309" s="22"/>
      <c r="AD309" s="22"/>
    </row>
    <row r="310" ht="15.75" customHeight="1">
      <c r="A310" s="22"/>
      <c r="B310" s="22"/>
      <c r="C310" s="22"/>
      <c r="D310" s="22"/>
      <c r="E310" s="22"/>
      <c r="F310" s="22"/>
      <c r="G310" s="22"/>
      <c r="H310" s="22"/>
      <c r="I310" s="22"/>
      <c r="J310" s="22"/>
      <c r="K310" s="22"/>
      <c r="L310" s="468"/>
      <c r="M310" s="468"/>
      <c r="N310" s="22"/>
      <c r="O310" s="22"/>
      <c r="P310" s="22"/>
      <c r="Q310" s="22"/>
      <c r="R310" s="22"/>
      <c r="S310" s="22"/>
      <c r="T310" s="468"/>
      <c r="U310" s="22"/>
      <c r="V310" s="22"/>
      <c r="W310" s="22"/>
      <c r="X310" s="22"/>
      <c r="Y310" s="22"/>
      <c r="Z310" s="465"/>
      <c r="AA310" s="22"/>
      <c r="AB310" s="22"/>
      <c r="AC310" s="22"/>
      <c r="AD310" s="22"/>
    </row>
    <row r="311" ht="15.75" customHeight="1">
      <c r="A311" s="22"/>
      <c r="B311" s="22"/>
      <c r="C311" s="22"/>
      <c r="D311" s="22"/>
      <c r="E311" s="22"/>
      <c r="F311" s="22"/>
      <c r="G311" s="22"/>
      <c r="H311" s="22"/>
      <c r="I311" s="22"/>
      <c r="J311" s="22"/>
      <c r="K311" s="22"/>
      <c r="L311" s="468"/>
      <c r="M311" s="468"/>
      <c r="N311" s="22"/>
      <c r="O311" s="22"/>
      <c r="P311" s="22"/>
      <c r="Q311" s="22"/>
      <c r="R311" s="22"/>
      <c r="S311" s="22"/>
      <c r="T311" s="468"/>
      <c r="U311" s="22"/>
      <c r="V311" s="22"/>
      <c r="W311" s="22"/>
      <c r="X311" s="22"/>
      <c r="Y311" s="22"/>
      <c r="Z311" s="465"/>
      <c r="AA311" s="22"/>
      <c r="AB311" s="22"/>
      <c r="AC311" s="22"/>
      <c r="AD311" s="22"/>
    </row>
    <row r="312" ht="15.75" customHeight="1">
      <c r="A312" s="22"/>
      <c r="B312" s="22"/>
      <c r="C312" s="22"/>
      <c r="D312" s="22"/>
      <c r="E312" s="22"/>
      <c r="F312" s="22"/>
      <c r="G312" s="22"/>
      <c r="H312" s="22"/>
      <c r="I312" s="22"/>
      <c r="J312" s="22"/>
      <c r="K312" s="22"/>
      <c r="L312" s="468"/>
      <c r="M312" s="468"/>
      <c r="N312" s="22"/>
      <c r="O312" s="22"/>
      <c r="P312" s="22"/>
      <c r="Q312" s="22"/>
      <c r="R312" s="22"/>
      <c r="S312" s="22"/>
      <c r="T312" s="468"/>
      <c r="U312" s="22"/>
      <c r="V312" s="22"/>
      <c r="W312" s="22"/>
      <c r="X312" s="22"/>
      <c r="Y312" s="22"/>
      <c r="Z312" s="465"/>
      <c r="AA312" s="22"/>
      <c r="AB312" s="22"/>
      <c r="AC312" s="22"/>
      <c r="AD312" s="22"/>
    </row>
    <row r="313" ht="15.75" customHeight="1">
      <c r="A313" s="22"/>
      <c r="B313" s="22"/>
      <c r="C313" s="22"/>
      <c r="D313" s="22"/>
      <c r="E313" s="22"/>
      <c r="F313" s="22"/>
      <c r="G313" s="22"/>
      <c r="H313" s="22"/>
      <c r="I313" s="22"/>
      <c r="J313" s="22"/>
      <c r="K313" s="22"/>
      <c r="L313" s="468"/>
      <c r="M313" s="468"/>
      <c r="N313" s="22"/>
      <c r="O313" s="22"/>
      <c r="P313" s="22"/>
      <c r="Q313" s="22"/>
      <c r="R313" s="22"/>
      <c r="S313" s="22"/>
      <c r="T313" s="468"/>
      <c r="U313" s="22"/>
      <c r="V313" s="22"/>
      <c r="W313" s="22"/>
      <c r="X313" s="22"/>
      <c r="Y313" s="22"/>
      <c r="Z313" s="465"/>
      <c r="AA313" s="22"/>
      <c r="AB313" s="22"/>
      <c r="AC313" s="22"/>
      <c r="AD313" s="22"/>
    </row>
    <row r="314" ht="15.75" customHeight="1">
      <c r="A314" s="22"/>
      <c r="B314" s="22"/>
      <c r="C314" s="22"/>
      <c r="D314" s="22"/>
      <c r="E314" s="22"/>
      <c r="F314" s="22"/>
      <c r="G314" s="22"/>
      <c r="H314" s="22"/>
      <c r="I314" s="22"/>
      <c r="J314" s="22"/>
      <c r="K314" s="22"/>
      <c r="L314" s="468"/>
      <c r="M314" s="468"/>
      <c r="N314" s="22"/>
      <c r="O314" s="22"/>
      <c r="P314" s="22"/>
      <c r="Q314" s="22"/>
      <c r="R314" s="22"/>
      <c r="S314" s="22"/>
      <c r="T314" s="468"/>
      <c r="U314" s="22"/>
      <c r="V314" s="22"/>
      <c r="W314" s="22"/>
      <c r="X314" s="22"/>
      <c r="Y314" s="22"/>
      <c r="Z314" s="465"/>
      <c r="AA314" s="22"/>
      <c r="AB314" s="22"/>
      <c r="AC314" s="22"/>
      <c r="AD314" s="22"/>
    </row>
    <row r="315" ht="15.75" customHeight="1">
      <c r="A315" s="22"/>
      <c r="B315" s="22"/>
      <c r="C315" s="22"/>
      <c r="D315" s="22"/>
      <c r="E315" s="22"/>
      <c r="F315" s="22"/>
      <c r="G315" s="22"/>
      <c r="H315" s="22"/>
      <c r="I315" s="22"/>
      <c r="J315" s="22"/>
      <c r="K315" s="22"/>
      <c r="L315" s="468"/>
      <c r="M315" s="468"/>
      <c r="N315" s="22"/>
      <c r="O315" s="22"/>
      <c r="P315" s="22"/>
      <c r="Q315" s="22"/>
      <c r="R315" s="22"/>
      <c r="S315" s="22"/>
      <c r="T315" s="468"/>
      <c r="U315" s="22"/>
      <c r="V315" s="22"/>
      <c r="W315" s="22"/>
      <c r="X315" s="22"/>
      <c r="Y315" s="22"/>
      <c r="Z315" s="465"/>
      <c r="AA315" s="22"/>
      <c r="AB315" s="22"/>
      <c r="AC315" s="22"/>
      <c r="AD315" s="22"/>
    </row>
    <row r="316" ht="15.75" customHeight="1">
      <c r="A316" s="22"/>
      <c r="B316" s="22"/>
      <c r="C316" s="22"/>
      <c r="D316" s="22"/>
      <c r="E316" s="22"/>
      <c r="F316" s="22"/>
      <c r="G316" s="22"/>
      <c r="H316" s="22"/>
      <c r="I316" s="22"/>
      <c r="J316" s="22"/>
      <c r="K316" s="22"/>
      <c r="L316" s="468"/>
      <c r="M316" s="468"/>
      <c r="N316" s="22"/>
      <c r="O316" s="22"/>
      <c r="P316" s="22"/>
      <c r="Q316" s="22"/>
      <c r="R316" s="22"/>
      <c r="S316" s="22"/>
      <c r="T316" s="468"/>
      <c r="U316" s="22"/>
      <c r="V316" s="22"/>
      <c r="W316" s="22"/>
      <c r="X316" s="22"/>
      <c r="Y316" s="22"/>
      <c r="Z316" s="465"/>
      <c r="AA316" s="22"/>
      <c r="AB316" s="22"/>
      <c r="AC316" s="22"/>
      <c r="AD316" s="22"/>
    </row>
    <row r="317" ht="15.75" customHeight="1">
      <c r="A317" s="22"/>
      <c r="B317" s="22"/>
      <c r="C317" s="22"/>
      <c r="D317" s="22"/>
      <c r="E317" s="22"/>
      <c r="F317" s="22"/>
      <c r="G317" s="22"/>
      <c r="H317" s="22"/>
      <c r="I317" s="22"/>
      <c r="J317" s="22"/>
      <c r="K317" s="22"/>
      <c r="L317" s="468"/>
      <c r="M317" s="468"/>
      <c r="N317" s="22"/>
      <c r="O317" s="22"/>
      <c r="P317" s="22"/>
      <c r="Q317" s="22"/>
      <c r="R317" s="22"/>
      <c r="S317" s="22"/>
      <c r="T317" s="468"/>
      <c r="U317" s="22"/>
      <c r="V317" s="22"/>
      <c r="W317" s="22"/>
      <c r="X317" s="22"/>
      <c r="Y317" s="22"/>
      <c r="Z317" s="465"/>
      <c r="AA317" s="22"/>
      <c r="AB317" s="22"/>
      <c r="AC317" s="22"/>
      <c r="AD317" s="22"/>
    </row>
    <row r="318" ht="15.75" customHeight="1">
      <c r="A318" s="22"/>
      <c r="B318" s="22"/>
      <c r="C318" s="22"/>
      <c r="D318" s="22"/>
      <c r="E318" s="22"/>
      <c r="F318" s="22"/>
      <c r="G318" s="22"/>
      <c r="H318" s="22"/>
      <c r="I318" s="22"/>
      <c r="J318" s="22"/>
      <c r="K318" s="22"/>
      <c r="L318" s="468"/>
      <c r="M318" s="468"/>
      <c r="N318" s="22"/>
      <c r="O318" s="22"/>
      <c r="P318" s="22"/>
      <c r="Q318" s="22"/>
      <c r="R318" s="22"/>
      <c r="S318" s="22"/>
      <c r="T318" s="468"/>
      <c r="U318" s="22"/>
      <c r="V318" s="22"/>
      <c r="W318" s="22"/>
      <c r="X318" s="22"/>
      <c r="Y318" s="22"/>
      <c r="Z318" s="465"/>
      <c r="AA318" s="22"/>
      <c r="AB318" s="22"/>
      <c r="AC318" s="22"/>
      <c r="AD318" s="22"/>
    </row>
    <row r="319" ht="15.75" customHeight="1">
      <c r="A319" s="22"/>
      <c r="B319" s="22"/>
      <c r="C319" s="22"/>
      <c r="D319" s="22"/>
      <c r="E319" s="22"/>
      <c r="F319" s="22"/>
      <c r="G319" s="22"/>
      <c r="H319" s="22"/>
      <c r="I319" s="22"/>
      <c r="J319" s="22"/>
      <c r="K319" s="22"/>
      <c r="L319" s="468"/>
      <c r="M319" s="468"/>
      <c r="N319" s="22"/>
      <c r="O319" s="22"/>
      <c r="P319" s="22"/>
      <c r="Q319" s="22"/>
      <c r="R319" s="22"/>
      <c r="S319" s="22"/>
      <c r="T319" s="468"/>
      <c r="U319" s="22"/>
      <c r="V319" s="22"/>
      <c r="W319" s="22"/>
      <c r="X319" s="22"/>
      <c r="Y319" s="22"/>
      <c r="Z319" s="465"/>
      <c r="AA319" s="22"/>
      <c r="AB319" s="22"/>
      <c r="AC319" s="22"/>
      <c r="AD319" s="22"/>
    </row>
    <row r="320" ht="15.75" customHeight="1">
      <c r="A320" s="22"/>
      <c r="B320" s="22"/>
      <c r="C320" s="22"/>
      <c r="D320" s="22"/>
      <c r="E320" s="22"/>
      <c r="F320" s="22"/>
      <c r="G320" s="22"/>
      <c r="H320" s="22"/>
      <c r="I320" s="22"/>
      <c r="J320" s="22"/>
      <c r="K320" s="22"/>
      <c r="L320" s="468"/>
      <c r="M320" s="468"/>
      <c r="N320" s="22"/>
      <c r="O320" s="22"/>
      <c r="P320" s="22"/>
      <c r="Q320" s="22"/>
      <c r="R320" s="22"/>
      <c r="S320" s="22"/>
      <c r="T320" s="468"/>
      <c r="U320" s="22"/>
      <c r="V320" s="22"/>
      <c r="W320" s="22"/>
      <c r="X320" s="22"/>
      <c r="Y320" s="22"/>
      <c r="Z320" s="465"/>
      <c r="AA320" s="22"/>
      <c r="AB320" s="22"/>
      <c r="AC320" s="22"/>
      <c r="AD320" s="22"/>
    </row>
    <row r="321" ht="15.75" customHeight="1">
      <c r="A321" s="22"/>
      <c r="B321" s="22"/>
      <c r="C321" s="22"/>
      <c r="D321" s="22"/>
      <c r="E321" s="22"/>
      <c r="F321" s="22"/>
      <c r="G321" s="22"/>
      <c r="H321" s="22"/>
      <c r="I321" s="22"/>
      <c r="J321" s="22"/>
      <c r="K321" s="22"/>
      <c r="L321" s="468"/>
      <c r="M321" s="468"/>
      <c r="N321" s="22"/>
      <c r="O321" s="22"/>
      <c r="P321" s="22"/>
      <c r="Q321" s="22"/>
      <c r="R321" s="22"/>
      <c r="S321" s="22"/>
      <c r="T321" s="468"/>
      <c r="U321" s="22"/>
      <c r="V321" s="22"/>
      <c r="W321" s="22"/>
      <c r="X321" s="22"/>
      <c r="Y321" s="22"/>
      <c r="Z321" s="465"/>
      <c r="AA321" s="22"/>
      <c r="AB321" s="22"/>
      <c r="AC321" s="22"/>
      <c r="AD321" s="22"/>
    </row>
    <row r="322" ht="15.75" customHeight="1">
      <c r="A322" s="22"/>
      <c r="B322" s="22"/>
      <c r="C322" s="22"/>
      <c r="D322" s="22"/>
      <c r="E322" s="22"/>
      <c r="F322" s="22"/>
      <c r="G322" s="22"/>
      <c r="H322" s="22"/>
      <c r="I322" s="22"/>
      <c r="J322" s="22"/>
      <c r="K322" s="22"/>
      <c r="L322" s="468"/>
      <c r="M322" s="468"/>
      <c r="N322" s="22"/>
      <c r="O322" s="22"/>
      <c r="P322" s="22"/>
      <c r="Q322" s="22"/>
      <c r="R322" s="22"/>
      <c r="S322" s="22"/>
      <c r="T322" s="468"/>
      <c r="U322" s="22"/>
      <c r="V322" s="22"/>
      <c r="W322" s="22"/>
      <c r="X322" s="22"/>
      <c r="Y322" s="22"/>
      <c r="Z322" s="465"/>
      <c r="AA322" s="22"/>
      <c r="AB322" s="22"/>
      <c r="AC322" s="22"/>
      <c r="AD322" s="22"/>
    </row>
    <row r="323" ht="15.75" customHeight="1">
      <c r="A323" s="22"/>
      <c r="B323" s="22"/>
      <c r="C323" s="22"/>
      <c r="D323" s="22"/>
      <c r="E323" s="22"/>
      <c r="F323" s="22"/>
      <c r="G323" s="22"/>
      <c r="H323" s="22"/>
      <c r="I323" s="22"/>
      <c r="J323" s="22"/>
      <c r="K323" s="22"/>
      <c r="L323" s="468"/>
      <c r="M323" s="468"/>
      <c r="N323" s="22"/>
      <c r="O323" s="22"/>
      <c r="P323" s="22"/>
      <c r="Q323" s="22"/>
      <c r="R323" s="22"/>
      <c r="S323" s="22"/>
      <c r="T323" s="468"/>
      <c r="U323" s="22"/>
      <c r="V323" s="22"/>
      <c r="W323" s="22"/>
      <c r="X323" s="22"/>
      <c r="Y323" s="22"/>
      <c r="Z323" s="465"/>
      <c r="AA323" s="22"/>
      <c r="AB323" s="22"/>
      <c r="AC323" s="22"/>
      <c r="AD323" s="22"/>
    </row>
    <row r="324" ht="15.75" customHeight="1">
      <c r="A324" s="22"/>
      <c r="B324" s="22"/>
      <c r="C324" s="22"/>
      <c r="D324" s="22"/>
      <c r="E324" s="22"/>
      <c r="F324" s="22"/>
      <c r="G324" s="22"/>
      <c r="H324" s="22"/>
      <c r="I324" s="22"/>
      <c r="J324" s="22"/>
      <c r="K324" s="22"/>
      <c r="L324" s="468"/>
      <c r="M324" s="468"/>
      <c r="N324" s="22"/>
      <c r="O324" s="22"/>
      <c r="P324" s="22"/>
      <c r="Q324" s="22"/>
      <c r="R324" s="22"/>
      <c r="S324" s="22"/>
      <c r="T324" s="468"/>
      <c r="U324" s="22"/>
      <c r="V324" s="22"/>
      <c r="W324" s="22"/>
      <c r="X324" s="22"/>
      <c r="Y324" s="22"/>
      <c r="Z324" s="465"/>
      <c r="AA324" s="22"/>
      <c r="AB324" s="22"/>
      <c r="AC324" s="22"/>
      <c r="AD324" s="22"/>
    </row>
    <row r="325" ht="15.75" customHeight="1">
      <c r="A325" s="22"/>
      <c r="B325" s="22"/>
      <c r="C325" s="22"/>
      <c r="D325" s="22"/>
      <c r="E325" s="22"/>
      <c r="F325" s="22"/>
      <c r="G325" s="22"/>
      <c r="H325" s="22"/>
      <c r="I325" s="22"/>
      <c r="J325" s="22"/>
      <c r="K325" s="22"/>
      <c r="L325" s="468"/>
      <c r="M325" s="468"/>
      <c r="N325" s="22"/>
      <c r="O325" s="22"/>
      <c r="P325" s="22"/>
      <c r="Q325" s="22"/>
      <c r="R325" s="22"/>
      <c r="S325" s="22"/>
      <c r="T325" s="468"/>
      <c r="U325" s="22"/>
      <c r="V325" s="22"/>
      <c r="W325" s="22"/>
      <c r="X325" s="22"/>
      <c r="Y325" s="22"/>
      <c r="Z325" s="465"/>
      <c r="AA325" s="22"/>
      <c r="AB325" s="22"/>
      <c r="AC325" s="22"/>
      <c r="AD325" s="22"/>
    </row>
    <row r="326" ht="15.75" customHeight="1">
      <c r="A326" s="22"/>
      <c r="B326" s="22"/>
      <c r="C326" s="22"/>
      <c r="D326" s="22"/>
      <c r="E326" s="22"/>
      <c r="F326" s="22"/>
      <c r="G326" s="22"/>
      <c r="H326" s="22"/>
      <c r="I326" s="22"/>
      <c r="J326" s="22"/>
      <c r="K326" s="22"/>
      <c r="L326" s="468"/>
      <c r="M326" s="468"/>
      <c r="N326" s="22"/>
      <c r="O326" s="22"/>
      <c r="P326" s="22"/>
      <c r="Q326" s="22"/>
      <c r="R326" s="22"/>
      <c r="S326" s="22"/>
      <c r="T326" s="468"/>
      <c r="U326" s="22"/>
      <c r="V326" s="22"/>
      <c r="W326" s="22"/>
      <c r="X326" s="22"/>
      <c r="Y326" s="22"/>
      <c r="Z326" s="465"/>
      <c r="AA326" s="22"/>
      <c r="AB326" s="22"/>
      <c r="AC326" s="22"/>
      <c r="AD326" s="22"/>
    </row>
    <row r="327" ht="15.75" customHeight="1">
      <c r="A327" s="22"/>
      <c r="B327" s="22"/>
      <c r="C327" s="22"/>
      <c r="D327" s="22"/>
      <c r="E327" s="22"/>
      <c r="F327" s="22"/>
      <c r="G327" s="22"/>
      <c r="H327" s="22"/>
      <c r="I327" s="22"/>
      <c r="J327" s="22"/>
      <c r="K327" s="22"/>
      <c r="L327" s="468"/>
      <c r="M327" s="468"/>
      <c r="N327" s="22"/>
      <c r="O327" s="22"/>
      <c r="P327" s="22"/>
      <c r="Q327" s="22"/>
      <c r="R327" s="22"/>
      <c r="S327" s="22"/>
      <c r="T327" s="468"/>
      <c r="U327" s="22"/>
      <c r="V327" s="22"/>
      <c r="W327" s="22"/>
      <c r="X327" s="22"/>
      <c r="Y327" s="22"/>
      <c r="Z327" s="465"/>
      <c r="AA327" s="22"/>
      <c r="AB327" s="22"/>
      <c r="AC327" s="22"/>
      <c r="AD327" s="22"/>
    </row>
    <row r="328" ht="15.75" customHeight="1">
      <c r="A328" s="22"/>
      <c r="B328" s="22"/>
      <c r="C328" s="22"/>
      <c r="D328" s="22"/>
      <c r="E328" s="22"/>
      <c r="F328" s="22"/>
      <c r="G328" s="22"/>
      <c r="H328" s="22"/>
      <c r="I328" s="22"/>
      <c r="J328" s="22"/>
      <c r="K328" s="22"/>
      <c r="L328" s="468"/>
      <c r="M328" s="468"/>
      <c r="N328" s="22"/>
      <c r="O328" s="22"/>
      <c r="P328" s="22"/>
      <c r="Q328" s="22"/>
      <c r="R328" s="22"/>
      <c r="S328" s="22"/>
      <c r="T328" s="468"/>
      <c r="U328" s="22"/>
      <c r="V328" s="22"/>
      <c r="W328" s="22"/>
      <c r="X328" s="22"/>
      <c r="Y328" s="22"/>
      <c r="Z328" s="465"/>
      <c r="AA328" s="22"/>
      <c r="AB328" s="22"/>
      <c r="AC328" s="22"/>
      <c r="AD328" s="22"/>
    </row>
    <row r="329" ht="15.75" customHeight="1">
      <c r="A329" s="22"/>
      <c r="B329" s="22"/>
      <c r="C329" s="22"/>
      <c r="D329" s="22"/>
      <c r="E329" s="22"/>
      <c r="F329" s="22"/>
      <c r="G329" s="22"/>
      <c r="H329" s="22"/>
      <c r="I329" s="22"/>
      <c r="J329" s="22"/>
      <c r="K329" s="22"/>
      <c r="L329" s="468"/>
      <c r="M329" s="468"/>
      <c r="N329" s="22"/>
      <c r="O329" s="22"/>
      <c r="P329" s="22"/>
      <c r="Q329" s="22"/>
      <c r="R329" s="22"/>
      <c r="S329" s="22"/>
      <c r="T329" s="468"/>
      <c r="U329" s="22"/>
      <c r="V329" s="22"/>
      <c r="W329" s="22"/>
      <c r="X329" s="22"/>
      <c r="Y329" s="22"/>
      <c r="Z329" s="465"/>
      <c r="AA329" s="22"/>
      <c r="AB329" s="22"/>
      <c r="AC329" s="22"/>
      <c r="AD329" s="22"/>
    </row>
    <row r="330" ht="15.75" customHeight="1">
      <c r="A330" s="22"/>
      <c r="B330" s="22"/>
      <c r="C330" s="22"/>
      <c r="D330" s="22"/>
      <c r="E330" s="22"/>
      <c r="F330" s="22"/>
      <c r="G330" s="22"/>
      <c r="H330" s="22"/>
      <c r="I330" s="22"/>
      <c r="J330" s="22"/>
      <c r="K330" s="22"/>
      <c r="L330" s="468"/>
      <c r="M330" s="468"/>
      <c r="N330" s="22"/>
      <c r="O330" s="22"/>
      <c r="P330" s="22"/>
      <c r="Q330" s="22"/>
      <c r="R330" s="22"/>
      <c r="S330" s="22"/>
      <c r="T330" s="468"/>
      <c r="U330" s="22"/>
      <c r="V330" s="22"/>
      <c r="W330" s="22"/>
      <c r="X330" s="22"/>
      <c r="Y330" s="22"/>
      <c r="Z330" s="465"/>
      <c r="AA330" s="22"/>
      <c r="AB330" s="22"/>
      <c r="AC330" s="22"/>
      <c r="AD330" s="22"/>
    </row>
    <row r="331" ht="15.75" customHeight="1">
      <c r="A331" s="22"/>
      <c r="B331" s="22"/>
      <c r="C331" s="22"/>
      <c r="D331" s="22"/>
      <c r="E331" s="22"/>
      <c r="F331" s="22"/>
      <c r="G331" s="22"/>
      <c r="H331" s="22"/>
      <c r="I331" s="22"/>
      <c r="J331" s="22"/>
      <c r="K331" s="22"/>
      <c r="L331" s="468"/>
      <c r="M331" s="468"/>
      <c r="N331" s="22"/>
      <c r="O331" s="22"/>
      <c r="P331" s="22"/>
      <c r="Q331" s="22"/>
      <c r="R331" s="22"/>
      <c r="S331" s="22"/>
      <c r="T331" s="468"/>
      <c r="U331" s="22"/>
      <c r="V331" s="22"/>
      <c r="W331" s="22"/>
      <c r="X331" s="22"/>
      <c r="Y331" s="22"/>
      <c r="Z331" s="465"/>
      <c r="AA331" s="22"/>
      <c r="AB331" s="22"/>
      <c r="AC331" s="22"/>
      <c r="AD331" s="22"/>
    </row>
    <row r="332" ht="15.75" customHeight="1">
      <c r="A332" s="22"/>
      <c r="B332" s="22"/>
      <c r="C332" s="22"/>
      <c r="D332" s="22"/>
      <c r="E332" s="22"/>
      <c r="F332" s="22"/>
      <c r="G332" s="22"/>
      <c r="H332" s="22"/>
      <c r="I332" s="22"/>
      <c r="J332" s="22"/>
      <c r="K332" s="22"/>
      <c r="L332" s="468"/>
      <c r="M332" s="468"/>
      <c r="N332" s="22"/>
      <c r="O332" s="22"/>
      <c r="P332" s="22"/>
      <c r="Q332" s="22"/>
      <c r="R332" s="22"/>
      <c r="S332" s="22"/>
      <c r="T332" s="468"/>
      <c r="U332" s="22"/>
      <c r="V332" s="22"/>
      <c r="W332" s="22"/>
      <c r="X332" s="22"/>
      <c r="Y332" s="22"/>
      <c r="Z332" s="465"/>
      <c r="AA332" s="22"/>
      <c r="AB332" s="22"/>
      <c r="AC332" s="22"/>
      <c r="AD332" s="22"/>
    </row>
    <row r="333" ht="15.75" customHeight="1">
      <c r="A333" s="22"/>
      <c r="B333" s="22"/>
      <c r="C333" s="22"/>
      <c r="D333" s="22"/>
      <c r="E333" s="22"/>
      <c r="F333" s="22"/>
      <c r="G333" s="22"/>
      <c r="H333" s="22"/>
      <c r="I333" s="22"/>
      <c r="J333" s="22"/>
      <c r="K333" s="22"/>
      <c r="L333" s="468"/>
      <c r="M333" s="468"/>
      <c r="N333" s="22"/>
      <c r="O333" s="22"/>
      <c r="P333" s="22"/>
      <c r="Q333" s="22"/>
      <c r="R333" s="22"/>
      <c r="S333" s="22"/>
      <c r="T333" s="468"/>
      <c r="U333" s="22"/>
      <c r="V333" s="22"/>
      <c r="W333" s="22"/>
      <c r="X333" s="22"/>
      <c r="Y333" s="22"/>
      <c r="Z333" s="465"/>
      <c r="AA333" s="22"/>
      <c r="AB333" s="22"/>
      <c r="AC333" s="22"/>
      <c r="AD333" s="22"/>
    </row>
    <row r="334" ht="15.75" customHeight="1">
      <c r="A334" s="22"/>
      <c r="B334" s="22"/>
      <c r="C334" s="22"/>
      <c r="D334" s="22"/>
      <c r="E334" s="22"/>
      <c r="F334" s="22"/>
      <c r="G334" s="22"/>
      <c r="H334" s="22"/>
      <c r="I334" s="22"/>
      <c r="J334" s="22"/>
      <c r="K334" s="22"/>
      <c r="L334" s="468"/>
      <c r="M334" s="468"/>
      <c r="N334" s="22"/>
      <c r="O334" s="22"/>
      <c r="P334" s="22"/>
      <c r="Q334" s="22"/>
      <c r="R334" s="22"/>
      <c r="S334" s="22"/>
      <c r="T334" s="468"/>
      <c r="U334" s="22"/>
      <c r="V334" s="22"/>
      <c r="W334" s="22"/>
      <c r="X334" s="22"/>
      <c r="Y334" s="22"/>
      <c r="Z334" s="465"/>
      <c r="AA334" s="22"/>
      <c r="AB334" s="22"/>
      <c r="AC334" s="22"/>
      <c r="AD334" s="22"/>
    </row>
    <row r="335" ht="15.75" customHeight="1">
      <c r="A335" s="22"/>
      <c r="B335" s="22"/>
      <c r="C335" s="22"/>
      <c r="D335" s="22"/>
      <c r="E335" s="22"/>
      <c r="F335" s="22"/>
      <c r="G335" s="22"/>
      <c r="H335" s="22"/>
      <c r="I335" s="22"/>
      <c r="J335" s="22"/>
      <c r="K335" s="22"/>
      <c r="L335" s="468"/>
      <c r="M335" s="468"/>
      <c r="N335" s="22"/>
      <c r="O335" s="22"/>
      <c r="P335" s="22"/>
      <c r="Q335" s="22"/>
      <c r="R335" s="22"/>
      <c r="S335" s="22"/>
      <c r="T335" s="468"/>
      <c r="U335" s="22"/>
      <c r="V335" s="22"/>
      <c r="W335" s="22"/>
      <c r="X335" s="22"/>
      <c r="Y335" s="22"/>
      <c r="Z335" s="465"/>
      <c r="AA335" s="22"/>
      <c r="AB335" s="22"/>
      <c r="AC335" s="22"/>
      <c r="AD335" s="22"/>
    </row>
    <row r="336" ht="15.75" customHeight="1">
      <c r="A336" s="22"/>
      <c r="B336" s="22"/>
      <c r="C336" s="22"/>
      <c r="D336" s="22"/>
      <c r="E336" s="22"/>
      <c r="F336" s="22"/>
      <c r="G336" s="22"/>
      <c r="H336" s="22"/>
      <c r="I336" s="22"/>
      <c r="J336" s="22"/>
      <c r="K336" s="22"/>
      <c r="L336" s="468"/>
      <c r="M336" s="468"/>
      <c r="N336" s="22"/>
      <c r="O336" s="22"/>
      <c r="P336" s="22"/>
      <c r="Q336" s="22"/>
      <c r="R336" s="22"/>
      <c r="S336" s="22"/>
      <c r="T336" s="468"/>
      <c r="U336" s="22"/>
      <c r="V336" s="22"/>
      <c r="W336" s="22"/>
      <c r="X336" s="22"/>
      <c r="Y336" s="22"/>
      <c r="Z336" s="465"/>
      <c r="AA336" s="22"/>
      <c r="AB336" s="22"/>
      <c r="AC336" s="22"/>
      <c r="AD336" s="22"/>
    </row>
    <row r="337" ht="15.75" customHeight="1">
      <c r="A337" s="22"/>
      <c r="B337" s="22"/>
      <c r="C337" s="22"/>
      <c r="D337" s="22"/>
      <c r="E337" s="22"/>
      <c r="F337" s="22"/>
      <c r="G337" s="22"/>
      <c r="H337" s="22"/>
      <c r="I337" s="22"/>
      <c r="J337" s="22"/>
      <c r="K337" s="22"/>
      <c r="L337" s="468"/>
      <c r="M337" s="468"/>
      <c r="N337" s="22"/>
      <c r="O337" s="22"/>
      <c r="P337" s="22"/>
      <c r="Q337" s="22"/>
      <c r="R337" s="22"/>
      <c r="S337" s="22"/>
      <c r="T337" s="468"/>
      <c r="U337" s="22"/>
      <c r="V337" s="22"/>
      <c r="W337" s="22"/>
      <c r="X337" s="22"/>
      <c r="Y337" s="22"/>
      <c r="Z337" s="465"/>
      <c r="AA337" s="22"/>
      <c r="AB337" s="22"/>
      <c r="AC337" s="22"/>
      <c r="AD337" s="22"/>
    </row>
    <row r="338" ht="15.75" customHeight="1">
      <c r="A338" s="22"/>
      <c r="B338" s="22"/>
      <c r="C338" s="22"/>
      <c r="D338" s="22"/>
      <c r="E338" s="22"/>
      <c r="F338" s="22"/>
      <c r="G338" s="22"/>
      <c r="H338" s="22"/>
      <c r="I338" s="22"/>
      <c r="J338" s="22"/>
      <c r="K338" s="22"/>
      <c r="L338" s="468"/>
      <c r="M338" s="468"/>
      <c r="N338" s="22"/>
      <c r="O338" s="22"/>
      <c r="P338" s="22"/>
      <c r="Q338" s="22"/>
      <c r="R338" s="22"/>
      <c r="S338" s="22"/>
      <c r="T338" s="468"/>
      <c r="U338" s="22"/>
      <c r="V338" s="22"/>
      <c r="W338" s="22"/>
      <c r="X338" s="22"/>
      <c r="Y338" s="22"/>
      <c r="Z338" s="465"/>
      <c r="AA338" s="22"/>
      <c r="AB338" s="22"/>
      <c r="AC338" s="22"/>
      <c r="AD338" s="22"/>
    </row>
    <row r="339" ht="15.75" customHeight="1">
      <c r="A339" s="22"/>
      <c r="B339" s="22"/>
      <c r="C339" s="22"/>
      <c r="D339" s="22"/>
      <c r="E339" s="22"/>
      <c r="F339" s="22"/>
      <c r="G339" s="22"/>
      <c r="H339" s="22"/>
      <c r="I339" s="22"/>
      <c r="J339" s="22"/>
      <c r="K339" s="22"/>
      <c r="L339" s="468"/>
      <c r="M339" s="468"/>
      <c r="N339" s="22"/>
      <c r="O339" s="22"/>
      <c r="P339" s="22"/>
      <c r="Q339" s="22"/>
      <c r="R339" s="22"/>
      <c r="S339" s="22"/>
      <c r="T339" s="468"/>
      <c r="U339" s="22"/>
      <c r="V339" s="22"/>
      <c r="W339" s="22"/>
      <c r="X339" s="22"/>
      <c r="Y339" s="22"/>
      <c r="Z339" s="465"/>
      <c r="AA339" s="22"/>
      <c r="AB339" s="22"/>
      <c r="AC339" s="22"/>
      <c r="AD339" s="22"/>
    </row>
    <row r="340" ht="15.75" customHeight="1">
      <c r="A340" s="22"/>
      <c r="B340" s="22"/>
      <c r="C340" s="22"/>
      <c r="D340" s="22"/>
      <c r="E340" s="22"/>
      <c r="F340" s="22"/>
      <c r="G340" s="22"/>
      <c r="H340" s="22"/>
      <c r="I340" s="22"/>
      <c r="J340" s="22"/>
      <c r="K340" s="22"/>
      <c r="L340" s="468"/>
      <c r="M340" s="468"/>
      <c r="N340" s="22"/>
      <c r="O340" s="22"/>
      <c r="P340" s="22"/>
      <c r="Q340" s="22"/>
      <c r="R340" s="22"/>
      <c r="S340" s="22"/>
      <c r="T340" s="468"/>
      <c r="U340" s="22"/>
      <c r="V340" s="22"/>
      <c r="W340" s="22"/>
      <c r="X340" s="22"/>
      <c r="Y340" s="22"/>
      <c r="Z340" s="465"/>
      <c r="AA340" s="22"/>
      <c r="AB340" s="22"/>
      <c r="AC340" s="22"/>
      <c r="AD340" s="22"/>
    </row>
    <row r="341" ht="15.75" customHeight="1">
      <c r="A341" s="22"/>
      <c r="B341" s="22"/>
      <c r="C341" s="22"/>
      <c r="D341" s="22"/>
      <c r="E341" s="22"/>
      <c r="F341" s="22"/>
      <c r="G341" s="22"/>
      <c r="H341" s="22"/>
      <c r="I341" s="22"/>
      <c r="J341" s="22"/>
      <c r="K341" s="22"/>
      <c r="L341" s="468"/>
      <c r="M341" s="468"/>
      <c r="N341" s="22"/>
      <c r="O341" s="22"/>
      <c r="P341" s="22"/>
      <c r="Q341" s="22"/>
      <c r="R341" s="22"/>
      <c r="S341" s="22"/>
      <c r="T341" s="468"/>
      <c r="U341" s="22"/>
      <c r="V341" s="22"/>
      <c r="W341" s="22"/>
      <c r="X341" s="22"/>
      <c r="Y341" s="22"/>
      <c r="Z341" s="465"/>
      <c r="AA341" s="22"/>
      <c r="AB341" s="22"/>
      <c r="AC341" s="22"/>
      <c r="AD341" s="22"/>
    </row>
    <row r="342" ht="15.75" customHeight="1">
      <c r="A342" s="22"/>
      <c r="B342" s="22"/>
      <c r="C342" s="22"/>
      <c r="D342" s="22"/>
      <c r="E342" s="22"/>
      <c r="F342" s="22"/>
      <c r="G342" s="22"/>
      <c r="H342" s="22"/>
      <c r="I342" s="22"/>
      <c r="J342" s="22"/>
      <c r="K342" s="22"/>
      <c r="L342" s="468"/>
      <c r="M342" s="468"/>
      <c r="N342" s="22"/>
      <c r="O342" s="22"/>
      <c r="P342" s="22"/>
      <c r="Q342" s="22"/>
      <c r="R342" s="22"/>
      <c r="S342" s="22"/>
      <c r="T342" s="468"/>
      <c r="U342" s="22"/>
      <c r="V342" s="22"/>
      <c r="W342" s="22"/>
      <c r="X342" s="22"/>
      <c r="Y342" s="22"/>
      <c r="Z342" s="465"/>
      <c r="AA342" s="22"/>
      <c r="AB342" s="22"/>
      <c r="AC342" s="22"/>
      <c r="AD342" s="22"/>
    </row>
    <row r="343" ht="15.75" customHeight="1">
      <c r="A343" s="22"/>
      <c r="B343" s="22"/>
      <c r="C343" s="22"/>
      <c r="D343" s="22"/>
      <c r="E343" s="22"/>
      <c r="F343" s="22"/>
      <c r="G343" s="22"/>
      <c r="H343" s="22"/>
      <c r="I343" s="22"/>
      <c r="J343" s="22"/>
      <c r="K343" s="22"/>
      <c r="L343" s="468"/>
      <c r="M343" s="468"/>
      <c r="N343" s="22"/>
      <c r="O343" s="22"/>
      <c r="P343" s="22"/>
      <c r="Q343" s="22"/>
      <c r="R343" s="22"/>
      <c r="S343" s="22"/>
      <c r="T343" s="468"/>
      <c r="U343" s="22"/>
      <c r="V343" s="22"/>
      <c r="W343" s="22"/>
      <c r="X343" s="22"/>
      <c r="Y343" s="22"/>
      <c r="Z343" s="465"/>
      <c r="AA343" s="22"/>
      <c r="AB343" s="22"/>
      <c r="AC343" s="22"/>
      <c r="AD343" s="22"/>
    </row>
    <row r="344" ht="15.75" customHeight="1">
      <c r="A344" s="22"/>
      <c r="B344" s="22"/>
      <c r="C344" s="22"/>
      <c r="D344" s="22"/>
      <c r="E344" s="22"/>
      <c r="F344" s="22"/>
      <c r="G344" s="22"/>
      <c r="H344" s="22"/>
      <c r="I344" s="22"/>
      <c r="J344" s="22"/>
      <c r="K344" s="22"/>
      <c r="L344" s="468"/>
      <c r="M344" s="468"/>
      <c r="N344" s="22"/>
      <c r="O344" s="22"/>
      <c r="P344" s="22"/>
      <c r="Q344" s="22"/>
      <c r="R344" s="22"/>
      <c r="S344" s="22"/>
      <c r="T344" s="468"/>
      <c r="U344" s="22"/>
      <c r="V344" s="22"/>
      <c r="W344" s="22"/>
      <c r="X344" s="22"/>
      <c r="Y344" s="22"/>
      <c r="Z344" s="465"/>
      <c r="AA344" s="22"/>
      <c r="AB344" s="22"/>
      <c r="AC344" s="22"/>
      <c r="AD344" s="22"/>
    </row>
    <row r="345" ht="15.75" customHeight="1">
      <c r="A345" s="22"/>
      <c r="B345" s="22"/>
      <c r="C345" s="22"/>
      <c r="D345" s="22"/>
      <c r="E345" s="22"/>
      <c r="F345" s="22"/>
      <c r="G345" s="22"/>
      <c r="H345" s="22"/>
      <c r="I345" s="22"/>
      <c r="J345" s="22"/>
      <c r="K345" s="22"/>
      <c r="L345" s="468"/>
      <c r="M345" s="468"/>
      <c r="N345" s="22"/>
      <c r="O345" s="22"/>
      <c r="P345" s="22"/>
      <c r="Q345" s="22"/>
      <c r="R345" s="22"/>
      <c r="S345" s="22"/>
      <c r="T345" s="468"/>
      <c r="U345" s="22"/>
      <c r="V345" s="22"/>
      <c r="W345" s="22"/>
      <c r="X345" s="22"/>
      <c r="Y345" s="22"/>
      <c r="Z345" s="465"/>
      <c r="AA345" s="22"/>
      <c r="AB345" s="22"/>
      <c r="AC345" s="22"/>
      <c r="AD345" s="22"/>
    </row>
    <row r="346" ht="15.75" customHeight="1">
      <c r="A346" s="22"/>
      <c r="B346" s="22"/>
      <c r="C346" s="22"/>
      <c r="D346" s="22"/>
      <c r="E346" s="22"/>
      <c r="F346" s="22"/>
      <c r="G346" s="22"/>
      <c r="H346" s="22"/>
      <c r="I346" s="22"/>
      <c r="J346" s="22"/>
      <c r="K346" s="22"/>
      <c r="L346" s="468"/>
      <c r="M346" s="468"/>
      <c r="N346" s="22"/>
      <c r="O346" s="22"/>
      <c r="P346" s="22"/>
      <c r="Q346" s="22"/>
      <c r="R346" s="22"/>
      <c r="S346" s="22"/>
      <c r="T346" s="468"/>
      <c r="U346" s="22"/>
      <c r="V346" s="22"/>
      <c r="W346" s="22"/>
      <c r="X346" s="22"/>
      <c r="Y346" s="22"/>
      <c r="Z346" s="465"/>
      <c r="AA346" s="22"/>
      <c r="AB346" s="22"/>
      <c r="AC346" s="22"/>
      <c r="AD346" s="22"/>
    </row>
    <row r="347" ht="15.75" customHeight="1">
      <c r="A347" s="22"/>
      <c r="B347" s="22"/>
      <c r="C347" s="22"/>
      <c r="D347" s="22"/>
      <c r="E347" s="22"/>
      <c r="F347" s="22"/>
      <c r="G347" s="22"/>
      <c r="H347" s="22"/>
      <c r="I347" s="22"/>
      <c r="J347" s="22"/>
      <c r="K347" s="22"/>
      <c r="L347" s="468"/>
      <c r="M347" s="468"/>
      <c r="N347" s="22"/>
      <c r="O347" s="22"/>
      <c r="P347" s="22"/>
      <c r="Q347" s="22"/>
      <c r="R347" s="22"/>
      <c r="S347" s="22"/>
      <c r="T347" s="468"/>
      <c r="U347" s="22"/>
      <c r="V347" s="22"/>
      <c r="W347" s="22"/>
      <c r="X347" s="22"/>
      <c r="Y347" s="22"/>
      <c r="Z347" s="465"/>
      <c r="AA347" s="22"/>
      <c r="AB347" s="22"/>
      <c r="AC347" s="22"/>
      <c r="AD347" s="22"/>
    </row>
    <row r="348" ht="15.75" customHeight="1">
      <c r="A348" s="22"/>
      <c r="B348" s="22"/>
      <c r="C348" s="22"/>
      <c r="D348" s="22"/>
      <c r="E348" s="22"/>
      <c r="F348" s="22"/>
      <c r="G348" s="22"/>
      <c r="H348" s="22"/>
      <c r="I348" s="22"/>
      <c r="J348" s="22"/>
      <c r="K348" s="22"/>
      <c r="L348" s="468"/>
      <c r="M348" s="468"/>
      <c r="N348" s="22"/>
      <c r="O348" s="22"/>
      <c r="P348" s="22"/>
      <c r="Q348" s="22"/>
      <c r="R348" s="22"/>
      <c r="S348" s="22"/>
      <c r="T348" s="468"/>
      <c r="U348" s="22"/>
      <c r="V348" s="22"/>
      <c r="W348" s="22"/>
      <c r="X348" s="22"/>
      <c r="Y348" s="22"/>
      <c r="Z348" s="465"/>
      <c r="AA348" s="22"/>
      <c r="AB348" s="22"/>
      <c r="AC348" s="22"/>
      <c r="AD348" s="22"/>
    </row>
    <row r="349" ht="15.75" customHeight="1">
      <c r="A349" s="22"/>
      <c r="B349" s="22"/>
      <c r="C349" s="22"/>
      <c r="D349" s="22"/>
      <c r="E349" s="22"/>
      <c r="F349" s="22"/>
      <c r="G349" s="22"/>
      <c r="H349" s="22"/>
      <c r="I349" s="22"/>
      <c r="J349" s="22"/>
      <c r="K349" s="22"/>
      <c r="L349" s="468"/>
      <c r="M349" s="468"/>
      <c r="N349" s="22"/>
      <c r="O349" s="22"/>
      <c r="P349" s="22"/>
      <c r="Q349" s="22"/>
      <c r="R349" s="22"/>
      <c r="S349" s="22"/>
      <c r="T349" s="468"/>
      <c r="U349" s="22"/>
      <c r="V349" s="22"/>
      <c r="W349" s="22"/>
      <c r="X349" s="22"/>
      <c r="Y349" s="22"/>
      <c r="Z349" s="465"/>
      <c r="AA349" s="22"/>
      <c r="AB349" s="22"/>
      <c r="AC349" s="22"/>
      <c r="AD349" s="22"/>
    </row>
    <row r="350" ht="15.75" customHeight="1">
      <c r="A350" s="22"/>
      <c r="B350" s="22"/>
      <c r="C350" s="22"/>
      <c r="D350" s="22"/>
      <c r="E350" s="22"/>
      <c r="F350" s="22"/>
      <c r="G350" s="22"/>
      <c r="H350" s="22"/>
      <c r="I350" s="22"/>
      <c r="J350" s="22"/>
      <c r="K350" s="22"/>
      <c r="L350" s="468"/>
      <c r="M350" s="468"/>
      <c r="N350" s="22"/>
      <c r="O350" s="22"/>
      <c r="P350" s="22"/>
      <c r="Q350" s="22"/>
      <c r="R350" s="22"/>
      <c r="S350" s="22"/>
      <c r="T350" s="468"/>
      <c r="U350" s="22"/>
      <c r="V350" s="22"/>
      <c r="W350" s="22"/>
      <c r="X350" s="22"/>
      <c r="Y350" s="22"/>
      <c r="Z350" s="465"/>
      <c r="AA350" s="22"/>
      <c r="AB350" s="22"/>
      <c r="AC350" s="22"/>
      <c r="AD350" s="22"/>
    </row>
    <row r="351" ht="15.75" customHeight="1">
      <c r="A351" s="22"/>
      <c r="B351" s="22"/>
      <c r="C351" s="22"/>
      <c r="D351" s="22"/>
      <c r="E351" s="22"/>
      <c r="F351" s="22"/>
      <c r="G351" s="22"/>
      <c r="H351" s="22"/>
      <c r="I351" s="22"/>
      <c r="J351" s="22"/>
      <c r="K351" s="22"/>
      <c r="L351" s="468"/>
      <c r="M351" s="468"/>
      <c r="N351" s="22"/>
      <c r="O351" s="22"/>
      <c r="P351" s="22"/>
      <c r="Q351" s="22"/>
      <c r="R351" s="22"/>
      <c r="S351" s="22"/>
      <c r="T351" s="468"/>
      <c r="U351" s="22"/>
      <c r="V351" s="22"/>
      <c r="W351" s="22"/>
      <c r="X351" s="22"/>
      <c r="Y351" s="22"/>
      <c r="Z351" s="465"/>
      <c r="AA351" s="22"/>
      <c r="AB351" s="22"/>
      <c r="AC351" s="22"/>
      <c r="AD351" s="22"/>
    </row>
    <row r="352" ht="15.75" customHeight="1">
      <c r="A352" s="22"/>
      <c r="B352" s="22"/>
      <c r="C352" s="22"/>
      <c r="D352" s="22"/>
      <c r="E352" s="22"/>
      <c r="F352" s="22"/>
      <c r="G352" s="22"/>
      <c r="H352" s="22"/>
      <c r="I352" s="22"/>
      <c r="J352" s="22"/>
      <c r="K352" s="22"/>
      <c r="L352" s="468"/>
      <c r="M352" s="468"/>
      <c r="N352" s="22"/>
      <c r="O352" s="22"/>
      <c r="P352" s="22"/>
      <c r="Q352" s="22"/>
      <c r="R352" s="22"/>
      <c r="S352" s="22"/>
      <c r="T352" s="468"/>
      <c r="U352" s="22"/>
      <c r="V352" s="22"/>
      <c r="W352" s="22"/>
      <c r="X352" s="22"/>
      <c r="Y352" s="22"/>
      <c r="Z352" s="465"/>
      <c r="AA352" s="22"/>
      <c r="AB352" s="22"/>
      <c r="AC352" s="22"/>
      <c r="AD352" s="22"/>
    </row>
    <row r="353" ht="15.75" customHeight="1">
      <c r="A353" s="22"/>
      <c r="B353" s="22"/>
      <c r="C353" s="22"/>
      <c r="D353" s="22"/>
      <c r="E353" s="22"/>
      <c r="F353" s="22"/>
      <c r="G353" s="22"/>
      <c r="H353" s="22"/>
      <c r="I353" s="22"/>
      <c r="J353" s="22"/>
      <c r="K353" s="22"/>
      <c r="L353" s="468"/>
      <c r="M353" s="468"/>
      <c r="N353" s="22"/>
      <c r="O353" s="22"/>
      <c r="P353" s="22"/>
      <c r="Q353" s="22"/>
      <c r="R353" s="22"/>
      <c r="S353" s="22"/>
      <c r="T353" s="468"/>
      <c r="U353" s="22"/>
      <c r="V353" s="22"/>
      <c r="W353" s="22"/>
      <c r="X353" s="22"/>
      <c r="Y353" s="22"/>
      <c r="Z353" s="465"/>
      <c r="AA353" s="22"/>
      <c r="AB353" s="22"/>
      <c r="AC353" s="22"/>
      <c r="AD353" s="22"/>
    </row>
    <row r="354" ht="15.75" customHeight="1">
      <c r="A354" s="22"/>
      <c r="B354" s="22"/>
      <c r="C354" s="22"/>
      <c r="D354" s="22"/>
      <c r="E354" s="22"/>
      <c r="F354" s="22"/>
      <c r="G354" s="22"/>
      <c r="H354" s="22"/>
      <c r="I354" s="22"/>
      <c r="J354" s="22"/>
      <c r="K354" s="22"/>
      <c r="L354" s="468"/>
      <c r="M354" s="468"/>
      <c r="N354" s="22"/>
      <c r="O354" s="22"/>
      <c r="P354" s="22"/>
      <c r="Q354" s="22"/>
      <c r="R354" s="22"/>
      <c r="S354" s="22"/>
      <c r="T354" s="468"/>
      <c r="U354" s="22"/>
      <c r="V354" s="22"/>
      <c r="W354" s="22"/>
      <c r="X354" s="22"/>
      <c r="Y354" s="22"/>
      <c r="Z354" s="465"/>
      <c r="AA354" s="22"/>
      <c r="AB354" s="22"/>
      <c r="AC354" s="22"/>
      <c r="AD354" s="22"/>
    </row>
    <row r="355" ht="15.75" customHeight="1">
      <c r="A355" s="22"/>
      <c r="B355" s="22"/>
      <c r="C355" s="22"/>
      <c r="D355" s="22"/>
      <c r="E355" s="22"/>
      <c r="F355" s="22"/>
      <c r="G355" s="22"/>
      <c r="H355" s="22"/>
      <c r="I355" s="22"/>
      <c r="J355" s="22"/>
      <c r="K355" s="22"/>
      <c r="L355" s="468"/>
      <c r="M355" s="468"/>
      <c r="N355" s="22"/>
      <c r="O355" s="22"/>
      <c r="P355" s="22"/>
      <c r="Q355" s="22"/>
      <c r="R355" s="22"/>
      <c r="S355" s="22"/>
      <c r="T355" s="468"/>
      <c r="U355" s="22"/>
      <c r="V355" s="22"/>
      <c r="W355" s="22"/>
      <c r="X355" s="22"/>
      <c r="Y355" s="22"/>
      <c r="Z355" s="465"/>
      <c r="AA355" s="22"/>
      <c r="AB355" s="22"/>
      <c r="AC355" s="22"/>
      <c r="AD355" s="22"/>
    </row>
    <row r="356" ht="15.75" customHeight="1">
      <c r="A356" s="22"/>
      <c r="B356" s="22"/>
      <c r="C356" s="22"/>
      <c r="D356" s="22"/>
      <c r="E356" s="22"/>
      <c r="F356" s="22"/>
      <c r="G356" s="22"/>
      <c r="H356" s="22"/>
      <c r="I356" s="22"/>
      <c r="J356" s="22"/>
      <c r="K356" s="22"/>
      <c r="L356" s="468"/>
      <c r="M356" s="468"/>
      <c r="N356" s="22"/>
      <c r="O356" s="22"/>
      <c r="P356" s="22"/>
      <c r="Q356" s="22"/>
      <c r="R356" s="22"/>
      <c r="S356" s="22"/>
      <c r="T356" s="468"/>
      <c r="U356" s="22"/>
      <c r="V356" s="22"/>
      <c r="W356" s="22"/>
      <c r="X356" s="22"/>
      <c r="Y356" s="22"/>
      <c r="Z356" s="465"/>
      <c r="AA356" s="22"/>
      <c r="AB356" s="22"/>
      <c r="AC356" s="22"/>
      <c r="AD356" s="22"/>
    </row>
    <row r="357" ht="15.75" customHeight="1">
      <c r="A357" s="22"/>
      <c r="B357" s="22"/>
      <c r="C357" s="22"/>
      <c r="D357" s="22"/>
      <c r="E357" s="22"/>
      <c r="F357" s="22"/>
      <c r="G357" s="22"/>
      <c r="H357" s="22"/>
      <c r="I357" s="22"/>
      <c r="J357" s="22"/>
      <c r="K357" s="22"/>
      <c r="L357" s="468"/>
      <c r="M357" s="468"/>
      <c r="N357" s="22"/>
      <c r="O357" s="22"/>
      <c r="P357" s="22"/>
      <c r="Q357" s="22"/>
      <c r="R357" s="22"/>
      <c r="S357" s="22"/>
      <c r="T357" s="468"/>
      <c r="U357" s="22"/>
      <c r="V357" s="22"/>
      <c r="W357" s="22"/>
      <c r="X357" s="22"/>
      <c r="Y357" s="22"/>
      <c r="Z357" s="465"/>
      <c r="AA357" s="22"/>
      <c r="AB357" s="22"/>
      <c r="AC357" s="22"/>
      <c r="AD357" s="22"/>
    </row>
    <row r="358" ht="15.75" customHeight="1">
      <c r="A358" s="22"/>
      <c r="B358" s="22"/>
      <c r="C358" s="22"/>
      <c r="D358" s="22"/>
      <c r="E358" s="22"/>
      <c r="F358" s="22"/>
      <c r="G358" s="22"/>
      <c r="H358" s="22"/>
      <c r="I358" s="22"/>
      <c r="J358" s="22"/>
      <c r="K358" s="22"/>
      <c r="L358" s="468"/>
      <c r="M358" s="468"/>
      <c r="N358" s="22"/>
      <c r="O358" s="22"/>
      <c r="P358" s="22"/>
      <c r="Q358" s="22"/>
      <c r="R358" s="22"/>
      <c r="S358" s="22"/>
      <c r="T358" s="468"/>
      <c r="U358" s="22"/>
      <c r="V358" s="22"/>
      <c r="W358" s="22"/>
      <c r="X358" s="22"/>
      <c r="Y358" s="22"/>
      <c r="Z358" s="465"/>
      <c r="AA358" s="22"/>
      <c r="AB358" s="22"/>
      <c r="AC358" s="22"/>
      <c r="AD358" s="22"/>
    </row>
    <row r="359" ht="15.75" customHeight="1">
      <c r="A359" s="22"/>
      <c r="B359" s="22"/>
      <c r="C359" s="22"/>
      <c r="D359" s="22"/>
      <c r="E359" s="22"/>
      <c r="F359" s="22"/>
      <c r="G359" s="22"/>
      <c r="H359" s="22"/>
      <c r="I359" s="22"/>
      <c r="J359" s="22"/>
      <c r="K359" s="22"/>
      <c r="L359" s="468"/>
      <c r="M359" s="468"/>
      <c r="N359" s="22"/>
      <c r="O359" s="22"/>
      <c r="P359" s="22"/>
      <c r="Q359" s="22"/>
      <c r="R359" s="22"/>
      <c r="S359" s="22"/>
      <c r="T359" s="468"/>
      <c r="U359" s="22"/>
      <c r="V359" s="22"/>
      <c r="W359" s="22"/>
      <c r="X359" s="22"/>
      <c r="Y359" s="22"/>
      <c r="Z359" s="465"/>
      <c r="AA359" s="22"/>
      <c r="AB359" s="22"/>
      <c r="AC359" s="22"/>
      <c r="AD359" s="22"/>
    </row>
    <row r="360" ht="15.75" customHeight="1">
      <c r="A360" s="22"/>
      <c r="B360" s="22"/>
      <c r="C360" s="22"/>
      <c r="D360" s="22"/>
      <c r="E360" s="22"/>
      <c r="F360" s="22"/>
      <c r="G360" s="22"/>
      <c r="H360" s="22"/>
      <c r="I360" s="22"/>
      <c r="J360" s="22"/>
      <c r="K360" s="22"/>
      <c r="L360" s="468"/>
      <c r="M360" s="468"/>
      <c r="N360" s="22"/>
      <c r="O360" s="22"/>
      <c r="P360" s="22"/>
      <c r="Q360" s="22"/>
      <c r="R360" s="22"/>
      <c r="S360" s="22"/>
      <c r="T360" s="468"/>
      <c r="U360" s="22"/>
      <c r="V360" s="22"/>
      <c r="W360" s="22"/>
      <c r="X360" s="22"/>
      <c r="Y360" s="22"/>
      <c r="Z360" s="465"/>
      <c r="AA360" s="22"/>
      <c r="AB360" s="22"/>
      <c r="AC360" s="22"/>
      <c r="AD360" s="22"/>
    </row>
    <row r="361" ht="15.75" customHeight="1">
      <c r="A361" s="22"/>
      <c r="B361" s="22"/>
      <c r="C361" s="22"/>
      <c r="D361" s="22"/>
      <c r="E361" s="22"/>
      <c r="F361" s="22"/>
      <c r="G361" s="22"/>
      <c r="H361" s="22"/>
      <c r="I361" s="22"/>
      <c r="J361" s="22"/>
      <c r="K361" s="22"/>
      <c r="L361" s="468"/>
      <c r="M361" s="468"/>
      <c r="N361" s="22"/>
      <c r="O361" s="22"/>
      <c r="P361" s="22"/>
      <c r="Q361" s="22"/>
      <c r="R361" s="22"/>
      <c r="S361" s="22"/>
      <c r="T361" s="468"/>
      <c r="U361" s="22"/>
      <c r="V361" s="22"/>
      <c r="W361" s="22"/>
      <c r="X361" s="22"/>
      <c r="Y361" s="22"/>
      <c r="Z361" s="465"/>
      <c r="AA361" s="22"/>
      <c r="AB361" s="22"/>
      <c r="AC361" s="22"/>
      <c r="AD361" s="22"/>
    </row>
    <row r="362" ht="15.75" customHeight="1">
      <c r="A362" s="22"/>
      <c r="B362" s="22"/>
      <c r="C362" s="22"/>
      <c r="D362" s="22"/>
      <c r="E362" s="22"/>
      <c r="F362" s="22"/>
      <c r="G362" s="22"/>
      <c r="H362" s="22"/>
      <c r="I362" s="22"/>
      <c r="J362" s="22"/>
      <c r="K362" s="22"/>
      <c r="L362" s="468"/>
      <c r="M362" s="468"/>
      <c r="N362" s="22"/>
      <c r="O362" s="22"/>
      <c r="P362" s="22"/>
      <c r="Q362" s="22"/>
      <c r="R362" s="22"/>
      <c r="S362" s="22"/>
      <c r="T362" s="468"/>
      <c r="U362" s="22"/>
      <c r="V362" s="22"/>
      <c r="W362" s="22"/>
      <c r="X362" s="22"/>
      <c r="Y362" s="22"/>
      <c r="Z362" s="465"/>
      <c r="AA362" s="22"/>
      <c r="AB362" s="22"/>
      <c r="AC362" s="22"/>
      <c r="AD362" s="22"/>
    </row>
    <row r="363" ht="15.75" customHeight="1">
      <c r="A363" s="22"/>
      <c r="B363" s="22"/>
      <c r="C363" s="22"/>
      <c r="D363" s="22"/>
      <c r="E363" s="22"/>
      <c r="F363" s="22"/>
      <c r="G363" s="22"/>
      <c r="H363" s="22"/>
      <c r="I363" s="22"/>
      <c r="J363" s="22"/>
      <c r="K363" s="22"/>
      <c r="L363" s="468"/>
      <c r="M363" s="468"/>
      <c r="N363" s="22"/>
      <c r="O363" s="22"/>
      <c r="P363" s="22"/>
      <c r="Q363" s="22"/>
      <c r="R363" s="22"/>
      <c r="S363" s="22"/>
      <c r="T363" s="468"/>
      <c r="U363" s="22"/>
      <c r="V363" s="22"/>
      <c r="W363" s="22"/>
      <c r="X363" s="22"/>
      <c r="Y363" s="22"/>
      <c r="Z363" s="465"/>
      <c r="AA363" s="22"/>
      <c r="AB363" s="22"/>
      <c r="AC363" s="22"/>
      <c r="AD363" s="22"/>
    </row>
    <row r="364" ht="15.75" customHeight="1">
      <c r="A364" s="22"/>
      <c r="B364" s="22"/>
      <c r="C364" s="22"/>
      <c r="D364" s="22"/>
      <c r="E364" s="22"/>
      <c r="F364" s="22"/>
      <c r="G364" s="22"/>
      <c r="H364" s="22"/>
      <c r="I364" s="22"/>
      <c r="J364" s="22"/>
      <c r="K364" s="22"/>
      <c r="L364" s="468"/>
      <c r="M364" s="468"/>
      <c r="N364" s="22"/>
      <c r="O364" s="22"/>
      <c r="P364" s="22"/>
      <c r="Q364" s="22"/>
      <c r="R364" s="22"/>
      <c r="S364" s="22"/>
      <c r="T364" s="468"/>
      <c r="U364" s="22"/>
      <c r="V364" s="22"/>
      <c r="W364" s="22"/>
      <c r="X364" s="22"/>
      <c r="Y364" s="22"/>
      <c r="Z364" s="465"/>
      <c r="AA364" s="22"/>
      <c r="AB364" s="22"/>
      <c r="AC364" s="22"/>
      <c r="AD364" s="22"/>
    </row>
    <row r="365" ht="15.75" customHeight="1">
      <c r="A365" s="22"/>
      <c r="B365" s="22"/>
      <c r="C365" s="22"/>
      <c r="D365" s="22"/>
      <c r="E365" s="22"/>
      <c r="F365" s="22"/>
      <c r="G365" s="22"/>
      <c r="H365" s="22"/>
      <c r="I365" s="22"/>
      <c r="J365" s="22"/>
      <c r="K365" s="22"/>
      <c r="L365" s="468"/>
      <c r="M365" s="468"/>
      <c r="N365" s="22"/>
      <c r="O365" s="22"/>
      <c r="P365" s="22"/>
      <c r="Q365" s="22"/>
      <c r="R365" s="22"/>
      <c r="S365" s="22"/>
      <c r="T365" s="468"/>
      <c r="U365" s="22"/>
      <c r="V365" s="22"/>
      <c r="W365" s="22"/>
      <c r="X365" s="22"/>
      <c r="Y365" s="22"/>
      <c r="Z365" s="465"/>
      <c r="AA365" s="22"/>
      <c r="AB365" s="22"/>
      <c r="AC365" s="22"/>
      <c r="AD365" s="22"/>
    </row>
    <row r="366" ht="15.75" customHeight="1">
      <c r="A366" s="22"/>
      <c r="B366" s="22"/>
      <c r="C366" s="22"/>
      <c r="D366" s="22"/>
      <c r="E366" s="22"/>
      <c r="F366" s="22"/>
      <c r="G366" s="22"/>
      <c r="H366" s="22"/>
      <c r="I366" s="22"/>
      <c r="J366" s="22"/>
      <c r="K366" s="22"/>
      <c r="L366" s="468"/>
      <c r="M366" s="468"/>
      <c r="N366" s="22"/>
      <c r="O366" s="22"/>
      <c r="P366" s="22"/>
      <c r="Q366" s="22"/>
      <c r="R366" s="22"/>
      <c r="S366" s="22"/>
      <c r="T366" s="468"/>
      <c r="U366" s="22"/>
      <c r="V366" s="22"/>
      <c r="W366" s="22"/>
      <c r="X366" s="22"/>
      <c r="Y366" s="22"/>
      <c r="Z366" s="465"/>
      <c r="AA366" s="22"/>
      <c r="AB366" s="22"/>
      <c r="AC366" s="22"/>
      <c r="AD366" s="22"/>
    </row>
    <row r="367" ht="15.75" customHeight="1">
      <c r="A367" s="22"/>
      <c r="B367" s="22"/>
      <c r="C367" s="22"/>
      <c r="D367" s="22"/>
      <c r="E367" s="22"/>
      <c r="F367" s="22"/>
      <c r="G367" s="22"/>
      <c r="H367" s="22"/>
      <c r="I367" s="22"/>
      <c r="J367" s="22"/>
      <c r="K367" s="22"/>
      <c r="L367" s="468"/>
      <c r="M367" s="468"/>
      <c r="N367" s="22"/>
      <c r="O367" s="22"/>
      <c r="P367" s="22"/>
      <c r="Q367" s="22"/>
      <c r="R367" s="22"/>
      <c r="S367" s="22"/>
      <c r="T367" s="468"/>
      <c r="U367" s="22"/>
      <c r="V367" s="22"/>
      <c r="W367" s="22"/>
      <c r="X367" s="22"/>
      <c r="Y367" s="22"/>
      <c r="Z367" s="465"/>
      <c r="AA367" s="22"/>
      <c r="AB367" s="22"/>
      <c r="AC367" s="22"/>
      <c r="AD367" s="22"/>
    </row>
    <row r="368" ht="15.75" customHeight="1">
      <c r="A368" s="22"/>
      <c r="B368" s="22"/>
      <c r="C368" s="22"/>
      <c r="D368" s="22"/>
      <c r="E368" s="22"/>
      <c r="F368" s="22"/>
      <c r="G368" s="22"/>
      <c r="H368" s="22"/>
      <c r="I368" s="22"/>
      <c r="J368" s="22"/>
      <c r="K368" s="22"/>
      <c r="L368" s="468"/>
      <c r="M368" s="468"/>
      <c r="N368" s="22"/>
      <c r="O368" s="22"/>
      <c r="P368" s="22"/>
      <c r="Q368" s="22"/>
      <c r="R368" s="22"/>
      <c r="S368" s="22"/>
      <c r="T368" s="468"/>
      <c r="U368" s="22"/>
      <c r="V368" s="22"/>
      <c r="W368" s="22"/>
      <c r="X368" s="22"/>
      <c r="Y368" s="22"/>
      <c r="Z368" s="465"/>
      <c r="AA368" s="22"/>
      <c r="AB368" s="22"/>
      <c r="AC368" s="22"/>
      <c r="AD368" s="22"/>
    </row>
    <row r="369" ht="15.75" customHeight="1">
      <c r="A369" s="22"/>
      <c r="B369" s="22"/>
      <c r="C369" s="22"/>
      <c r="D369" s="22"/>
      <c r="E369" s="22"/>
      <c r="F369" s="22"/>
      <c r="G369" s="22"/>
      <c r="H369" s="22"/>
      <c r="I369" s="22"/>
      <c r="J369" s="22"/>
      <c r="K369" s="22"/>
      <c r="L369" s="468"/>
      <c r="M369" s="468"/>
      <c r="N369" s="22"/>
      <c r="O369" s="22"/>
      <c r="P369" s="22"/>
      <c r="Q369" s="22"/>
      <c r="R369" s="22"/>
      <c r="S369" s="22"/>
      <c r="T369" s="468"/>
      <c r="U369" s="22"/>
      <c r="V369" s="22"/>
      <c r="W369" s="22"/>
      <c r="X369" s="22"/>
      <c r="Y369" s="22"/>
      <c r="Z369" s="465"/>
      <c r="AA369" s="22"/>
      <c r="AB369" s="22"/>
      <c r="AC369" s="22"/>
      <c r="AD369" s="22"/>
    </row>
    <row r="370" ht="15.75" customHeight="1">
      <c r="A370" s="22"/>
      <c r="B370" s="22"/>
      <c r="C370" s="22"/>
      <c r="D370" s="22"/>
      <c r="E370" s="22"/>
      <c r="F370" s="22"/>
      <c r="G370" s="22"/>
      <c r="H370" s="22"/>
      <c r="I370" s="22"/>
      <c r="J370" s="22"/>
      <c r="K370" s="22"/>
      <c r="L370" s="468"/>
      <c r="M370" s="468"/>
      <c r="N370" s="22"/>
      <c r="O370" s="22"/>
      <c r="P370" s="22"/>
      <c r="Q370" s="22"/>
      <c r="R370" s="22"/>
      <c r="S370" s="22"/>
      <c r="T370" s="468"/>
      <c r="U370" s="22"/>
      <c r="V370" s="22"/>
      <c r="W370" s="22"/>
      <c r="X370" s="22"/>
      <c r="Y370" s="22"/>
      <c r="Z370" s="465"/>
      <c r="AA370" s="22"/>
      <c r="AB370" s="22"/>
      <c r="AC370" s="22"/>
      <c r="AD370" s="22"/>
    </row>
    <row r="371" ht="15.75" customHeight="1">
      <c r="A371" s="22"/>
      <c r="B371" s="22"/>
      <c r="C371" s="22"/>
      <c r="D371" s="22"/>
      <c r="E371" s="22"/>
      <c r="F371" s="22"/>
      <c r="G371" s="22"/>
      <c r="H371" s="22"/>
      <c r="I371" s="22"/>
      <c r="J371" s="22"/>
      <c r="K371" s="22"/>
      <c r="L371" s="468"/>
      <c r="M371" s="468"/>
      <c r="N371" s="22"/>
      <c r="O371" s="22"/>
      <c r="P371" s="22"/>
      <c r="Q371" s="22"/>
      <c r="R371" s="22"/>
      <c r="S371" s="22"/>
      <c r="T371" s="468"/>
      <c r="U371" s="22"/>
      <c r="V371" s="22"/>
      <c r="W371" s="22"/>
      <c r="X371" s="22"/>
      <c r="Y371" s="22"/>
      <c r="Z371" s="465"/>
      <c r="AA371" s="22"/>
      <c r="AB371" s="22"/>
      <c r="AC371" s="22"/>
      <c r="AD371" s="22"/>
    </row>
    <row r="372" ht="15.75" customHeight="1">
      <c r="A372" s="22"/>
      <c r="B372" s="22"/>
      <c r="C372" s="22"/>
      <c r="D372" s="22"/>
      <c r="E372" s="22"/>
      <c r="F372" s="22"/>
      <c r="G372" s="22"/>
      <c r="H372" s="22"/>
      <c r="I372" s="22"/>
      <c r="J372" s="22"/>
      <c r="K372" s="22"/>
      <c r="L372" s="468"/>
      <c r="M372" s="468"/>
      <c r="N372" s="22"/>
      <c r="O372" s="22"/>
      <c r="P372" s="22"/>
      <c r="Q372" s="22"/>
      <c r="R372" s="22"/>
      <c r="S372" s="22"/>
      <c r="T372" s="468"/>
      <c r="U372" s="22"/>
      <c r="V372" s="22"/>
      <c r="W372" s="22"/>
      <c r="X372" s="22"/>
      <c r="Y372" s="22"/>
      <c r="Z372" s="465"/>
      <c r="AA372" s="22"/>
      <c r="AB372" s="22"/>
      <c r="AC372" s="22"/>
      <c r="AD372" s="22"/>
    </row>
    <row r="373" ht="15.75" customHeight="1">
      <c r="A373" s="22"/>
      <c r="B373" s="22"/>
      <c r="C373" s="22"/>
      <c r="D373" s="22"/>
      <c r="E373" s="22"/>
      <c r="F373" s="22"/>
      <c r="G373" s="22"/>
      <c r="H373" s="22"/>
      <c r="I373" s="22"/>
      <c r="J373" s="22"/>
      <c r="K373" s="22"/>
      <c r="L373" s="468"/>
      <c r="M373" s="468"/>
      <c r="N373" s="22"/>
      <c r="O373" s="22"/>
      <c r="P373" s="22"/>
      <c r="Q373" s="22"/>
      <c r="R373" s="22"/>
      <c r="S373" s="22"/>
      <c r="T373" s="468"/>
      <c r="U373" s="22"/>
      <c r="V373" s="22"/>
      <c r="W373" s="22"/>
      <c r="X373" s="22"/>
      <c r="Y373" s="22"/>
      <c r="Z373" s="465"/>
      <c r="AA373" s="22"/>
      <c r="AB373" s="22"/>
      <c r="AC373" s="22"/>
      <c r="AD373" s="22"/>
    </row>
    <row r="374" ht="15.75" customHeight="1">
      <c r="A374" s="22"/>
      <c r="B374" s="22"/>
      <c r="C374" s="22"/>
      <c r="D374" s="22"/>
      <c r="E374" s="22"/>
      <c r="F374" s="22"/>
      <c r="G374" s="22"/>
      <c r="H374" s="22"/>
      <c r="I374" s="22"/>
      <c r="J374" s="22"/>
      <c r="K374" s="22"/>
      <c r="L374" s="468"/>
      <c r="M374" s="468"/>
      <c r="N374" s="22"/>
      <c r="O374" s="22"/>
      <c r="P374" s="22"/>
      <c r="Q374" s="22"/>
      <c r="R374" s="22"/>
      <c r="S374" s="22"/>
      <c r="T374" s="468"/>
      <c r="U374" s="22"/>
      <c r="V374" s="22"/>
      <c r="W374" s="22"/>
      <c r="X374" s="22"/>
      <c r="Y374" s="22"/>
      <c r="Z374" s="465"/>
      <c r="AA374" s="22"/>
      <c r="AB374" s="22"/>
      <c r="AC374" s="22"/>
      <c r="AD374" s="22"/>
    </row>
    <row r="375" ht="15.75" customHeight="1">
      <c r="A375" s="22"/>
      <c r="B375" s="22"/>
      <c r="C375" s="22"/>
      <c r="D375" s="22"/>
      <c r="E375" s="22"/>
      <c r="F375" s="22"/>
      <c r="G375" s="22"/>
      <c r="H375" s="22"/>
      <c r="I375" s="22"/>
      <c r="J375" s="22"/>
      <c r="K375" s="22"/>
      <c r="L375" s="468"/>
      <c r="M375" s="468"/>
      <c r="N375" s="22"/>
      <c r="O375" s="22"/>
      <c r="P375" s="22"/>
      <c r="Q375" s="22"/>
      <c r="R375" s="22"/>
      <c r="S375" s="22"/>
      <c r="T375" s="468"/>
      <c r="U375" s="22"/>
      <c r="V375" s="22"/>
      <c r="W375" s="22"/>
      <c r="X375" s="22"/>
      <c r="Y375" s="22"/>
      <c r="Z375" s="465"/>
      <c r="AA375" s="22"/>
      <c r="AB375" s="22"/>
      <c r="AC375" s="22"/>
      <c r="AD375" s="22"/>
    </row>
    <row r="376" ht="15.75" customHeight="1">
      <c r="A376" s="22"/>
      <c r="B376" s="22"/>
      <c r="C376" s="22"/>
      <c r="D376" s="22"/>
      <c r="E376" s="22"/>
      <c r="F376" s="22"/>
      <c r="G376" s="22"/>
      <c r="H376" s="22"/>
      <c r="I376" s="22"/>
      <c r="J376" s="22"/>
      <c r="K376" s="22"/>
      <c r="L376" s="468"/>
      <c r="M376" s="468"/>
      <c r="N376" s="22"/>
      <c r="O376" s="22"/>
      <c r="P376" s="22"/>
      <c r="Q376" s="22"/>
      <c r="R376" s="22"/>
      <c r="S376" s="22"/>
      <c r="T376" s="468"/>
      <c r="U376" s="22"/>
      <c r="V376" s="22"/>
      <c r="W376" s="22"/>
      <c r="X376" s="22"/>
      <c r="Y376" s="22"/>
      <c r="Z376" s="465"/>
      <c r="AA376" s="22"/>
      <c r="AB376" s="22"/>
      <c r="AC376" s="22"/>
      <c r="AD376" s="22"/>
    </row>
    <row r="377" ht="15.75" customHeight="1">
      <c r="A377" s="22"/>
      <c r="B377" s="22"/>
      <c r="C377" s="22"/>
      <c r="D377" s="22"/>
      <c r="E377" s="22"/>
      <c r="F377" s="22"/>
      <c r="G377" s="22"/>
      <c r="H377" s="22"/>
      <c r="I377" s="22"/>
      <c r="J377" s="22"/>
      <c r="K377" s="22"/>
      <c r="L377" s="468"/>
      <c r="M377" s="468"/>
      <c r="N377" s="22"/>
      <c r="O377" s="22"/>
      <c r="P377" s="22"/>
      <c r="Q377" s="22"/>
      <c r="R377" s="22"/>
      <c r="S377" s="22"/>
      <c r="T377" s="468"/>
      <c r="U377" s="22"/>
      <c r="V377" s="22"/>
      <c r="W377" s="22"/>
      <c r="X377" s="22"/>
      <c r="Y377" s="22"/>
      <c r="Z377" s="465"/>
      <c r="AA377" s="22"/>
      <c r="AB377" s="22"/>
      <c r="AC377" s="22"/>
      <c r="AD377" s="22"/>
    </row>
    <row r="378" ht="15.75" customHeight="1">
      <c r="A378" s="22"/>
      <c r="B378" s="22"/>
      <c r="C378" s="22"/>
      <c r="D378" s="22"/>
      <c r="E378" s="22"/>
      <c r="F378" s="22"/>
      <c r="G378" s="22"/>
      <c r="H378" s="22"/>
      <c r="I378" s="22"/>
      <c r="J378" s="22"/>
      <c r="K378" s="22"/>
      <c r="L378" s="468"/>
      <c r="M378" s="468"/>
      <c r="N378" s="22"/>
      <c r="O378" s="22"/>
      <c r="P378" s="22"/>
      <c r="Q378" s="22"/>
      <c r="R378" s="22"/>
      <c r="S378" s="22"/>
      <c r="T378" s="468"/>
      <c r="U378" s="22"/>
      <c r="V378" s="22"/>
      <c r="W378" s="22"/>
      <c r="X378" s="22"/>
      <c r="Y378" s="22"/>
      <c r="Z378" s="465"/>
      <c r="AA378" s="22"/>
      <c r="AB378" s="22"/>
      <c r="AC378" s="22"/>
      <c r="AD378" s="22"/>
    </row>
    <row r="379" ht="15.75" customHeight="1">
      <c r="A379" s="22"/>
      <c r="B379" s="22"/>
      <c r="C379" s="22"/>
      <c r="D379" s="22"/>
      <c r="E379" s="22"/>
      <c r="F379" s="22"/>
      <c r="G379" s="22"/>
      <c r="H379" s="22"/>
      <c r="I379" s="22"/>
      <c r="J379" s="22"/>
      <c r="K379" s="22"/>
      <c r="L379" s="468"/>
      <c r="M379" s="468"/>
      <c r="N379" s="22"/>
      <c r="O379" s="22"/>
      <c r="P379" s="22"/>
      <c r="Q379" s="22"/>
      <c r="R379" s="22"/>
      <c r="S379" s="22"/>
      <c r="T379" s="468"/>
      <c r="U379" s="22"/>
      <c r="V379" s="22"/>
      <c r="W379" s="22"/>
      <c r="X379" s="22"/>
      <c r="Y379" s="22"/>
      <c r="Z379" s="465"/>
      <c r="AA379" s="22"/>
      <c r="AB379" s="22"/>
      <c r="AC379" s="22"/>
      <c r="AD379" s="22"/>
    </row>
    <row r="380" ht="15.75" customHeight="1">
      <c r="A380" s="22"/>
      <c r="B380" s="22"/>
      <c r="C380" s="22"/>
      <c r="D380" s="22"/>
      <c r="E380" s="22"/>
      <c r="F380" s="22"/>
      <c r="G380" s="22"/>
      <c r="H380" s="22"/>
      <c r="I380" s="22"/>
      <c r="J380" s="22"/>
      <c r="K380" s="22"/>
      <c r="L380" s="468"/>
      <c r="M380" s="468"/>
      <c r="N380" s="22"/>
      <c r="O380" s="22"/>
      <c r="P380" s="22"/>
      <c r="Q380" s="22"/>
      <c r="R380" s="22"/>
      <c r="S380" s="22"/>
      <c r="T380" s="468"/>
      <c r="U380" s="22"/>
      <c r="V380" s="22"/>
      <c r="W380" s="22"/>
      <c r="X380" s="22"/>
      <c r="Y380" s="22"/>
      <c r="Z380" s="465"/>
      <c r="AA380" s="22"/>
      <c r="AB380" s="22"/>
      <c r="AC380" s="22"/>
      <c r="AD380" s="22"/>
    </row>
    <row r="381" ht="15.75" customHeight="1">
      <c r="A381" s="22"/>
      <c r="B381" s="22"/>
      <c r="C381" s="22"/>
      <c r="D381" s="22"/>
      <c r="E381" s="22"/>
      <c r="F381" s="22"/>
      <c r="G381" s="22"/>
      <c r="H381" s="22"/>
      <c r="I381" s="22"/>
      <c r="J381" s="22"/>
      <c r="K381" s="22"/>
      <c r="L381" s="468"/>
      <c r="M381" s="468"/>
      <c r="N381" s="22"/>
      <c r="O381" s="22"/>
      <c r="P381" s="22"/>
      <c r="Q381" s="22"/>
      <c r="R381" s="22"/>
      <c r="S381" s="22"/>
      <c r="T381" s="468"/>
      <c r="U381" s="22"/>
      <c r="V381" s="22"/>
      <c r="W381" s="22"/>
      <c r="X381" s="22"/>
      <c r="Y381" s="22"/>
      <c r="Z381" s="465"/>
      <c r="AA381" s="22"/>
      <c r="AB381" s="22"/>
      <c r="AC381" s="22"/>
      <c r="AD381" s="22"/>
    </row>
    <row r="382" ht="15.75" customHeight="1">
      <c r="A382" s="22"/>
      <c r="B382" s="22"/>
      <c r="C382" s="22"/>
      <c r="D382" s="22"/>
      <c r="E382" s="22"/>
      <c r="F382" s="22"/>
      <c r="G382" s="22"/>
      <c r="H382" s="22"/>
      <c r="I382" s="22"/>
      <c r="J382" s="22"/>
      <c r="K382" s="22"/>
      <c r="L382" s="468"/>
      <c r="M382" s="468"/>
      <c r="N382" s="22"/>
      <c r="O382" s="22"/>
      <c r="P382" s="22"/>
      <c r="Q382" s="22"/>
      <c r="R382" s="22"/>
      <c r="S382" s="22"/>
      <c r="T382" s="468"/>
      <c r="U382" s="22"/>
      <c r="V382" s="22"/>
      <c r="W382" s="22"/>
      <c r="X382" s="22"/>
      <c r="Y382" s="22"/>
      <c r="Z382" s="465"/>
      <c r="AA382" s="22"/>
      <c r="AB382" s="22"/>
      <c r="AC382" s="22"/>
      <c r="AD382" s="22"/>
    </row>
    <row r="383" ht="15.75" customHeight="1">
      <c r="A383" s="22"/>
      <c r="B383" s="22"/>
      <c r="C383" s="22"/>
      <c r="D383" s="22"/>
      <c r="E383" s="22"/>
      <c r="F383" s="22"/>
      <c r="G383" s="22"/>
      <c r="H383" s="22"/>
      <c r="I383" s="22"/>
      <c r="J383" s="22"/>
      <c r="K383" s="22"/>
      <c r="L383" s="468"/>
      <c r="M383" s="468"/>
      <c r="N383" s="22"/>
      <c r="O383" s="22"/>
      <c r="P383" s="22"/>
      <c r="Q383" s="22"/>
      <c r="R383" s="22"/>
      <c r="S383" s="22"/>
      <c r="T383" s="468"/>
      <c r="U383" s="22"/>
      <c r="V383" s="22"/>
      <c r="W383" s="22"/>
      <c r="X383" s="22"/>
      <c r="Y383" s="22"/>
      <c r="Z383" s="465"/>
      <c r="AA383" s="22"/>
      <c r="AB383" s="22"/>
      <c r="AC383" s="22"/>
      <c r="AD383" s="22"/>
    </row>
    <row r="384" ht="15.75" customHeight="1">
      <c r="A384" s="22"/>
      <c r="B384" s="22"/>
      <c r="C384" s="22"/>
      <c r="D384" s="22"/>
      <c r="E384" s="22"/>
      <c r="F384" s="22"/>
      <c r="G384" s="22"/>
      <c r="H384" s="22"/>
      <c r="I384" s="22"/>
      <c r="J384" s="22"/>
      <c r="K384" s="22"/>
      <c r="L384" s="468"/>
      <c r="M384" s="468"/>
      <c r="N384" s="22"/>
      <c r="O384" s="22"/>
      <c r="P384" s="22"/>
      <c r="Q384" s="22"/>
      <c r="R384" s="22"/>
      <c r="S384" s="22"/>
      <c r="T384" s="468"/>
      <c r="U384" s="22"/>
      <c r="V384" s="22"/>
      <c r="W384" s="22"/>
      <c r="X384" s="22"/>
      <c r="Y384" s="22"/>
      <c r="Z384" s="465"/>
      <c r="AA384" s="22"/>
      <c r="AB384" s="22"/>
      <c r="AC384" s="22"/>
      <c r="AD384" s="22"/>
    </row>
    <row r="385" ht="15.75" customHeight="1">
      <c r="A385" s="22"/>
      <c r="B385" s="22"/>
      <c r="C385" s="22"/>
      <c r="D385" s="22"/>
      <c r="E385" s="22"/>
      <c r="F385" s="22"/>
      <c r="G385" s="22"/>
      <c r="H385" s="22"/>
      <c r="I385" s="22"/>
      <c r="J385" s="22"/>
      <c r="K385" s="22"/>
      <c r="L385" s="468"/>
      <c r="M385" s="468"/>
      <c r="N385" s="22"/>
      <c r="O385" s="22"/>
      <c r="P385" s="22"/>
      <c r="Q385" s="22"/>
      <c r="R385" s="22"/>
      <c r="S385" s="22"/>
      <c r="T385" s="468"/>
      <c r="U385" s="22"/>
      <c r="V385" s="22"/>
      <c r="W385" s="22"/>
      <c r="X385" s="22"/>
      <c r="Y385" s="22"/>
      <c r="Z385" s="465"/>
      <c r="AA385" s="22"/>
      <c r="AB385" s="22"/>
      <c r="AC385" s="22"/>
      <c r="AD385" s="22"/>
    </row>
    <row r="386" ht="15.75" customHeight="1">
      <c r="A386" s="22"/>
      <c r="B386" s="22"/>
      <c r="C386" s="22"/>
      <c r="D386" s="22"/>
      <c r="E386" s="22"/>
      <c r="F386" s="22"/>
      <c r="G386" s="22"/>
      <c r="H386" s="22"/>
      <c r="I386" s="22"/>
      <c r="J386" s="22"/>
      <c r="K386" s="22"/>
      <c r="L386" s="468"/>
      <c r="M386" s="468"/>
      <c r="N386" s="22"/>
      <c r="O386" s="22"/>
      <c r="P386" s="22"/>
      <c r="Q386" s="22"/>
      <c r="R386" s="22"/>
      <c r="S386" s="22"/>
      <c r="T386" s="468"/>
      <c r="U386" s="22"/>
      <c r="V386" s="22"/>
      <c r="W386" s="22"/>
      <c r="X386" s="22"/>
      <c r="Y386" s="22"/>
      <c r="Z386" s="465"/>
      <c r="AA386" s="22"/>
      <c r="AB386" s="22"/>
      <c r="AC386" s="22"/>
      <c r="AD386" s="22"/>
    </row>
    <row r="387" ht="15.75" customHeight="1">
      <c r="A387" s="22"/>
      <c r="B387" s="22"/>
      <c r="C387" s="22"/>
      <c r="D387" s="22"/>
      <c r="E387" s="22"/>
      <c r="F387" s="22"/>
      <c r="G387" s="22"/>
      <c r="H387" s="22"/>
      <c r="I387" s="22"/>
      <c r="J387" s="22"/>
      <c r="K387" s="22"/>
      <c r="L387" s="468"/>
      <c r="M387" s="468"/>
      <c r="N387" s="22"/>
      <c r="O387" s="22"/>
      <c r="P387" s="22"/>
      <c r="Q387" s="22"/>
      <c r="R387" s="22"/>
      <c r="S387" s="22"/>
      <c r="T387" s="468"/>
      <c r="U387" s="22"/>
      <c r="V387" s="22"/>
      <c r="W387" s="22"/>
      <c r="X387" s="22"/>
      <c r="Y387" s="22"/>
      <c r="Z387" s="465"/>
      <c r="AA387" s="22"/>
      <c r="AB387" s="22"/>
      <c r="AC387" s="22"/>
      <c r="AD387" s="22"/>
    </row>
    <row r="388" ht="15.75" customHeight="1">
      <c r="A388" s="22"/>
      <c r="B388" s="22"/>
      <c r="C388" s="22"/>
      <c r="D388" s="22"/>
      <c r="E388" s="22"/>
      <c r="F388" s="22"/>
      <c r="G388" s="22"/>
      <c r="H388" s="22"/>
      <c r="I388" s="22"/>
      <c r="J388" s="22"/>
      <c r="K388" s="22"/>
      <c r="L388" s="468"/>
      <c r="M388" s="468"/>
      <c r="N388" s="22"/>
      <c r="O388" s="22"/>
      <c r="P388" s="22"/>
      <c r="Q388" s="22"/>
      <c r="R388" s="22"/>
      <c r="S388" s="22"/>
      <c r="T388" s="468"/>
      <c r="U388" s="22"/>
      <c r="V388" s="22"/>
      <c r="W388" s="22"/>
      <c r="X388" s="22"/>
      <c r="Y388" s="22"/>
      <c r="Z388" s="465"/>
      <c r="AA388" s="22"/>
      <c r="AB388" s="22"/>
      <c r="AC388" s="22"/>
      <c r="AD388" s="22"/>
    </row>
    <row r="389" ht="15.75" customHeight="1">
      <c r="A389" s="22"/>
      <c r="B389" s="22"/>
      <c r="C389" s="22"/>
      <c r="D389" s="22"/>
      <c r="E389" s="22"/>
      <c r="F389" s="22"/>
      <c r="G389" s="22"/>
      <c r="H389" s="22"/>
      <c r="I389" s="22"/>
      <c r="J389" s="22"/>
      <c r="K389" s="22"/>
      <c r="L389" s="468"/>
      <c r="M389" s="468"/>
      <c r="N389" s="22"/>
      <c r="O389" s="22"/>
      <c r="P389" s="22"/>
      <c r="Q389" s="22"/>
      <c r="R389" s="22"/>
      <c r="S389" s="22"/>
      <c r="T389" s="468"/>
      <c r="U389" s="22"/>
      <c r="V389" s="22"/>
      <c r="W389" s="22"/>
      <c r="X389" s="22"/>
      <c r="Y389" s="22"/>
      <c r="Z389" s="465"/>
      <c r="AA389" s="22"/>
      <c r="AB389" s="22"/>
      <c r="AC389" s="22"/>
      <c r="AD389" s="22"/>
    </row>
    <row r="390" ht="15.75" customHeight="1">
      <c r="A390" s="22"/>
      <c r="B390" s="22"/>
      <c r="C390" s="22"/>
      <c r="D390" s="22"/>
      <c r="E390" s="22"/>
      <c r="F390" s="22"/>
      <c r="G390" s="22"/>
      <c r="H390" s="22"/>
      <c r="I390" s="22"/>
      <c r="J390" s="22"/>
      <c r="K390" s="22"/>
      <c r="L390" s="468"/>
      <c r="M390" s="468"/>
      <c r="N390" s="22"/>
      <c r="O390" s="22"/>
      <c r="P390" s="22"/>
      <c r="Q390" s="22"/>
      <c r="R390" s="22"/>
      <c r="S390" s="22"/>
      <c r="T390" s="468"/>
      <c r="U390" s="22"/>
      <c r="V390" s="22"/>
      <c r="W390" s="22"/>
      <c r="X390" s="22"/>
      <c r="Y390" s="22"/>
      <c r="Z390" s="465"/>
      <c r="AA390" s="22"/>
      <c r="AB390" s="22"/>
      <c r="AC390" s="22"/>
      <c r="AD390" s="22"/>
    </row>
    <row r="391" ht="15.75" customHeight="1">
      <c r="A391" s="22"/>
      <c r="B391" s="22"/>
      <c r="C391" s="22"/>
      <c r="D391" s="22"/>
      <c r="E391" s="22"/>
      <c r="F391" s="22"/>
      <c r="G391" s="22"/>
      <c r="H391" s="22"/>
      <c r="I391" s="22"/>
      <c r="J391" s="22"/>
      <c r="K391" s="22"/>
      <c r="L391" s="468"/>
      <c r="M391" s="468"/>
      <c r="N391" s="22"/>
      <c r="O391" s="22"/>
      <c r="P391" s="22"/>
      <c r="Q391" s="22"/>
      <c r="R391" s="22"/>
      <c r="S391" s="22"/>
      <c r="T391" s="468"/>
      <c r="U391" s="22"/>
      <c r="V391" s="22"/>
      <c r="W391" s="22"/>
      <c r="X391" s="22"/>
      <c r="Y391" s="22"/>
      <c r="Z391" s="465"/>
      <c r="AA391" s="22"/>
      <c r="AB391" s="22"/>
      <c r="AC391" s="22"/>
      <c r="AD391" s="22"/>
    </row>
    <row r="392" ht="15.75" customHeight="1">
      <c r="A392" s="22"/>
      <c r="B392" s="22"/>
      <c r="C392" s="22"/>
      <c r="D392" s="22"/>
      <c r="E392" s="22"/>
      <c r="F392" s="22"/>
      <c r="G392" s="22"/>
      <c r="H392" s="22"/>
      <c r="I392" s="22"/>
      <c r="J392" s="22"/>
      <c r="K392" s="22"/>
      <c r="L392" s="468"/>
      <c r="M392" s="468"/>
      <c r="N392" s="22"/>
      <c r="O392" s="22"/>
      <c r="P392" s="22"/>
      <c r="Q392" s="22"/>
      <c r="R392" s="22"/>
      <c r="S392" s="22"/>
      <c r="T392" s="468"/>
      <c r="U392" s="22"/>
      <c r="V392" s="22"/>
      <c r="W392" s="22"/>
      <c r="X392" s="22"/>
      <c r="Y392" s="22"/>
      <c r="Z392" s="465"/>
      <c r="AA392" s="22"/>
      <c r="AB392" s="22"/>
      <c r="AC392" s="22"/>
      <c r="AD392" s="22"/>
    </row>
    <row r="393" ht="15.75" customHeight="1">
      <c r="A393" s="22"/>
      <c r="B393" s="22"/>
      <c r="C393" s="22"/>
      <c r="D393" s="22"/>
      <c r="E393" s="22"/>
      <c r="F393" s="22"/>
      <c r="G393" s="22"/>
      <c r="H393" s="22"/>
      <c r="I393" s="22"/>
      <c r="J393" s="22"/>
      <c r="K393" s="22"/>
      <c r="L393" s="468"/>
      <c r="M393" s="468"/>
      <c r="N393" s="22"/>
      <c r="O393" s="22"/>
      <c r="P393" s="22"/>
      <c r="Q393" s="22"/>
      <c r="R393" s="22"/>
      <c r="S393" s="22"/>
      <c r="T393" s="468"/>
      <c r="U393" s="22"/>
      <c r="V393" s="22"/>
      <c r="W393" s="22"/>
      <c r="X393" s="22"/>
      <c r="Y393" s="22"/>
      <c r="Z393" s="465"/>
      <c r="AA393" s="22"/>
      <c r="AB393" s="22"/>
      <c r="AC393" s="22"/>
      <c r="AD393" s="22"/>
    </row>
    <row r="394" ht="15.75" customHeight="1">
      <c r="A394" s="22"/>
      <c r="B394" s="22"/>
      <c r="C394" s="22"/>
      <c r="D394" s="22"/>
      <c r="E394" s="22"/>
      <c r="F394" s="22"/>
      <c r="G394" s="22"/>
      <c r="H394" s="22"/>
      <c r="I394" s="22"/>
      <c r="J394" s="22"/>
      <c r="K394" s="22"/>
      <c r="L394" s="468"/>
      <c r="M394" s="468"/>
      <c r="N394" s="22"/>
      <c r="O394" s="22"/>
      <c r="P394" s="22"/>
      <c r="Q394" s="22"/>
      <c r="R394" s="22"/>
      <c r="S394" s="22"/>
      <c r="T394" s="468"/>
      <c r="U394" s="22"/>
      <c r="V394" s="22"/>
      <c r="W394" s="22"/>
      <c r="X394" s="22"/>
      <c r="Y394" s="22"/>
      <c r="Z394" s="465"/>
      <c r="AA394" s="22"/>
      <c r="AB394" s="22"/>
      <c r="AC394" s="22"/>
      <c r="AD394" s="22"/>
    </row>
    <row r="395" ht="15.75" customHeight="1">
      <c r="A395" s="22"/>
      <c r="B395" s="22"/>
      <c r="C395" s="22"/>
      <c r="D395" s="22"/>
      <c r="E395" s="22"/>
      <c r="F395" s="22"/>
      <c r="G395" s="22"/>
      <c r="H395" s="22"/>
      <c r="I395" s="22"/>
      <c r="J395" s="22"/>
      <c r="K395" s="22"/>
      <c r="L395" s="468"/>
      <c r="M395" s="468"/>
      <c r="N395" s="22"/>
      <c r="O395" s="22"/>
      <c r="P395" s="22"/>
      <c r="Q395" s="22"/>
      <c r="R395" s="22"/>
      <c r="S395" s="22"/>
      <c r="T395" s="468"/>
      <c r="U395" s="22"/>
      <c r="V395" s="22"/>
      <c r="W395" s="22"/>
      <c r="X395" s="22"/>
      <c r="Y395" s="22"/>
      <c r="Z395" s="465"/>
      <c r="AA395" s="22"/>
      <c r="AB395" s="22"/>
      <c r="AC395" s="22"/>
      <c r="AD395" s="22"/>
    </row>
    <row r="396" ht="15.75" customHeight="1">
      <c r="A396" s="22"/>
      <c r="B396" s="22"/>
      <c r="C396" s="22"/>
      <c r="D396" s="22"/>
      <c r="E396" s="22"/>
      <c r="F396" s="22"/>
      <c r="G396" s="22"/>
      <c r="H396" s="22"/>
      <c r="I396" s="22"/>
      <c r="J396" s="22"/>
      <c r="K396" s="22"/>
      <c r="L396" s="468"/>
      <c r="M396" s="468"/>
      <c r="N396" s="22"/>
      <c r="O396" s="22"/>
      <c r="P396" s="22"/>
      <c r="Q396" s="22"/>
      <c r="R396" s="22"/>
      <c r="S396" s="22"/>
      <c r="T396" s="468"/>
      <c r="U396" s="22"/>
      <c r="V396" s="22"/>
      <c r="W396" s="22"/>
      <c r="X396" s="22"/>
      <c r="Y396" s="22"/>
      <c r="Z396" s="465"/>
      <c r="AA396" s="22"/>
      <c r="AB396" s="22"/>
      <c r="AC396" s="22"/>
      <c r="AD396" s="22"/>
    </row>
    <row r="397" ht="15.75" customHeight="1">
      <c r="A397" s="22"/>
      <c r="B397" s="22"/>
      <c r="C397" s="22"/>
      <c r="D397" s="22"/>
      <c r="E397" s="22"/>
      <c r="F397" s="22"/>
      <c r="G397" s="22"/>
      <c r="H397" s="22"/>
      <c r="I397" s="22"/>
      <c r="J397" s="22"/>
      <c r="K397" s="22"/>
      <c r="L397" s="468"/>
      <c r="M397" s="468"/>
      <c r="N397" s="22"/>
      <c r="O397" s="22"/>
      <c r="P397" s="22"/>
      <c r="Q397" s="22"/>
      <c r="R397" s="22"/>
      <c r="S397" s="22"/>
      <c r="T397" s="468"/>
      <c r="U397" s="22"/>
      <c r="V397" s="22"/>
      <c r="W397" s="22"/>
      <c r="X397" s="22"/>
      <c r="Y397" s="22"/>
      <c r="Z397" s="465"/>
      <c r="AA397" s="22"/>
      <c r="AB397" s="22"/>
      <c r="AC397" s="22"/>
      <c r="AD397" s="22"/>
    </row>
    <row r="398" ht="15.75" customHeight="1">
      <c r="A398" s="22"/>
      <c r="B398" s="22"/>
      <c r="C398" s="22"/>
      <c r="D398" s="22"/>
      <c r="E398" s="22"/>
      <c r="F398" s="22"/>
      <c r="G398" s="22"/>
      <c r="H398" s="22"/>
      <c r="I398" s="22"/>
      <c r="J398" s="22"/>
      <c r="K398" s="22"/>
      <c r="L398" s="468"/>
      <c r="M398" s="468"/>
      <c r="N398" s="22"/>
      <c r="O398" s="22"/>
      <c r="P398" s="22"/>
      <c r="Q398" s="22"/>
      <c r="R398" s="22"/>
      <c r="S398" s="22"/>
      <c r="T398" s="468"/>
      <c r="U398" s="22"/>
      <c r="V398" s="22"/>
      <c r="W398" s="22"/>
      <c r="X398" s="22"/>
      <c r="Y398" s="22"/>
      <c r="Z398" s="465"/>
      <c r="AA398" s="22"/>
      <c r="AB398" s="22"/>
      <c r="AC398" s="22"/>
      <c r="AD398" s="22"/>
    </row>
    <row r="399" ht="15.75" customHeight="1">
      <c r="A399" s="22"/>
      <c r="B399" s="22"/>
      <c r="C399" s="22"/>
      <c r="D399" s="22"/>
      <c r="E399" s="22"/>
      <c r="F399" s="22"/>
      <c r="G399" s="22"/>
      <c r="H399" s="22"/>
      <c r="I399" s="22"/>
      <c r="J399" s="22"/>
      <c r="K399" s="22"/>
      <c r="L399" s="468"/>
      <c r="M399" s="468"/>
      <c r="N399" s="22"/>
      <c r="O399" s="22"/>
      <c r="P399" s="22"/>
      <c r="Q399" s="22"/>
      <c r="R399" s="22"/>
      <c r="S399" s="22"/>
      <c r="T399" s="468"/>
      <c r="U399" s="22"/>
      <c r="V399" s="22"/>
      <c r="W399" s="22"/>
      <c r="X399" s="22"/>
      <c r="Y399" s="22"/>
      <c r="Z399" s="465"/>
      <c r="AA399" s="22"/>
      <c r="AB399" s="22"/>
      <c r="AC399" s="22"/>
      <c r="AD399" s="22"/>
    </row>
    <row r="400" ht="15.75" customHeight="1">
      <c r="A400" s="22"/>
      <c r="B400" s="22"/>
      <c r="C400" s="22"/>
      <c r="D400" s="22"/>
      <c r="E400" s="22"/>
      <c r="F400" s="22"/>
      <c r="G400" s="22"/>
      <c r="H400" s="22"/>
      <c r="I400" s="22"/>
      <c r="J400" s="22"/>
      <c r="K400" s="22"/>
      <c r="L400" s="468"/>
      <c r="M400" s="468"/>
      <c r="N400" s="22"/>
      <c r="O400" s="22"/>
      <c r="P400" s="22"/>
      <c r="Q400" s="22"/>
      <c r="R400" s="22"/>
      <c r="S400" s="22"/>
      <c r="T400" s="468"/>
      <c r="U400" s="22"/>
      <c r="V400" s="22"/>
      <c r="W400" s="22"/>
      <c r="X400" s="22"/>
      <c r="Y400" s="22"/>
      <c r="Z400" s="465"/>
      <c r="AA400" s="22"/>
      <c r="AB400" s="22"/>
      <c r="AC400" s="22"/>
      <c r="AD400" s="22"/>
    </row>
    <row r="401" ht="15.75" customHeight="1">
      <c r="A401" s="22"/>
      <c r="B401" s="22"/>
      <c r="C401" s="22"/>
      <c r="D401" s="22"/>
      <c r="E401" s="22"/>
      <c r="F401" s="22"/>
      <c r="G401" s="22"/>
      <c r="H401" s="22"/>
      <c r="I401" s="22"/>
      <c r="J401" s="22"/>
      <c r="K401" s="22"/>
      <c r="L401" s="468"/>
      <c r="M401" s="468"/>
      <c r="N401" s="22"/>
      <c r="O401" s="22"/>
      <c r="P401" s="22"/>
      <c r="Q401" s="22"/>
      <c r="R401" s="22"/>
      <c r="S401" s="22"/>
      <c r="T401" s="468"/>
      <c r="U401" s="22"/>
      <c r="V401" s="22"/>
      <c r="W401" s="22"/>
      <c r="X401" s="22"/>
      <c r="Y401" s="22"/>
      <c r="Z401" s="465"/>
      <c r="AA401" s="22"/>
      <c r="AB401" s="22"/>
      <c r="AC401" s="22"/>
      <c r="AD401" s="22"/>
    </row>
    <row r="402" ht="15.75" customHeight="1">
      <c r="A402" s="22"/>
      <c r="B402" s="22"/>
      <c r="C402" s="22"/>
      <c r="D402" s="22"/>
      <c r="E402" s="22"/>
      <c r="F402" s="22"/>
      <c r="G402" s="22"/>
      <c r="H402" s="22"/>
      <c r="I402" s="22"/>
      <c r="J402" s="22"/>
      <c r="K402" s="22"/>
      <c r="L402" s="468"/>
      <c r="M402" s="468"/>
      <c r="N402" s="22"/>
      <c r="O402" s="22"/>
      <c r="P402" s="22"/>
      <c r="Q402" s="22"/>
      <c r="R402" s="22"/>
      <c r="S402" s="22"/>
      <c r="T402" s="468"/>
      <c r="U402" s="22"/>
      <c r="V402" s="22"/>
      <c r="W402" s="22"/>
      <c r="X402" s="22"/>
      <c r="Y402" s="22"/>
      <c r="Z402" s="465"/>
      <c r="AA402" s="22"/>
      <c r="AB402" s="22"/>
      <c r="AC402" s="22"/>
      <c r="AD402" s="22"/>
    </row>
    <row r="403" ht="15.75" customHeight="1">
      <c r="A403" s="22"/>
      <c r="B403" s="22"/>
      <c r="C403" s="22"/>
      <c r="D403" s="22"/>
      <c r="E403" s="22"/>
      <c r="F403" s="22"/>
      <c r="G403" s="22"/>
      <c r="H403" s="22"/>
      <c r="I403" s="22"/>
      <c r="J403" s="22"/>
      <c r="K403" s="22"/>
      <c r="L403" s="468"/>
      <c r="M403" s="468"/>
      <c r="N403" s="22"/>
      <c r="O403" s="22"/>
      <c r="P403" s="22"/>
      <c r="Q403" s="22"/>
      <c r="R403" s="22"/>
      <c r="S403" s="22"/>
      <c r="T403" s="468"/>
      <c r="U403" s="22"/>
      <c r="V403" s="22"/>
      <c r="W403" s="22"/>
      <c r="X403" s="22"/>
      <c r="Y403" s="22"/>
      <c r="Z403" s="465"/>
      <c r="AA403" s="22"/>
      <c r="AB403" s="22"/>
      <c r="AC403" s="22"/>
      <c r="AD403" s="22"/>
    </row>
    <row r="404" ht="15.75" customHeight="1">
      <c r="A404" s="22"/>
      <c r="B404" s="22"/>
      <c r="C404" s="22"/>
      <c r="D404" s="22"/>
      <c r="E404" s="22"/>
      <c r="F404" s="22"/>
      <c r="G404" s="22"/>
      <c r="H404" s="22"/>
      <c r="I404" s="22"/>
      <c r="J404" s="22"/>
      <c r="K404" s="22"/>
      <c r="L404" s="468"/>
      <c r="M404" s="468"/>
      <c r="N404" s="22"/>
      <c r="O404" s="22"/>
      <c r="P404" s="22"/>
      <c r="Q404" s="22"/>
      <c r="R404" s="22"/>
      <c r="S404" s="22"/>
      <c r="T404" s="468"/>
      <c r="U404" s="22"/>
      <c r="V404" s="22"/>
      <c r="W404" s="22"/>
      <c r="X404" s="22"/>
      <c r="Y404" s="22"/>
      <c r="Z404" s="465"/>
      <c r="AA404" s="22"/>
      <c r="AB404" s="22"/>
      <c r="AC404" s="22"/>
      <c r="AD404" s="22"/>
    </row>
    <row r="405" ht="15.75" customHeight="1">
      <c r="A405" s="22"/>
      <c r="B405" s="22"/>
      <c r="C405" s="22"/>
      <c r="D405" s="22"/>
      <c r="E405" s="22"/>
      <c r="F405" s="22"/>
      <c r="G405" s="22"/>
      <c r="H405" s="22"/>
      <c r="I405" s="22"/>
      <c r="J405" s="22"/>
      <c r="K405" s="22"/>
      <c r="L405" s="468"/>
      <c r="M405" s="468"/>
      <c r="N405" s="22"/>
      <c r="O405" s="22"/>
      <c r="P405" s="22"/>
      <c r="Q405" s="22"/>
      <c r="R405" s="22"/>
      <c r="S405" s="22"/>
      <c r="T405" s="468"/>
      <c r="U405" s="22"/>
      <c r="V405" s="22"/>
      <c r="W405" s="22"/>
      <c r="X405" s="22"/>
      <c r="Y405" s="22"/>
      <c r="Z405" s="465"/>
      <c r="AA405" s="22"/>
      <c r="AB405" s="22"/>
      <c r="AC405" s="22"/>
      <c r="AD405" s="22"/>
    </row>
    <row r="406" ht="15.75" customHeight="1">
      <c r="A406" s="22"/>
      <c r="B406" s="22"/>
      <c r="C406" s="22"/>
      <c r="D406" s="22"/>
      <c r="E406" s="22"/>
      <c r="F406" s="22"/>
      <c r="G406" s="22"/>
      <c r="H406" s="22"/>
      <c r="I406" s="22"/>
      <c r="J406" s="22"/>
      <c r="K406" s="22"/>
      <c r="L406" s="468"/>
      <c r="M406" s="468"/>
      <c r="N406" s="22"/>
      <c r="O406" s="22"/>
      <c r="P406" s="22"/>
      <c r="Q406" s="22"/>
      <c r="R406" s="22"/>
      <c r="S406" s="22"/>
      <c r="T406" s="468"/>
      <c r="U406" s="22"/>
      <c r="V406" s="22"/>
      <c r="W406" s="22"/>
      <c r="X406" s="22"/>
      <c r="Y406" s="22"/>
      <c r="Z406" s="465"/>
      <c r="AA406" s="22"/>
      <c r="AB406" s="22"/>
      <c r="AC406" s="22"/>
      <c r="AD406" s="22"/>
    </row>
    <row r="407" ht="15.75" customHeight="1">
      <c r="A407" s="22"/>
      <c r="B407" s="22"/>
      <c r="C407" s="22"/>
      <c r="D407" s="22"/>
      <c r="E407" s="22"/>
      <c r="F407" s="22"/>
      <c r="G407" s="22"/>
      <c r="H407" s="22"/>
      <c r="I407" s="22"/>
      <c r="J407" s="22"/>
      <c r="K407" s="22"/>
      <c r="L407" s="468"/>
      <c r="M407" s="468"/>
      <c r="N407" s="22"/>
      <c r="O407" s="22"/>
      <c r="P407" s="22"/>
      <c r="Q407" s="22"/>
      <c r="R407" s="22"/>
      <c r="S407" s="22"/>
      <c r="T407" s="468"/>
      <c r="U407" s="22"/>
      <c r="V407" s="22"/>
      <c r="W407" s="22"/>
      <c r="X407" s="22"/>
      <c r="Y407" s="22"/>
      <c r="Z407" s="465"/>
      <c r="AA407" s="22"/>
      <c r="AB407" s="22"/>
      <c r="AC407" s="22"/>
      <c r="AD407" s="22"/>
    </row>
    <row r="408" ht="15.75" customHeight="1">
      <c r="A408" s="22"/>
      <c r="B408" s="22"/>
      <c r="C408" s="22"/>
      <c r="D408" s="22"/>
      <c r="E408" s="22"/>
      <c r="F408" s="22"/>
      <c r="G408" s="22"/>
      <c r="H408" s="22"/>
      <c r="I408" s="22"/>
      <c r="J408" s="22"/>
      <c r="K408" s="22"/>
      <c r="L408" s="468"/>
      <c r="M408" s="468"/>
      <c r="N408" s="22"/>
      <c r="O408" s="22"/>
      <c r="P408" s="22"/>
      <c r="Q408" s="22"/>
      <c r="R408" s="22"/>
      <c r="S408" s="22"/>
      <c r="T408" s="468"/>
      <c r="U408" s="22"/>
      <c r="V408" s="22"/>
      <c r="W408" s="22"/>
      <c r="X408" s="22"/>
      <c r="Y408" s="22"/>
      <c r="Z408" s="465"/>
      <c r="AA408" s="22"/>
      <c r="AB408" s="22"/>
      <c r="AC408" s="22"/>
      <c r="AD408" s="22"/>
    </row>
    <row r="409" ht="15.75" customHeight="1">
      <c r="A409" s="22"/>
      <c r="B409" s="22"/>
      <c r="C409" s="22"/>
      <c r="D409" s="22"/>
      <c r="E409" s="22"/>
      <c r="F409" s="22"/>
      <c r="G409" s="22"/>
      <c r="H409" s="22"/>
      <c r="I409" s="22"/>
      <c r="J409" s="22"/>
      <c r="K409" s="22"/>
      <c r="L409" s="468"/>
      <c r="M409" s="468"/>
      <c r="N409" s="22"/>
      <c r="O409" s="22"/>
      <c r="P409" s="22"/>
      <c r="Q409" s="22"/>
      <c r="R409" s="22"/>
      <c r="S409" s="22"/>
      <c r="T409" s="468"/>
      <c r="U409" s="22"/>
      <c r="V409" s="22"/>
      <c r="W409" s="22"/>
      <c r="X409" s="22"/>
      <c r="Y409" s="22"/>
      <c r="Z409" s="465"/>
      <c r="AA409" s="22"/>
      <c r="AB409" s="22"/>
      <c r="AC409" s="22"/>
      <c r="AD409" s="22"/>
    </row>
    <row r="410" ht="15.75" customHeight="1">
      <c r="A410" s="22"/>
      <c r="B410" s="22"/>
      <c r="C410" s="22"/>
      <c r="D410" s="22"/>
      <c r="E410" s="22"/>
      <c r="F410" s="22"/>
      <c r="G410" s="22"/>
      <c r="H410" s="22"/>
      <c r="I410" s="22"/>
      <c r="J410" s="22"/>
      <c r="K410" s="22"/>
      <c r="L410" s="468"/>
      <c r="M410" s="468"/>
      <c r="N410" s="22"/>
      <c r="O410" s="22"/>
      <c r="P410" s="22"/>
      <c r="Q410" s="22"/>
      <c r="R410" s="22"/>
      <c r="S410" s="22"/>
      <c r="T410" s="468"/>
      <c r="U410" s="22"/>
      <c r="V410" s="22"/>
      <c r="W410" s="22"/>
      <c r="X410" s="22"/>
      <c r="Y410" s="22"/>
      <c r="Z410" s="465"/>
      <c r="AA410" s="22"/>
      <c r="AB410" s="22"/>
      <c r="AC410" s="22"/>
      <c r="AD410" s="22"/>
    </row>
    <row r="411" ht="15.75" customHeight="1">
      <c r="A411" s="22"/>
      <c r="B411" s="22"/>
      <c r="C411" s="22"/>
      <c r="D411" s="22"/>
      <c r="E411" s="22"/>
      <c r="F411" s="22"/>
      <c r="G411" s="22"/>
      <c r="H411" s="22"/>
      <c r="I411" s="22"/>
      <c r="J411" s="22"/>
      <c r="K411" s="22"/>
      <c r="L411" s="468"/>
      <c r="M411" s="468"/>
      <c r="N411" s="22"/>
      <c r="O411" s="22"/>
      <c r="P411" s="22"/>
      <c r="Q411" s="22"/>
      <c r="R411" s="22"/>
      <c r="S411" s="22"/>
      <c r="T411" s="468"/>
      <c r="U411" s="22"/>
      <c r="V411" s="22"/>
      <c r="W411" s="22"/>
      <c r="X411" s="22"/>
      <c r="Y411" s="22"/>
      <c r="Z411" s="465"/>
      <c r="AA411" s="22"/>
      <c r="AB411" s="22"/>
      <c r="AC411" s="22"/>
      <c r="AD411" s="22"/>
    </row>
    <row r="412" ht="15.75" customHeight="1">
      <c r="A412" s="22"/>
      <c r="B412" s="22"/>
      <c r="C412" s="22"/>
      <c r="D412" s="22"/>
      <c r="E412" s="22"/>
      <c r="F412" s="22"/>
      <c r="G412" s="22"/>
      <c r="H412" s="22"/>
      <c r="I412" s="22"/>
      <c r="J412" s="22"/>
      <c r="K412" s="22"/>
      <c r="L412" s="468"/>
      <c r="M412" s="468"/>
      <c r="N412" s="22"/>
      <c r="O412" s="22"/>
      <c r="P412" s="22"/>
      <c r="Q412" s="22"/>
      <c r="R412" s="22"/>
      <c r="S412" s="22"/>
      <c r="T412" s="468"/>
      <c r="U412" s="22"/>
      <c r="V412" s="22"/>
      <c r="W412" s="22"/>
      <c r="X412" s="22"/>
      <c r="Y412" s="22"/>
      <c r="Z412" s="465"/>
      <c r="AA412" s="22"/>
      <c r="AB412" s="22"/>
      <c r="AC412" s="22"/>
      <c r="AD412" s="22"/>
    </row>
    <row r="413" ht="15.75" customHeight="1">
      <c r="A413" s="22"/>
      <c r="B413" s="22"/>
      <c r="C413" s="22"/>
      <c r="D413" s="22"/>
      <c r="E413" s="22"/>
      <c r="F413" s="22"/>
      <c r="G413" s="22"/>
      <c r="H413" s="22"/>
      <c r="I413" s="22"/>
      <c r="J413" s="22"/>
      <c r="K413" s="22"/>
      <c r="L413" s="468"/>
      <c r="M413" s="468"/>
      <c r="N413" s="22"/>
      <c r="O413" s="22"/>
      <c r="P413" s="22"/>
      <c r="Q413" s="22"/>
      <c r="R413" s="22"/>
      <c r="S413" s="22"/>
      <c r="T413" s="468"/>
      <c r="U413" s="22"/>
      <c r="V413" s="22"/>
      <c r="W413" s="22"/>
      <c r="X413" s="22"/>
      <c r="Y413" s="22"/>
      <c r="Z413" s="465"/>
      <c r="AA413" s="22"/>
      <c r="AB413" s="22"/>
      <c r="AC413" s="22"/>
      <c r="AD413" s="22"/>
    </row>
    <row r="414" ht="15.75" customHeight="1">
      <c r="A414" s="22"/>
      <c r="B414" s="22"/>
      <c r="C414" s="22"/>
      <c r="D414" s="22"/>
      <c r="E414" s="22"/>
      <c r="F414" s="22"/>
      <c r="G414" s="22"/>
      <c r="H414" s="22"/>
      <c r="I414" s="22"/>
      <c r="J414" s="22"/>
      <c r="K414" s="22"/>
      <c r="L414" s="468"/>
      <c r="M414" s="468"/>
      <c r="N414" s="22"/>
      <c r="O414" s="22"/>
      <c r="P414" s="22"/>
      <c r="Q414" s="22"/>
      <c r="R414" s="22"/>
      <c r="S414" s="22"/>
      <c r="T414" s="468"/>
      <c r="U414" s="22"/>
      <c r="V414" s="22"/>
      <c r="W414" s="22"/>
      <c r="X414" s="22"/>
      <c r="Y414" s="22"/>
      <c r="Z414" s="465"/>
      <c r="AA414" s="22"/>
      <c r="AB414" s="22"/>
      <c r="AC414" s="22"/>
      <c r="AD414" s="22"/>
    </row>
    <row r="415" ht="15.75" customHeight="1">
      <c r="A415" s="22"/>
      <c r="B415" s="22"/>
      <c r="C415" s="22"/>
      <c r="D415" s="22"/>
      <c r="E415" s="22"/>
      <c r="F415" s="22"/>
      <c r="G415" s="22"/>
      <c r="H415" s="22"/>
      <c r="I415" s="22"/>
      <c r="J415" s="22"/>
      <c r="K415" s="22"/>
      <c r="L415" s="468"/>
      <c r="M415" s="468"/>
      <c r="N415" s="22"/>
      <c r="O415" s="22"/>
      <c r="P415" s="22"/>
      <c r="Q415" s="22"/>
      <c r="R415" s="22"/>
      <c r="S415" s="22"/>
      <c r="T415" s="468"/>
      <c r="U415" s="22"/>
      <c r="V415" s="22"/>
      <c r="W415" s="22"/>
      <c r="X415" s="22"/>
      <c r="Y415" s="22"/>
      <c r="Z415" s="465"/>
      <c r="AA415" s="22"/>
      <c r="AB415" s="22"/>
      <c r="AC415" s="22"/>
      <c r="AD415" s="22"/>
    </row>
    <row r="416" ht="15.75" customHeight="1">
      <c r="A416" s="22"/>
      <c r="B416" s="22"/>
      <c r="C416" s="22"/>
      <c r="D416" s="22"/>
      <c r="E416" s="22"/>
      <c r="F416" s="22"/>
      <c r="G416" s="22"/>
      <c r="H416" s="22"/>
      <c r="I416" s="22"/>
      <c r="J416" s="22"/>
      <c r="K416" s="22"/>
      <c r="L416" s="468"/>
      <c r="M416" s="468"/>
      <c r="N416" s="22"/>
      <c r="O416" s="22"/>
      <c r="P416" s="22"/>
      <c r="Q416" s="22"/>
      <c r="R416" s="22"/>
      <c r="S416" s="22"/>
      <c r="T416" s="468"/>
      <c r="U416" s="22"/>
      <c r="V416" s="22"/>
      <c r="W416" s="22"/>
      <c r="X416" s="22"/>
      <c r="Y416" s="22"/>
      <c r="Z416" s="465"/>
      <c r="AA416" s="22"/>
      <c r="AB416" s="22"/>
      <c r="AC416" s="22"/>
      <c r="AD416" s="22"/>
    </row>
    <row r="417" ht="15.75" customHeight="1">
      <c r="A417" s="22"/>
      <c r="B417" s="22"/>
      <c r="C417" s="22"/>
      <c r="D417" s="22"/>
      <c r="E417" s="22"/>
      <c r="F417" s="22"/>
      <c r="G417" s="22"/>
      <c r="H417" s="22"/>
      <c r="I417" s="22"/>
      <c r="J417" s="22"/>
      <c r="K417" s="22"/>
      <c r="L417" s="468"/>
      <c r="M417" s="468"/>
      <c r="N417" s="22"/>
      <c r="O417" s="22"/>
      <c r="P417" s="22"/>
      <c r="Q417" s="22"/>
      <c r="R417" s="22"/>
      <c r="S417" s="22"/>
      <c r="T417" s="468"/>
      <c r="U417" s="22"/>
      <c r="V417" s="22"/>
      <c r="W417" s="22"/>
      <c r="X417" s="22"/>
      <c r="Y417" s="22"/>
      <c r="Z417" s="465"/>
      <c r="AA417" s="22"/>
      <c r="AB417" s="22"/>
      <c r="AC417" s="22"/>
      <c r="AD417" s="22"/>
    </row>
    <row r="418" ht="15.75" customHeight="1">
      <c r="A418" s="22"/>
      <c r="B418" s="22"/>
      <c r="C418" s="22"/>
      <c r="D418" s="22"/>
      <c r="E418" s="22"/>
      <c r="F418" s="22"/>
      <c r="G418" s="22"/>
      <c r="H418" s="22"/>
      <c r="I418" s="22"/>
      <c r="J418" s="22"/>
      <c r="K418" s="22"/>
      <c r="L418" s="468"/>
      <c r="M418" s="468"/>
      <c r="N418" s="22"/>
      <c r="O418" s="22"/>
      <c r="P418" s="22"/>
      <c r="Q418" s="22"/>
      <c r="R418" s="22"/>
      <c r="S418" s="22"/>
      <c r="T418" s="468"/>
      <c r="U418" s="22"/>
      <c r="V418" s="22"/>
      <c r="W418" s="22"/>
      <c r="X418" s="22"/>
      <c r="Y418" s="22"/>
      <c r="Z418" s="465"/>
      <c r="AA418" s="22"/>
      <c r="AB418" s="22"/>
      <c r="AC418" s="22"/>
      <c r="AD418" s="22"/>
    </row>
    <row r="419" ht="15.75" customHeight="1">
      <c r="A419" s="22"/>
      <c r="B419" s="22"/>
      <c r="C419" s="22"/>
      <c r="D419" s="22"/>
      <c r="E419" s="22"/>
      <c r="F419" s="22"/>
      <c r="G419" s="22"/>
      <c r="H419" s="22"/>
      <c r="I419" s="22"/>
      <c r="J419" s="22"/>
      <c r="K419" s="22"/>
      <c r="L419" s="468"/>
      <c r="M419" s="468"/>
      <c r="N419" s="22"/>
      <c r="O419" s="22"/>
      <c r="P419" s="22"/>
      <c r="Q419" s="22"/>
      <c r="R419" s="22"/>
      <c r="S419" s="22"/>
      <c r="T419" s="468"/>
      <c r="U419" s="22"/>
      <c r="V419" s="22"/>
      <c r="W419" s="22"/>
      <c r="X419" s="22"/>
      <c r="Y419" s="22"/>
      <c r="Z419" s="465"/>
      <c r="AA419" s="22"/>
      <c r="AB419" s="22"/>
      <c r="AC419" s="22"/>
      <c r="AD419" s="22"/>
    </row>
    <row r="420" ht="15.75" customHeight="1">
      <c r="A420" s="22"/>
      <c r="B420" s="22"/>
      <c r="C420" s="22"/>
      <c r="D420" s="22"/>
      <c r="E420" s="22"/>
      <c r="F420" s="22"/>
      <c r="G420" s="22"/>
      <c r="H420" s="22"/>
      <c r="I420" s="22"/>
      <c r="J420" s="22"/>
      <c r="K420" s="22"/>
      <c r="L420" s="468"/>
      <c r="M420" s="468"/>
      <c r="N420" s="22"/>
      <c r="O420" s="22"/>
      <c r="P420" s="22"/>
      <c r="Q420" s="22"/>
      <c r="R420" s="22"/>
      <c r="S420" s="22"/>
      <c r="T420" s="468"/>
      <c r="U420" s="22"/>
      <c r="V420" s="22"/>
      <c r="W420" s="22"/>
      <c r="X420" s="22"/>
      <c r="Y420" s="22"/>
      <c r="Z420" s="465"/>
      <c r="AA420" s="22"/>
      <c r="AB420" s="22"/>
      <c r="AC420" s="22"/>
      <c r="AD420" s="22"/>
    </row>
    <row r="421" ht="15.75" customHeight="1">
      <c r="A421" s="22"/>
      <c r="B421" s="22"/>
      <c r="C421" s="22"/>
      <c r="D421" s="22"/>
      <c r="E421" s="22"/>
      <c r="F421" s="22"/>
      <c r="G421" s="22"/>
      <c r="H421" s="22"/>
      <c r="I421" s="22"/>
      <c r="J421" s="22"/>
      <c r="K421" s="22"/>
      <c r="L421" s="468"/>
      <c r="M421" s="468"/>
      <c r="N421" s="22"/>
      <c r="O421" s="22"/>
      <c r="P421" s="22"/>
      <c r="Q421" s="22"/>
      <c r="R421" s="22"/>
      <c r="S421" s="22"/>
      <c r="T421" s="468"/>
      <c r="U421" s="22"/>
      <c r="V421" s="22"/>
      <c r="W421" s="22"/>
      <c r="X421" s="22"/>
      <c r="Y421" s="22"/>
      <c r="Z421" s="465"/>
      <c r="AA421" s="22"/>
      <c r="AB421" s="22"/>
      <c r="AC421" s="22"/>
      <c r="AD421" s="22"/>
    </row>
    <row r="422" ht="15.75" customHeight="1">
      <c r="A422" s="22"/>
      <c r="B422" s="22"/>
      <c r="C422" s="22"/>
      <c r="D422" s="22"/>
      <c r="E422" s="22"/>
      <c r="F422" s="22"/>
      <c r="G422" s="22"/>
      <c r="H422" s="22"/>
      <c r="I422" s="22"/>
      <c r="J422" s="22"/>
      <c r="K422" s="22"/>
      <c r="L422" s="468"/>
      <c r="M422" s="468"/>
      <c r="N422" s="22"/>
      <c r="O422" s="22"/>
      <c r="P422" s="22"/>
      <c r="Q422" s="22"/>
      <c r="R422" s="22"/>
      <c r="S422" s="22"/>
      <c r="T422" s="468"/>
      <c r="U422" s="22"/>
      <c r="V422" s="22"/>
      <c r="W422" s="22"/>
      <c r="X422" s="22"/>
      <c r="Y422" s="22"/>
      <c r="Z422" s="465"/>
      <c r="AA422" s="22"/>
      <c r="AB422" s="22"/>
      <c r="AC422" s="22"/>
      <c r="AD422" s="22"/>
    </row>
    <row r="423" ht="15.75" customHeight="1">
      <c r="A423" s="22"/>
      <c r="B423" s="22"/>
      <c r="C423" s="22"/>
      <c r="D423" s="22"/>
      <c r="E423" s="22"/>
      <c r="F423" s="22"/>
      <c r="G423" s="22"/>
      <c r="H423" s="22"/>
      <c r="I423" s="22"/>
      <c r="J423" s="22"/>
      <c r="K423" s="22"/>
      <c r="L423" s="468"/>
      <c r="M423" s="468"/>
      <c r="N423" s="22"/>
      <c r="O423" s="22"/>
      <c r="P423" s="22"/>
      <c r="Q423" s="22"/>
      <c r="R423" s="22"/>
      <c r="S423" s="22"/>
      <c r="T423" s="468"/>
      <c r="U423" s="22"/>
      <c r="V423" s="22"/>
      <c r="W423" s="22"/>
      <c r="X423" s="22"/>
      <c r="Y423" s="22"/>
      <c r="Z423" s="465"/>
      <c r="AA423" s="22"/>
      <c r="AB423" s="22"/>
      <c r="AC423" s="22"/>
      <c r="AD423" s="22"/>
    </row>
    <row r="424" ht="15.75" customHeight="1">
      <c r="A424" s="22"/>
      <c r="B424" s="22"/>
      <c r="C424" s="22"/>
      <c r="D424" s="22"/>
      <c r="E424" s="22"/>
      <c r="F424" s="22"/>
      <c r="G424" s="22"/>
      <c r="H424" s="22"/>
      <c r="I424" s="22"/>
      <c r="J424" s="22"/>
      <c r="K424" s="22"/>
      <c r="L424" s="468"/>
      <c r="M424" s="468"/>
      <c r="N424" s="22"/>
      <c r="O424" s="22"/>
      <c r="P424" s="22"/>
      <c r="Q424" s="22"/>
      <c r="R424" s="22"/>
      <c r="S424" s="22"/>
      <c r="T424" s="468"/>
      <c r="U424" s="22"/>
      <c r="V424" s="22"/>
      <c r="W424" s="22"/>
      <c r="X424" s="22"/>
      <c r="Y424" s="22"/>
      <c r="Z424" s="465"/>
      <c r="AA424" s="22"/>
      <c r="AB424" s="22"/>
      <c r="AC424" s="22"/>
      <c r="AD424" s="22"/>
    </row>
    <row r="425" ht="15.75" customHeight="1">
      <c r="A425" s="22"/>
      <c r="B425" s="22"/>
      <c r="C425" s="22"/>
      <c r="D425" s="22"/>
      <c r="E425" s="22"/>
      <c r="F425" s="22"/>
      <c r="G425" s="22"/>
      <c r="H425" s="22"/>
      <c r="I425" s="22"/>
      <c r="J425" s="22"/>
      <c r="K425" s="22"/>
      <c r="L425" s="468"/>
      <c r="M425" s="468"/>
      <c r="N425" s="22"/>
      <c r="O425" s="22"/>
      <c r="P425" s="22"/>
      <c r="Q425" s="22"/>
      <c r="R425" s="22"/>
      <c r="S425" s="22"/>
      <c r="T425" s="468"/>
      <c r="U425" s="22"/>
      <c r="V425" s="22"/>
      <c r="W425" s="22"/>
      <c r="X425" s="22"/>
      <c r="Y425" s="22"/>
      <c r="Z425" s="465"/>
      <c r="AA425" s="22"/>
      <c r="AB425" s="22"/>
      <c r="AC425" s="22"/>
      <c r="AD425" s="22"/>
    </row>
    <row r="426" ht="15.75" customHeight="1">
      <c r="A426" s="22"/>
      <c r="B426" s="22"/>
      <c r="C426" s="22"/>
      <c r="D426" s="22"/>
      <c r="E426" s="22"/>
      <c r="F426" s="22"/>
      <c r="G426" s="22"/>
      <c r="H426" s="22"/>
      <c r="I426" s="22"/>
      <c r="J426" s="22"/>
      <c r="K426" s="22"/>
      <c r="L426" s="468"/>
      <c r="M426" s="468"/>
      <c r="N426" s="22"/>
      <c r="O426" s="22"/>
      <c r="P426" s="22"/>
      <c r="Q426" s="22"/>
      <c r="R426" s="22"/>
      <c r="S426" s="22"/>
      <c r="T426" s="468"/>
      <c r="U426" s="22"/>
      <c r="V426" s="22"/>
      <c r="W426" s="22"/>
      <c r="X426" s="22"/>
      <c r="Y426" s="22"/>
      <c r="Z426" s="465"/>
      <c r="AA426" s="22"/>
      <c r="AB426" s="22"/>
      <c r="AC426" s="22"/>
      <c r="AD426" s="22"/>
    </row>
    <row r="427" ht="15.75" customHeight="1">
      <c r="A427" s="22"/>
      <c r="B427" s="22"/>
      <c r="C427" s="22"/>
      <c r="D427" s="22"/>
      <c r="E427" s="22"/>
      <c r="F427" s="22"/>
      <c r="G427" s="22"/>
      <c r="H427" s="22"/>
      <c r="I427" s="22"/>
      <c r="J427" s="22"/>
      <c r="K427" s="22"/>
      <c r="L427" s="468"/>
      <c r="M427" s="468"/>
      <c r="N427" s="22"/>
      <c r="O427" s="22"/>
      <c r="P427" s="22"/>
      <c r="Q427" s="22"/>
      <c r="R427" s="22"/>
      <c r="S427" s="22"/>
      <c r="T427" s="468"/>
      <c r="U427" s="22"/>
      <c r="V427" s="22"/>
      <c r="W427" s="22"/>
      <c r="X427" s="22"/>
      <c r="Y427" s="22"/>
      <c r="Z427" s="465"/>
      <c r="AA427" s="22"/>
      <c r="AB427" s="22"/>
      <c r="AC427" s="22"/>
      <c r="AD427" s="22"/>
    </row>
    <row r="428" ht="15.75" customHeight="1">
      <c r="A428" s="22"/>
      <c r="B428" s="22"/>
      <c r="C428" s="22"/>
      <c r="D428" s="22"/>
      <c r="E428" s="22"/>
      <c r="F428" s="22"/>
      <c r="G428" s="22"/>
      <c r="H428" s="22"/>
      <c r="I428" s="22"/>
      <c r="J428" s="22"/>
      <c r="K428" s="22"/>
      <c r="L428" s="468"/>
      <c r="M428" s="468"/>
      <c r="N428" s="22"/>
      <c r="O428" s="22"/>
      <c r="P428" s="22"/>
      <c r="Q428" s="22"/>
      <c r="R428" s="22"/>
      <c r="S428" s="22"/>
      <c r="T428" s="468"/>
      <c r="U428" s="22"/>
      <c r="V428" s="22"/>
      <c r="W428" s="22"/>
      <c r="X428" s="22"/>
      <c r="Y428" s="22"/>
      <c r="Z428" s="465"/>
      <c r="AA428" s="22"/>
      <c r="AB428" s="22"/>
      <c r="AC428" s="22"/>
      <c r="AD428" s="22"/>
    </row>
    <row r="429" ht="15.75" customHeight="1">
      <c r="A429" s="22"/>
      <c r="B429" s="22"/>
      <c r="C429" s="22"/>
      <c r="D429" s="22"/>
      <c r="E429" s="22"/>
      <c r="F429" s="22"/>
      <c r="G429" s="22"/>
      <c r="H429" s="22"/>
      <c r="I429" s="22"/>
      <c r="J429" s="22"/>
      <c r="K429" s="22"/>
      <c r="L429" s="468"/>
      <c r="M429" s="468"/>
      <c r="N429" s="22"/>
      <c r="O429" s="22"/>
      <c r="P429" s="22"/>
      <c r="Q429" s="22"/>
      <c r="R429" s="22"/>
      <c r="S429" s="22"/>
      <c r="T429" s="468"/>
      <c r="U429" s="22"/>
      <c r="V429" s="22"/>
      <c r="W429" s="22"/>
      <c r="X429" s="22"/>
      <c r="Y429" s="22"/>
      <c r="Z429" s="465"/>
      <c r="AA429" s="22"/>
      <c r="AB429" s="22"/>
      <c r="AC429" s="22"/>
      <c r="AD429" s="22"/>
    </row>
    <row r="430" ht="15.75" customHeight="1">
      <c r="A430" s="22"/>
      <c r="B430" s="22"/>
      <c r="C430" s="22"/>
      <c r="D430" s="22"/>
      <c r="E430" s="22"/>
      <c r="F430" s="22"/>
      <c r="G430" s="22"/>
      <c r="H430" s="22"/>
      <c r="I430" s="22"/>
      <c r="J430" s="22"/>
      <c r="K430" s="22"/>
      <c r="L430" s="468"/>
      <c r="M430" s="468"/>
      <c r="N430" s="22"/>
      <c r="O430" s="22"/>
      <c r="P430" s="22"/>
      <c r="Q430" s="22"/>
      <c r="R430" s="22"/>
      <c r="S430" s="22"/>
      <c r="T430" s="468"/>
      <c r="U430" s="22"/>
      <c r="V430" s="22"/>
      <c r="W430" s="22"/>
      <c r="X430" s="22"/>
      <c r="Y430" s="22"/>
      <c r="Z430" s="465"/>
      <c r="AA430" s="22"/>
      <c r="AB430" s="22"/>
      <c r="AC430" s="22"/>
      <c r="AD430" s="22"/>
    </row>
    <row r="431" ht="15.75" customHeight="1">
      <c r="A431" s="22"/>
      <c r="B431" s="22"/>
      <c r="C431" s="22"/>
      <c r="D431" s="22"/>
      <c r="E431" s="22"/>
      <c r="F431" s="22"/>
      <c r="G431" s="22"/>
      <c r="H431" s="22"/>
      <c r="I431" s="22"/>
      <c r="J431" s="22"/>
      <c r="K431" s="22"/>
      <c r="L431" s="468"/>
      <c r="M431" s="468"/>
      <c r="N431" s="22"/>
      <c r="O431" s="22"/>
      <c r="P431" s="22"/>
      <c r="Q431" s="22"/>
      <c r="R431" s="22"/>
      <c r="S431" s="22"/>
      <c r="T431" s="468"/>
      <c r="U431" s="22"/>
      <c r="V431" s="22"/>
      <c r="W431" s="22"/>
      <c r="X431" s="22"/>
      <c r="Y431" s="22"/>
      <c r="Z431" s="465"/>
      <c r="AA431" s="22"/>
      <c r="AB431" s="22"/>
      <c r="AC431" s="22"/>
      <c r="AD431" s="22"/>
    </row>
    <row r="432" ht="15.75" customHeight="1">
      <c r="A432" s="22"/>
      <c r="B432" s="22"/>
      <c r="C432" s="22"/>
      <c r="D432" s="22"/>
      <c r="E432" s="22"/>
      <c r="F432" s="22"/>
      <c r="G432" s="22"/>
      <c r="H432" s="22"/>
      <c r="I432" s="22"/>
      <c r="J432" s="22"/>
      <c r="K432" s="22"/>
      <c r="L432" s="468"/>
      <c r="M432" s="468"/>
      <c r="N432" s="22"/>
      <c r="O432" s="22"/>
      <c r="P432" s="22"/>
      <c r="Q432" s="22"/>
      <c r="R432" s="22"/>
      <c r="S432" s="22"/>
      <c r="T432" s="468"/>
      <c r="U432" s="22"/>
      <c r="V432" s="22"/>
      <c r="W432" s="22"/>
      <c r="X432" s="22"/>
      <c r="Y432" s="22"/>
      <c r="Z432" s="465"/>
      <c r="AA432" s="22"/>
      <c r="AB432" s="22"/>
      <c r="AC432" s="22"/>
      <c r="AD432" s="22"/>
    </row>
    <row r="433" ht="15.75" customHeight="1">
      <c r="A433" s="22"/>
      <c r="B433" s="22"/>
      <c r="C433" s="22"/>
      <c r="D433" s="22"/>
      <c r="E433" s="22"/>
      <c r="F433" s="22"/>
      <c r="G433" s="22"/>
      <c r="H433" s="22"/>
      <c r="I433" s="22"/>
      <c r="J433" s="22"/>
      <c r="K433" s="22"/>
      <c r="L433" s="468"/>
      <c r="M433" s="468"/>
      <c r="N433" s="22"/>
      <c r="O433" s="22"/>
      <c r="P433" s="22"/>
      <c r="Q433" s="22"/>
      <c r="R433" s="22"/>
      <c r="S433" s="22"/>
      <c r="T433" s="468"/>
      <c r="U433" s="22"/>
      <c r="V433" s="22"/>
      <c r="W433" s="22"/>
      <c r="X433" s="22"/>
      <c r="Y433" s="22"/>
      <c r="Z433" s="465"/>
      <c r="AA433" s="22"/>
      <c r="AB433" s="22"/>
      <c r="AC433" s="22"/>
      <c r="AD433" s="22"/>
    </row>
    <row r="434" ht="15.75" customHeight="1">
      <c r="A434" s="22"/>
      <c r="B434" s="22"/>
      <c r="C434" s="22"/>
      <c r="D434" s="22"/>
      <c r="E434" s="22"/>
      <c r="F434" s="22"/>
      <c r="G434" s="22"/>
      <c r="H434" s="22"/>
      <c r="I434" s="22"/>
      <c r="J434" s="22"/>
      <c r="K434" s="22"/>
      <c r="L434" s="468"/>
      <c r="M434" s="468"/>
      <c r="N434" s="22"/>
      <c r="O434" s="22"/>
      <c r="P434" s="22"/>
      <c r="Q434" s="22"/>
      <c r="R434" s="22"/>
      <c r="S434" s="22"/>
      <c r="T434" s="468"/>
      <c r="U434" s="22"/>
      <c r="V434" s="22"/>
      <c r="W434" s="22"/>
      <c r="X434" s="22"/>
      <c r="Y434" s="22"/>
      <c r="Z434" s="465"/>
      <c r="AA434" s="22"/>
      <c r="AB434" s="22"/>
      <c r="AC434" s="22"/>
      <c r="AD434" s="22"/>
    </row>
    <row r="435" ht="15.75" customHeight="1">
      <c r="A435" s="22"/>
      <c r="B435" s="22"/>
      <c r="C435" s="22"/>
      <c r="D435" s="22"/>
      <c r="E435" s="22"/>
      <c r="F435" s="22"/>
      <c r="G435" s="22"/>
      <c r="H435" s="22"/>
      <c r="I435" s="22"/>
      <c r="J435" s="22"/>
      <c r="K435" s="22"/>
      <c r="L435" s="468"/>
      <c r="M435" s="468"/>
      <c r="N435" s="22"/>
      <c r="O435" s="22"/>
      <c r="P435" s="22"/>
      <c r="Q435" s="22"/>
      <c r="R435" s="22"/>
      <c r="S435" s="22"/>
      <c r="T435" s="468"/>
      <c r="U435" s="22"/>
      <c r="V435" s="22"/>
      <c r="W435" s="22"/>
      <c r="X435" s="22"/>
      <c r="Y435" s="22"/>
      <c r="Z435" s="465"/>
      <c r="AA435" s="22"/>
      <c r="AB435" s="22"/>
      <c r="AC435" s="22"/>
      <c r="AD435" s="22"/>
    </row>
    <row r="436" ht="15.75" customHeight="1">
      <c r="A436" s="22"/>
      <c r="B436" s="22"/>
      <c r="C436" s="22"/>
      <c r="D436" s="22"/>
      <c r="E436" s="22"/>
      <c r="F436" s="22"/>
      <c r="G436" s="22"/>
      <c r="H436" s="22"/>
      <c r="I436" s="22"/>
      <c r="J436" s="22"/>
      <c r="K436" s="22"/>
      <c r="L436" s="468"/>
      <c r="M436" s="468"/>
      <c r="N436" s="22"/>
      <c r="O436" s="22"/>
      <c r="P436" s="22"/>
      <c r="Q436" s="22"/>
      <c r="R436" s="22"/>
      <c r="S436" s="22"/>
      <c r="T436" s="468"/>
      <c r="U436" s="22"/>
      <c r="V436" s="22"/>
      <c r="W436" s="22"/>
      <c r="X436" s="22"/>
      <c r="Y436" s="22"/>
      <c r="Z436" s="465"/>
      <c r="AA436" s="22"/>
      <c r="AB436" s="22"/>
      <c r="AC436" s="22"/>
      <c r="AD436" s="22"/>
    </row>
    <row r="437" ht="15.75" customHeight="1">
      <c r="A437" s="22"/>
      <c r="B437" s="22"/>
      <c r="C437" s="22"/>
      <c r="D437" s="22"/>
      <c r="E437" s="22"/>
      <c r="F437" s="22"/>
      <c r="G437" s="22"/>
      <c r="H437" s="22"/>
      <c r="I437" s="22"/>
      <c r="J437" s="22"/>
      <c r="K437" s="22"/>
      <c r="L437" s="468"/>
      <c r="M437" s="468"/>
      <c r="N437" s="22"/>
      <c r="O437" s="22"/>
      <c r="P437" s="22"/>
      <c r="Q437" s="22"/>
      <c r="R437" s="22"/>
      <c r="S437" s="22"/>
      <c r="T437" s="468"/>
      <c r="U437" s="22"/>
      <c r="V437" s="22"/>
      <c r="W437" s="22"/>
      <c r="X437" s="22"/>
      <c r="Y437" s="22"/>
      <c r="Z437" s="465"/>
      <c r="AA437" s="22"/>
      <c r="AB437" s="22"/>
      <c r="AC437" s="22"/>
      <c r="AD437" s="22"/>
    </row>
    <row r="438" ht="15.75" customHeight="1">
      <c r="A438" s="22"/>
      <c r="B438" s="22"/>
      <c r="C438" s="22"/>
      <c r="D438" s="22"/>
      <c r="E438" s="22"/>
      <c r="F438" s="22"/>
      <c r="G438" s="22"/>
      <c r="H438" s="22"/>
      <c r="I438" s="22"/>
      <c r="J438" s="22"/>
      <c r="K438" s="22"/>
      <c r="L438" s="468"/>
      <c r="M438" s="468"/>
      <c r="N438" s="22"/>
      <c r="O438" s="22"/>
      <c r="P438" s="22"/>
      <c r="Q438" s="22"/>
      <c r="R438" s="22"/>
      <c r="S438" s="22"/>
      <c r="T438" s="468"/>
      <c r="U438" s="22"/>
      <c r="V438" s="22"/>
      <c r="W438" s="22"/>
      <c r="X438" s="22"/>
      <c r="Y438" s="22"/>
      <c r="Z438" s="465"/>
      <c r="AA438" s="22"/>
      <c r="AB438" s="22"/>
      <c r="AC438" s="22"/>
      <c r="AD438" s="22"/>
    </row>
    <row r="439" ht="15.75" customHeight="1">
      <c r="A439" s="22"/>
      <c r="B439" s="22"/>
      <c r="C439" s="22"/>
      <c r="D439" s="22"/>
      <c r="E439" s="22"/>
      <c r="F439" s="22"/>
      <c r="G439" s="22"/>
      <c r="H439" s="22"/>
      <c r="I439" s="22"/>
      <c r="J439" s="22"/>
      <c r="K439" s="22"/>
      <c r="L439" s="468"/>
      <c r="M439" s="468"/>
      <c r="N439" s="22"/>
      <c r="O439" s="22"/>
      <c r="P439" s="22"/>
      <c r="Q439" s="22"/>
      <c r="R439" s="22"/>
      <c r="S439" s="22"/>
      <c r="T439" s="468"/>
      <c r="U439" s="22"/>
      <c r="V439" s="22"/>
      <c r="W439" s="22"/>
      <c r="X439" s="22"/>
      <c r="Y439" s="22"/>
      <c r="Z439" s="465"/>
      <c r="AA439" s="22"/>
      <c r="AB439" s="22"/>
      <c r="AC439" s="22"/>
      <c r="AD439" s="22"/>
    </row>
    <row r="440" ht="15.75" customHeight="1">
      <c r="A440" s="22"/>
      <c r="B440" s="22"/>
      <c r="C440" s="22"/>
      <c r="D440" s="22"/>
      <c r="E440" s="22"/>
      <c r="F440" s="22"/>
      <c r="G440" s="22"/>
      <c r="H440" s="22"/>
      <c r="I440" s="22"/>
      <c r="J440" s="22"/>
      <c r="K440" s="22"/>
      <c r="L440" s="468"/>
      <c r="M440" s="468"/>
      <c r="N440" s="22"/>
      <c r="O440" s="22"/>
      <c r="P440" s="22"/>
      <c r="Q440" s="22"/>
      <c r="R440" s="22"/>
      <c r="S440" s="22"/>
      <c r="T440" s="468"/>
      <c r="U440" s="22"/>
      <c r="V440" s="22"/>
      <c r="W440" s="22"/>
      <c r="X440" s="22"/>
      <c r="Y440" s="22"/>
      <c r="Z440" s="465"/>
      <c r="AA440" s="22"/>
      <c r="AB440" s="22"/>
      <c r="AC440" s="22"/>
      <c r="AD440" s="22"/>
    </row>
    <row r="441" ht="15.75" customHeight="1">
      <c r="A441" s="22"/>
      <c r="B441" s="22"/>
      <c r="C441" s="22"/>
      <c r="D441" s="22"/>
      <c r="E441" s="22"/>
      <c r="F441" s="22"/>
      <c r="G441" s="22"/>
      <c r="H441" s="22"/>
      <c r="I441" s="22"/>
      <c r="J441" s="22"/>
      <c r="K441" s="22"/>
      <c r="L441" s="468"/>
      <c r="M441" s="468"/>
      <c r="N441" s="22"/>
      <c r="O441" s="22"/>
      <c r="P441" s="22"/>
      <c r="Q441" s="22"/>
      <c r="R441" s="22"/>
      <c r="S441" s="22"/>
      <c r="T441" s="468"/>
      <c r="U441" s="22"/>
      <c r="V441" s="22"/>
      <c r="W441" s="22"/>
      <c r="X441" s="22"/>
      <c r="Y441" s="22"/>
      <c r="Z441" s="465"/>
      <c r="AA441" s="22"/>
      <c r="AB441" s="22"/>
      <c r="AC441" s="22"/>
      <c r="AD441" s="22"/>
    </row>
    <row r="442" ht="15.75" customHeight="1">
      <c r="A442" s="22"/>
      <c r="B442" s="22"/>
      <c r="C442" s="22"/>
      <c r="D442" s="22"/>
      <c r="E442" s="22"/>
      <c r="F442" s="22"/>
      <c r="G442" s="22"/>
      <c r="H442" s="22"/>
      <c r="I442" s="22"/>
      <c r="J442" s="22"/>
      <c r="K442" s="22"/>
      <c r="L442" s="468"/>
      <c r="M442" s="468"/>
      <c r="N442" s="22"/>
      <c r="O442" s="22"/>
      <c r="P442" s="22"/>
      <c r="Q442" s="22"/>
      <c r="R442" s="22"/>
      <c r="S442" s="22"/>
      <c r="T442" s="468"/>
      <c r="U442" s="22"/>
      <c r="V442" s="22"/>
      <c r="W442" s="22"/>
      <c r="X442" s="22"/>
      <c r="Y442" s="22"/>
      <c r="Z442" s="465"/>
      <c r="AA442" s="22"/>
      <c r="AB442" s="22"/>
      <c r="AC442" s="22"/>
      <c r="AD442" s="22"/>
    </row>
    <row r="443" ht="15.75" customHeight="1">
      <c r="A443" s="22"/>
      <c r="B443" s="22"/>
      <c r="C443" s="22"/>
      <c r="D443" s="22"/>
      <c r="E443" s="22"/>
      <c r="F443" s="22"/>
      <c r="G443" s="22"/>
      <c r="H443" s="22"/>
      <c r="I443" s="22"/>
      <c r="J443" s="22"/>
      <c r="K443" s="22"/>
      <c r="L443" s="468"/>
      <c r="M443" s="468"/>
      <c r="N443" s="22"/>
      <c r="O443" s="22"/>
      <c r="P443" s="22"/>
      <c r="Q443" s="22"/>
      <c r="R443" s="22"/>
      <c r="S443" s="22"/>
      <c r="T443" s="468"/>
      <c r="U443" s="22"/>
      <c r="V443" s="22"/>
      <c r="W443" s="22"/>
      <c r="X443" s="22"/>
      <c r="Y443" s="22"/>
      <c r="Z443" s="465"/>
      <c r="AA443" s="22"/>
      <c r="AB443" s="22"/>
      <c r="AC443" s="22"/>
      <c r="AD443" s="22"/>
    </row>
    <row r="444" ht="15.75" customHeight="1">
      <c r="A444" s="22"/>
      <c r="B444" s="22"/>
      <c r="C444" s="22"/>
      <c r="D444" s="22"/>
      <c r="E444" s="22"/>
      <c r="F444" s="22"/>
      <c r="G444" s="22"/>
      <c r="H444" s="22"/>
      <c r="I444" s="22"/>
      <c r="J444" s="22"/>
      <c r="K444" s="22"/>
      <c r="L444" s="468"/>
      <c r="M444" s="468"/>
      <c r="N444" s="22"/>
      <c r="O444" s="22"/>
      <c r="P444" s="22"/>
      <c r="Q444" s="22"/>
      <c r="R444" s="22"/>
      <c r="S444" s="22"/>
      <c r="T444" s="468"/>
      <c r="U444" s="22"/>
      <c r="V444" s="22"/>
      <c r="W444" s="22"/>
      <c r="X444" s="22"/>
      <c r="Y444" s="22"/>
      <c r="Z444" s="465"/>
      <c r="AA444" s="22"/>
      <c r="AB444" s="22"/>
      <c r="AC444" s="22"/>
      <c r="AD444" s="22"/>
    </row>
    <row r="445" ht="15.75" customHeight="1">
      <c r="A445" s="22"/>
      <c r="B445" s="22"/>
      <c r="C445" s="22"/>
      <c r="D445" s="22"/>
      <c r="E445" s="22"/>
      <c r="F445" s="22"/>
      <c r="G445" s="22"/>
      <c r="H445" s="22"/>
      <c r="I445" s="22"/>
      <c r="J445" s="22"/>
      <c r="K445" s="22"/>
      <c r="L445" s="468"/>
      <c r="M445" s="468"/>
      <c r="N445" s="22"/>
      <c r="O445" s="22"/>
      <c r="P445" s="22"/>
      <c r="Q445" s="22"/>
      <c r="R445" s="22"/>
      <c r="S445" s="22"/>
      <c r="T445" s="468"/>
      <c r="U445" s="22"/>
      <c r="V445" s="22"/>
      <c r="W445" s="22"/>
      <c r="X445" s="22"/>
      <c r="Y445" s="22"/>
      <c r="Z445" s="465"/>
      <c r="AA445" s="22"/>
      <c r="AB445" s="22"/>
      <c r="AC445" s="22"/>
      <c r="AD445" s="22"/>
    </row>
    <row r="446" ht="15.75" customHeight="1">
      <c r="A446" s="22"/>
      <c r="B446" s="22"/>
      <c r="C446" s="22"/>
      <c r="D446" s="22"/>
      <c r="E446" s="22"/>
      <c r="F446" s="22"/>
      <c r="G446" s="22"/>
      <c r="H446" s="22"/>
      <c r="I446" s="22"/>
      <c r="J446" s="22"/>
      <c r="K446" s="22"/>
      <c r="L446" s="468"/>
      <c r="M446" s="468"/>
      <c r="N446" s="22"/>
      <c r="O446" s="22"/>
      <c r="P446" s="22"/>
      <c r="Q446" s="22"/>
      <c r="R446" s="22"/>
      <c r="S446" s="22"/>
      <c r="T446" s="468"/>
      <c r="U446" s="22"/>
      <c r="V446" s="22"/>
      <c r="W446" s="22"/>
      <c r="X446" s="22"/>
      <c r="Y446" s="22"/>
      <c r="Z446" s="465"/>
      <c r="AA446" s="22"/>
      <c r="AB446" s="22"/>
      <c r="AC446" s="22"/>
      <c r="AD446" s="22"/>
    </row>
    <row r="447" ht="15.75" customHeight="1">
      <c r="A447" s="22"/>
      <c r="B447" s="22"/>
      <c r="C447" s="22"/>
      <c r="D447" s="22"/>
      <c r="E447" s="22"/>
      <c r="F447" s="22"/>
      <c r="G447" s="22"/>
      <c r="H447" s="22"/>
      <c r="I447" s="22"/>
      <c r="J447" s="22"/>
      <c r="K447" s="22"/>
      <c r="L447" s="468"/>
      <c r="M447" s="468"/>
      <c r="N447" s="22"/>
      <c r="O447" s="22"/>
      <c r="P447" s="22"/>
      <c r="Q447" s="22"/>
      <c r="R447" s="22"/>
      <c r="S447" s="22"/>
      <c r="T447" s="468"/>
      <c r="U447" s="22"/>
      <c r="V447" s="22"/>
      <c r="W447" s="22"/>
      <c r="X447" s="22"/>
      <c r="Y447" s="22"/>
      <c r="Z447" s="465"/>
      <c r="AA447" s="22"/>
      <c r="AB447" s="22"/>
      <c r="AC447" s="22"/>
      <c r="AD447" s="22"/>
    </row>
    <row r="448" ht="15.75" customHeight="1">
      <c r="A448" s="22"/>
      <c r="B448" s="22"/>
      <c r="C448" s="22"/>
      <c r="D448" s="22"/>
      <c r="E448" s="22"/>
      <c r="F448" s="22"/>
      <c r="G448" s="22"/>
      <c r="H448" s="22"/>
      <c r="I448" s="22"/>
      <c r="J448" s="22"/>
      <c r="K448" s="22"/>
      <c r="L448" s="468"/>
      <c r="M448" s="468"/>
      <c r="N448" s="22"/>
      <c r="O448" s="22"/>
      <c r="P448" s="22"/>
      <c r="Q448" s="22"/>
      <c r="R448" s="22"/>
      <c r="S448" s="22"/>
      <c r="T448" s="468"/>
      <c r="U448" s="22"/>
      <c r="V448" s="22"/>
      <c r="W448" s="22"/>
      <c r="X448" s="22"/>
      <c r="Y448" s="22"/>
      <c r="Z448" s="465"/>
      <c r="AA448" s="22"/>
      <c r="AB448" s="22"/>
      <c r="AC448" s="22"/>
      <c r="AD448" s="22"/>
    </row>
    <row r="449" ht="15.75" customHeight="1">
      <c r="A449" s="22"/>
      <c r="B449" s="22"/>
      <c r="C449" s="22"/>
      <c r="D449" s="22"/>
      <c r="E449" s="22"/>
      <c r="F449" s="22"/>
      <c r="G449" s="22"/>
      <c r="H449" s="22"/>
      <c r="I449" s="22"/>
      <c r="J449" s="22"/>
      <c r="K449" s="22"/>
      <c r="L449" s="468"/>
      <c r="M449" s="468"/>
      <c r="N449" s="22"/>
      <c r="O449" s="22"/>
      <c r="P449" s="22"/>
      <c r="Q449" s="22"/>
      <c r="R449" s="22"/>
      <c r="S449" s="22"/>
      <c r="T449" s="468"/>
      <c r="U449" s="22"/>
      <c r="V449" s="22"/>
      <c r="W449" s="22"/>
      <c r="X449" s="22"/>
      <c r="Y449" s="22"/>
      <c r="Z449" s="465"/>
      <c r="AA449" s="22"/>
      <c r="AB449" s="22"/>
      <c r="AC449" s="22"/>
      <c r="AD449" s="22"/>
    </row>
    <row r="450" ht="15.75" customHeight="1">
      <c r="A450" s="22"/>
      <c r="B450" s="22"/>
      <c r="C450" s="22"/>
      <c r="D450" s="22"/>
      <c r="E450" s="22"/>
      <c r="F450" s="22"/>
      <c r="G450" s="22"/>
      <c r="H450" s="22"/>
      <c r="I450" s="22"/>
      <c r="J450" s="22"/>
      <c r="K450" s="22"/>
      <c r="L450" s="468"/>
      <c r="M450" s="468"/>
      <c r="N450" s="22"/>
      <c r="O450" s="22"/>
      <c r="P450" s="22"/>
      <c r="Q450" s="22"/>
      <c r="R450" s="22"/>
      <c r="S450" s="22"/>
      <c r="T450" s="468"/>
      <c r="U450" s="22"/>
      <c r="V450" s="22"/>
      <c r="W450" s="22"/>
      <c r="X450" s="22"/>
      <c r="Y450" s="22"/>
      <c r="Z450" s="465"/>
      <c r="AA450" s="22"/>
      <c r="AB450" s="22"/>
      <c r="AC450" s="22"/>
      <c r="AD450" s="22"/>
    </row>
    <row r="451" ht="15.75" customHeight="1">
      <c r="A451" s="22"/>
      <c r="B451" s="22"/>
      <c r="C451" s="22"/>
      <c r="D451" s="22"/>
      <c r="E451" s="22"/>
      <c r="F451" s="22"/>
      <c r="G451" s="22"/>
      <c r="H451" s="22"/>
      <c r="I451" s="22"/>
      <c r="J451" s="22"/>
      <c r="K451" s="22"/>
      <c r="L451" s="468"/>
      <c r="M451" s="468"/>
      <c r="N451" s="22"/>
      <c r="O451" s="22"/>
      <c r="P451" s="22"/>
      <c r="Q451" s="22"/>
      <c r="R451" s="22"/>
      <c r="S451" s="22"/>
      <c r="T451" s="468"/>
      <c r="U451" s="22"/>
      <c r="V451" s="22"/>
      <c r="W451" s="22"/>
      <c r="X451" s="22"/>
      <c r="Y451" s="22"/>
      <c r="Z451" s="465"/>
      <c r="AA451" s="22"/>
      <c r="AB451" s="22"/>
      <c r="AC451" s="22"/>
      <c r="AD451" s="22"/>
    </row>
    <row r="452" ht="15.75" customHeight="1">
      <c r="A452" s="22"/>
      <c r="B452" s="22"/>
      <c r="C452" s="22"/>
      <c r="D452" s="22"/>
      <c r="E452" s="22"/>
      <c r="F452" s="22"/>
      <c r="G452" s="22"/>
      <c r="H452" s="22"/>
      <c r="I452" s="22"/>
      <c r="J452" s="22"/>
      <c r="K452" s="22"/>
      <c r="L452" s="468"/>
      <c r="M452" s="468"/>
      <c r="N452" s="22"/>
      <c r="O452" s="22"/>
      <c r="P452" s="22"/>
      <c r="Q452" s="22"/>
      <c r="R452" s="22"/>
      <c r="S452" s="22"/>
      <c r="T452" s="468"/>
      <c r="U452" s="22"/>
      <c r="V452" s="22"/>
      <c r="W452" s="22"/>
      <c r="X452" s="22"/>
      <c r="Y452" s="22"/>
      <c r="Z452" s="465"/>
      <c r="AA452" s="22"/>
      <c r="AB452" s="22"/>
      <c r="AC452" s="22"/>
      <c r="AD452" s="22"/>
    </row>
    <row r="453" ht="15.75" customHeight="1">
      <c r="A453" s="22"/>
      <c r="B453" s="22"/>
      <c r="C453" s="22"/>
      <c r="D453" s="22"/>
      <c r="E453" s="22"/>
      <c r="F453" s="22"/>
      <c r="G453" s="22"/>
      <c r="H453" s="22"/>
      <c r="I453" s="22"/>
      <c r="J453" s="22"/>
      <c r="K453" s="22"/>
      <c r="L453" s="468"/>
      <c r="M453" s="468"/>
      <c r="N453" s="22"/>
      <c r="O453" s="22"/>
      <c r="P453" s="22"/>
      <c r="Q453" s="22"/>
      <c r="R453" s="22"/>
      <c r="S453" s="22"/>
      <c r="T453" s="468"/>
      <c r="U453" s="22"/>
      <c r="V453" s="22"/>
      <c r="W453" s="22"/>
      <c r="X453" s="22"/>
      <c r="Y453" s="22"/>
      <c r="Z453" s="465"/>
      <c r="AA453" s="22"/>
      <c r="AB453" s="22"/>
      <c r="AC453" s="22"/>
      <c r="AD453" s="22"/>
    </row>
    <row r="454" ht="15.75" customHeight="1">
      <c r="A454" s="22"/>
      <c r="B454" s="22"/>
      <c r="C454" s="22"/>
      <c r="D454" s="22"/>
      <c r="E454" s="22"/>
      <c r="F454" s="22"/>
      <c r="G454" s="22"/>
      <c r="H454" s="22"/>
      <c r="I454" s="22"/>
      <c r="J454" s="22"/>
      <c r="K454" s="22"/>
      <c r="L454" s="468"/>
      <c r="M454" s="468"/>
      <c r="N454" s="22"/>
      <c r="O454" s="22"/>
      <c r="P454" s="22"/>
      <c r="Q454" s="22"/>
      <c r="R454" s="22"/>
      <c r="S454" s="22"/>
      <c r="T454" s="468"/>
      <c r="U454" s="22"/>
      <c r="V454" s="22"/>
      <c r="W454" s="22"/>
      <c r="X454" s="22"/>
      <c r="Y454" s="22"/>
      <c r="Z454" s="465"/>
      <c r="AA454" s="22"/>
      <c r="AB454" s="22"/>
      <c r="AC454" s="22"/>
      <c r="AD454" s="22"/>
    </row>
    <row r="455" ht="15.75" customHeight="1">
      <c r="A455" s="22"/>
      <c r="B455" s="22"/>
      <c r="C455" s="22"/>
      <c r="D455" s="22"/>
      <c r="E455" s="22"/>
      <c r="F455" s="22"/>
      <c r="G455" s="22"/>
      <c r="H455" s="22"/>
      <c r="I455" s="22"/>
      <c r="J455" s="22"/>
      <c r="K455" s="22"/>
      <c r="L455" s="468"/>
      <c r="M455" s="468"/>
      <c r="N455" s="22"/>
      <c r="O455" s="22"/>
      <c r="P455" s="22"/>
      <c r="Q455" s="22"/>
      <c r="R455" s="22"/>
      <c r="S455" s="22"/>
      <c r="T455" s="468"/>
      <c r="U455" s="22"/>
      <c r="V455" s="22"/>
      <c r="W455" s="22"/>
      <c r="X455" s="22"/>
      <c r="Y455" s="22"/>
      <c r="Z455" s="465"/>
      <c r="AA455" s="22"/>
      <c r="AB455" s="22"/>
      <c r="AC455" s="22"/>
      <c r="AD455" s="22"/>
    </row>
    <row r="456" ht="15.75" customHeight="1">
      <c r="A456" s="22"/>
      <c r="B456" s="22"/>
      <c r="C456" s="22"/>
      <c r="D456" s="22"/>
      <c r="E456" s="22"/>
      <c r="F456" s="22"/>
      <c r="G456" s="22"/>
      <c r="H456" s="22"/>
      <c r="I456" s="22"/>
      <c r="J456" s="22"/>
      <c r="K456" s="22"/>
      <c r="L456" s="468"/>
      <c r="M456" s="468"/>
      <c r="N456" s="22"/>
      <c r="O456" s="22"/>
      <c r="P456" s="22"/>
      <c r="Q456" s="22"/>
      <c r="R456" s="22"/>
      <c r="S456" s="22"/>
      <c r="T456" s="468"/>
      <c r="U456" s="22"/>
      <c r="V456" s="22"/>
      <c r="W456" s="22"/>
      <c r="X456" s="22"/>
      <c r="Y456" s="22"/>
      <c r="Z456" s="465"/>
      <c r="AA456" s="22"/>
      <c r="AB456" s="22"/>
      <c r="AC456" s="22"/>
      <c r="AD456" s="22"/>
    </row>
    <row r="457" ht="15.75" customHeight="1">
      <c r="A457" s="22"/>
      <c r="B457" s="22"/>
      <c r="C457" s="22"/>
      <c r="D457" s="22"/>
      <c r="E457" s="22"/>
      <c r="F457" s="22"/>
      <c r="G457" s="22"/>
      <c r="H457" s="22"/>
      <c r="I457" s="22"/>
      <c r="J457" s="22"/>
      <c r="K457" s="22"/>
      <c r="L457" s="468"/>
      <c r="M457" s="468"/>
      <c r="N457" s="22"/>
      <c r="O457" s="22"/>
      <c r="P457" s="22"/>
      <c r="Q457" s="22"/>
      <c r="R457" s="22"/>
      <c r="S457" s="22"/>
      <c r="T457" s="468"/>
      <c r="U457" s="22"/>
      <c r="V457" s="22"/>
      <c r="W457" s="22"/>
      <c r="X457" s="22"/>
      <c r="Y457" s="22"/>
      <c r="Z457" s="465"/>
      <c r="AA457" s="22"/>
      <c r="AB457" s="22"/>
      <c r="AC457" s="22"/>
      <c r="AD457" s="22"/>
    </row>
    <row r="458" ht="15.75" customHeight="1">
      <c r="A458" s="22"/>
      <c r="B458" s="22"/>
      <c r="C458" s="22"/>
      <c r="D458" s="22"/>
      <c r="E458" s="22"/>
      <c r="F458" s="22"/>
      <c r="G458" s="22"/>
      <c r="H458" s="22"/>
      <c r="I458" s="22"/>
      <c r="J458" s="22"/>
      <c r="K458" s="22"/>
      <c r="L458" s="468"/>
      <c r="M458" s="468"/>
      <c r="N458" s="22"/>
      <c r="O458" s="22"/>
      <c r="P458" s="22"/>
      <c r="Q458" s="22"/>
      <c r="R458" s="22"/>
      <c r="S458" s="22"/>
      <c r="T458" s="468"/>
      <c r="U458" s="22"/>
      <c r="V458" s="22"/>
      <c r="W458" s="22"/>
      <c r="X458" s="22"/>
      <c r="Y458" s="22"/>
      <c r="Z458" s="465"/>
      <c r="AA458" s="22"/>
      <c r="AB458" s="22"/>
      <c r="AC458" s="22"/>
      <c r="AD458" s="22"/>
    </row>
    <row r="459" ht="15.75" customHeight="1">
      <c r="A459" s="22"/>
      <c r="B459" s="22"/>
      <c r="C459" s="22"/>
      <c r="D459" s="22"/>
      <c r="E459" s="22"/>
      <c r="F459" s="22"/>
      <c r="G459" s="22"/>
      <c r="H459" s="22"/>
      <c r="I459" s="22"/>
      <c r="J459" s="22"/>
      <c r="K459" s="22"/>
      <c r="L459" s="468"/>
      <c r="M459" s="468"/>
      <c r="N459" s="22"/>
      <c r="O459" s="22"/>
      <c r="P459" s="22"/>
      <c r="Q459" s="22"/>
      <c r="R459" s="22"/>
      <c r="S459" s="22"/>
      <c r="T459" s="468"/>
      <c r="U459" s="22"/>
      <c r="V459" s="22"/>
      <c r="W459" s="22"/>
      <c r="X459" s="22"/>
      <c r="Y459" s="22"/>
      <c r="Z459" s="465"/>
      <c r="AA459" s="22"/>
      <c r="AB459" s="22"/>
      <c r="AC459" s="22"/>
      <c r="AD459" s="22"/>
    </row>
    <row r="460" ht="15.75" customHeight="1">
      <c r="A460" s="22"/>
      <c r="B460" s="22"/>
      <c r="C460" s="22"/>
      <c r="D460" s="22"/>
      <c r="E460" s="22"/>
      <c r="F460" s="22"/>
      <c r="G460" s="22"/>
      <c r="H460" s="22"/>
      <c r="I460" s="22"/>
      <c r="J460" s="22"/>
      <c r="K460" s="22"/>
      <c r="L460" s="468"/>
      <c r="M460" s="468"/>
      <c r="N460" s="22"/>
      <c r="O460" s="22"/>
      <c r="P460" s="22"/>
      <c r="Q460" s="22"/>
      <c r="R460" s="22"/>
      <c r="S460" s="22"/>
      <c r="T460" s="468"/>
      <c r="U460" s="22"/>
      <c r="V460" s="22"/>
      <c r="W460" s="22"/>
      <c r="X460" s="22"/>
      <c r="Y460" s="22"/>
      <c r="Z460" s="465"/>
      <c r="AA460" s="22"/>
      <c r="AB460" s="22"/>
      <c r="AC460" s="22"/>
      <c r="AD460" s="22"/>
    </row>
    <row r="461" ht="15.75" customHeight="1">
      <c r="A461" s="22"/>
      <c r="B461" s="22"/>
      <c r="C461" s="22"/>
      <c r="D461" s="22"/>
      <c r="E461" s="22"/>
      <c r="F461" s="22"/>
      <c r="G461" s="22"/>
      <c r="H461" s="22"/>
      <c r="I461" s="22"/>
      <c r="J461" s="22"/>
      <c r="K461" s="22"/>
      <c r="L461" s="468"/>
      <c r="M461" s="468"/>
      <c r="N461" s="22"/>
      <c r="O461" s="22"/>
      <c r="P461" s="22"/>
      <c r="Q461" s="22"/>
      <c r="R461" s="22"/>
      <c r="S461" s="22"/>
      <c r="T461" s="468"/>
      <c r="U461" s="22"/>
      <c r="V461" s="22"/>
      <c r="W461" s="22"/>
      <c r="X461" s="22"/>
      <c r="Y461" s="22"/>
      <c r="Z461" s="465"/>
      <c r="AA461" s="22"/>
      <c r="AB461" s="22"/>
      <c r="AC461" s="22"/>
      <c r="AD461" s="22"/>
    </row>
    <row r="462" ht="15.75" customHeight="1">
      <c r="A462" s="22"/>
      <c r="B462" s="22"/>
      <c r="C462" s="22"/>
      <c r="D462" s="22"/>
      <c r="E462" s="22"/>
      <c r="F462" s="22"/>
      <c r="G462" s="22"/>
      <c r="H462" s="22"/>
      <c r="I462" s="22"/>
      <c r="J462" s="22"/>
      <c r="K462" s="22"/>
      <c r="L462" s="468"/>
      <c r="M462" s="468"/>
      <c r="N462" s="22"/>
      <c r="O462" s="22"/>
      <c r="P462" s="22"/>
      <c r="Q462" s="22"/>
      <c r="R462" s="22"/>
      <c r="S462" s="22"/>
      <c r="T462" s="468"/>
      <c r="U462" s="22"/>
      <c r="V462" s="22"/>
      <c r="W462" s="22"/>
      <c r="X462" s="22"/>
      <c r="Y462" s="22"/>
      <c r="Z462" s="465"/>
      <c r="AA462" s="22"/>
      <c r="AB462" s="22"/>
      <c r="AC462" s="22"/>
      <c r="AD462" s="22"/>
    </row>
    <row r="463" ht="15.75" customHeight="1">
      <c r="A463" s="22"/>
      <c r="B463" s="22"/>
      <c r="C463" s="22"/>
      <c r="D463" s="22"/>
      <c r="E463" s="22"/>
      <c r="F463" s="22"/>
      <c r="G463" s="22"/>
      <c r="H463" s="22"/>
      <c r="I463" s="22"/>
      <c r="J463" s="22"/>
      <c r="K463" s="22"/>
      <c r="L463" s="468"/>
      <c r="M463" s="468"/>
      <c r="N463" s="22"/>
      <c r="O463" s="22"/>
      <c r="P463" s="22"/>
      <c r="Q463" s="22"/>
      <c r="R463" s="22"/>
      <c r="S463" s="22"/>
      <c r="T463" s="468"/>
      <c r="U463" s="22"/>
      <c r="V463" s="22"/>
      <c r="W463" s="22"/>
      <c r="X463" s="22"/>
      <c r="Y463" s="22"/>
      <c r="Z463" s="465"/>
      <c r="AA463" s="22"/>
      <c r="AB463" s="22"/>
      <c r="AC463" s="22"/>
      <c r="AD463" s="22"/>
    </row>
    <row r="464" ht="15.75" customHeight="1">
      <c r="A464" s="22"/>
      <c r="B464" s="22"/>
      <c r="C464" s="22"/>
      <c r="D464" s="22"/>
      <c r="E464" s="22"/>
      <c r="F464" s="22"/>
      <c r="G464" s="22"/>
      <c r="H464" s="22"/>
      <c r="I464" s="22"/>
      <c r="J464" s="22"/>
      <c r="K464" s="22"/>
      <c r="L464" s="468"/>
      <c r="M464" s="468"/>
      <c r="N464" s="22"/>
      <c r="O464" s="22"/>
      <c r="P464" s="22"/>
      <c r="Q464" s="22"/>
      <c r="R464" s="22"/>
      <c r="S464" s="22"/>
      <c r="T464" s="468"/>
      <c r="U464" s="22"/>
      <c r="V464" s="22"/>
      <c r="W464" s="22"/>
      <c r="X464" s="22"/>
      <c r="Y464" s="22"/>
      <c r="Z464" s="465"/>
      <c r="AA464" s="22"/>
      <c r="AB464" s="22"/>
      <c r="AC464" s="22"/>
      <c r="AD464" s="22"/>
    </row>
    <row r="465" ht="15.75" customHeight="1">
      <c r="A465" s="22"/>
      <c r="B465" s="22"/>
      <c r="C465" s="22"/>
      <c r="D465" s="22"/>
      <c r="E465" s="22"/>
      <c r="F465" s="22"/>
      <c r="G465" s="22"/>
      <c r="H465" s="22"/>
      <c r="I465" s="22"/>
      <c r="J465" s="22"/>
      <c r="K465" s="22"/>
      <c r="L465" s="468"/>
      <c r="M465" s="468"/>
      <c r="N465" s="22"/>
      <c r="O465" s="22"/>
      <c r="P465" s="22"/>
      <c r="Q465" s="22"/>
      <c r="R465" s="22"/>
      <c r="S465" s="22"/>
      <c r="T465" s="468"/>
      <c r="U465" s="22"/>
      <c r="V465" s="22"/>
      <c r="W465" s="22"/>
      <c r="X465" s="22"/>
      <c r="Y465" s="22"/>
      <c r="Z465" s="465"/>
      <c r="AA465" s="22"/>
      <c r="AB465" s="22"/>
      <c r="AC465" s="22"/>
      <c r="AD465" s="22"/>
    </row>
    <row r="466" ht="15.75" customHeight="1">
      <c r="A466" s="22"/>
      <c r="B466" s="22"/>
      <c r="C466" s="22"/>
      <c r="D466" s="22"/>
      <c r="E466" s="22"/>
      <c r="F466" s="22"/>
      <c r="G466" s="22"/>
      <c r="H466" s="22"/>
      <c r="I466" s="22"/>
      <c r="J466" s="22"/>
      <c r="K466" s="22"/>
      <c r="L466" s="468"/>
      <c r="M466" s="468"/>
      <c r="N466" s="22"/>
      <c r="O466" s="22"/>
      <c r="P466" s="22"/>
      <c r="Q466" s="22"/>
      <c r="R466" s="22"/>
      <c r="S466" s="22"/>
      <c r="T466" s="468"/>
      <c r="U466" s="22"/>
      <c r="V466" s="22"/>
      <c r="W466" s="22"/>
      <c r="X466" s="22"/>
      <c r="Y466" s="22"/>
      <c r="Z466" s="465"/>
      <c r="AA466" s="22"/>
      <c r="AB466" s="22"/>
      <c r="AC466" s="22"/>
      <c r="AD466" s="22"/>
    </row>
    <row r="467" ht="15.75" customHeight="1">
      <c r="A467" s="22"/>
      <c r="B467" s="22"/>
      <c r="C467" s="22"/>
      <c r="D467" s="22"/>
      <c r="E467" s="22"/>
      <c r="F467" s="22"/>
      <c r="G467" s="22"/>
      <c r="H467" s="22"/>
      <c r="I467" s="22"/>
      <c r="J467" s="22"/>
      <c r="K467" s="22"/>
      <c r="L467" s="468"/>
      <c r="M467" s="468"/>
      <c r="N467" s="22"/>
      <c r="O467" s="22"/>
      <c r="P467" s="22"/>
      <c r="Q467" s="22"/>
      <c r="R467" s="22"/>
      <c r="S467" s="22"/>
      <c r="T467" s="468"/>
      <c r="U467" s="22"/>
      <c r="V467" s="22"/>
      <c r="W467" s="22"/>
      <c r="X467" s="22"/>
      <c r="Y467" s="22"/>
      <c r="Z467" s="465"/>
      <c r="AA467" s="22"/>
      <c r="AB467" s="22"/>
      <c r="AC467" s="22"/>
      <c r="AD467" s="22"/>
    </row>
    <row r="468" ht="15.75" customHeight="1">
      <c r="A468" s="22"/>
      <c r="B468" s="22"/>
      <c r="C468" s="22"/>
      <c r="D468" s="22"/>
      <c r="E468" s="22"/>
      <c r="F468" s="22"/>
      <c r="G468" s="22"/>
      <c r="H468" s="22"/>
      <c r="I468" s="22"/>
      <c r="J468" s="22"/>
      <c r="K468" s="22"/>
      <c r="L468" s="468"/>
      <c r="M468" s="468"/>
      <c r="N468" s="22"/>
      <c r="O468" s="22"/>
      <c r="P468" s="22"/>
      <c r="Q468" s="22"/>
      <c r="R468" s="22"/>
      <c r="S468" s="22"/>
      <c r="T468" s="468"/>
      <c r="U468" s="22"/>
      <c r="V468" s="22"/>
      <c r="W468" s="22"/>
      <c r="X468" s="22"/>
      <c r="Y468" s="22"/>
      <c r="Z468" s="465"/>
      <c r="AA468" s="22"/>
      <c r="AB468" s="22"/>
      <c r="AC468" s="22"/>
      <c r="AD468" s="22"/>
    </row>
    <row r="469" ht="15.75" customHeight="1">
      <c r="A469" s="22"/>
      <c r="B469" s="22"/>
      <c r="C469" s="22"/>
      <c r="D469" s="22"/>
      <c r="E469" s="22"/>
      <c r="F469" s="22"/>
      <c r="G469" s="22"/>
      <c r="H469" s="22"/>
      <c r="I469" s="22"/>
      <c r="J469" s="22"/>
      <c r="K469" s="22"/>
      <c r="L469" s="468"/>
      <c r="M469" s="468"/>
      <c r="N469" s="22"/>
      <c r="O469" s="22"/>
      <c r="P469" s="22"/>
      <c r="Q469" s="22"/>
      <c r="R469" s="22"/>
      <c r="S469" s="22"/>
      <c r="T469" s="468"/>
      <c r="U469" s="22"/>
      <c r="V469" s="22"/>
      <c r="W469" s="22"/>
      <c r="X469" s="22"/>
      <c r="Y469" s="22"/>
      <c r="Z469" s="465"/>
      <c r="AA469" s="22"/>
      <c r="AB469" s="22"/>
      <c r="AC469" s="22"/>
      <c r="AD469" s="22"/>
    </row>
    <row r="470" ht="15.75" customHeight="1">
      <c r="A470" s="22"/>
      <c r="B470" s="22"/>
      <c r="C470" s="22"/>
      <c r="D470" s="22"/>
      <c r="E470" s="22"/>
      <c r="F470" s="22"/>
      <c r="G470" s="22"/>
      <c r="H470" s="22"/>
      <c r="I470" s="22"/>
      <c r="J470" s="22"/>
      <c r="K470" s="22"/>
      <c r="L470" s="468"/>
      <c r="M470" s="468"/>
      <c r="N470" s="22"/>
      <c r="O470" s="22"/>
      <c r="P470" s="22"/>
      <c r="Q470" s="22"/>
      <c r="R470" s="22"/>
      <c r="S470" s="22"/>
      <c r="T470" s="468"/>
      <c r="U470" s="22"/>
      <c r="V470" s="22"/>
      <c r="W470" s="22"/>
      <c r="X470" s="22"/>
      <c r="Y470" s="22"/>
      <c r="Z470" s="465"/>
      <c r="AA470" s="22"/>
      <c r="AB470" s="22"/>
      <c r="AC470" s="22"/>
      <c r="AD470" s="22"/>
    </row>
    <row r="471" ht="15.75" customHeight="1">
      <c r="A471" s="22"/>
      <c r="B471" s="22"/>
      <c r="C471" s="22"/>
      <c r="D471" s="22"/>
      <c r="E471" s="22"/>
      <c r="F471" s="22"/>
      <c r="G471" s="22"/>
      <c r="H471" s="22"/>
      <c r="I471" s="22"/>
      <c r="J471" s="22"/>
      <c r="K471" s="22"/>
      <c r="L471" s="468"/>
      <c r="M471" s="468"/>
      <c r="N471" s="22"/>
      <c r="O471" s="22"/>
      <c r="P471" s="22"/>
      <c r="Q471" s="22"/>
      <c r="R471" s="22"/>
      <c r="S471" s="22"/>
      <c r="T471" s="468"/>
      <c r="U471" s="22"/>
      <c r="V471" s="22"/>
      <c r="W471" s="22"/>
      <c r="X471" s="22"/>
      <c r="Y471" s="22"/>
      <c r="Z471" s="465"/>
      <c r="AA471" s="22"/>
      <c r="AB471" s="22"/>
      <c r="AC471" s="22"/>
      <c r="AD471" s="22"/>
    </row>
    <row r="472" ht="15.75" customHeight="1">
      <c r="A472" s="22"/>
      <c r="B472" s="22"/>
      <c r="C472" s="22"/>
      <c r="D472" s="22"/>
      <c r="E472" s="22"/>
      <c r="F472" s="22"/>
      <c r="G472" s="22"/>
      <c r="H472" s="22"/>
      <c r="I472" s="22"/>
      <c r="J472" s="22"/>
      <c r="K472" s="22"/>
      <c r="L472" s="468"/>
      <c r="M472" s="468"/>
      <c r="N472" s="22"/>
      <c r="O472" s="22"/>
      <c r="P472" s="22"/>
      <c r="Q472" s="22"/>
      <c r="R472" s="22"/>
      <c r="S472" s="22"/>
      <c r="T472" s="468"/>
      <c r="U472" s="22"/>
      <c r="V472" s="22"/>
      <c r="W472" s="22"/>
      <c r="X472" s="22"/>
      <c r="Y472" s="22"/>
      <c r="Z472" s="465"/>
      <c r="AA472" s="22"/>
      <c r="AB472" s="22"/>
      <c r="AC472" s="22"/>
      <c r="AD472" s="22"/>
    </row>
    <row r="473" ht="15.75" customHeight="1">
      <c r="A473" s="22"/>
      <c r="B473" s="22"/>
      <c r="C473" s="22"/>
      <c r="D473" s="22"/>
      <c r="E473" s="22"/>
      <c r="F473" s="22"/>
      <c r="G473" s="22"/>
      <c r="H473" s="22"/>
      <c r="I473" s="22"/>
      <c r="J473" s="22"/>
      <c r="K473" s="22"/>
      <c r="L473" s="468"/>
      <c r="M473" s="468"/>
      <c r="N473" s="22"/>
      <c r="O473" s="22"/>
      <c r="P473" s="22"/>
      <c r="Q473" s="22"/>
      <c r="R473" s="22"/>
      <c r="S473" s="22"/>
      <c r="T473" s="468"/>
      <c r="U473" s="22"/>
      <c r="V473" s="22"/>
      <c r="W473" s="22"/>
      <c r="X473" s="22"/>
      <c r="Y473" s="22"/>
      <c r="Z473" s="465"/>
      <c r="AA473" s="22"/>
      <c r="AB473" s="22"/>
      <c r="AC473" s="22"/>
      <c r="AD473" s="22"/>
    </row>
    <row r="474" ht="15.75" customHeight="1">
      <c r="A474" s="22"/>
      <c r="B474" s="22"/>
      <c r="C474" s="22"/>
      <c r="D474" s="22"/>
      <c r="E474" s="22"/>
      <c r="F474" s="22"/>
      <c r="G474" s="22"/>
      <c r="H474" s="22"/>
      <c r="I474" s="22"/>
      <c r="J474" s="22"/>
      <c r="K474" s="22"/>
      <c r="L474" s="468"/>
      <c r="M474" s="468"/>
      <c r="N474" s="22"/>
      <c r="O474" s="22"/>
      <c r="P474" s="22"/>
      <c r="Q474" s="22"/>
      <c r="R474" s="22"/>
      <c r="S474" s="22"/>
      <c r="T474" s="468"/>
      <c r="U474" s="22"/>
      <c r="V474" s="22"/>
      <c r="W474" s="22"/>
      <c r="X474" s="22"/>
      <c r="Y474" s="22"/>
      <c r="Z474" s="465"/>
      <c r="AA474" s="22"/>
      <c r="AB474" s="22"/>
      <c r="AC474" s="22"/>
      <c r="AD474" s="22"/>
    </row>
    <row r="475" ht="15.75" customHeight="1">
      <c r="A475" s="22"/>
      <c r="B475" s="22"/>
      <c r="C475" s="22"/>
      <c r="D475" s="22"/>
      <c r="E475" s="22"/>
      <c r="F475" s="22"/>
      <c r="G475" s="22"/>
      <c r="H475" s="22"/>
      <c r="I475" s="22"/>
      <c r="J475" s="22"/>
      <c r="K475" s="22"/>
      <c r="L475" s="468"/>
      <c r="M475" s="468"/>
      <c r="N475" s="22"/>
      <c r="O475" s="22"/>
      <c r="P475" s="22"/>
      <c r="Q475" s="22"/>
      <c r="R475" s="22"/>
      <c r="S475" s="22"/>
      <c r="T475" s="468"/>
      <c r="U475" s="22"/>
      <c r="V475" s="22"/>
      <c r="W475" s="22"/>
      <c r="X475" s="22"/>
      <c r="Y475" s="22"/>
      <c r="Z475" s="465"/>
      <c r="AA475" s="22"/>
      <c r="AB475" s="22"/>
      <c r="AC475" s="22"/>
      <c r="AD475" s="22"/>
    </row>
    <row r="476" ht="15.75" customHeight="1">
      <c r="A476" s="22"/>
      <c r="B476" s="22"/>
      <c r="C476" s="22"/>
      <c r="D476" s="22"/>
      <c r="E476" s="22"/>
      <c r="F476" s="22"/>
      <c r="G476" s="22"/>
      <c r="H476" s="22"/>
      <c r="I476" s="22"/>
      <c r="J476" s="22"/>
      <c r="K476" s="22"/>
      <c r="L476" s="468"/>
      <c r="M476" s="468"/>
      <c r="N476" s="22"/>
      <c r="O476" s="22"/>
      <c r="P476" s="22"/>
      <c r="Q476" s="22"/>
      <c r="R476" s="22"/>
      <c r="S476" s="22"/>
      <c r="T476" s="468"/>
      <c r="U476" s="22"/>
      <c r="V476" s="22"/>
      <c r="W476" s="22"/>
      <c r="X476" s="22"/>
      <c r="Y476" s="22"/>
      <c r="Z476" s="465"/>
      <c r="AA476" s="22"/>
      <c r="AB476" s="22"/>
      <c r="AC476" s="22"/>
      <c r="AD476" s="22"/>
    </row>
    <row r="477" ht="15.75" customHeight="1">
      <c r="A477" s="22"/>
      <c r="B477" s="22"/>
      <c r="C477" s="22"/>
      <c r="D477" s="22"/>
      <c r="E477" s="22"/>
      <c r="F477" s="22"/>
      <c r="G477" s="22"/>
      <c r="H477" s="22"/>
      <c r="I477" s="22"/>
      <c r="J477" s="22"/>
      <c r="K477" s="22"/>
      <c r="L477" s="468"/>
      <c r="M477" s="468"/>
      <c r="N477" s="22"/>
      <c r="O477" s="22"/>
      <c r="P477" s="22"/>
      <c r="Q477" s="22"/>
      <c r="R477" s="22"/>
      <c r="S477" s="22"/>
      <c r="T477" s="468"/>
      <c r="U477" s="22"/>
      <c r="V477" s="22"/>
      <c r="W477" s="22"/>
      <c r="X477" s="22"/>
      <c r="Y477" s="22"/>
      <c r="Z477" s="465"/>
      <c r="AA477" s="22"/>
      <c r="AB477" s="22"/>
      <c r="AC477" s="22"/>
      <c r="AD477" s="22"/>
    </row>
    <row r="478" ht="15.75" customHeight="1">
      <c r="A478" s="22"/>
      <c r="B478" s="22"/>
      <c r="C478" s="22"/>
      <c r="D478" s="22"/>
      <c r="E478" s="22"/>
      <c r="F478" s="22"/>
      <c r="G478" s="22"/>
      <c r="H478" s="22"/>
      <c r="I478" s="22"/>
      <c r="J478" s="22"/>
      <c r="K478" s="22"/>
      <c r="L478" s="468"/>
      <c r="M478" s="468"/>
      <c r="N478" s="22"/>
      <c r="O478" s="22"/>
      <c r="P478" s="22"/>
      <c r="Q478" s="22"/>
      <c r="R478" s="22"/>
      <c r="S478" s="22"/>
      <c r="T478" s="468"/>
      <c r="U478" s="22"/>
      <c r="V478" s="22"/>
      <c r="W478" s="22"/>
      <c r="X478" s="22"/>
      <c r="Y478" s="22"/>
      <c r="Z478" s="465"/>
      <c r="AA478" s="22"/>
      <c r="AB478" s="22"/>
      <c r="AC478" s="22"/>
      <c r="AD478" s="22"/>
    </row>
    <row r="479" ht="15.75" customHeight="1">
      <c r="A479" s="22"/>
      <c r="B479" s="22"/>
      <c r="C479" s="22"/>
      <c r="D479" s="22"/>
      <c r="E479" s="22"/>
      <c r="F479" s="22"/>
      <c r="G479" s="22"/>
      <c r="H479" s="22"/>
      <c r="I479" s="22"/>
      <c r="J479" s="22"/>
      <c r="K479" s="22"/>
      <c r="L479" s="468"/>
      <c r="M479" s="468"/>
      <c r="N479" s="22"/>
      <c r="O479" s="22"/>
      <c r="P479" s="22"/>
      <c r="Q479" s="22"/>
      <c r="R479" s="22"/>
      <c r="S479" s="22"/>
      <c r="T479" s="468"/>
      <c r="U479" s="22"/>
      <c r="V479" s="22"/>
      <c r="W479" s="22"/>
      <c r="X479" s="22"/>
      <c r="Y479" s="22"/>
      <c r="Z479" s="465"/>
      <c r="AA479" s="22"/>
      <c r="AB479" s="22"/>
      <c r="AC479" s="22"/>
      <c r="AD479" s="22"/>
    </row>
    <row r="480" ht="15.75" customHeight="1">
      <c r="A480" s="22"/>
      <c r="B480" s="22"/>
      <c r="C480" s="22"/>
      <c r="D480" s="22"/>
      <c r="E480" s="22"/>
      <c r="F480" s="22"/>
      <c r="G480" s="22"/>
      <c r="H480" s="22"/>
      <c r="I480" s="22"/>
      <c r="J480" s="22"/>
      <c r="K480" s="22"/>
      <c r="L480" s="468"/>
      <c r="M480" s="468"/>
      <c r="N480" s="22"/>
      <c r="O480" s="22"/>
      <c r="P480" s="22"/>
      <c r="Q480" s="22"/>
      <c r="R480" s="22"/>
      <c r="S480" s="22"/>
      <c r="T480" s="468"/>
      <c r="U480" s="22"/>
      <c r="V480" s="22"/>
      <c r="W480" s="22"/>
      <c r="X480" s="22"/>
      <c r="Y480" s="22"/>
      <c r="Z480" s="465"/>
      <c r="AA480" s="22"/>
      <c r="AB480" s="22"/>
      <c r="AC480" s="22"/>
      <c r="AD480" s="22"/>
    </row>
    <row r="481" ht="15.75" customHeight="1">
      <c r="A481" s="22"/>
      <c r="B481" s="22"/>
      <c r="C481" s="22"/>
      <c r="D481" s="22"/>
      <c r="E481" s="22"/>
      <c r="F481" s="22"/>
      <c r="G481" s="22"/>
      <c r="H481" s="22"/>
      <c r="I481" s="22"/>
      <c r="J481" s="22"/>
      <c r="K481" s="22"/>
      <c r="L481" s="468"/>
      <c r="M481" s="468"/>
      <c r="N481" s="22"/>
      <c r="O481" s="22"/>
      <c r="P481" s="22"/>
      <c r="Q481" s="22"/>
      <c r="R481" s="22"/>
      <c r="S481" s="22"/>
      <c r="T481" s="468"/>
      <c r="U481" s="22"/>
      <c r="V481" s="22"/>
      <c r="W481" s="22"/>
      <c r="X481" s="22"/>
      <c r="Y481" s="22"/>
      <c r="Z481" s="465"/>
      <c r="AA481" s="22"/>
      <c r="AB481" s="22"/>
      <c r="AC481" s="22"/>
      <c r="AD481" s="22"/>
    </row>
    <row r="482" ht="15.75" customHeight="1">
      <c r="A482" s="22"/>
      <c r="B482" s="22"/>
      <c r="C482" s="22"/>
      <c r="D482" s="22"/>
      <c r="E482" s="22"/>
      <c r="F482" s="22"/>
      <c r="G482" s="22"/>
      <c r="H482" s="22"/>
      <c r="I482" s="22"/>
      <c r="J482" s="22"/>
      <c r="K482" s="22"/>
      <c r="L482" s="468"/>
      <c r="M482" s="468"/>
      <c r="N482" s="22"/>
      <c r="O482" s="22"/>
      <c r="P482" s="22"/>
      <c r="Q482" s="22"/>
      <c r="R482" s="22"/>
      <c r="S482" s="22"/>
      <c r="T482" s="468"/>
      <c r="U482" s="22"/>
      <c r="V482" s="22"/>
      <c r="W482" s="22"/>
      <c r="X482" s="22"/>
      <c r="Y482" s="22"/>
      <c r="Z482" s="465"/>
      <c r="AA482" s="22"/>
      <c r="AB482" s="22"/>
      <c r="AC482" s="22"/>
      <c r="AD482" s="22"/>
    </row>
    <row r="483" ht="15.75" customHeight="1">
      <c r="A483" s="22"/>
      <c r="B483" s="22"/>
      <c r="C483" s="22"/>
      <c r="D483" s="22"/>
      <c r="E483" s="22"/>
      <c r="F483" s="22"/>
      <c r="G483" s="22"/>
      <c r="H483" s="22"/>
      <c r="I483" s="22"/>
      <c r="J483" s="22"/>
      <c r="K483" s="22"/>
      <c r="L483" s="468"/>
      <c r="M483" s="468"/>
      <c r="N483" s="22"/>
      <c r="O483" s="22"/>
      <c r="P483" s="22"/>
      <c r="Q483" s="22"/>
      <c r="R483" s="22"/>
      <c r="S483" s="22"/>
      <c r="T483" s="468"/>
      <c r="U483" s="22"/>
      <c r="V483" s="22"/>
      <c r="W483" s="22"/>
      <c r="X483" s="22"/>
      <c r="Y483" s="22"/>
      <c r="Z483" s="465"/>
      <c r="AA483" s="22"/>
      <c r="AB483" s="22"/>
      <c r="AC483" s="22"/>
      <c r="AD483" s="22"/>
    </row>
    <row r="484" ht="15.75" customHeight="1">
      <c r="A484" s="22"/>
      <c r="B484" s="22"/>
      <c r="C484" s="22"/>
      <c r="D484" s="22"/>
      <c r="E484" s="22"/>
      <c r="F484" s="22"/>
      <c r="G484" s="22"/>
      <c r="H484" s="22"/>
      <c r="I484" s="22"/>
      <c r="J484" s="22"/>
      <c r="K484" s="22"/>
      <c r="L484" s="468"/>
      <c r="M484" s="468"/>
      <c r="N484" s="22"/>
      <c r="O484" s="22"/>
      <c r="P484" s="22"/>
      <c r="Q484" s="22"/>
      <c r="R484" s="22"/>
      <c r="S484" s="22"/>
      <c r="T484" s="468"/>
      <c r="U484" s="22"/>
      <c r="V484" s="22"/>
      <c r="W484" s="22"/>
      <c r="X484" s="22"/>
      <c r="Y484" s="22"/>
      <c r="Z484" s="465"/>
      <c r="AA484" s="22"/>
      <c r="AB484" s="22"/>
      <c r="AC484" s="22"/>
      <c r="AD484" s="22"/>
    </row>
    <row r="485" ht="15.75" customHeight="1">
      <c r="A485" s="22"/>
      <c r="B485" s="22"/>
      <c r="C485" s="22"/>
      <c r="D485" s="22"/>
      <c r="E485" s="22"/>
      <c r="F485" s="22"/>
      <c r="G485" s="22"/>
      <c r="H485" s="22"/>
      <c r="I485" s="22"/>
      <c r="J485" s="22"/>
      <c r="K485" s="22"/>
      <c r="L485" s="468"/>
      <c r="M485" s="468"/>
      <c r="N485" s="22"/>
      <c r="O485" s="22"/>
      <c r="P485" s="22"/>
      <c r="Q485" s="22"/>
      <c r="R485" s="22"/>
      <c r="S485" s="22"/>
      <c r="T485" s="468"/>
      <c r="U485" s="22"/>
      <c r="V485" s="22"/>
      <c r="W485" s="22"/>
      <c r="X485" s="22"/>
      <c r="Y485" s="22"/>
      <c r="Z485" s="465"/>
      <c r="AA485" s="22"/>
      <c r="AB485" s="22"/>
      <c r="AC485" s="22"/>
      <c r="AD485" s="22"/>
    </row>
    <row r="486" ht="15.75" customHeight="1">
      <c r="A486" s="22"/>
      <c r="B486" s="22"/>
      <c r="C486" s="22"/>
      <c r="D486" s="22"/>
      <c r="E486" s="22"/>
      <c r="F486" s="22"/>
      <c r="G486" s="22"/>
      <c r="H486" s="22"/>
      <c r="I486" s="22"/>
      <c r="J486" s="22"/>
      <c r="K486" s="22"/>
      <c r="L486" s="468"/>
      <c r="M486" s="468"/>
      <c r="N486" s="22"/>
      <c r="O486" s="22"/>
      <c r="P486" s="22"/>
      <c r="Q486" s="22"/>
      <c r="R486" s="22"/>
      <c r="S486" s="22"/>
      <c r="T486" s="468"/>
      <c r="U486" s="22"/>
      <c r="V486" s="22"/>
      <c r="W486" s="22"/>
      <c r="X486" s="22"/>
      <c r="Y486" s="22"/>
      <c r="Z486" s="465"/>
      <c r="AA486" s="22"/>
      <c r="AB486" s="22"/>
      <c r="AC486" s="22"/>
      <c r="AD486" s="22"/>
    </row>
    <row r="487" ht="15.75" customHeight="1">
      <c r="A487" s="22"/>
      <c r="B487" s="22"/>
      <c r="C487" s="22"/>
      <c r="D487" s="22"/>
      <c r="E487" s="22"/>
      <c r="F487" s="22"/>
      <c r="G487" s="22"/>
      <c r="H487" s="22"/>
      <c r="I487" s="22"/>
      <c r="J487" s="22"/>
      <c r="K487" s="22"/>
      <c r="L487" s="468"/>
      <c r="M487" s="468"/>
      <c r="N487" s="22"/>
      <c r="O487" s="22"/>
      <c r="P487" s="22"/>
      <c r="Q487" s="22"/>
      <c r="R487" s="22"/>
      <c r="S487" s="22"/>
      <c r="T487" s="468"/>
      <c r="U487" s="22"/>
      <c r="V487" s="22"/>
      <c r="W487" s="22"/>
      <c r="X487" s="22"/>
      <c r="Y487" s="22"/>
      <c r="Z487" s="465"/>
      <c r="AA487" s="22"/>
      <c r="AB487" s="22"/>
      <c r="AC487" s="22"/>
      <c r="AD487" s="22"/>
    </row>
    <row r="488" ht="15.75" customHeight="1">
      <c r="A488" s="22"/>
      <c r="B488" s="22"/>
      <c r="C488" s="22"/>
      <c r="D488" s="22"/>
      <c r="E488" s="22"/>
      <c r="F488" s="22"/>
      <c r="G488" s="22"/>
      <c r="H488" s="22"/>
      <c r="I488" s="22"/>
      <c r="J488" s="22"/>
      <c r="K488" s="22"/>
      <c r="L488" s="468"/>
      <c r="M488" s="468"/>
      <c r="N488" s="22"/>
      <c r="O488" s="22"/>
      <c r="P488" s="22"/>
      <c r="Q488" s="22"/>
      <c r="R488" s="22"/>
      <c r="S488" s="22"/>
      <c r="T488" s="468"/>
      <c r="U488" s="22"/>
      <c r="V488" s="22"/>
      <c r="W488" s="22"/>
      <c r="X488" s="22"/>
      <c r="Y488" s="22"/>
      <c r="Z488" s="465"/>
      <c r="AA488" s="22"/>
      <c r="AB488" s="22"/>
      <c r="AC488" s="22"/>
      <c r="AD488" s="22"/>
    </row>
    <row r="489" ht="15.75" customHeight="1">
      <c r="A489" s="22"/>
      <c r="B489" s="22"/>
      <c r="C489" s="22"/>
      <c r="D489" s="22"/>
      <c r="E489" s="22"/>
      <c r="F489" s="22"/>
      <c r="G489" s="22"/>
      <c r="H489" s="22"/>
      <c r="I489" s="22"/>
      <c r="J489" s="22"/>
      <c r="K489" s="22"/>
      <c r="L489" s="468"/>
      <c r="M489" s="468"/>
      <c r="N489" s="22"/>
      <c r="O489" s="22"/>
      <c r="P489" s="22"/>
      <c r="Q489" s="22"/>
      <c r="R489" s="22"/>
      <c r="S489" s="22"/>
      <c r="T489" s="468"/>
      <c r="U489" s="22"/>
      <c r="V489" s="22"/>
      <c r="W489" s="22"/>
      <c r="X489" s="22"/>
      <c r="Y489" s="22"/>
      <c r="Z489" s="465"/>
      <c r="AA489" s="22"/>
      <c r="AB489" s="22"/>
      <c r="AC489" s="22"/>
      <c r="AD489" s="22"/>
    </row>
    <row r="490" ht="15.75" customHeight="1">
      <c r="A490" s="22"/>
      <c r="B490" s="22"/>
      <c r="C490" s="22"/>
      <c r="D490" s="22"/>
      <c r="E490" s="22"/>
      <c r="F490" s="22"/>
      <c r="G490" s="22"/>
      <c r="H490" s="22"/>
      <c r="I490" s="22"/>
      <c r="J490" s="22"/>
      <c r="K490" s="22"/>
      <c r="L490" s="468"/>
      <c r="M490" s="468"/>
      <c r="N490" s="22"/>
      <c r="O490" s="22"/>
      <c r="P490" s="22"/>
      <c r="Q490" s="22"/>
      <c r="R490" s="22"/>
      <c r="S490" s="22"/>
      <c r="T490" s="468"/>
      <c r="U490" s="22"/>
      <c r="V490" s="22"/>
      <c r="W490" s="22"/>
      <c r="X490" s="22"/>
      <c r="Y490" s="22"/>
      <c r="Z490" s="465"/>
      <c r="AA490" s="22"/>
      <c r="AB490" s="22"/>
      <c r="AC490" s="22"/>
      <c r="AD490" s="22"/>
    </row>
    <row r="491" ht="15.75" customHeight="1">
      <c r="A491" s="22"/>
      <c r="B491" s="22"/>
      <c r="C491" s="22"/>
      <c r="D491" s="22"/>
      <c r="E491" s="22"/>
      <c r="F491" s="22"/>
      <c r="G491" s="22"/>
      <c r="H491" s="22"/>
      <c r="I491" s="22"/>
      <c r="J491" s="22"/>
      <c r="K491" s="22"/>
      <c r="L491" s="468"/>
      <c r="M491" s="468"/>
      <c r="N491" s="22"/>
      <c r="O491" s="22"/>
      <c r="P491" s="22"/>
      <c r="Q491" s="22"/>
      <c r="R491" s="22"/>
      <c r="S491" s="22"/>
      <c r="T491" s="468"/>
      <c r="U491" s="22"/>
      <c r="V491" s="22"/>
      <c r="W491" s="22"/>
      <c r="X491" s="22"/>
      <c r="Y491" s="22"/>
      <c r="Z491" s="465"/>
      <c r="AA491" s="22"/>
      <c r="AB491" s="22"/>
      <c r="AC491" s="22"/>
      <c r="AD491" s="22"/>
    </row>
    <row r="492" ht="15.75" customHeight="1">
      <c r="A492" s="22"/>
      <c r="B492" s="22"/>
      <c r="C492" s="22"/>
      <c r="D492" s="22"/>
      <c r="E492" s="22"/>
      <c r="F492" s="22"/>
      <c r="G492" s="22"/>
      <c r="H492" s="22"/>
      <c r="I492" s="22"/>
      <c r="J492" s="22"/>
      <c r="K492" s="22"/>
      <c r="L492" s="468"/>
      <c r="M492" s="468"/>
      <c r="N492" s="22"/>
      <c r="O492" s="22"/>
      <c r="P492" s="22"/>
      <c r="Q492" s="22"/>
      <c r="R492" s="22"/>
      <c r="S492" s="22"/>
      <c r="T492" s="468"/>
      <c r="U492" s="22"/>
      <c r="V492" s="22"/>
      <c r="W492" s="22"/>
      <c r="X492" s="22"/>
      <c r="Y492" s="22"/>
      <c r="Z492" s="465"/>
      <c r="AA492" s="22"/>
      <c r="AB492" s="22"/>
      <c r="AC492" s="22"/>
      <c r="AD492" s="22"/>
    </row>
    <row r="493" ht="15.75" customHeight="1">
      <c r="A493" s="22"/>
      <c r="B493" s="22"/>
      <c r="C493" s="22"/>
      <c r="D493" s="22"/>
      <c r="E493" s="22"/>
      <c r="F493" s="22"/>
      <c r="G493" s="22"/>
      <c r="H493" s="22"/>
      <c r="I493" s="22"/>
      <c r="J493" s="22"/>
      <c r="K493" s="22"/>
      <c r="L493" s="468"/>
      <c r="M493" s="468"/>
      <c r="N493" s="22"/>
      <c r="O493" s="22"/>
      <c r="P493" s="22"/>
      <c r="Q493" s="22"/>
      <c r="R493" s="22"/>
      <c r="S493" s="22"/>
      <c r="T493" s="468"/>
      <c r="U493" s="22"/>
      <c r="V493" s="22"/>
      <c r="W493" s="22"/>
      <c r="X493" s="22"/>
      <c r="Y493" s="22"/>
      <c r="Z493" s="465"/>
      <c r="AA493" s="22"/>
      <c r="AB493" s="22"/>
      <c r="AC493" s="22"/>
      <c r="AD493" s="22"/>
    </row>
    <row r="494" ht="15.75" customHeight="1">
      <c r="A494" s="22"/>
      <c r="B494" s="22"/>
      <c r="C494" s="22"/>
      <c r="D494" s="22"/>
      <c r="E494" s="22"/>
      <c r="F494" s="22"/>
      <c r="G494" s="22"/>
      <c r="H494" s="22"/>
      <c r="I494" s="22"/>
      <c r="J494" s="22"/>
      <c r="K494" s="22"/>
      <c r="L494" s="468"/>
      <c r="M494" s="468"/>
      <c r="N494" s="22"/>
      <c r="O494" s="22"/>
      <c r="P494" s="22"/>
      <c r="Q494" s="22"/>
      <c r="R494" s="22"/>
      <c r="S494" s="22"/>
      <c r="T494" s="468"/>
      <c r="U494" s="22"/>
      <c r="V494" s="22"/>
      <c r="W494" s="22"/>
      <c r="X494" s="22"/>
      <c r="Y494" s="22"/>
      <c r="Z494" s="465"/>
      <c r="AA494" s="22"/>
      <c r="AB494" s="22"/>
      <c r="AC494" s="22"/>
      <c r="AD494" s="22"/>
    </row>
    <row r="495" ht="15.75" customHeight="1">
      <c r="A495" s="22"/>
      <c r="B495" s="22"/>
      <c r="C495" s="22"/>
      <c r="D495" s="22"/>
      <c r="E495" s="22"/>
      <c r="F495" s="22"/>
      <c r="G495" s="22"/>
      <c r="H495" s="22"/>
      <c r="I495" s="22"/>
      <c r="J495" s="22"/>
      <c r="K495" s="22"/>
      <c r="L495" s="468"/>
      <c r="M495" s="468"/>
      <c r="N495" s="22"/>
      <c r="O495" s="22"/>
      <c r="P495" s="22"/>
      <c r="Q495" s="22"/>
      <c r="R495" s="22"/>
      <c r="S495" s="22"/>
      <c r="T495" s="468"/>
      <c r="U495" s="22"/>
      <c r="V495" s="22"/>
      <c r="W495" s="22"/>
      <c r="X495" s="22"/>
      <c r="Y495" s="22"/>
      <c r="Z495" s="465"/>
      <c r="AA495" s="22"/>
      <c r="AB495" s="22"/>
      <c r="AC495" s="22"/>
      <c r="AD495" s="22"/>
    </row>
    <row r="496" ht="15.75" customHeight="1">
      <c r="A496" s="22"/>
      <c r="B496" s="22"/>
      <c r="C496" s="22"/>
      <c r="D496" s="22"/>
      <c r="E496" s="22"/>
      <c r="F496" s="22"/>
      <c r="G496" s="22"/>
      <c r="H496" s="22"/>
      <c r="I496" s="22"/>
      <c r="J496" s="22"/>
      <c r="K496" s="22"/>
      <c r="L496" s="468"/>
      <c r="M496" s="468"/>
      <c r="N496" s="22"/>
      <c r="O496" s="22"/>
      <c r="P496" s="22"/>
      <c r="Q496" s="22"/>
      <c r="R496" s="22"/>
      <c r="S496" s="22"/>
      <c r="T496" s="468"/>
      <c r="U496" s="22"/>
      <c r="V496" s="22"/>
      <c r="W496" s="22"/>
      <c r="X496" s="22"/>
      <c r="Y496" s="22"/>
      <c r="Z496" s="465"/>
      <c r="AA496" s="22"/>
      <c r="AB496" s="22"/>
      <c r="AC496" s="22"/>
      <c r="AD496" s="22"/>
    </row>
    <row r="497" ht="15.75" customHeight="1">
      <c r="A497" s="22"/>
      <c r="B497" s="22"/>
      <c r="C497" s="22"/>
      <c r="D497" s="22"/>
      <c r="E497" s="22"/>
      <c r="F497" s="22"/>
      <c r="G497" s="22"/>
      <c r="H497" s="22"/>
      <c r="I497" s="22"/>
      <c r="J497" s="22"/>
      <c r="K497" s="22"/>
      <c r="L497" s="468"/>
      <c r="M497" s="468"/>
      <c r="N497" s="22"/>
      <c r="O497" s="22"/>
      <c r="P497" s="22"/>
      <c r="Q497" s="22"/>
      <c r="R497" s="22"/>
      <c r="S497" s="22"/>
      <c r="T497" s="468"/>
      <c r="U497" s="22"/>
      <c r="V497" s="22"/>
      <c r="W497" s="22"/>
      <c r="X497" s="22"/>
      <c r="Y497" s="22"/>
      <c r="Z497" s="465"/>
      <c r="AA497" s="22"/>
      <c r="AB497" s="22"/>
      <c r="AC497" s="22"/>
      <c r="AD497" s="22"/>
    </row>
    <row r="498" ht="15.75" customHeight="1">
      <c r="A498" s="22"/>
      <c r="B498" s="22"/>
      <c r="C498" s="22"/>
      <c r="D498" s="22"/>
      <c r="E498" s="22"/>
      <c r="F498" s="22"/>
      <c r="G498" s="22"/>
      <c r="H498" s="22"/>
      <c r="I498" s="22"/>
      <c r="J498" s="22"/>
      <c r="K498" s="22"/>
      <c r="L498" s="468"/>
      <c r="M498" s="468"/>
      <c r="N498" s="22"/>
      <c r="O498" s="22"/>
      <c r="P498" s="22"/>
      <c r="Q498" s="22"/>
      <c r="R498" s="22"/>
      <c r="S498" s="22"/>
      <c r="T498" s="468"/>
      <c r="U498" s="22"/>
      <c r="V498" s="22"/>
      <c r="W498" s="22"/>
      <c r="X498" s="22"/>
      <c r="Y498" s="22"/>
      <c r="Z498" s="465"/>
      <c r="AA498" s="22"/>
      <c r="AB498" s="22"/>
      <c r="AC498" s="22"/>
      <c r="AD498" s="22"/>
    </row>
    <row r="499" ht="15.75" customHeight="1">
      <c r="A499" s="22"/>
      <c r="B499" s="22"/>
      <c r="C499" s="22"/>
      <c r="D499" s="22"/>
      <c r="E499" s="22"/>
      <c r="F499" s="22"/>
      <c r="G499" s="22"/>
      <c r="H499" s="22"/>
      <c r="I499" s="22"/>
      <c r="J499" s="22"/>
      <c r="K499" s="22"/>
      <c r="L499" s="468"/>
      <c r="M499" s="468"/>
      <c r="N499" s="22"/>
      <c r="O499" s="22"/>
      <c r="P499" s="22"/>
      <c r="Q499" s="22"/>
      <c r="R499" s="22"/>
      <c r="S499" s="22"/>
      <c r="T499" s="468"/>
      <c r="U499" s="22"/>
      <c r="V499" s="22"/>
      <c r="W499" s="22"/>
      <c r="X499" s="22"/>
      <c r="Y499" s="22"/>
      <c r="Z499" s="465"/>
      <c r="AA499" s="22"/>
      <c r="AB499" s="22"/>
      <c r="AC499" s="22"/>
      <c r="AD499" s="22"/>
    </row>
    <row r="500" ht="15.75" customHeight="1">
      <c r="A500" s="22"/>
      <c r="B500" s="22"/>
      <c r="C500" s="22"/>
      <c r="D500" s="22"/>
      <c r="E500" s="22"/>
      <c r="F500" s="22"/>
      <c r="G500" s="22"/>
      <c r="H500" s="22"/>
      <c r="I500" s="22"/>
      <c r="J500" s="22"/>
      <c r="K500" s="22"/>
      <c r="L500" s="468"/>
      <c r="M500" s="468"/>
      <c r="N500" s="22"/>
      <c r="O500" s="22"/>
      <c r="P500" s="22"/>
      <c r="Q500" s="22"/>
      <c r="R500" s="22"/>
      <c r="S500" s="22"/>
      <c r="T500" s="468"/>
      <c r="U500" s="22"/>
      <c r="V500" s="22"/>
      <c r="W500" s="22"/>
      <c r="X500" s="22"/>
      <c r="Y500" s="22"/>
      <c r="Z500" s="465"/>
      <c r="AA500" s="22"/>
      <c r="AB500" s="22"/>
      <c r="AC500" s="22"/>
      <c r="AD500" s="22"/>
    </row>
    <row r="501" ht="15.75" customHeight="1">
      <c r="A501" s="22"/>
      <c r="B501" s="22"/>
      <c r="C501" s="22"/>
      <c r="D501" s="22"/>
      <c r="E501" s="22"/>
      <c r="F501" s="22"/>
      <c r="G501" s="22"/>
      <c r="H501" s="22"/>
      <c r="I501" s="22"/>
      <c r="J501" s="22"/>
      <c r="K501" s="22"/>
      <c r="L501" s="468"/>
      <c r="M501" s="468"/>
      <c r="N501" s="22"/>
      <c r="O501" s="22"/>
      <c r="P501" s="22"/>
      <c r="Q501" s="22"/>
      <c r="R501" s="22"/>
      <c r="S501" s="22"/>
      <c r="T501" s="468"/>
      <c r="U501" s="22"/>
      <c r="V501" s="22"/>
      <c r="W501" s="22"/>
      <c r="X501" s="22"/>
      <c r="Y501" s="22"/>
      <c r="Z501" s="465"/>
      <c r="AA501" s="22"/>
      <c r="AB501" s="22"/>
      <c r="AC501" s="22"/>
      <c r="AD501" s="22"/>
    </row>
    <row r="502" ht="15.75" customHeight="1">
      <c r="A502" s="22"/>
      <c r="B502" s="22"/>
      <c r="C502" s="22"/>
      <c r="D502" s="22"/>
      <c r="E502" s="22"/>
      <c r="F502" s="22"/>
      <c r="G502" s="22"/>
      <c r="H502" s="22"/>
      <c r="I502" s="22"/>
      <c r="J502" s="22"/>
      <c r="K502" s="22"/>
      <c r="L502" s="468"/>
      <c r="M502" s="468"/>
      <c r="N502" s="22"/>
      <c r="O502" s="22"/>
      <c r="P502" s="22"/>
      <c r="Q502" s="22"/>
      <c r="R502" s="22"/>
      <c r="S502" s="22"/>
      <c r="T502" s="468"/>
      <c r="U502" s="22"/>
      <c r="V502" s="22"/>
      <c r="W502" s="22"/>
      <c r="X502" s="22"/>
      <c r="Y502" s="22"/>
      <c r="Z502" s="465"/>
      <c r="AA502" s="22"/>
      <c r="AB502" s="22"/>
      <c r="AC502" s="22"/>
      <c r="AD502" s="22"/>
    </row>
    <row r="503" ht="15.75" customHeight="1">
      <c r="A503" s="22"/>
      <c r="B503" s="22"/>
      <c r="C503" s="22"/>
      <c r="D503" s="22"/>
      <c r="E503" s="22"/>
      <c r="F503" s="22"/>
      <c r="G503" s="22"/>
      <c r="H503" s="22"/>
      <c r="I503" s="22"/>
      <c r="J503" s="22"/>
      <c r="K503" s="22"/>
      <c r="L503" s="468"/>
      <c r="M503" s="468"/>
      <c r="N503" s="22"/>
      <c r="O503" s="22"/>
      <c r="P503" s="22"/>
      <c r="Q503" s="22"/>
      <c r="R503" s="22"/>
      <c r="S503" s="22"/>
      <c r="T503" s="468"/>
      <c r="U503" s="22"/>
      <c r="V503" s="22"/>
      <c r="W503" s="22"/>
      <c r="X503" s="22"/>
      <c r="Y503" s="22"/>
      <c r="Z503" s="465"/>
      <c r="AA503" s="22"/>
      <c r="AB503" s="22"/>
      <c r="AC503" s="22"/>
      <c r="AD503" s="22"/>
    </row>
    <row r="504" ht="15.75" customHeight="1">
      <c r="A504" s="22"/>
      <c r="B504" s="22"/>
      <c r="C504" s="22"/>
      <c r="D504" s="22"/>
      <c r="E504" s="22"/>
      <c r="F504" s="22"/>
      <c r="G504" s="22"/>
      <c r="H504" s="22"/>
      <c r="I504" s="22"/>
      <c r="J504" s="22"/>
      <c r="K504" s="22"/>
      <c r="L504" s="468"/>
      <c r="M504" s="468"/>
      <c r="N504" s="22"/>
      <c r="O504" s="22"/>
      <c r="P504" s="22"/>
      <c r="Q504" s="22"/>
      <c r="R504" s="22"/>
      <c r="S504" s="22"/>
      <c r="T504" s="468"/>
      <c r="U504" s="22"/>
      <c r="V504" s="22"/>
      <c r="W504" s="22"/>
      <c r="X504" s="22"/>
      <c r="Y504" s="22"/>
      <c r="Z504" s="465"/>
      <c r="AA504" s="22"/>
      <c r="AB504" s="22"/>
      <c r="AC504" s="22"/>
      <c r="AD504" s="22"/>
    </row>
    <row r="505" ht="15.75" customHeight="1">
      <c r="A505" s="22"/>
      <c r="B505" s="22"/>
      <c r="C505" s="22"/>
      <c r="D505" s="22"/>
      <c r="E505" s="22"/>
      <c r="F505" s="22"/>
      <c r="G505" s="22"/>
      <c r="H505" s="22"/>
      <c r="I505" s="22"/>
      <c r="J505" s="22"/>
      <c r="K505" s="22"/>
      <c r="L505" s="468"/>
      <c r="M505" s="468"/>
      <c r="N505" s="22"/>
      <c r="O505" s="22"/>
      <c r="P505" s="22"/>
      <c r="Q505" s="22"/>
      <c r="R505" s="22"/>
      <c r="S505" s="22"/>
      <c r="T505" s="468"/>
      <c r="U505" s="22"/>
      <c r="V505" s="22"/>
      <c r="W505" s="22"/>
      <c r="X505" s="22"/>
      <c r="Y505" s="22"/>
      <c r="Z505" s="465"/>
      <c r="AA505" s="22"/>
      <c r="AB505" s="22"/>
      <c r="AC505" s="22"/>
      <c r="AD505" s="22"/>
    </row>
    <row r="506" ht="15.75" customHeight="1">
      <c r="A506" s="22"/>
      <c r="B506" s="22"/>
      <c r="C506" s="22"/>
      <c r="D506" s="22"/>
      <c r="E506" s="22"/>
      <c r="F506" s="22"/>
      <c r="G506" s="22"/>
      <c r="H506" s="22"/>
      <c r="I506" s="22"/>
      <c r="J506" s="22"/>
      <c r="K506" s="22"/>
      <c r="L506" s="468"/>
      <c r="M506" s="468"/>
      <c r="N506" s="22"/>
      <c r="O506" s="22"/>
      <c r="P506" s="22"/>
      <c r="Q506" s="22"/>
      <c r="R506" s="22"/>
      <c r="S506" s="22"/>
      <c r="T506" s="468"/>
      <c r="U506" s="22"/>
      <c r="V506" s="22"/>
      <c r="W506" s="22"/>
      <c r="X506" s="22"/>
      <c r="Y506" s="22"/>
      <c r="Z506" s="465"/>
      <c r="AA506" s="22"/>
      <c r="AB506" s="22"/>
      <c r="AC506" s="22"/>
      <c r="AD506" s="22"/>
    </row>
    <row r="507" ht="15.75" customHeight="1">
      <c r="A507" s="22"/>
      <c r="B507" s="22"/>
      <c r="C507" s="22"/>
      <c r="D507" s="22"/>
      <c r="E507" s="22"/>
      <c r="F507" s="22"/>
      <c r="G507" s="22"/>
      <c r="H507" s="22"/>
      <c r="I507" s="22"/>
      <c r="J507" s="22"/>
      <c r="K507" s="22"/>
      <c r="L507" s="468"/>
      <c r="M507" s="468"/>
      <c r="N507" s="22"/>
      <c r="O507" s="22"/>
      <c r="P507" s="22"/>
      <c r="Q507" s="22"/>
      <c r="R507" s="22"/>
      <c r="S507" s="22"/>
      <c r="T507" s="468"/>
      <c r="U507" s="22"/>
      <c r="V507" s="22"/>
      <c r="W507" s="22"/>
      <c r="X507" s="22"/>
      <c r="Y507" s="22"/>
      <c r="Z507" s="465"/>
      <c r="AA507" s="22"/>
      <c r="AB507" s="22"/>
      <c r="AC507" s="22"/>
      <c r="AD507" s="22"/>
    </row>
    <row r="508" ht="15.75" customHeight="1">
      <c r="A508" s="22"/>
      <c r="B508" s="22"/>
      <c r="C508" s="22"/>
      <c r="D508" s="22"/>
      <c r="E508" s="22"/>
      <c r="F508" s="22"/>
      <c r="G508" s="22"/>
      <c r="H508" s="22"/>
      <c r="I508" s="22"/>
      <c r="J508" s="22"/>
      <c r="K508" s="22"/>
      <c r="L508" s="468"/>
      <c r="M508" s="468"/>
      <c r="N508" s="22"/>
      <c r="O508" s="22"/>
      <c r="P508" s="22"/>
      <c r="Q508" s="22"/>
      <c r="R508" s="22"/>
      <c r="S508" s="22"/>
      <c r="T508" s="468"/>
      <c r="U508" s="22"/>
      <c r="V508" s="22"/>
      <c r="W508" s="22"/>
      <c r="X508" s="22"/>
      <c r="Y508" s="22"/>
      <c r="Z508" s="465"/>
      <c r="AA508" s="22"/>
      <c r="AB508" s="22"/>
      <c r="AC508" s="22"/>
      <c r="AD508" s="22"/>
    </row>
    <row r="509" ht="15.75" customHeight="1">
      <c r="A509" s="22"/>
      <c r="B509" s="22"/>
      <c r="C509" s="22"/>
      <c r="D509" s="22"/>
      <c r="E509" s="22"/>
      <c r="F509" s="22"/>
      <c r="G509" s="22"/>
      <c r="H509" s="22"/>
      <c r="I509" s="22"/>
      <c r="J509" s="22"/>
      <c r="K509" s="22"/>
      <c r="L509" s="468"/>
      <c r="M509" s="468"/>
      <c r="N509" s="22"/>
      <c r="O509" s="22"/>
      <c r="P509" s="22"/>
      <c r="Q509" s="22"/>
      <c r="R509" s="22"/>
      <c r="S509" s="22"/>
      <c r="T509" s="468"/>
      <c r="U509" s="22"/>
      <c r="V509" s="22"/>
      <c r="W509" s="22"/>
      <c r="X509" s="22"/>
      <c r="Y509" s="22"/>
      <c r="Z509" s="465"/>
      <c r="AA509" s="22"/>
      <c r="AB509" s="22"/>
      <c r="AC509" s="22"/>
      <c r="AD509" s="22"/>
    </row>
    <row r="510" ht="15.75" customHeight="1">
      <c r="A510" s="22"/>
      <c r="B510" s="22"/>
      <c r="C510" s="22"/>
      <c r="D510" s="22"/>
      <c r="E510" s="22"/>
      <c r="F510" s="22"/>
      <c r="G510" s="22"/>
      <c r="H510" s="22"/>
      <c r="I510" s="22"/>
      <c r="J510" s="22"/>
      <c r="K510" s="22"/>
      <c r="L510" s="468"/>
      <c r="M510" s="468"/>
      <c r="N510" s="22"/>
      <c r="O510" s="22"/>
      <c r="P510" s="22"/>
      <c r="Q510" s="22"/>
      <c r="R510" s="22"/>
      <c r="S510" s="22"/>
      <c r="T510" s="468"/>
      <c r="U510" s="22"/>
      <c r="V510" s="22"/>
      <c r="W510" s="22"/>
      <c r="X510" s="22"/>
      <c r="Y510" s="22"/>
      <c r="Z510" s="465"/>
      <c r="AA510" s="22"/>
      <c r="AB510" s="22"/>
      <c r="AC510" s="22"/>
      <c r="AD510" s="22"/>
    </row>
    <row r="511" ht="15.75" customHeight="1">
      <c r="A511" s="22"/>
      <c r="B511" s="22"/>
      <c r="C511" s="22"/>
      <c r="D511" s="22"/>
      <c r="E511" s="22"/>
      <c r="F511" s="22"/>
      <c r="G511" s="22"/>
      <c r="H511" s="22"/>
      <c r="I511" s="22"/>
      <c r="J511" s="22"/>
      <c r="K511" s="22"/>
      <c r="L511" s="468"/>
      <c r="M511" s="468"/>
      <c r="N511" s="22"/>
      <c r="O511" s="22"/>
      <c r="P511" s="22"/>
      <c r="Q511" s="22"/>
      <c r="R511" s="22"/>
      <c r="S511" s="22"/>
      <c r="T511" s="468"/>
      <c r="U511" s="22"/>
      <c r="V511" s="22"/>
      <c r="W511" s="22"/>
      <c r="X511" s="22"/>
      <c r="Y511" s="22"/>
      <c r="Z511" s="465"/>
      <c r="AA511" s="22"/>
      <c r="AB511" s="22"/>
      <c r="AC511" s="22"/>
      <c r="AD511" s="22"/>
    </row>
    <row r="512" ht="15.75" customHeight="1">
      <c r="A512" s="22"/>
      <c r="B512" s="22"/>
      <c r="C512" s="22"/>
      <c r="D512" s="22"/>
      <c r="E512" s="22"/>
      <c r="F512" s="22"/>
      <c r="G512" s="22"/>
      <c r="H512" s="22"/>
      <c r="I512" s="22"/>
      <c r="J512" s="22"/>
      <c r="K512" s="22"/>
      <c r="L512" s="468"/>
      <c r="M512" s="468"/>
      <c r="N512" s="22"/>
      <c r="O512" s="22"/>
      <c r="P512" s="22"/>
      <c r="Q512" s="22"/>
      <c r="R512" s="22"/>
      <c r="S512" s="22"/>
      <c r="T512" s="468"/>
      <c r="U512" s="22"/>
      <c r="V512" s="22"/>
      <c r="W512" s="22"/>
      <c r="X512" s="22"/>
      <c r="Y512" s="22"/>
      <c r="Z512" s="465"/>
      <c r="AA512" s="22"/>
      <c r="AB512" s="22"/>
      <c r="AC512" s="22"/>
      <c r="AD512" s="22"/>
    </row>
    <row r="513" ht="15.75" customHeight="1">
      <c r="A513" s="22"/>
      <c r="B513" s="22"/>
      <c r="C513" s="22"/>
      <c r="D513" s="22"/>
      <c r="E513" s="22"/>
      <c r="F513" s="22"/>
      <c r="G513" s="22"/>
      <c r="H513" s="22"/>
      <c r="I513" s="22"/>
      <c r="J513" s="22"/>
      <c r="K513" s="22"/>
      <c r="L513" s="468"/>
      <c r="M513" s="468"/>
      <c r="N513" s="22"/>
      <c r="O513" s="22"/>
      <c r="P513" s="22"/>
      <c r="Q513" s="22"/>
      <c r="R513" s="22"/>
      <c r="S513" s="22"/>
      <c r="T513" s="468"/>
      <c r="U513" s="22"/>
      <c r="V513" s="22"/>
      <c r="W513" s="22"/>
      <c r="X513" s="22"/>
      <c r="Y513" s="22"/>
      <c r="Z513" s="465"/>
      <c r="AA513" s="22"/>
      <c r="AB513" s="22"/>
      <c r="AC513" s="22"/>
      <c r="AD513" s="22"/>
    </row>
    <row r="514" ht="15.75" customHeight="1">
      <c r="A514" s="22"/>
      <c r="B514" s="22"/>
      <c r="C514" s="22"/>
      <c r="D514" s="22"/>
      <c r="E514" s="22"/>
      <c r="F514" s="22"/>
      <c r="G514" s="22"/>
      <c r="H514" s="22"/>
      <c r="I514" s="22"/>
      <c r="J514" s="22"/>
      <c r="K514" s="22"/>
      <c r="L514" s="468"/>
      <c r="M514" s="468"/>
      <c r="N514" s="22"/>
      <c r="O514" s="22"/>
      <c r="P514" s="22"/>
      <c r="Q514" s="22"/>
      <c r="R514" s="22"/>
      <c r="S514" s="22"/>
      <c r="T514" s="468"/>
      <c r="U514" s="22"/>
      <c r="V514" s="22"/>
      <c r="W514" s="22"/>
      <c r="X514" s="22"/>
      <c r="Y514" s="22"/>
      <c r="Z514" s="465"/>
      <c r="AA514" s="22"/>
      <c r="AB514" s="22"/>
      <c r="AC514" s="22"/>
      <c r="AD514" s="22"/>
    </row>
    <row r="515" ht="15.75" customHeight="1">
      <c r="A515" s="22"/>
      <c r="B515" s="22"/>
      <c r="C515" s="22"/>
      <c r="D515" s="22"/>
      <c r="E515" s="22"/>
      <c r="F515" s="22"/>
      <c r="G515" s="22"/>
      <c r="H515" s="22"/>
      <c r="I515" s="22"/>
      <c r="J515" s="22"/>
      <c r="K515" s="22"/>
      <c r="L515" s="468"/>
      <c r="M515" s="468"/>
      <c r="N515" s="22"/>
      <c r="O515" s="22"/>
      <c r="P515" s="22"/>
      <c r="Q515" s="22"/>
      <c r="R515" s="22"/>
      <c r="S515" s="22"/>
      <c r="T515" s="468"/>
      <c r="U515" s="22"/>
      <c r="V515" s="22"/>
      <c r="W515" s="22"/>
      <c r="X515" s="22"/>
      <c r="Y515" s="22"/>
      <c r="Z515" s="465"/>
      <c r="AA515" s="22"/>
      <c r="AB515" s="22"/>
      <c r="AC515" s="22"/>
      <c r="AD515" s="22"/>
    </row>
    <row r="516" ht="15.75" customHeight="1">
      <c r="A516" s="22"/>
      <c r="B516" s="22"/>
      <c r="C516" s="22"/>
      <c r="D516" s="22"/>
      <c r="E516" s="22"/>
      <c r="F516" s="22"/>
      <c r="G516" s="22"/>
      <c r="H516" s="22"/>
      <c r="I516" s="22"/>
      <c r="J516" s="22"/>
      <c r="K516" s="22"/>
      <c r="L516" s="468"/>
      <c r="M516" s="468"/>
      <c r="N516" s="22"/>
      <c r="O516" s="22"/>
      <c r="P516" s="22"/>
      <c r="Q516" s="22"/>
      <c r="R516" s="22"/>
      <c r="S516" s="22"/>
      <c r="T516" s="468"/>
      <c r="U516" s="22"/>
      <c r="V516" s="22"/>
      <c r="W516" s="22"/>
      <c r="X516" s="22"/>
      <c r="Y516" s="22"/>
      <c r="Z516" s="465"/>
      <c r="AA516" s="22"/>
      <c r="AB516" s="22"/>
      <c r="AC516" s="22"/>
      <c r="AD516" s="22"/>
    </row>
    <row r="517" ht="15.75" customHeight="1">
      <c r="A517" s="22"/>
      <c r="B517" s="22"/>
      <c r="C517" s="22"/>
      <c r="D517" s="22"/>
      <c r="E517" s="22"/>
      <c r="F517" s="22"/>
      <c r="G517" s="22"/>
      <c r="H517" s="22"/>
      <c r="I517" s="22"/>
      <c r="J517" s="22"/>
      <c r="K517" s="22"/>
      <c r="L517" s="468"/>
      <c r="M517" s="468"/>
      <c r="N517" s="22"/>
      <c r="O517" s="22"/>
      <c r="P517" s="22"/>
      <c r="Q517" s="22"/>
      <c r="R517" s="22"/>
      <c r="S517" s="22"/>
      <c r="T517" s="468"/>
      <c r="U517" s="22"/>
      <c r="V517" s="22"/>
      <c r="W517" s="22"/>
      <c r="X517" s="22"/>
      <c r="Y517" s="22"/>
      <c r="Z517" s="465"/>
      <c r="AA517" s="22"/>
      <c r="AB517" s="22"/>
      <c r="AC517" s="22"/>
      <c r="AD517" s="22"/>
    </row>
    <row r="518" ht="15.75" customHeight="1">
      <c r="A518" s="22"/>
      <c r="B518" s="22"/>
      <c r="C518" s="22"/>
      <c r="D518" s="22"/>
      <c r="E518" s="22"/>
      <c r="F518" s="22"/>
      <c r="G518" s="22"/>
      <c r="H518" s="22"/>
      <c r="I518" s="22"/>
      <c r="J518" s="22"/>
      <c r="K518" s="22"/>
      <c r="L518" s="468"/>
      <c r="M518" s="468"/>
      <c r="N518" s="22"/>
      <c r="O518" s="22"/>
      <c r="P518" s="22"/>
      <c r="Q518" s="22"/>
      <c r="R518" s="22"/>
      <c r="S518" s="22"/>
      <c r="T518" s="468"/>
      <c r="U518" s="22"/>
      <c r="V518" s="22"/>
      <c r="W518" s="22"/>
      <c r="X518" s="22"/>
      <c r="Y518" s="22"/>
      <c r="Z518" s="465"/>
      <c r="AA518" s="22"/>
      <c r="AB518" s="22"/>
      <c r="AC518" s="22"/>
      <c r="AD518" s="22"/>
    </row>
    <row r="519" ht="15.75" customHeight="1">
      <c r="A519" s="22"/>
      <c r="B519" s="22"/>
      <c r="C519" s="22"/>
      <c r="D519" s="22"/>
      <c r="E519" s="22"/>
      <c r="F519" s="22"/>
      <c r="G519" s="22"/>
      <c r="H519" s="22"/>
      <c r="I519" s="22"/>
      <c r="J519" s="22"/>
      <c r="K519" s="22"/>
      <c r="L519" s="468"/>
      <c r="M519" s="468"/>
      <c r="N519" s="22"/>
      <c r="O519" s="22"/>
      <c r="P519" s="22"/>
      <c r="Q519" s="22"/>
      <c r="R519" s="22"/>
      <c r="S519" s="22"/>
      <c r="T519" s="468"/>
      <c r="U519" s="22"/>
      <c r="V519" s="22"/>
      <c r="W519" s="22"/>
      <c r="X519" s="22"/>
      <c r="Y519" s="22"/>
      <c r="Z519" s="465"/>
      <c r="AA519" s="22"/>
      <c r="AB519" s="22"/>
      <c r="AC519" s="22"/>
      <c r="AD519" s="22"/>
    </row>
    <row r="520" ht="15.75" customHeight="1">
      <c r="A520" s="22"/>
      <c r="B520" s="22"/>
      <c r="C520" s="22"/>
      <c r="D520" s="22"/>
      <c r="E520" s="22"/>
      <c r="F520" s="22"/>
      <c r="G520" s="22"/>
      <c r="H520" s="22"/>
      <c r="I520" s="22"/>
      <c r="J520" s="22"/>
      <c r="K520" s="22"/>
      <c r="L520" s="468"/>
      <c r="M520" s="468"/>
      <c r="N520" s="22"/>
      <c r="O520" s="22"/>
      <c r="P520" s="22"/>
      <c r="Q520" s="22"/>
      <c r="R520" s="22"/>
      <c r="S520" s="22"/>
      <c r="T520" s="468"/>
      <c r="U520" s="22"/>
      <c r="V520" s="22"/>
      <c r="W520" s="22"/>
      <c r="X520" s="22"/>
      <c r="Y520" s="22"/>
      <c r="Z520" s="465"/>
      <c r="AA520" s="22"/>
      <c r="AB520" s="22"/>
      <c r="AC520" s="22"/>
      <c r="AD520" s="22"/>
    </row>
    <row r="521" ht="15.75" customHeight="1">
      <c r="A521" s="22"/>
      <c r="B521" s="22"/>
      <c r="C521" s="22"/>
      <c r="D521" s="22"/>
      <c r="E521" s="22"/>
      <c r="F521" s="22"/>
      <c r="G521" s="22"/>
      <c r="H521" s="22"/>
      <c r="I521" s="22"/>
      <c r="J521" s="22"/>
      <c r="K521" s="22"/>
      <c r="L521" s="468"/>
      <c r="M521" s="468"/>
      <c r="N521" s="22"/>
      <c r="O521" s="22"/>
      <c r="P521" s="22"/>
      <c r="Q521" s="22"/>
      <c r="R521" s="22"/>
      <c r="S521" s="22"/>
      <c r="T521" s="468"/>
      <c r="U521" s="22"/>
      <c r="V521" s="22"/>
      <c r="W521" s="22"/>
      <c r="X521" s="22"/>
      <c r="Y521" s="22"/>
      <c r="Z521" s="465"/>
      <c r="AA521" s="22"/>
      <c r="AB521" s="22"/>
      <c r="AC521" s="22"/>
      <c r="AD521" s="22"/>
    </row>
    <row r="522" ht="15.75" customHeight="1">
      <c r="A522" s="22"/>
      <c r="B522" s="22"/>
      <c r="C522" s="22"/>
      <c r="D522" s="22"/>
      <c r="E522" s="22"/>
      <c r="F522" s="22"/>
      <c r="G522" s="22"/>
      <c r="H522" s="22"/>
      <c r="I522" s="22"/>
      <c r="J522" s="22"/>
      <c r="K522" s="22"/>
      <c r="L522" s="468"/>
      <c r="M522" s="468"/>
      <c r="N522" s="22"/>
      <c r="O522" s="22"/>
      <c r="P522" s="22"/>
      <c r="Q522" s="22"/>
      <c r="R522" s="22"/>
      <c r="S522" s="22"/>
      <c r="T522" s="468"/>
      <c r="U522" s="22"/>
      <c r="V522" s="22"/>
      <c r="W522" s="22"/>
      <c r="X522" s="22"/>
      <c r="Y522" s="22"/>
      <c r="Z522" s="465"/>
      <c r="AA522" s="22"/>
      <c r="AB522" s="22"/>
      <c r="AC522" s="22"/>
      <c r="AD522" s="22"/>
    </row>
    <row r="523" ht="15.75" customHeight="1">
      <c r="A523" s="22"/>
      <c r="B523" s="22"/>
      <c r="C523" s="22"/>
      <c r="D523" s="22"/>
      <c r="E523" s="22"/>
      <c r="F523" s="22"/>
      <c r="G523" s="22"/>
      <c r="H523" s="22"/>
      <c r="I523" s="22"/>
      <c r="J523" s="22"/>
      <c r="K523" s="22"/>
      <c r="L523" s="468"/>
      <c r="M523" s="468"/>
      <c r="N523" s="22"/>
      <c r="O523" s="22"/>
      <c r="P523" s="22"/>
      <c r="Q523" s="22"/>
      <c r="R523" s="22"/>
      <c r="S523" s="22"/>
      <c r="T523" s="468"/>
      <c r="U523" s="22"/>
      <c r="V523" s="22"/>
      <c r="W523" s="22"/>
      <c r="X523" s="22"/>
      <c r="Y523" s="22"/>
      <c r="Z523" s="465"/>
      <c r="AA523" s="22"/>
      <c r="AB523" s="22"/>
      <c r="AC523" s="22"/>
      <c r="AD523" s="22"/>
    </row>
    <row r="524" ht="15.75" customHeight="1">
      <c r="A524" s="22"/>
      <c r="B524" s="22"/>
      <c r="C524" s="22"/>
      <c r="D524" s="22"/>
      <c r="E524" s="22"/>
      <c r="F524" s="22"/>
      <c r="G524" s="22"/>
      <c r="H524" s="22"/>
      <c r="I524" s="22"/>
      <c r="J524" s="22"/>
      <c r="K524" s="22"/>
      <c r="L524" s="468"/>
      <c r="M524" s="468"/>
      <c r="N524" s="22"/>
      <c r="O524" s="22"/>
      <c r="P524" s="22"/>
      <c r="Q524" s="22"/>
      <c r="R524" s="22"/>
      <c r="S524" s="22"/>
      <c r="T524" s="468"/>
      <c r="U524" s="22"/>
      <c r="V524" s="22"/>
      <c r="W524" s="22"/>
      <c r="X524" s="22"/>
      <c r="Y524" s="22"/>
      <c r="Z524" s="465"/>
      <c r="AA524" s="22"/>
      <c r="AB524" s="22"/>
      <c r="AC524" s="22"/>
      <c r="AD524" s="22"/>
    </row>
    <row r="525" ht="15.75" customHeight="1">
      <c r="A525" s="22"/>
      <c r="B525" s="22"/>
      <c r="C525" s="22"/>
      <c r="D525" s="22"/>
      <c r="E525" s="22"/>
      <c r="F525" s="22"/>
      <c r="G525" s="22"/>
      <c r="H525" s="22"/>
      <c r="I525" s="22"/>
      <c r="J525" s="22"/>
      <c r="K525" s="22"/>
      <c r="L525" s="468"/>
      <c r="M525" s="468"/>
      <c r="N525" s="22"/>
      <c r="O525" s="22"/>
      <c r="P525" s="22"/>
      <c r="Q525" s="22"/>
      <c r="R525" s="22"/>
      <c r="S525" s="22"/>
      <c r="T525" s="468"/>
      <c r="U525" s="22"/>
      <c r="V525" s="22"/>
      <c r="W525" s="22"/>
      <c r="X525" s="22"/>
      <c r="Y525" s="22"/>
      <c r="Z525" s="465"/>
      <c r="AA525" s="22"/>
      <c r="AB525" s="22"/>
      <c r="AC525" s="22"/>
      <c r="AD525" s="22"/>
    </row>
    <row r="526" ht="15.75" customHeight="1">
      <c r="A526" s="22"/>
      <c r="B526" s="22"/>
      <c r="C526" s="22"/>
      <c r="D526" s="22"/>
      <c r="E526" s="22"/>
      <c r="F526" s="22"/>
      <c r="G526" s="22"/>
      <c r="H526" s="22"/>
      <c r="I526" s="22"/>
      <c r="J526" s="22"/>
      <c r="K526" s="22"/>
      <c r="L526" s="468"/>
      <c r="M526" s="468"/>
      <c r="N526" s="22"/>
      <c r="O526" s="22"/>
      <c r="P526" s="22"/>
      <c r="Q526" s="22"/>
      <c r="R526" s="22"/>
      <c r="S526" s="22"/>
      <c r="T526" s="468"/>
      <c r="U526" s="22"/>
      <c r="V526" s="22"/>
      <c r="W526" s="22"/>
      <c r="X526" s="22"/>
      <c r="Y526" s="22"/>
      <c r="Z526" s="465"/>
      <c r="AA526" s="22"/>
      <c r="AB526" s="22"/>
      <c r="AC526" s="22"/>
      <c r="AD526" s="22"/>
    </row>
    <row r="527" ht="15.75" customHeight="1">
      <c r="A527" s="22"/>
      <c r="B527" s="22"/>
      <c r="C527" s="22"/>
      <c r="D527" s="22"/>
      <c r="E527" s="22"/>
      <c r="F527" s="22"/>
      <c r="G527" s="22"/>
      <c r="H527" s="22"/>
      <c r="I527" s="22"/>
      <c r="J527" s="22"/>
      <c r="K527" s="22"/>
      <c r="L527" s="468"/>
      <c r="M527" s="468"/>
      <c r="N527" s="22"/>
      <c r="O527" s="22"/>
      <c r="P527" s="22"/>
      <c r="Q527" s="22"/>
      <c r="R527" s="22"/>
      <c r="S527" s="22"/>
      <c r="T527" s="468"/>
      <c r="U527" s="22"/>
      <c r="V527" s="22"/>
      <c r="W527" s="22"/>
      <c r="X527" s="22"/>
      <c r="Y527" s="22"/>
      <c r="Z527" s="465"/>
      <c r="AA527" s="22"/>
      <c r="AB527" s="22"/>
      <c r="AC527" s="22"/>
      <c r="AD527" s="22"/>
    </row>
    <row r="528" ht="15.75" customHeight="1">
      <c r="A528" s="22"/>
      <c r="B528" s="22"/>
      <c r="C528" s="22"/>
      <c r="D528" s="22"/>
      <c r="E528" s="22"/>
      <c r="F528" s="22"/>
      <c r="G528" s="22"/>
      <c r="H528" s="22"/>
      <c r="I528" s="22"/>
      <c r="J528" s="22"/>
      <c r="K528" s="22"/>
      <c r="L528" s="468"/>
      <c r="M528" s="468"/>
      <c r="N528" s="22"/>
      <c r="O528" s="22"/>
      <c r="P528" s="22"/>
      <c r="Q528" s="22"/>
      <c r="R528" s="22"/>
      <c r="S528" s="22"/>
      <c r="T528" s="468"/>
      <c r="U528" s="22"/>
      <c r="V528" s="22"/>
      <c r="W528" s="22"/>
      <c r="X528" s="22"/>
      <c r="Y528" s="22"/>
      <c r="Z528" s="465"/>
      <c r="AA528" s="22"/>
      <c r="AB528" s="22"/>
      <c r="AC528" s="22"/>
      <c r="AD528" s="22"/>
    </row>
    <row r="529" ht="15.75" customHeight="1">
      <c r="A529" s="22"/>
      <c r="B529" s="22"/>
      <c r="C529" s="22"/>
      <c r="D529" s="22"/>
      <c r="E529" s="22"/>
      <c r="F529" s="22"/>
      <c r="G529" s="22"/>
      <c r="H529" s="22"/>
      <c r="I529" s="22"/>
      <c r="J529" s="22"/>
      <c r="K529" s="22"/>
      <c r="L529" s="468"/>
      <c r="M529" s="468"/>
      <c r="N529" s="22"/>
      <c r="O529" s="22"/>
      <c r="P529" s="22"/>
      <c r="Q529" s="22"/>
      <c r="R529" s="22"/>
      <c r="S529" s="22"/>
      <c r="T529" s="468"/>
      <c r="U529" s="22"/>
      <c r="V529" s="22"/>
      <c r="W529" s="22"/>
      <c r="X529" s="22"/>
      <c r="Y529" s="22"/>
      <c r="Z529" s="465"/>
      <c r="AA529" s="22"/>
      <c r="AB529" s="22"/>
      <c r="AC529" s="22"/>
      <c r="AD529" s="22"/>
    </row>
    <row r="530" ht="15.75" customHeight="1">
      <c r="A530" s="22"/>
      <c r="B530" s="22"/>
      <c r="C530" s="22"/>
      <c r="D530" s="22"/>
      <c r="E530" s="22"/>
      <c r="F530" s="22"/>
      <c r="G530" s="22"/>
      <c r="H530" s="22"/>
      <c r="I530" s="22"/>
      <c r="J530" s="22"/>
      <c r="K530" s="22"/>
      <c r="L530" s="468"/>
      <c r="M530" s="468"/>
      <c r="N530" s="22"/>
      <c r="O530" s="22"/>
      <c r="P530" s="22"/>
      <c r="Q530" s="22"/>
      <c r="R530" s="22"/>
      <c r="S530" s="22"/>
      <c r="T530" s="468"/>
      <c r="U530" s="22"/>
      <c r="V530" s="22"/>
      <c r="W530" s="22"/>
      <c r="X530" s="22"/>
      <c r="Y530" s="22"/>
      <c r="Z530" s="465"/>
      <c r="AA530" s="22"/>
      <c r="AB530" s="22"/>
      <c r="AC530" s="22"/>
      <c r="AD530" s="22"/>
    </row>
    <row r="531" ht="15.75" customHeight="1">
      <c r="A531" s="22"/>
      <c r="B531" s="22"/>
      <c r="C531" s="22"/>
      <c r="D531" s="22"/>
      <c r="E531" s="22"/>
      <c r="F531" s="22"/>
      <c r="G531" s="22"/>
      <c r="H531" s="22"/>
      <c r="I531" s="22"/>
      <c r="J531" s="22"/>
      <c r="K531" s="22"/>
      <c r="L531" s="468"/>
      <c r="M531" s="468"/>
      <c r="N531" s="22"/>
      <c r="O531" s="22"/>
      <c r="P531" s="22"/>
      <c r="Q531" s="22"/>
      <c r="R531" s="22"/>
      <c r="S531" s="22"/>
      <c r="T531" s="468"/>
      <c r="U531" s="22"/>
      <c r="V531" s="22"/>
      <c r="W531" s="22"/>
      <c r="X531" s="22"/>
      <c r="Y531" s="22"/>
      <c r="Z531" s="465"/>
      <c r="AA531" s="22"/>
      <c r="AB531" s="22"/>
      <c r="AC531" s="22"/>
      <c r="AD531" s="22"/>
    </row>
    <row r="532" ht="15.75" customHeight="1">
      <c r="A532" s="22"/>
      <c r="B532" s="22"/>
      <c r="C532" s="22"/>
      <c r="D532" s="22"/>
      <c r="E532" s="22"/>
      <c r="F532" s="22"/>
      <c r="G532" s="22"/>
      <c r="H532" s="22"/>
      <c r="I532" s="22"/>
      <c r="J532" s="22"/>
      <c r="K532" s="22"/>
      <c r="L532" s="468"/>
      <c r="M532" s="468"/>
      <c r="N532" s="22"/>
      <c r="O532" s="22"/>
      <c r="P532" s="22"/>
      <c r="Q532" s="22"/>
      <c r="R532" s="22"/>
      <c r="S532" s="22"/>
      <c r="T532" s="468"/>
      <c r="U532" s="22"/>
      <c r="V532" s="22"/>
      <c r="W532" s="22"/>
      <c r="X532" s="22"/>
      <c r="Y532" s="22"/>
      <c r="Z532" s="465"/>
      <c r="AA532" s="22"/>
      <c r="AB532" s="22"/>
      <c r="AC532" s="22"/>
      <c r="AD532" s="22"/>
    </row>
    <row r="533" ht="15.75" customHeight="1">
      <c r="A533" s="22"/>
      <c r="B533" s="22"/>
      <c r="C533" s="22"/>
      <c r="D533" s="22"/>
      <c r="E533" s="22"/>
      <c r="F533" s="22"/>
      <c r="G533" s="22"/>
      <c r="H533" s="22"/>
      <c r="I533" s="22"/>
      <c r="J533" s="22"/>
      <c r="K533" s="22"/>
      <c r="L533" s="468"/>
      <c r="M533" s="468"/>
      <c r="N533" s="22"/>
      <c r="O533" s="22"/>
      <c r="P533" s="22"/>
      <c r="Q533" s="22"/>
      <c r="R533" s="22"/>
      <c r="S533" s="22"/>
      <c r="T533" s="468"/>
      <c r="U533" s="22"/>
      <c r="V533" s="22"/>
      <c r="W533" s="22"/>
      <c r="X533" s="22"/>
      <c r="Y533" s="22"/>
      <c r="Z533" s="465"/>
      <c r="AA533" s="22"/>
      <c r="AB533" s="22"/>
      <c r="AC533" s="22"/>
      <c r="AD533" s="22"/>
    </row>
    <row r="534" ht="15.75" customHeight="1">
      <c r="A534" s="22"/>
      <c r="B534" s="22"/>
      <c r="C534" s="22"/>
      <c r="D534" s="22"/>
      <c r="E534" s="22"/>
      <c r="F534" s="22"/>
      <c r="G534" s="22"/>
      <c r="H534" s="22"/>
      <c r="I534" s="22"/>
      <c r="J534" s="22"/>
      <c r="K534" s="22"/>
      <c r="L534" s="468"/>
      <c r="M534" s="468"/>
      <c r="N534" s="22"/>
      <c r="O534" s="22"/>
      <c r="P534" s="22"/>
      <c r="Q534" s="22"/>
      <c r="R534" s="22"/>
      <c r="S534" s="22"/>
      <c r="T534" s="468"/>
      <c r="U534" s="22"/>
      <c r="V534" s="22"/>
      <c r="W534" s="22"/>
      <c r="X534" s="22"/>
      <c r="Y534" s="22"/>
      <c r="Z534" s="465"/>
      <c r="AA534" s="22"/>
      <c r="AB534" s="22"/>
      <c r="AC534" s="22"/>
      <c r="AD534" s="22"/>
    </row>
    <row r="535" ht="15.75" customHeight="1">
      <c r="A535" s="22"/>
      <c r="B535" s="22"/>
      <c r="C535" s="22"/>
      <c r="D535" s="22"/>
      <c r="E535" s="22"/>
      <c r="F535" s="22"/>
      <c r="G535" s="22"/>
      <c r="H535" s="22"/>
      <c r="I535" s="22"/>
      <c r="J535" s="22"/>
      <c r="K535" s="22"/>
      <c r="L535" s="468"/>
      <c r="M535" s="468"/>
      <c r="N535" s="22"/>
      <c r="O535" s="22"/>
      <c r="P535" s="22"/>
      <c r="Q535" s="22"/>
      <c r="R535" s="22"/>
      <c r="S535" s="22"/>
      <c r="T535" s="468"/>
      <c r="U535" s="22"/>
      <c r="V535" s="22"/>
      <c r="W535" s="22"/>
      <c r="X535" s="22"/>
      <c r="Y535" s="22"/>
      <c r="Z535" s="465"/>
      <c r="AA535" s="22"/>
      <c r="AB535" s="22"/>
      <c r="AC535" s="22"/>
      <c r="AD535" s="22"/>
    </row>
    <row r="536" ht="15.75" customHeight="1">
      <c r="A536" s="22"/>
      <c r="B536" s="22"/>
      <c r="C536" s="22"/>
      <c r="D536" s="22"/>
      <c r="E536" s="22"/>
      <c r="F536" s="22"/>
      <c r="G536" s="22"/>
      <c r="H536" s="22"/>
      <c r="I536" s="22"/>
      <c r="J536" s="22"/>
      <c r="K536" s="22"/>
      <c r="L536" s="468"/>
      <c r="M536" s="468"/>
      <c r="N536" s="22"/>
      <c r="O536" s="22"/>
      <c r="P536" s="22"/>
      <c r="Q536" s="22"/>
      <c r="R536" s="22"/>
      <c r="S536" s="22"/>
      <c r="T536" s="468"/>
      <c r="U536" s="22"/>
      <c r="V536" s="22"/>
      <c r="W536" s="22"/>
      <c r="X536" s="22"/>
      <c r="Y536" s="22"/>
      <c r="Z536" s="465"/>
      <c r="AA536" s="22"/>
      <c r="AB536" s="22"/>
      <c r="AC536" s="22"/>
      <c r="AD536" s="22"/>
    </row>
    <row r="537" ht="15.75" customHeight="1">
      <c r="A537" s="22"/>
      <c r="B537" s="22"/>
      <c r="C537" s="22"/>
      <c r="D537" s="22"/>
      <c r="E537" s="22"/>
      <c r="F537" s="22"/>
      <c r="G537" s="22"/>
      <c r="H537" s="22"/>
      <c r="I537" s="22"/>
      <c r="J537" s="22"/>
      <c r="K537" s="22"/>
      <c r="L537" s="468"/>
      <c r="M537" s="468"/>
      <c r="N537" s="22"/>
      <c r="O537" s="22"/>
      <c r="P537" s="22"/>
      <c r="Q537" s="22"/>
      <c r="R537" s="22"/>
      <c r="S537" s="22"/>
      <c r="T537" s="468"/>
      <c r="U537" s="22"/>
      <c r="V537" s="22"/>
      <c r="W537" s="22"/>
      <c r="X537" s="22"/>
      <c r="Y537" s="22"/>
      <c r="Z537" s="465"/>
      <c r="AA537" s="22"/>
      <c r="AB537" s="22"/>
      <c r="AC537" s="22"/>
      <c r="AD537" s="22"/>
    </row>
    <row r="538" ht="15.75" customHeight="1">
      <c r="A538" s="22"/>
      <c r="B538" s="22"/>
      <c r="C538" s="22"/>
      <c r="D538" s="22"/>
      <c r="E538" s="22"/>
      <c r="F538" s="22"/>
      <c r="G538" s="22"/>
      <c r="H538" s="22"/>
      <c r="I538" s="22"/>
      <c r="J538" s="22"/>
      <c r="K538" s="22"/>
      <c r="L538" s="468"/>
      <c r="M538" s="468"/>
      <c r="N538" s="22"/>
      <c r="O538" s="22"/>
      <c r="P538" s="22"/>
      <c r="Q538" s="22"/>
      <c r="R538" s="22"/>
      <c r="S538" s="22"/>
      <c r="T538" s="468"/>
      <c r="U538" s="22"/>
      <c r="V538" s="22"/>
      <c r="W538" s="22"/>
      <c r="X538" s="22"/>
      <c r="Y538" s="22"/>
      <c r="Z538" s="465"/>
      <c r="AA538" s="22"/>
      <c r="AB538" s="22"/>
      <c r="AC538" s="22"/>
      <c r="AD538" s="22"/>
    </row>
    <row r="539" ht="15.75" customHeight="1">
      <c r="A539" s="22"/>
      <c r="B539" s="22"/>
      <c r="C539" s="22"/>
      <c r="D539" s="22"/>
      <c r="E539" s="22"/>
      <c r="F539" s="22"/>
      <c r="G539" s="22"/>
      <c r="H539" s="22"/>
      <c r="I539" s="22"/>
      <c r="J539" s="22"/>
      <c r="K539" s="22"/>
      <c r="L539" s="468"/>
      <c r="M539" s="468"/>
      <c r="N539" s="22"/>
      <c r="O539" s="22"/>
      <c r="P539" s="22"/>
      <c r="Q539" s="22"/>
      <c r="R539" s="22"/>
      <c r="S539" s="22"/>
      <c r="T539" s="468"/>
      <c r="U539" s="22"/>
      <c r="V539" s="22"/>
      <c r="W539" s="22"/>
      <c r="X539" s="22"/>
      <c r="Y539" s="22"/>
      <c r="Z539" s="465"/>
      <c r="AA539" s="22"/>
      <c r="AB539" s="22"/>
      <c r="AC539" s="22"/>
      <c r="AD539" s="22"/>
    </row>
    <row r="540" ht="15.75" customHeight="1">
      <c r="A540" s="22"/>
      <c r="B540" s="22"/>
      <c r="C540" s="22"/>
      <c r="D540" s="22"/>
      <c r="E540" s="22"/>
      <c r="F540" s="22"/>
      <c r="G540" s="22"/>
      <c r="H540" s="22"/>
      <c r="I540" s="22"/>
      <c r="J540" s="22"/>
      <c r="K540" s="22"/>
      <c r="L540" s="468"/>
      <c r="M540" s="468"/>
      <c r="N540" s="22"/>
      <c r="O540" s="22"/>
      <c r="P540" s="22"/>
      <c r="Q540" s="22"/>
      <c r="R540" s="22"/>
      <c r="S540" s="22"/>
      <c r="T540" s="468"/>
      <c r="U540" s="22"/>
      <c r="V540" s="22"/>
      <c r="W540" s="22"/>
      <c r="X540" s="22"/>
      <c r="Y540" s="22"/>
      <c r="Z540" s="465"/>
      <c r="AA540" s="22"/>
      <c r="AB540" s="22"/>
      <c r="AC540" s="22"/>
      <c r="AD540" s="22"/>
    </row>
    <row r="541" ht="15.75" customHeight="1">
      <c r="A541" s="22"/>
      <c r="B541" s="22"/>
      <c r="C541" s="22"/>
      <c r="D541" s="22"/>
      <c r="E541" s="22"/>
      <c r="F541" s="22"/>
      <c r="G541" s="22"/>
      <c r="H541" s="22"/>
      <c r="I541" s="22"/>
      <c r="J541" s="22"/>
      <c r="K541" s="22"/>
      <c r="L541" s="468"/>
      <c r="M541" s="468"/>
      <c r="N541" s="22"/>
      <c r="O541" s="22"/>
      <c r="P541" s="22"/>
      <c r="Q541" s="22"/>
      <c r="R541" s="22"/>
      <c r="S541" s="22"/>
      <c r="T541" s="468"/>
      <c r="U541" s="22"/>
      <c r="V541" s="22"/>
      <c r="W541" s="22"/>
      <c r="X541" s="22"/>
      <c r="Y541" s="22"/>
      <c r="Z541" s="465"/>
      <c r="AA541" s="22"/>
      <c r="AB541" s="22"/>
      <c r="AC541" s="22"/>
      <c r="AD541" s="22"/>
    </row>
    <row r="542" ht="15.75" customHeight="1">
      <c r="A542" s="22"/>
      <c r="B542" s="22"/>
      <c r="C542" s="22"/>
      <c r="D542" s="22"/>
      <c r="E542" s="22"/>
      <c r="F542" s="22"/>
      <c r="G542" s="22"/>
      <c r="H542" s="22"/>
      <c r="I542" s="22"/>
      <c r="J542" s="22"/>
      <c r="K542" s="22"/>
      <c r="L542" s="468"/>
      <c r="M542" s="468"/>
      <c r="N542" s="22"/>
      <c r="O542" s="22"/>
      <c r="P542" s="22"/>
      <c r="Q542" s="22"/>
      <c r="R542" s="22"/>
      <c r="S542" s="22"/>
      <c r="T542" s="468"/>
      <c r="U542" s="22"/>
      <c r="V542" s="22"/>
      <c r="W542" s="22"/>
      <c r="X542" s="22"/>
      <c r="Y542" s="22"/>
      <c r="Z542" s="465"/>
      <c r="AA542" s="22"/>
      <c r="AB542" s="22"/>
      <c r="AC542" s="22"/>
      <c r="AD542" s="22"/>
    </row>
    <row r="543" ht="15.75" customHeight="1">
      <c r="A543" s="22"/>
      <c r="B543" s="22"/>
      <c r="C543" s="22"/>
      <c r="D543" s="22"/>
      <c r="E543" s="22"/>
      <c r="F543" s="22"/>
      <c r="G543" s="22"/>
      <c r="H543" s="22"/>
      <c r="I543" s="22"/>
      <c r="J543" s="22"/>
      <c r="K543" s="22"/>
      <c r="L543" s="468"/>
      <c r="M543" s="468"/>
      <c r="N543" s="22"/>
      <c r="O543" s="22"/>
      <c r="P543" s="22"/>
      <c r="Q543" s="22"/>
      <c r="R543" s="22"/>
      <c r="S543" s="22"/>
      <c r="T543" s="468"/>
      <c r="U543" s="22"/>
      <c r="V543" s="22"/>
      <c r="W543" s="22"/>
      <c r="X543" s="22"/>
      <c r="Y543" s="22"/>
      <c r="Z543" s="465"/>
      <c r="AA543" s="22"/>
      <c r="AB543" s="22"/>
      <c r="AC543" s="22"/>
      <c r="AD543" s="22"/>
    </row>
    <row r="544" ht="15.75" customHeight="1">
      <c r="A544" s="22"/>
      <c r="B544" s="22"/>
      <c r="C544" s="22"/>
      <c r="D544" s="22"/>
      <c r="E544" s="22"/>
      <c r="F544" s="22"/>
      <c r="G544" s="22"/>
      <c r="H544" s="22"/>
      <c r="I544" s="22"/>
      <c r="J544" s="22"/>
      <c r="K544" s="22"/>
      <c r="L544" s="468"/>
      <c r="M544" s="468"/>
      <c r="N544" s="22"/>
      <c r="O544" s="22"/>
      <c r="P544" s="22"/>
      <c r="Q544" s="22"/>
      <c r="R544" s="22"/>
      <c r="S544" s="22"/>
      <c r="T544" s="468"/>
      <c r="U544" s="22"/>
      <c r="V544" s="22"/>
      <c r="W544" s="22"/>
      <c r="X544" s="22"/>
      <c r="Y544" s="22"/>
      <c r="Z544" s="465"/>
      <c r="AA544" s="22"/>
      <c r="AB544" s="22"/>
      <c r="AC544" s="22"/>
      <c r="AD544" s="22"/>
    </row>
    <row r="545" ht="15.75" customHeight="1">
      <c r="A545" s="22"/>
      <c r="B545" s="22"/>
      <c r="C545" s="22"/>
      <c r="D545" s="22"/>
      <c r="E545" s="22"/>
      <c r="F545" s="22"/>
      <c r="G545" s="22"/>
      <c r="H545" s="22"/>
      <c r="I545" s="22"/>
      <c r="J545" s="22"/>
      <c r="K545" s="22"/>
      <c r="L545" s="468"/>
      <c r="M545" s="468"/>
      <c r="N545" s="22"/>
      <c r="O545" s="22"/>
      <c r="P545" s="22"/>
      <c r="Q545" s="22"/>
      <c r="R545" s="22"/>
      <c r="S545" s="22"/>
      <c r="T545" s="468"/>
      <c r="U545" s="22"/>
      <c r="V545" s="22"/>
      <c r="W545" s="22"/>
      <c r="X545" s="22"/>
      <c r="Y545" s="22"/>
      <c r="Z545" s="465"/>
      <c r="AA545" s="22"/>
      <c r="AB545" s="22"/>
      <c r="AC545" s="22"/>
      <c r="AD545" s="22"/>
    </row>
    <row r="546" ht="15.75" customHeight="1">
      <c r="A546" s="22"/>
      <c r="B546" s="22"/>
      <c r="C546" s="22"/>
      <c r="D546" s="22"/>
      <c r="E546" s="22"/>
      <c r="F546" s="22"/>
      <c r="G546" s="22"/>
      <c r="H546" s="22"/>
      <c r="I546" s="22"/>
      <c r="J546" s="22"/>
      <c r="K546" s="22"/>
      <c r="L546" s="468"/>
      <c r="M546" s="468"/>
      <c r="N546" s="22"/>
      <c r="O546" s="22"/>
      <c r="P546" s="22"/>
      <c r="Q546" s="22"/>
      <c r="R546" s="22"/>
      <c r="S546" s="22"/>
      <c r="T546" s="468"/>
      <c r="U546" s="22"/>
      <c r="V546" s="22"/>
      <c r="W546" s="22"/>
      <c r="X546" s="22"/>
      <c r="Y546" s="22"/>
      <c r="Z546" s="465"/>
      <c r="AA546" s="22"/>
      <c r="AB546" s="22"/>
      <c r="AC546" s="22"/>
      <c r="AD546" s="22"/>
    </row>
    <row r="547" ht="15.75" customHeight="1">
      <c r="A547" s="22"/>
      <c r="B547" s="22"/>
      <c r="C547" s="22"/>
      <c r="D547" s="22"/>
      <c r="E547" s="22"/>
      <c r="F547" s="22"/>
      <c r="G547" s="22"/>
      <c r="H547" s="22"/>
      <c r="I547" s="22"/>
      <c r="J547" s="22"/>
      <c r="K547" s="22"/>
      <c r="L547" s="468"/>
      <c r="M547" s="468"/>
      <c r="N547" s="22"/>
      <c r="O547" s="22"/>
      <c r="P547" s="22"/>
      <c r="Q547" s="22"/>
      <c r="R547" s="22"/>
      <c r="S547" s="22"/>
      <c r="T547" s="468"/>
      <c r="U547" s="22"/>
      <c r="V547" s="22"/>
      <c r="W547" s="22"/>
      <c r="X547" s="22"/>
      <c r="Y547" s="22"/>
      <c r="Z547" s="465"/>
      <c r="AA547" s="22"/>
      <c r="AB547" s="22"/>
      <c r="AC547" s="22"/>
      <c r="AD547" s="22"/>
    </row>
    <row r="548" ht="15.75" customHeight="1">
      <c r="A548" s="22"/>
      <c r="B548" s="22"/>
      <c r="C548" s="22"/>
      <c r="D548" s="22"/>
      <c r="E548" s="22"/>
      <c r="F548" s="22"/>
      <c r="G548" s="22"/>
      <c r="H548" s="22"/>
      <c r="I548" s="22"/>
      <c r="J548" s="22"/>
      <c r="K548" s="22"/>
      <c r="L548" s="468"/>
      <c r="M548" s="468"/>
      <c r="N548" s="22"/>
      <c r="O548" s="22"/>
      <c r="P548" s="22"/>
      <c r="Q548" s="22"/>
      <c r="R548" s="22"/>
      <c r="S548" s="22"/>
      <c r="T548" s="468"/>
      <c r="U548" s="22"/>
      <c r="V548" s="22"/>
      <c r="W548" s="22"/>
      <c r="X548" s="22"/>
      <c r="Y548" s="22"/>
      <c r="Z548" s="465"/>
      <c r="AA548" s="22"/>
      <c r="AB548" s="22"/>
      <c r="AC548" s="22"/>
      <c r="AD548" s="22"/>
    </row>
    <row r="549" ht="15.75" customHeight="1">
      <c r="A549" s="22"/>
      <c r="B549" s="22"/>
      <c r="C549" s="22"/>
      <c r="D549" s="22"/>
      <c r="E549" s="22"/>
      <c r="F549" s="22"/>
      <c r="G549" s="22"/>
      <c r="H549" s="22"/>
      <c r="I549" s="22"/>
      <c r="J549" s="22"/>
      <c r="K549" s="22"/>
      <c r="L549" s="468"/>
      <c r="M549" s="468"/>
      <c r="N549" s="22"/>
      <c r="O549" s="22"/>
      <c r="P549" s="22"/>
      <c r="Q549" s="22"/>
      <c r="R549" s="22"/>
      <c r="S549" s="22"/>
      <c r="T549" s="468"/>
      <c r="U549" s="22"/>
      <c r="V549" s="22"/>
      <c r="W549" s="22"/>
      <c r="X549" s="22"/>
      <c r="Y549" s="22"/>
      <c r="Z549" s="465"/>
      <c r="AA549" s="22"/>
      <c r="AB549" s="22"/>
      <c r="AC549" s="22"/>
      <c r="AD549" s="22"/>
    </row>
    <row r="550" ht="15.75" customHeight="1">
      <c r="A550" s="22"/>
      <c r="B550" s="22"/>
      <c r="C550" s="22"/>
      <c r="D550" s="22"/>
      <c r="E550" s="22"/>
      <c r="F550" s="22"/>
      <c r="G550" s="22"/>
      <c r="H550" s="22"/>
      <c r="I550" s="22"/>
      <c r="J550" s="22"/>
      <c r="K550" s="22"/>
      <c r="L550" s="468"/>
      <c r="M550" s="468"/>
      <c r="N550" s="22"/>
      <c r="O550" s="22"/>
      <c r="P550" s="22"/>
      <c r="Q550" s="22"/>
      <c r="R550" s="22"/>
      <c r="S550" s="22"/>
      <c r="T550" s="468"/>
      <c r="U550" s="22"/>
      <c r="V550" s="22"/>
      <c r="W550" s="22"/>
      <c r="X550" s="22"/>
      <c r="Y550" s="22"/>
      <c r="Z550" s="465"/>
      <c r="AA550" s="22"/>
      <c r="AB550" s="22"/>
      <c r="AC550" s="22"/>
      <c r="AD550" s="22"/>
    </row>
    <row r="551" ht="15.75" customHeight="1">
      <c r="A551" s="22"/>
      <c r="B551" s="22"/>
      <c r="C551" s="22"/>
      <c r="D551" s="22"/>
      <c r="E551" s="22"/>
      <c r="F551" s="22"/>
      <c r="G551" s="22"/>
      <c r="H551" s="22"/>
      <c r="I551" s="22"/>
      <c r="J551" s="22"/>
      <c r="K551" s="22"/>
      <c r="L551" s="468"/>
      <c r="M551" s="468"/>
      <c r="N551" s="22"/>
      <c r="O551" s="22"/>
      <c r="P551" s="22"/>
      <c r="Q551" s="22"/>
      <c r="R551" s="22"/>
      <c r="S551" s="22"/>
      <c r="T551" s="468"/>
      <c r="U551" s="22"/>
      <c r="V551" s="22"/>
      <c r="W551" s="22"/>
      <c r="X551" s="22"/>
      <c r="Y551" s="22"/>
      <c r="Z551" s="465"/>
      <c r="AA551" s="22"/>
      <c r="AB551" s="22"/>
      <c r="AC551" s="22"/>
      <c r="AD551" s="22"/>
    </row>
    <row r="552" ht="15.75" customHeight="1">
      <c r="A552" s="22"/>
      <c r="B552" s="22"/>
      <c r="C552" s="22"/>
      <c r="D552" s="22"/>
      <c r="E552" s="22"/>
      <c r="F552" s="22"/>
      <c r="G552" s="22"/>
      <c r="H552" s="22"/>
      <c r="I552" s="22"/>
      <c r="J552" s="22"/>
      <c r="K552" s="22"/>
      <c r="L552" s="468"/>
      <c r="M552" s="468"/>
      <c r="N552" s="22"/>
      <c r="O552" s="22"/>
      <c r="P552" s="22"/>
      <c r="Q552" s="22"/>
      <c r="R552" s="22"/>
      <c r="S552" s="22"/>
      <c r="T552" s="468"/>
      <c r="U552" s="22"/>
      <c r="V552" s="22"/>
      <c r="W552" s="22"/>
      <c r="X552" s="22"/>
      <c r="Y552" s="22"/>
      <c r="Z552" s="465"/>
      <c r="AA552" s="22"/>
      <c r="AB552" s="22"/>
      <c r="AC552" s="22"/>
      <c r="AD552" s="22"/>
    </row>
    <row r="553" ht="15.75" customHeight="1">
      <c r="A553" s="22"/>
      <c r="B553" s="22"/>
      <c r="C553" s="22"/>
      <c r="D553" s="22"/>
      <c r="E553" s="22"/>
      <c r="F553" s="22"/>
      <c r="G553" s="22"/>
      <c r="H553" s="22"/>
      <c r="I553" s="22"/>
      <c r="J553" s="22"/>
      <c r="K553" s="22"/>
      <c r="L553" s="468"/>
      <c r="M553" s="468"/>
      <c r="N553" s="22"/>
      <c r="O553" s="22"/>
      <c r="P553" s="22"/>
      <c r="Q553" s="22"/>
      <c r="R553" s="22"/>
      <c r="S553" s="22"/>
      <c r="T553" s="468"/>
      <c r="U553" s="22"/>
      <c r="V553" s="22"/>
      <c r="W553" s="22"/>
      <c r="X553" s="22"/>
      <c r="Y553" s="22"/>
      <c r="Z553" s="465"/>
      <c r="AA553" s="22"/>
      <c r="AB553" s="22"/>
      <c r="AC553" s="22"/>
      <c r="AD553" s="22"/>
    </row>
    <row r="554" ht="15.75" customHeight="1">
      <c r="A554" s="22"/>
      <c r="B554" s="22"/>
      <c r="C554" s="22"/>
      <c r="D554" s="22"/>
      <c r="E554" s="22"/>
      <c r="F554" s="22"/>
      <c r="G554" s="22"/>
      <c r="H554" s="22"/>
      <c r="I554" s="22"/>
      <c r="J554" s="22"/>
      <c r="K554" s="22"/>
      <c r="L554" s="468"/>
      <c r="M554" s="468"/>
      <c r="N554" s="22"/>
      <c r="O554" s="22"/>
      <c r="P554" s="22"/>
      <c r="Q554" s="22"/>
      <c r="R554" s="22"/>
      <c r="S554" s="22"/>
      <c r="T554" s="468"/>
      <c r="U554" s="22"/>
      <c r="V554" s="22"/>
      <c r="W554" s="22"/>
      <c r="X554" s="22"/>
      <c r="Y554" s="22"/>
      <c r="Z554" s="465"/>
      <c r="AA554" s="22"/>
      <c r="AB554" s="22"/>
      <c r="AC554" s="22"/>
      <c r="AD554" s="22"/>
    </row>
    <row r="555" ht="15.75" customHeight="1">
      <c r="A555" s="22"/>
      <c r="B555" s="22"/>
      <c r="C555" s="22"/>
      <c r="D555" s="22"/>
      <c r="E555" s="22"/>
      <c r="F555" s="22"/>
      <c r="G555" s="22"/>
      <c r="H555" s="22"/>
      <c r="I555" s="22"/>
      <c r="J555" s="22"/>
      <c r="K555" s="22"/>
      <c r="L555" s="468"/>
      <c r="M555" s="468"/>
      <c r="N555" s="22"/>
      <c r="O555" s="22"/>
      <c r="P555" s="22"/>
      <c r="Q555" s="22"/>
      <c r="R555" s="22"/>
      <c r="S555" s="22"/>
      <c r="T555" s="468"/>
      <c r="U555" s="22"/>
      <c r="V555" s="22"/>
      <c r="W555" s="22"/>
      <c r="X555" s="22"/>
      <c r="Y555" s="22"/>
      <c r="Z555" s="465"/>
      <c r="AA555" s="22"/>
      <c r="AB555" s="22"/>
      <c r="AC555" s="22"/>
      <c r="AD555" s="22"/>
    </row>
    <row r="556" ht="15.75" customHeight="1">
      <c r="A556" s="22"/>
      <c r="B556" s="22"/>
      <c r="C556" s="22"/>
      <c r="D556" s="22"/>
      <c r="E556" s="22"/>
      <c r="F556" s="22"/>
      <c r="G556" s="22"/>
      <c r="H556" s="22"/>
      <c r="I556" s="22"/>
      <c r="J556" s="22"/>
      <c r="K556" s="22"/>
      <c r="L556" s="468"/>
      <c r="M556" s="468"/>
      <c r="N556" s="22"/>
      <c r="O556" s="22"/>
      <c r="P556" s="22"/>
      <c r="Q556" s="22"/>
      <c r="R556" s="22"/>
      <c r="S556" s="22"/>
      <c r="T556" s="468"/>
      <c r="U556" s="22"/>
      <c r="V556" s="22"/>
      <c r="W556" s="22"/>
      <c r="X556" s="22"/>
      <c r="Y556" s="22"/>
      <c r="Z556" s="465"/>
      <c r="AA556" s="22"/>
      <c r="AB556" s="22"/>
      <c r="AC556" s="22"/>
      <c r="AD556" s="22"/>
    </row>
    <row r="557" ht="15.75" customHeight="1">
      <c r="A557" s="22"/>
      <c r="B557" s="22"/>
      <c r="C557" s="22"/>
      <c r="D557" s="22"/>
      <c r="E557" s="22"/>
      <c r="F557" s="22"/>
      <c r="G557" s="22"/>
      <c r="H557" s="22"/>
      <c r="I557" s="22"/>
      <c r="J557" s="22"/>
      <c r="K557" s="22"/>
      <c r="L557" s="468"/>
      <c r="M557" s="468"/>
      <c r="N557" s="22"/>
      <c r="O557" s="22"/>
      <c r="P557" s="22"/>
      <c r="Q557" s="22"/>
      <c r="R557" s="22"/>
      <c r="S557" s="22"/>
      <c r="T557" s="468"/>
      <c r="U557" s="22"/>
      <c r="V557" s="22"/>
      <c r="W557" s="22"/>
      <c r="X557" s="22"/>
      <c r="Y557" s="22"/>
      <c r="Z557" s="465"/>
      <c r="AA557" s="22"/>
      <c r="AB557" s="22"/>
      <c r="AC557" s="22"/>
      <c r="AD557" s="22"/>
    </row>
    <row r="558" ht="15.75" customHeight="1">
      <c r="A558" s="22"/>
      <c r="B558" s="22"/>
      <c r="C558" s="22"/>
      <c r="D558" s="22"/>
      <c r="E558" s="22"/>
      <c r="F558" s="22"/>
      <c r="G558" s="22"/>
      <c r="H558" s="22"/>
      <c r="I558" s="22"/>
      <c r="J558" s="22"/>
      <c r="K558" s="22"/>
      <c r="L558" s="468"/>
      <c r="M558" s="468"/>
      <c r="N558" s="22"/>
      <c r="O558" s="22"/>
      <c r="P558" s="22"/>
      <c r="Q558" s="22"/>
      <c r="R558" s="22"/>
      <c r="S558" s="22"/>
      <c r="T558" s="468"/>
      <c r="U558" s="22"/>
      <c r="V558" s="22"/>
      <c r="W558" s="22"/>
      <c r="X558" s="22"/>
      <c r="Y558" s="22"/>
      <c r="Z558" s="465"/>
      <c r="AA558" s="22"/>
      <c r="AB558" s="22"/>
      <c r="AC558" s="22"/>
      <c r="AD558" s="22"/>
    </row>
    <row r="559" ht="15.75" customHeight="1">
      <c r="A559" s="22"/>
      <c r="B559" s="22"/>
      <c r="C559" s="22"/>
      <c r="D559" s="22"/>
      <c r="E559" s="22"/>
      <c r="F559" s="22"/>
      <c r="G559" s="22"/>
      <c r="H559" s="22"/>
      <c r="I559" s="22"/>
      <c r="J559" s="22"/>
      <c r="K559" s="22"/>
      <c r="L559" s="468"/>
      <c r="M559" s="468"/>
      <c r="N559" s="22"/>
      <c r="O559" s="22"/>
      <c r="P559" s="22"/>
      <c r="Q559" s="22"/>
      <c r="R559" s="22"/>
      <c r="S559" s="22"/>
      <c r="T559" s="468"/>
      <c r="U559" s="22"/>
      <c r="V559" s="22"/>
      <c r="W559" s="22"/>
      <c r="X559" s="22"/>
      <c r="Y559" s="22"/>
      <c r="Z559" s="465"/>
      <c r="AA559" s="22"/>
      <c r="AB559" s="22"/>
      <c r="AC559" s="22"/>
      <c r="AD559" s="22"/>
    </row>
    <row r="560" ht="15.75" customHeight="1">
      <c r="A560" s="22"/>
      <c r="B560" s="22"/>
      <c r="C560" s="22"/>
      <c r="D560" s="22"/>
      <c r="E560" s="22"/>
      <c r="F560" s="22"/>
      <c r="G560" s="22"/>
      <c r="H560" s="22"/>
      <c r="I560" s="22"/>
      <c r="J560" s="22"/>
      <c r="K560" s="22"/>
      <c r="L560" s="468"/>
      <c r="M560" s="468"/>
      <c r="N560" s="22"/>
      <c r="O560" s="22"/>
      <c r="P560" s="22"/>
      <c r="Q560" s="22"/>
      <c r="R560" s="22"/>
      <c r="S560" s="22"/>
      <c r="T560" s="468"/>
      <c r="U560" s="22"/>
      <c r="V560" s="22"/>
      <c r="W560" s="22"/>
      <c r="X560" s="22"/>
      <c r="Y560" s="22"/>
      <c r="Z560" s="465"/>
      <c r="AA560" s="22"/>
      <c r="AB560" s="22"/>
      <c r="AC560" s="22"/>
      <c r="AD560" s="22"/>
    </row>
    <row r="561" ht="15.75" customHeight="1">
      <c r="A561" s="22"/>
      <c r="B561" s="22"/>
      <c r="C561" s="22"/>
      <c r="D561" s="22"/>
      <c r="E561" s="22"/>
      <c r="F561" s="22"/>
      <c r="G561" s="22"/>
      <c r="H561" s="22"/>
      <c r="I561" s="22"/>
      <c r="J561" s="22"/>
      <c r="K561" s="22"/>
      <c r="L561" s="468"/>
      <c r="M561" s="468"/>
      <c r="N561" s="22"/>
      <c r="O561" s="22"/>
      <c r="P561" s="22"/>
      <c r="Q561" s="22"/>
      <c r="R561" s="22"/>
      <c r="S561" s="22"/>
      <c r="T561" s="468"/>
      <c r="U561" s="22"/>
      <c r="V561" s="22"/>
      <c r="W561" s="22"/>
      <c r="X561" s="22"/>
      <c r="Y561" s="22"/>
      <c r="Z561" s="465"/>
      <c r="AA561" s="22"/>
      <c r="AB561" s="22"/>
      <c r="AC561" s="22"/>
      <c r="AD561" s="22"/>
    </row>
    <row r="562" ht="15.75" customHeight="1">
      <c r="A562" s="22"/>
      <c r="B562" s="22"/>
      <c r="C562" s="22"/>
      <c r="D562" s="22"/>
      <c r="E562" s="22"/>
      <c r="F562" s="22"/>
      <c r="G562" s="22"/>
      <c r="H562" s="22"/>
      <c r="I562" s="22"/>
      <c r="J562" s="22"/>
      <c r="K562" s="22"/>
      <c r="L562" s="468"/>
      <c r="M562" s="468"/>
      <c r="N562" s="22"/>
      <c r="O562" s="22"/>
      <c r="P562" s="22"/>
      <c r="Q562" s="22"/>
      <c r="R562" s="22"/>
      <c r="S562" s="22"/>
      <c r="T562" s="468"/>
      <c r="U562" s="22"/>
      <c r="V562" s="22"/>
      <c r="W562" s="22"/>
      <c r="X562" s="22"/>
      <c r="Y562" s="22"/>
      <c r="Z562" s="465"/>
      <c r="AA562" s="22"/>
      <c r="AB562" s="22"/>
      <c r="AC562" s="22"/>
      <c r="AD562" s="22"/>
    </row>
    <row r="563" ht="15.75" customHeight="1">
      <c r="A563" s="22"/>
      <c r="B563" s="22"/>
      <c r="C563" s="22"/>
      <c r="D563" s="22"/>
      <c r="E563" s="22"/>
      <c r="F563" s="22"/>
      <c r="G563" s="22"/>
      <c r="H563" s="22"/>
      <c r="I563" s="22"/>
      <c r="J563" s="22"/>
      <c r="K563" s="22"/>
      <c r="L563" s="468"/>
      <c r="M563" s="468"/>
      <c r="N563" s="22"/>
      <c r="O563" s="22"/>
      <c r="P563" s="22"/>
      <c r="Q563" s="22"/>
      <c r="R563" s="22"/>
      <c r="S563" s="22"/>
      <c r="T563" s="468"/>
      <c r="U563" s="22"/>
      <c r="V563" s="22"/>
      <c r="W563" s="22"/>
      <c r="X563" s="22"/>
      <c r="Y563" s="22"/>
      <c r="Z563" s="465"/>
      <c r="AA563" s="22"/>
      <c r="AB563" s="22"/>
      <c r="AC563" s="22"/>
      <c r="AD563" s="22"/>
    </row>
    <row r="564" ht="15.75" customHeight="1">
      <c r="A564" s="22"/>
      <c r="B564" s="22"/>
      <c r="C564" s="22"/>
      <c r="D564" s="22"/>
      <c r="E564" s="22"/>
      <c r="F564" s="22"/>
      <c r="G564" s="22"/>
      <c r="H564" s="22"/>
      <c r="I564" s="22"/>
      <c r="J564" s="22"/>
      <c r="K564" s="22"/>
      <c r="L564" s="468"/>
      <c r="M564" s="468"/>
      <c r="N564" s="22"/>
      <c r="O564" s="22"/>
      <c r="P564" s="22"/>
      <c r="Q564" s="22"/>
      <c r="R564" s="22"/>
      <c r="S564" s="22"/>
      <c r="T564" s="468"/>
      <c r="U564" s="22"/>
      <c r="V564" s="22"/>
      <c r="W564" s="22"/>
      <c r="X564" s="22"/>
      <c r="Y564" s="22"/>
      <c r="Z564" s="465"/>
      <c r="AA564" s="22"/>
      <c r="AB564" s="22"/>
      <c r="AC564" s="22"/>
      <c r="AD564" s="22"/>
    </row>
    <row r="565" ht="15.75" customHeight="1">
      <c r="A565" s="22"/>
      <c r="B565" s="22"/>
      <c r="C565" s="22"/>
      <c r="D565" s="22"/>
      <c r="E565" s="22"/>
      <c r="F565" s="22"/>
      <c r="G565" s="22"/>
      <c r="H565" s="22"/>
      <c r="I565" s="22"/>
      <c r="J565" s="22"/>
      <c r="K565" s="22"/>
      <c r="L565" s="468"/>
      <c r="M565" s="468"/>
      <c r="N565" s="22"/>
      <c r="O565" s="22"/>
      <c r="P565" s="22"/>
      <c r="Q565" s="22"/>
      <c r="R565" s="22"/>
      <c r="S565" s="22"/>
      <c r="T565" s="468"/>
      <c r="U565" s="22"/>
      <c r="V565" s="22"/>
      <c r="W565" s="22"/>
      <c r="X565" s="22"/>
      <c r="Y565" s="22"/>
      <c r="Z565" s="465"/>
      <c r="AA565" s="22"/>
      <c r="AB565" s="22"/>
      <c r="AC565" s="22"/>
      <c r="AD565" s="22"/>
    </row>
    <row r="566" ht="15.75" customHeight="1">
      <c r="A566" s="22"/>
      <c r="B566" s="22"/>
      <c r="C566" s="22"/>
      <c r="D566" s="22"/>
      <c r="E566" s="22"/>
      <c r="F566" s="22"/>
      <c r="G566" s="22"/>
      <c r="H566" s="22"/>
      <c r="I566" s="22"/>
      <c r="J566" s="22"/>
      <c r="K566" s="22"/>
      <c r="L566" s="468"/>
      <c r="M566" s="468"/>
      <c r="N566" s="22"/>
      <c r="O566" s="22"/>
      <c r="P566" s="22"/>
      <c r="Q566" s="22"/>
      <c r="R566" s="22"/>
      <c r="S566" s="22"/>
      <c r="T566" s="468"/>
      <c r="U566" s="22"/>
      <c r="V566" s="22"/>
      <c r="W566" s="22"/>
      <c r="X566" s="22"/>
      <c r="Y566" s="22"/>
      <c r="Z566" s="465"/>
      <c r="AA566" s="22"/>
      <c r="AB566" s="22"/>
      <c r="AC566" s="22"/>
      <c r="AD566" s="22"/>
    </row>
    <row r="567" ht="15.75" customHeight="1">
      <c r="A567" s="22"/>
      <c r="B567" s="22"/>
      <c r="C567" s="22"/>
      <c r="D567" s="22"/>
      <c r="E567" s="22"/>
      <c r="F567" s="22"/>
      <c r="G567" s="22"/>
      <c r="H567" s="22"/>
      <c r="I567" s="22"/>
      <c r="J567" s="22"/>
      <c r="K567" s="22"/>
      <c r="L567" s="468"/>
      <c r="M567" s="468"/>
      <c r="N567" s="22"/>
      <c r="O567" s="22"/>
      <c r="P567" s="22"/>
      <c r="Q567" s="22"/>
      <c r="R567" s="22"/>
      <c r="S567" s="22"/>
      <c r="T567" s="468"/>
      <c r="U567" s="22"/>
      <c r="V567" s="22"/>
      <c r="W567" s="22"/>
      <c r="X567" s="22"/>
      <c r="Y567" s="22"/>
      <c r="Z567" s="465"/>
      <c r="AA567" s="22"/>
      <c r="AB567" s="22"/>
      <c r="AC567" s="22"/>
      <c r="AD567" s="22"/>
    </row>
    <row r="568" ht="15.75" customHeight="1">
      <c r="A568" s="22"/>
      <c r="B568" s="22"/>
      <c r="C568" s="22"/>
      <c r="D568" s="22"/>
      <c r="E568" s="22"/>
      <c r="F568" s="22"/>
      <c r="G568" s="22"/>
      <c r="H568" s="22"/>
      <c r="I568" s="22"/>
      <c r="J568" s="22"/>
      <c r="K568" s="22"/>
      <c r="L568" s="468"/>
      <c r="M568" s="468"/>
      <c r="N568" s="22"/>
      <c r="O568" s="22"/>
      <c r="P568" s="22"/>
      <c r="Q568" s="22"/>
      <c r="R568" s="22"/>
      <c r="S568" s="22"/>
      <c r="T568" s="468"/>
      <c r="U568" s="22"/>
      <c r="V568" s="22"/>
      <c r="W568" s="22"/>
      <c r="X568" s="22"/>
      <c r="Y568" s="22"/>
      <c r="Z568" s="465"/>
      <c r="AA568" s="22"/>
      <c r="AB568" s="22"/>
      <c r="AC568" s="22"/>
      <c r="AD568" s="22"/>
    </row>
    <row r="569" ht="15.75" customHeight="1">
      <c r="A569" s="22"/>
      <c r="B569" s="22"/>
      <c r="C569" s="22"/>
      <c r="D569" s="22"/>
      <c r="E569" s="22"/>
      <c r="F569" s="22"/>
      <c r="G569" s="22"/>
      <c r="H569" s="22"/>
      <c r="I569" s="22"/>
      <c r="J569" s="22"/>
      <c r="K569" s="22"/>
      <c r="L569" s="468"/>
      <c r="M569" s="468"/>
      <c r="N569" s="22"/>
      <c r="O569" s="22"/>
      <c r="P569" s="22"/>
      <c r="Q569" s="22"/>
      <c r="R569" s="22"/>
      <c r="S569" s="22"/>
      <c r="T569" s="468"/>
      <c r="U569" s="22"/>
      <c r="V569" s="22"/>
      <c r="W569" s="22"/>
      <c r="X569" s="22"/>
      <c r="Y569" s="22"/>
      <c r="Z569" s="465"/>
      <c r="AA569" s="22"/>
      <c r="AB569" s="22"/>
      <c r="AC569" s="22"/>
      <c r="AD569" s="22"/>
    </row>
    <row r="570" ht="15.75" customHeight="1">
      <c r="A570" s="22"/>
      <c r="B570" s="22"/>
      <c r="C570" s="22"/>
      <c r="D570" s="22"/>
      <c r="E570" s="22"/>
      <c r="F570" s="22"/>
      <c r="G570" s="22"/>
      <c r="H570" s="22"/>
      <c r="I570" s="22"/>
      <c r="J570" s="22"/>
      <c r="K570" s="22"/>
      <c r="L570" s="468"/>
      <c r="M570" s="468"/>
      <c r="N570" s="22"/>
      <c r="O570" s="22"/>
      <c r="P570" s="22"/>
      <c r="Q570" s="22"/>
      <c r="R570" s="22"/>
      <c r="S570" s="22"/>
      <c r="T570" s="468"/>
      <c r="U570" s="22"/>
      <c r="V570" s="22"/>
      <c r="W570" s="22"/>
      <c r="X570" s="22"/>
      <c r="Y570" s="22"/>
      <c r="Z570" s="465"/>
      <c r="AA570" s="22"/>
      <c r="AB570" s="22"/>
      <c r="AC570" s="22"/>
      <c r="AD570" s="22"/>
    </row>
    <row r="571" ht="15.75" customHeight="1">
      <c r="A571" s="22"/>
      <c r="B571" s="22"/>
      <c r="C571" s="22"/>
      <c r="D571" s="22"/>
      <c r="E571" s="22"/>
      <c r="F571" s="22"/>
      <c r="G571" s="22"/>
      <c r="H571" s="22"/>
      <c r="I571" s="22"/>
      <c r="J571" s="22"/>
      <c r="K571" s="22"/>
      <c r="L571" s="468"/>
      <c r="M571" s="468"/>
      <c r="N571" s="22"/>
      <c r="O571" s="22"/>
      <c r="P571" s="22"/>
      <c r="Q571" s="22"/>
      <c r="R571" s="22"/>
      <c r="S571" s="22"/>
      <c r="T571" s="468"/>
      <c r="U571" s="22"/>
      <c r="V571" s="22"/>
      <c r="W571" s="22"/>
      <c r="X571" s="22"/>
      <c r="Y571" s="22"/>
      <c r="Z571" s="465"/>
      <c r="AA571" s="22"/>
      <c r="AB571" s="22"/>
      <c r="AC571" s="22"/>
      <c r="AD571" s="22"/>
    </row>
    <row r="572" ht="15.75" customHeight="1">
      <c r="A572" s="22"/>
      <c r="B572" s="22"/>
      <c r="C572" s="22"/>
      <c r="D572" s="22"/>
      <c r="E572" s="22"/>
      <c r="F572" s="22"/>
      <c r="G572" s="22"/>
      <c r="H572" s="22"/>
      <c r="I572" s="22"/>
      <c r="J572" s="22"/>
      <c r="K572" s="22"/>
      <c r="L572" s="468"/>
      <c r="M572" s="468"/>
      <c r="N572" s="22"/>
      <c r="O572" s="22"/>
      <c r="P572" s="22"/>
      <c r="Q572" s="22"/>
      <c r="R572" s="22"/>
      <c r="S572" s="22"/>
      <c r="T572" s="468"/>
      <c r="U572" s="22"/>
      <c r="V572" s="22"/>
      <c r="W572" s="22"/>
      <c r="X572" s="22"/>
      <c r="Y572" s="22"/>
      <c r="Z572" s="465"/>
      <c r="AA572" s="22"/>
      <c r="AB572" s="22"/>
      <c r="AC572" s="22"/>
      <c r="AD572" s="22"/>
    </row>
    <row r="573" ht="15.75" customHeight="1">
      <c r="A573" s="22"/>
      <c r="B573" s="22"/>
      <c r="C573" s="22"/>
      <c r="D573" s="22"/>
      <c r="E573" s="22"/>
      <c r="F573" s="22"/>
      <c r="G573" s="22"/>
      <c r="H573" s="22"/>
      <c r="I573" s="22"/>
      <c r="J573" s="22"/>
      <c r="K573" s="22"/>
      <c r="L573" s="468"/>
      <c r="M573" s="468"/>
      <c r="N573" s="22"/>
      <c r="O573" s="22"/>
      <c r="P573" s="22"/>
      <c r="Q573" s="22"/>
      <c r="R573" s="22"/>
      <c r="S573" s="22"/>
      <c r="T573" s="468"/>
      <c r="U573" s="22"/>
      <c r="V573" s="22"/>
      <c r="W573" s="22"/>
      <c r="X573" s="22"/>
      <c r="Y573" s="22"/>
      <c r="Z573" s="465"/>
      <c r="AA573" s="22"/>
      <c r="AB573" s="22"/>
      <c r="AC573" s="22"/>
      <c r="AD573" s="22"/>
    </row>
    <row r="574" ht="15.75" customHeight="1">
      <c r="A574" s="22"/>
      <c r="B574" s="22"/>
      <c r="C574" s="22"/>
      <c r="D574" s="22"/>
      <c r="E574" s="22"/>
      <c r="F574" s="22"/>
      <c r="G574" s="22"/>
      <c r="H574" s="22"/>
      <c r="I574" s="22"/>
      <c r="J574" s="22"/>
      <c r="K574" s="22"/>
      <c r="L574" s="468"/>
      <c r="M574" s="468"/>
      <c r="N574" s="22"/>
      <c r="O574" s="22"/>
      <c r="P574" s="22"/>
      <c r="Q574" s="22"/>
      <c r="R574" s="22"/>
      <c r="S574" s="22"/>
      <c r="T574" s="468"/>
      <c r="U574" s="22"/>
      <c r="V574" s="22"/>
      <c r="W574" s="22"/>
      <c r="X574" s="22"/>
      <c r="Y574" s="22"/>
      <c r="Z574" s="465"/>
      <c r="AA574" s="22"/>
      <c r="AB574" s="22"/>
      <c r="AC574" s="22"/>
      <c r="AD574" s="22"/>
    </row>
    <row r="575" ht="15.75" customHeight="1">
      <c r="A575" s="22"/>
      <c r="B575" s="22"/>
      <c r="C575" s="22"/>
      <c r="D575" s="22"/>
      <c r="E575" s="22"/>
      <c r="F575" s="22"/>
      <c r="G575" s="22"/>
      <c r="H575" s="22"/>
      <c r="I575" s="22"/>
      <c r="J575" s="22"/>
      <c r="K575" s="22"/>
      <c r="L575" s="468"/>
      <c r="M575" s="468"/>
      <c r="N575" s="22"/>
      <c r="O575" s="22"/>
      <c r="P575" s="22"/>
      <c r="Q575" s="22"/>
      <c r="R575" s="22"/>
      <c r="S575" s="22"/>
      <c r="T575" s="468"/>
      <c r="U575" s="22"/>
      <c r="V575" s="22"/>
      <c r="W575" s="22"/>
      <c r="X575" s="22"/>
      <c r="Y575" s="22"/>
      <c r="Z575" s="465"/>
      <c r="AA575" s="22"/>
      <c r="AB575" s="22"/>
      <c r="AC575" s="22"/>
      <c r="AD575" s="22"/>
    </row>
    <row r="576" ht="15.75" customHeight="1">
      <c r="A576" s="22"/>
      <c r="B576" s="22"/>
      <c r="C576" s="22"/>
      <c r="D576" s="22"/>
      <c r="E576" s="22"/>
      <c r="F576" s="22"/>
      <c r="G576" s="22"/>
      <c r="H576" s="22"/>
      <c r="I576" s="22"/>
      <c r="J576" s="22"/>
      <c r="K576" s="22"/>
      <c r="L576" s="468"/>
      <c r="M576" s="468"/>
      <c r="N576" s="22"/>
      <c r="O576" s="22"/>
      <c r="P576" s="22"/>
      <c r="Q576" s="22"/>
      <c r="R576" s="22"/>
      <c r="S576" s="22"/>
      <c r="T576" s="468"/>
      <c r="U576" s="22"/>
      <c r="V576" s="22"/>
      <c r="W576" s="22"/>
      <c r="X576" s="22"/>
      <c r="Y576" s="22"/>
      <c r="Z576" s="465"/>
      <c r="AA576" s="22"/>
      <c r="AB576" s="22"/>
      <c r="AC576" s="22"/>
      <c r="AD576" s="22"/>
    </row>
    <row r="577" ht="15.75" customHeight="1">
      <c r="A577" s="22"/>
      <c r="B577" s="22"/>
      <c r="C577" s="22"/>
      <c r="D577" s="22"/>
      <c r="E577" s="22"/>
      <c r="F577" s="22"/>
      <c r="G577" s="22"/>
      <c r="H577" s="22"/>
      <c r="I577" s="22"/>
      <c r="J577" s="22"/>
      <c r="K577" s="22"/>
      <c r="L577" s="468"/>
      <c r="M577" s="468"/>
      <c r="N577" s="22"/>
      <c r="O577" s="22"/>
      <c r="P577" s="22"/>
      <c r="Q577" s="22"/>
      <c r="R577" s="22"/>
      <c r="S577" s="22"/>
      <c r="T577" s="468"/>
      <c r="U577" s="22"/>
      <c r="V577" s="22"/>
      <c r="W577" s="22"/>
      <c r="X577" s="22"/>
      <c r="Y577" s="22"/>
      <c r="Z577" s="465"/>
      <c r="AA577" s="22"/>
      <c r="AB577" s="22"/>
      <c r="AC577" s="22"/>
      <c r="AD577" s="22"/>
    </row>
    <row r="578" ht="15.75" customHeight="1">
      <c r="A578" s="22"/>
      <c r="B578" s="22"/>
      <c r="C578" s="22"/>
      <c r="D578" s="22"/>
      <c r="E578" s="22"/>
      <c r="F578" s="22"/>
      <c r="G578" s="22"/>
      <c r="H578" s="22"/>
      <c r="I578" s="22"/>
      <c r="J578" s="22"/>
      <c r="K578" s="22"/>
      <c r="L578" s="468"/>
      <c r="M578" s="468"/>
      <c r="N578" s="22"/>
      <c r="O578" s="22"/>
      <c r="P578" s="22"/>
      <c r="Q578" s="22"/>
      <c r="R578" s="22"/>
      <c r="S578" s="22"/>
      <c r="T578" s="468"/>
      <c r="U578" s="22"/>
      <c r="V578" s="22"/>
      <c r="W578" s="22"/>
      <c r="X578" s="22"/>
      <c r="Y578" s="22"/>
      <c r="Z578" s="465"/>
      <c r="AA578" s="22"/>
      <c r="AB578" s="22"/>
      <c r="AC578" s="22"/>
      <c r="AD578" s="22"/>
    </row>
    <row r="579" ht="15.75" customHeight="1">
      <c r="A579" s="22"/>
      <c r="B579" s="22"/>
      <c r="C579" s="22"/>
      <c r="D579" s="22"/>
      <c r="E579" s="22"/>
      <c r="F579" s="22"/>
      <c r="G579" s="22"/>
      <c r="H579" s="22"/>
      <c r="I579" s="22"/>
      <c r="J579" s="22"/>
      <c r="K579" s="22"/>
      <c r="L579" s="468"/>
      <c r="M579" s="468"/>
      <c r="N579" s="22"/>
      <c r="O579" s="22"/>
      <c r="P579" s="22"/>
      <c r="Q579" s="22"/>
      <c r="R579" s="22"/>
      <c r="S579" s="22"/>
      <c r="T579" s="468"/>
      <c r="U579" s="22"/>
      <c r="V579" s="22"/>
      <c r="W579" s="22"/>
      <c r="X579" s="22"/>
      <c r="Y579" s="22"/>
      <c r="Z579" s="465"/>
      <c r="AA579" s="22"/>
      <c r="AB579" s="22"/>
      <c r="AC579" s="22"/>
      <c r="AD579" s="22"/>
    </row>
    <row r="580" ht="15.75" customHeight="1">
      <c r="A580" s="22"/>
      <c r="B580" s="22"/>
      <c r="C580" s="22"/>
      <c r="D580" s="22"/>
      <c r="E580" s="22"/>
      <c r="F580" s="22"/>
      <c r="G580" s="22"/>
      <c r="H580" s="22"/>
      <c r="I580" s="22"/>
      <c r="J580" s="22"/>
      <c r="K580" s="22"/>
      <c r="L580" s="468"/>
      <c r="M580" s="468"/>
      <c r="N580" s="22"/>
      <c r="O580" s="22"/>
      <c r="P580" s="22"/>
      <c r="Q580" s="22"/>
      <c r="R580" s="22"/>
      <c r="S580" s="22"/>
      <c r="T580" s="468"/>
      <c r="U580" s="22"/>
      <c r="V580" s="22"/>
      <c r="W580" s="22"/>
      <c r="X580" s="22"/>
      <c r="Y580" s="22"/>
      <c r="Z580" s="465"/>
      <c r="AA580" s="22"/>
      <c r="AB580" s="22"/>
      <c r="AC580" s="22"/>
      <c r="AD580" s="22"/>
    </row>
    <row r="581" ht="15.75" customHeight="1">
      <c r="A581" s="22"/>
      <c r="B581" s="22"/>
      <c r="C581" s="22"/>
      <c r="D581" s="22"/>
      <c r="E581" s="22"/>
      <c r="F581" s="22"/>
      <c r="G581" s="22"/>
      <c r="H581" s="22"/>
      <c r="I581" s="22"/>
      <c r="J581" s="22"/>
      <c r="K581" s="22"/>
      <c r="L581" s="468"/>
      <c r="M581" s="468"/>
      <c r="N581" s="22"/>
      <c r="O581" s="22"/>
      <c r="P581" s="22"/>
      <c r="Q581" s="22"/>
      <c r="R581" s="22"/>
      <c r="S581" s="22"/>
      <c r="T581" s="468"/>
      <c r="U581" s="22"/>
      <c r="V581" s="22"/>
      <c r="W581" s="22"/>
      <c r="X581" s="22"/>
      <c r="Y581" s="22"/>
      <c r="Z581" s="465"/>
      <c r="AA581" s="22"/>
      <c r="AB581" s="22"/>
      <c r="AC581" s="22"/>
      <c r="AD581" s="22"/>
    </row>
    <row r="582" ht="15.75" customHeight="1">
      <c r="A582" s="22"/>
      <c r="B582" s="22"/>
      <c r="C582" s="22"/>
      <c r="D582" s="22"/>
      <c r="E582" s="22"/>
      <c r="F582" s="22"/>
      <c r="G582" s="22"/>
      <c r="H582" s="22"/>
      <c r="I582" s="22"/>
      <c r="J582" s="22"/>
      <c r="K582" s="22"/>
      <c r="L582" s="468"/>
      <c r="M582" s="468"/>
      <c r="N582" s="22"/>
      <c r="O582" s="22"/>
      <c r="P582" s="22"/>
      <c r="Q582" s="22"/>
      <c r="R582" s="22"/>
      <c r="S582" s="22"/>
      <c r="T582" s="468"/>
      <c r="U582" s="22"/>
      <c r="V582" s="22"/>
      <c r="W582" s="22"/>
      <c r="X582" s="22"/>
      <c r="Y582" s="22"/>
      <c r="Z582" s="465"/>
      <c r="AA582" s="22"/>
      <c r="AB582" s="22"/>
      <c r="AC582" s="22"/>
      <c r="AD582" s="22"/>
    </row>
    <row r="583" ht="15.75" customHeight="1">
      <c r="A583" s="22"/>
      <c r="B583" s="22"/>
      <c r="C583" s="22"/>
      <c r="D583" s="22"/>
      <c r="E583" s="22"/>
      <c r="F583" s="22"/>
      <c r="G583" s="22"/>
      <c r="H583" s="22"/>
      <c r="I583" s="22"/>
      <c r="J583" s="22"/>
      <c r="K583" s="22"/>
      <c r="L583" s="468"/>
      <c r="M583" s="468"/>
      <c r="N583" s="22"/>
      <c r="O583" s="22"/>
      <c r="P583" s="22"/>
      <c r="Q583" s="22"/>
      <c r="R583" s="22"/>
      <c r="S583" s="22"/>
      <c r="T583" s="468"/>
      <c r="U583" s="22"/>
      <c r="V583" s="22"/>
      <c r="W583" s="22"/>
      <c r="X583" s="22"/>
      <c r="Y583" s="22"/>
      <c r="Z583" s="465"/>
      <c r="AA583" s="22"/>
      <c r="AB583" s="22"/>
      <c r="AC583" s="22"/>
      <c r="AD583" s="22"/>
    </row>
    <row r="584" ht="15.75" customHeight="1">
      <c r="A584" s="22"/>
      <c r="B584" s="22"/>
      <c r="C584" s="22"/>
      <c r="D584" s="22"/>
      <c r="E584" s="22"/>
      <c r="F584" s="22"/>
      <c r="G584" s="22"/>
      <c r="H584" s="22"/>
      <c r="I584" s="22"/>
      <c r="J584" s="22"/>
      <c r="K584" s="22"/>
      <c r="L584" s="468"/>
      <c r="M584" s="468"/>
      <c r="N584" s="22"/>
      <c r="O584" s="22"/>
      <c r="P584" s="22"/>
      <c r="Q584" s="22"/>
      <c r="R584" s="22"/>
      <c r="S584" s="22"/>
      <c r="T584" s="468"/>
      <c r="U584" s="22"/>
      <c r="V584" s="22"/>
      <c r="W584" s="22"/>
      <c r="X584" s="22"/>
      <c r="Y584" s="22"/>
      <c r="Z584" s="465"/>
      <c r="AA584" s="22"/>
      <c r="AB584" s="22"/>
      <c r="AC584" s="22"/>
      <c r="AD584" s="22"/>
    </row>
    <row r="585" ht="15.75" customHeight="1">
      <c r="A585" s="22"/>
      <c r="B585" s="22"/>
      <c r="C585" s="22"/>
      <c r="D585" s="22"/>
      <c r="E585" s="22"/>
      <c r="F585" s="22"/>
      <c r="G585" s="22"/>
      <c r="H585" s="22"/>
      <c r="I585" s="22"/>
      <c r="J585" s="22"/>
      <c r="K585" s="22"/>
      <c r="L585" s="468"/>
      <c r="M585" s="468"/>
      <c r="N585" s="22"/>
      <c r="O585" s="22"/>
      <c r="P585" s="22"/>
      <c r="Q585" s="22"/>
      <c r="R585" s="22"/>
      <c r="S585" s="22"/>
      <c r="T585" s="468"/>
      <c r="U585" s="22"/>
      <c r="V585" s="22"/>
      <c r="W585" s="22"/>
      <c r="X585" s="22"/>
      <c r="Y585" s="22"/>
      <c r="Z585" s="465"/>
      <c r="AA585" s="22"/>
      <c r="AB585" s="22"/>
      <c r="AC585" s="22"/>
      <c r="AD585" s="22"/>
    </row>
    <row r="586" ht="15.75" customHeight="1">
      <c r="A586" s="22"/>
      <c r="B586" s="22"/>
      <c r="C586" s="22"/>
      <c r="D586" s="22"/>
      <c r="E586" s="22"/>
      <c r="F586" s="22"/>
      <c r="G586" s="22"/>
      <c r="H586" s="22"/>
      <c r="I586" s="22"/>
      <c r="J586" s="22"/>
      <c r="K586" s="22"/>
      <c r="L586" s="468"/>
      <c r="M586" s="468"/>
      <c r="N586" s="22"/>
      <c r="O586" s="22"/>
      <c r="P586" s="22"/>
      <c r="Q586" s="22"/>
      <c r="R586" s="22"/>
      <c r="S586" s="22"/>
      <c r="T586" s="468"/>
      <c r="U586" s="22"/>
      <c r="V586" s="22"/>
      <c r="W586" s="22"/>
      <c r="X586" s="22"/>
      <c r="Y586" s="22"/>
      <c r="Z586" s="465"/>
      <c r="AA586" s="22"/>
      <c r="AB586" s="22"/>
      <c r="AC586" s="22"/>
      <c r="AD586" s="22"/>
    </row>
    <row r="587" ht="15.75" customHeight="1">
      <c r="A587" s="22"/>
      <c r="B587" s="22"/>
      <c r="C587" s="22"/>
      <c r="D587" s="22"/>
      <c r="E587" s="22"/>
      <c r="F587" s="22"/>
      <c r="G587" s="22"/>
      <c r="H587" s="22"/>
      <c r="I587" s="22"/>
      <c r="J587" s="22"/>
      <c r="K587" s="22"/>
      <c r="L587" s="468"/>
      <c r="M587" s="468"/>
      <c r="N587" s="22"/>
      <c r="O587" s="22"/>
      <c r="P587" s="22"/>
      <c r="Q587" s="22"/>
      <c r="R587" s="22"/>
      <c r="S587" s="22"/>
      <c r="T587" s="468"/>
      <c r="U587" s="22"/>
      <c r="V587" s="22"/>
      <c r="W587" s="22"/>
      <c r="X587" s="22"/>
      <c r="Y587" s="22"/>
      <c r="Z587" s="465"/>
      <c r="AA587" s="22"/>
      <c r="AB587" s="22"/>
      <c r="AC587" s="22"/>
      <c r="AD587" s="22"/>
    </row>
    <row r="588" ht="15.75" customHeight="1">
      <c r="A588" s="22"/>
      <c r="B588" s="22"/>
      <c r="C588" s="22"/>
      <c r="D588" s="22"/>
      <c r="E588" s="22"/>
      <c r="F588" s="22"/>
      <c r="G588" s="22"/>
      <c r="H588" s="22"/>
      <c r="I588" s="22"/>
      <c r="J588" s="22"/>
      <c r="K588" s="22"/>
      <c r="L588" s="468"/>
      <c r="M588" s="468"/>
      <c r="N588" s="22"/>
      <c r="O588" s="22"/>
      <c r="P588" s="22"/>
      <c r="Q588" s="22"/>
      <c r="R588" s="22"/>
      <c r="S588" s="22"/>
      <c r="T588" s="468"/>
      <c r="U588" s="22"/>
      <c r="V588" s="22"/>
      <c r="W588" s="22"/>
      <c r="X588" s="22"/>
      <c r="Y588" s="22"/>
      <c r="Z588" s="465"/>
      <c r="AA588" s="22"/>
      <c r="AB588" s="22"/>
      <c r="AC588" s="22"/>
      <c r="AD588" s="22"/>
    </row>
    <row r="589" ht="15.75" customHeight="1">
      <c r="A589" s="22"/>
      <c r="B589" s="22"/>
      <c r="C589" s="22"/>
      <c r="D589" s="22"/>
      <c r="E589" s="22"/>
      <c r="F589" s="22"/>
      <c r="G589" s="22"/>
      <c r="H589" s="22"/>
      <c r="I589" s="22"/>
      <c r="J589" s="22"/>
      <c r="K589" s="22"/>
      <c r="L589" s="468"/>
      <c r="M589" s="468"/>
      <c r="N589" s="22"/>
      <c r="O589" s="22"/>
      <c r="P589" s="22"/>
      <c r="Q589" s="22"/>
      <c r="R589" s="22"/>
      <c r="S589" s="22"/>
      <c r="T589" s="468"/>
      <c r="U589" s="22"/>
      <c r="V589" s="22"/>
      <c r="W589" s="22"/>
      <c r="X589" s="22"/>
      <c r="Y589" s="22"/>
      <c r="Z589" s="465"/>
      <c r="AA589" s="22"/>
      <c r="AB589" s="22"/>
      <c r="AC589" s="22"/>
      <c r="AD589" s="22"/>
    </row>
    <row r="590" ht="15.75" customHeight="1">
      <c r="A590" s="22"/>
      <c r="B590" s="22"/>
      <c r="C590" s="22"/>
      <c r="D590" s="22"/>
      <c r="E590" s="22"/>
      <c r="F590" s="22"/>
      <c r="G590" s="22"/>
      <c r="H590" s="22"/>
      <c r="I590" s="22"/>
      <c r="J590" s="22"/>
      <c r="K590" s="22"/>
      <c r="L590" s="468"/>
      <c r="M590" s="468"/>
      <c r="N590" s="22"/>
      <c r="O590" s="22"/>
      <c r="P590" s="22"/>
      <c r="Q590" s="22"/>
      <c r="R590" s="22"/>
      <c r="S590" s="22"/>
      <c r="T590" s="468"/>
      <c r="U590" s="22"/>
      <c r="V590" s="22"/>
      <c r="W590" s="22"/>
      <c r="X590" s="22"/>
      <c r="Y590" s="22"/>
      <c r="Z590" s="465"/>
      <c r="AA590" s="22"/>
      <c r="AB590" s="22"/>
      <c r="AC590" s="22"/>
      <c r="AD590" s="22"/>
    </row>
    <row r="591" ht="15.75" customHeight="1">
      <c r="A591" s="22"/>
      <c r="B591" s="22"/>
      <c r="C591" s="22"/>
      <c r="D591" s="22"/>
      <c r="E591" s="22"/>
      <c r="F591" s="22"/>
      <c r="G591" s="22"/>
      <c r="H591" s="22"/>
      <c r="I591" s="22"/>
      <c r="J591" s="22"/>
      <c r="K591" s="22"/>
      <c r="L591" s="468"/>
      <c r="M591" s="468"/>
      <c r="N591" s="22"/>
      <c r="O591" s="22"/>
      <c r="P591" s="22"/>
      <c r="Q591" s="22"/>
      <c r="R591" s="22"/>
      <c r="S591" s="22"/>
      <c r="T591" s="468"/>
      <c r="U591" s="22"/>
      <c r="V591" s="22"/>
      <c r="W591" s="22"/>
      <c r="X591" s="22"/>
      <c r="Y591" s="22"/>
      <c r="Z591" s="465"/>
      <c r="AA591" s="22"/>
      <c r="AB591" s="22"/>
      <c r="AC591" s="22"/>
      <c r="AD591" s="22"/>
    </row>
    <row r="592" ht="15.75" customHeight="1">
      <c r="A592" s="22"/>
      <c r="B592" s="22"/>
      <c r="C592" s="22"/>
      <c r="D592" s="22"/>
      <c r="E592" s="22"/>
      <c r="F592" s="22"/>
      <c r="G592" s="22"/>
      <c r="H592" s="22"/>
      <c r="I592" s="22"/>
      <c r="J592" s="22"/>
      <c r="K592" s="22"/>
      <c r="L592" s="468"/>
      <c r="M592" s="468"/>
      <c r="N592" s="22"/>
      <c r="O592" s="22"/>
      <c r="P592" s="22"/>
      <c r="Q592" s="22"/>
      <c r="R592" s="22"/>
      <c r="S592" s="22"/>
      <c r="T592" s="468"/>
      <c r="U592" s="22"/>
      <c r="V592" s="22"/>
      <c r="W592" s="22"/>
      <c r="X592" s="22"/>
      <c r="Y592" s="22"/>
      <c r="Z592" s="465"/>
      <c r="AA592" s="22"/>
      <c r="AB592" s="22"/>
      <c r="AC592" s="22"/>
      <c r="AD592" s="22"/>
    </row>
    <row r="593" ht="15.75" customHeight="1">
      <c r="A593" s="22"/>
      <c r="B593" s="22"/>
      <c r="C593" s="22"/>
      <c r="D593" s="22"/>
      <c r="E593" s="22"/>
      <c r="F593" s="22"/>
      <c r="G593" s="22"/>
      <c r="H593" s="22"/>
      <c r="I593" s="22"/>
      <c r="J593" s="22"/>
      <c r="K593" s="22"/>
      <c r="L593" s="468"/>
      <c r="M593" s="468"/>
      <c r="N593" s="22"/>
      <c r="O593" s="22"/>
      <c r="P593" s="22"/>
      <c r="Q593" s="22"/>
      <c r="R593" s="22"/>
      <c r="S593" s="22"/>
      <c r="T593" s="468"/>
      <c r="U593" s="22"/>
      <c r="V593" s="22"/>
      <c r="W593" s="22"/>
      <c r="X593" s="22"/>
      <c r="Y593" s="22"/>
      <c r="Z593" s="465"/>
      <c r="AA593" s="22"/>
      <c r="AB593" s="22"/>
      <c r="AC593" s="22"/>
      <c r="AD593" s="22"/>
    </row>
    <row r="594" ht="15.75" customHeight="1">
      <c r="A594" s="22"/>
      <c r="B594" s="22"/>
      <c r="C594" s="22"/>
      <c r="D594" s="22"/>
      <c r="E594" s="22"/>
      <c r="F594" s="22"/>
      <c r="G594" s="22"/>
      <c r="H594" s="22"/>
      <c r="I594" s="22"/>
      <c r="J594" s="22"/>
      <c r="K594" s="22"/>
      <c r="L594" s="468"/>
      <c r="M594" s="468"/>
      <c r="N594" s="22"/>
      <c r="O594" s="22"/>
      <c r="P594" s="22"/>
      <c r="Q594" s="22"/>
      <c r="R594" s="22"/>
      <c r="S594" s="22"/>
      <c r="T594" s="468"/>
      <c r="U594" s="22"/>
      <c r="V594" s="22"/>
      <c r="W594" s="22"/>
      <c r="X594" s="22"/>
      <c r="Y594" s="22"/>
      <c r="Z594" s="465"/>
      <c r="AA594" s="22"/>
      <c r="AB594" s="22"/>
      <c r="AC594" s="22"/>
      <c r="AD594" s="22"/>
    </row>
    <row r="595" ht="15.75" customHeight="1">
      <c r="A595" s="22"/>
      <c r="B595" s="22"/>
      <c r="C595" s="22"/>
      <c r="D595" s="22"/>
      <c r="E595" s="22"/>
      <c r="F595" s="22"/>
      <c r="G595" s="22"/>
      <c r="H595" s="22"/>
      <c r="I595" s="22"/>
      <c r="J595" s="22"/>
      <c r="K595" s="22"/>
      <c r="L595" s="468"/>
      <c r="M595" s="468"/>
      <c r="N595" s="22"/>
      <c r="O595" s="22"/>
      <c r="P595" s="22"/>
      <c r="Q595" s="22"/>
      <c r="R595" s="22"/>
      <c r="S595" s="22"/>
      <c r="T595" s="468"/>
      <c r="U595" s="22"/>
      <c r="V595" s="22"/>
      <c r="W595" s="22"/>
      <c r="X595" s="22"/>
      <c r="Y595" s="22"/>
      <c r="Z595" s="465"/>
      <c r="AA595" s="22"/>
      <c r="AB595" s="22"/>
      <c r="AC595" s="22"/>
      <c r="AD595" s="22"/>
    </row>
    <row r="596" ht="15.75" customHeight="1">
      <c r="A596" s="22"/>
      <c r="B596" s="22"/>
      <c r="C596" s="22"/>
      <c r="D596" s="22"/>
      <c r="E596" s="22"/>
      <c r="F596" s="22"/>
      <c r="G596" s="22"/>
      <c r="H596" s="22"/>
      <c r="I596" s="22"/>
      <c r="J596" s="22"/>
      <c r="K596" s="22"/>
      <c r="L596" s="468"/>
      <c r="M596" s="468"/>
      <c r="N596" s="22"/>
      <c r="O596" s="22"/>
      <c r="P596" s="22"/>
      <c r="Q596" s="22"/>
      <c r="R596" s="22"/>
      <c r="S596" s="22"/>
      <c r="T596" s="468"/>
      <c r="U596" s="22"/>
      <c r="V596" s="22"/>
      <c r="W596" s="22"/>
      <c r="X596" s="22"/>
      <c r="Y596" s="22"/>
      <c r="Z596" s="465"/>
      <c r="AA596" s="22"/>
      <c r="AB596" s="22"/>
      <c r="AC596" s="22"/>
      <c r="AD596" s="22"/>
    </row>
    <row r="597" ht="15.75" customHeight="1">
      <c r="A597" s="22"/>
      <c r="B597" s="22"/>
      <c r="C597" s="22"/>
      <c r="D597" s="22"/>
      <c r="E597" s="22"/>
      <c r="F597" s="22"/>
      <c r="G597" s="22"/>
      <c r="H597" s="22"/>
      <c r="I597" s="22"/>
      <c r="J597" s="22"/>
      <c r="K597" s="22"/>
      <c r="L597" s="468"/>
      <c r="M597" s="468"/>
      <c r="N597" s="22"/>
      <c r="O597" s="22"/>
      <c r="P597" s="22"/>
      <c r="Q597" s="22"/>
      <c r="R597" s="22"/>
      <c r="S597" s="22"/>
      <c r="T597" s="468"/>
      <c r="U597" s="22"/>
      <c r="V597" s="22"/>
      <c r="W597" s="22"/>
      <c r="X597" s="22"/>
      <c r="Y597" s="22"/>
      <c r="Z597" s="465"/>
      <c r="AA597" s="22"/>
      <c r="AB597" s="22"/>
      <c r="AC597" s="22"/>
      <c r="AD597" s="22"/>
    </row>
    <row r="598" ht="15.75" customHeight="1">
      <c r="A598" s="22"/>
      <c r="B598" s="22"/>
      <c r="C598" s="22"/>
      <c r="D598" s="22"/>
      <c r="E598" s="22"/>
      <c r="F598" s="22"/>
      <c r="G598" s="22"/>
      <c r="H598" s="22"/>
      <c r="I598" s="22"/>
      <c r="J598" s="22"/>
      <c r="K598" s="22"/>
      <c r="L598" s="468"/>
      <c r="M598" s="468"/>
      <c r="N598" s="22"/>
      <c r="O598" s="22"/>
      <c r="P598" s="22"/>
      <c r="Q598" s="22"/>
      <c r="R598" s="22"/>
      <c r="S598" s="22"/>
      <c r="T598" s="468"/>
      <c r="U598" s="22"/>
      <c r="V598" s="22"/>
      <c r="W598" s="22"/>
      <c r="X598" s="22"/>
      <c r="Y598" s="22"/>
      <c r="Z598" s="465"/>
      <c r="AA598" s="22"/>
      <c r="AB598" s="22"/>
      <c r="AC598" s="22"/>
      <c r="AD598" s="22"/>
    </row>
    <row r="599" ht="15.75" customHeight="1">
      <c r="A599" s="22"/>
      <c r="B599" s="22"/>
      <c r="C599" s="22"/>
      <c r="D599" s="22"/>
      <c r="E599" s="22"/>
      <c r="F599" s="22"/>
      <c r="G599" s="22"/>
      <c r="H599" s="22"/>
      <c r="I599" s="22"/>
      <c r="J599" s="22"/>
      <c r="K599" s="22"/>
      <c r="L599" s="468"/>
      <c r="M599" s="468"/>
      <c r="N599" s="22"/>
      <c r="O599" s="22"/>
      <c r="P599" s="22"/>
      <c r="Q599" s="22"/>
      <c r="R599" s="22"/>
      <c r="S599" s="22"/>
      <c r="T599" s="468"/>
      <c r="U599" s="22"/>
      <c r="V599" s="22"/>
      <c r="W599" s="22"/>
      <c r="X599" s="22"/>
      <c r="Y599" s="22"/>
      <c r="Z599" s="465"/>
      <c r="AA599" s="22"/>
      <c r="AB599" s="22"/>
      <c r="AC599" s="22"/>
      <c r="AD599" s="22"/>
    </row>
    <row r="600" ht="15.75" customHeight="1">
      <c r="A600" s="22"/>
      <c r="B600" s="22"/>
      <c r="C600" s="22"/>
      <c r="D600" s="22"/>
      <c r="E600" s="22"/>
      <c r="F600" s="22"/>
      <c r="G600" s="22"/>
      <c r="H600" s="22"/>
      <c r="I600" s="22"/>
      <c r="J600" s="22"/>
      <c r="K600" s="22"/>
      <c r="L600" s="468"/>
      <c r="M600" s="468"/>
      <c r="N600" s="22"/>
      <c r="O600" s="22"/>
      <c r="P600" s="22"/>
      <c r="Q600" s="22"/>
      <c r="R600" s="22"/>
      <c r="S600" s="22"/>
      <c r="T600" s="468"/>
      <c r="U600" s="22"/>
      <c r="V600" s="22"/>
      <c r="W600" s="22"/>
      <c r="X600" s="22"/>
      <c r="Y600" s="22"/>
      <c r="Z600" s="465"/>
      <c r="AA600" s="22"/>
      <c r="AB600" s="22"/>
      <c r="AC600" s="22"/>
      <c r="AD600" s="22"/>
    </row>
    <row r="601" ht="15.75" customHeight="1">
      <c r="A601" s="22"/>
      <c r="B601" s="22"/>
      <c r="C601" s="22"/>
      <c r="D601" s="22"/>
      <c r="E601" s="22"/>
      <c r="F601" s="22"/>
      <c r="G601" s="22"/>
      <c r="H601" s="22"/>
      <c r="I601" s="22"/>
      <c r="J601" s="22"/>
      <c r="K601" s="22"/>
      <c r="L601" s="468"/>
      <c r="M601" s="468"/>
      <c r="N601" s="22"/>
      <c r="O601" s="22"/>
      <c r="P601" s="22"/>
      <c r="Q601" s="22"/>
      <c r="R601" s="22"/>
      <c r="S601" s="22"/>
      <c r="T601" s="468"/>
      <c r="U601" s="22"/>
      <c r="V601" s="22"/>
      <c r="W601" s="22"/>
      <c r="X601" s="22"/>
      <c r="Y601" s="22"/>
      <c r="Z601" s="465"/>
      <c r="AA601" s="22"/>
      <c r="AB601" s="22"/>
      <c r="AC601" s="22"/>
      <c r="AD601" s="22"/>
    </row>
    <row r="602" ht="15.75" customHeight="1">
      <c r="A602" s="22"/>
      <c r="B602" s="22"/>
      <c r="C602" s="22"/>
      <c r="D602" s="22"/>
      <c r="E602" s="22"/>
      <c r="F602" s="22"/>
      <c r="G602" s="22"/>
      <c r="H602" s="22"/>
      <c r="I602" s="22"/>
      <c r="J602" s="22"/>
      <c r="K602" s="22"/>
      <c r="L602" s="468"/>
      <c r="M602" s="468"/>
      <c r="N602" s="22"/>
      <c r="O602" s="22"/>
      <c r="P602" s="22"/>
      <c r="Q602" s="22"/>
      <c r="R602" s="22"/>
      <c r="S602" s="22"/>
      <c r="T602" s="468"/>
      <c r="U602" s="22"/>
      <c r="V602" s="22"/>
      <c r="W602" s="22"/>
      <c r="X602" s="22"/>
      <c r="Y602" s="22"/>
      <c r="Z602" s="465"/>
      <c r="AA602" s="22"/>
      <c r="AB602" s="22"/>
      <c r="AC602" s="22"/>
      <c r="AD602" s="22"/>
    </row>
    <row r="603" ht="15.75" customHeight="1">
      <c r="A603" s="22"/>
      <c r="B603" s="22"/>
      <c r="C603" s="22"/>
      <c r="D603" s="22"/>
      <c r="E603" s="22"/>
      <c r="F603" s="22"/>
      <c r="G603" s="22"/>
      <c r="H603" s="22"/>
      <c r="I603" s="22"/>
      <c r="J603" s="22"/>
      <c r="K603" s="22"/>
      <c r="L603" s="468"/>
      <c r="M603" s="468"/>
      <c r="N603" s="22"/>
      <c r="O603" s="22"/>
      <c r="P603" s="22"/>
      <c r="Q603" s="22"/>
      <c r="R603" s="22"/>
      <c r="S603" s="22"/>
      <c r="T603" s="468"/>
      <c r="U603" s="22"/>
      <c r="V603" s="22"/>
      <c r="W603" s="22"/>
      <c r="X603" s="22"/>
      <c r="Y603" s="22"/>
      <c r="Z603" s="465"/>
      <c r="AA603" s="22"/>
      <c r="AB603" s="22"/>
      <c r="AC603" s="22"/>
      <c r="AD603" s="22"/>
    </row>
    <row r="604" ht="15.75" customHeight="1">
      <c r="A604" s="22"/>
      <c r="B604" s="22"/>
      <c r="C604" s="22"/>
      <c r="D604" s="22"/>
      <c r="E604" s="22"/>
      <c r="F604" s="22"/>
      <c r="G604" s="22"/>
      <c r="H604" s="22"/>
      <c r="I604" s="22"/>
      <c r="J604" s="22"/>
      <c r="K604" s="22"/>
      <c r="L604" s="468"/>
      <c r="M604" s="468"/>
      <c r="N604" s="22"/>
      <c r="O604" s="22"/>
      <c r="P604" s="22"/>
      <c r="Q604" s="22"/>
      <c r="R604" s="22"/>
      <c r="S604" s="22"/>
      <c r="T604" s="468"/>
      <c r="U604" s="22"/>
      <c r="V604" s="22"/>
      <c r="W604" s="22"/>
      <c r="X604" s="22"/>
      <c r="Y604" s="22"/>
      <c r="Z604" s="465"/>
      <c r="AA604" s="22"/>
      <c r="AB604" s="22"/>
      <c r="AC604" s="22"/>
      <c r="AD604" s="22"/>
    </row>
    <row r="605" ht="15.75" customHeight="1">
      <c r="A605" s="22"/>
      <c r="B605" s="22"/>
      <c r="C605" s="22"/>
      <c r="D605" s="22"/>
      <c r="E605" s="22"/>
      <c r="F605" s="22"/>
      <c r="G605" s="22"/>
      <c r="H605" s="22"/>
      <c r="I605" s="22"/>
      <c r="J605" s="22"/>
      <c r="K605" s="22"/>
      <c r="L605" s="468"/>
      <c r="M605" s="468"/>
      <c r="N605" s="22"/>
      <c r="O605" s="22"/>
      <c r="P605" s="22"/>
      <c r="Q605" s="22"/>
      <c r="R605" s="22"/>
      <c r="S605" s="22"/>
      <c r="T605" s="468"/>
      <c r="U605" s="22"/>
      <c r="V605" s="22"/>
      <c r="W605" s="22"/>
      <c r="X605" s="22"/>
      <c r="Y605" s="22"/>
      <c r="Z605" s="465"/>
      <c r="AA605" s="22"/>
      <c r="AB605" s="22"/>
      <c r="AC605" s="22"/>
      <c r="AD605" s="22"/>
    </row>
    <row r="606" ht="15.75" customHeight="1">
      <c r="A606" s="22"/>
      <c r="B606" s="22"/>
      <c r="C606" s="22"/>
      <c r="D606" s="22"/>
      <c r="E606" s="22"/>
      <c r="F606" s="22"/>
      <c r="G606" s="22"/>
      <c r="H606" s="22"/>
      <c r="I606" s="22"/>
      <c r="J606" s="22"/>
      <c r="K606" s="22"/>
      <c r="L606" s="468"/>
      <c r="M606" s="468"/>
      <c r="N606" s="22"/>
      <c r="O606" s="22"/>
      <c r="P606" s="22"/>
      <c r="Q606" s="22"/>
      <c r="R606" s="22"/>
      <c r="S606" s="22"/>
      <c r="T606" s="468"/>
      <c r="U606" s="22"/>
      <c r="V606" s="22"/>
      <c r="W606" s="22"/>
      <c r="X606" s="22"/>
      <c r="Y606" s="22"/>
      <c r="Z606" s="465"/>
      <c r="AA606" s="22"/>
      <c r="AB606" s="22"/>
      <c r="AC606" s="22"/>
      <c r="AD606" s="22"/>
    </row>
    <row r="607" ht="15.75" customHeight="1">
      <c r="A607" s="22"/>
      <c r="B607" s="22"/>
      <c r="C607" s="22"/>
      <c r="D607" s="22"/>
      <c r="E607" s="22"/>
      <c r="F607" s="22"/>
      <c r="G607" s="22"/>
      <c r="H607" s="22"/>
      <c r="I607" s="22"/>
      <c r="J607" s="22"/>
      <c r="K607" s="22"/>
      <c r="L607" s="468"/>
      <c r="M607" s="468"/>
      <c r="N607" s="22"/>
      <c r="O607" s="22"/>
      <c r="P607" s="22"/>
      <c r="Q607" s="22"/>
      <c r="R607" s="22"/>
      <c r="S607" s="22"/>
      <c r="T607" s="468"/>
      <c r="U607" s="22"/>
      <c r="V607" s="22"/>
      <c r="W607" s="22"/>
      <c r="X607" s="22"/>
      <c r="Y607" s="22"/>
      <c r="Z607" s="465"/>
      <c r="AA607" s="22"/>
      <c r="AB607" s="22"/>
      <c r="AC607" s="22"/>
      <c r="AD607" s="22"/>
    </row>
    <row r="608" ht="15.75" customHeight="1">
      <c r="A608" s="22"/>
      <c r="B608" s="22"/>
      <c r="C608" s="22"/>
      <c r="D608" s="22"/>
      <c r="E608" s="22"/>
      <c r="F608" s="22"/>
      <c r="G608" s="22"/>
      <c r="H608" s="22"/>
      <c r="I608" s="22"/>
      <c r="J608" s="22"/>
      <c r="K608" s="22"/>
      <c r="L608" s="468"/>
      <c r="M608" s="468"/>
      <c r="N608" s="22"/>
      <c r="O608" s="22"/>
      <c r="P608" s="22"/>
      <c r="Q608" s="22"/>
      <c r="R608" s="22"/>
      <c r="S608" s="22"/>
      <c r="T608" s="468"/>
      <c r="U608" s="22"/>
      <c r="V608" s="22"/>
      <c r="W608" s="22"/>
      <c r="X608" s="22"/>
      <c r="Y608" s="22"/>
      <c r="Z608" s="465"/>
      <c r="AA608" s="22"/>
      <c r="AB608" s="22"/>
      <c r="AC608" s="22"/>
      <c r="AD608" s="22"/>
    </row>
    <row r="609" ht="15.75" customHeight="1">
      <c r="A609" s="22"/>
      <c r="B609" s="22"/>
      <c r="C609" s="22"/>
      <c r="D609" s="22"/>
      <c r="E609" s="22"/>
      <c r="F609" s="22"/>
      <c r="G609" s="22"/>
      <c r="H609" s="22"/>
      <c r="I609" s="22"/>
      <c r="J609" s="22"/>
      <c r="K609" s="22"/>
      <c r="L609" s="468"/>
      <c r="M609" s="468"/>
      <c r="N609" s="22"/>
      <c r="O609" s="22"/>
      <c r="P609" s="22"/>
      <c r="Q609" s="22"/>
      <c r="R609" s="22"/>
      <c r="S609" s="22"/>
      <c r="T609" s="468"/>
      <c r="U609" s="22"/>
      <c r="V609" s="22"/>
      <c r="W609" s="22"/>
      <c r="X609" s="22"/>
      <c r="Y609" s="22"/>
      <c r="Z609" s="465"/>
      <c r="AA609" s="22"/>
      <c r="AB609" s="22"/>
      <c r="AC609" s="22"/>
      <c r="AD609" s="22"/>
    </row>
    <row r="610" ht="15.75" customHeight="1">
      <c r="A610" s="22"/>
      <c r="B610" s="22"/>
      <c r="C610" s="22"/>
      <c r="D610" s="22"/>
      <c r="E610" s="22"/>
      <c r="F610" s="22"/>
      <c r="G610" s="22"/>
      <c r="H610" s="22"/>
      <c r="I610" s="22"/>
      <c r="J610" s="22"/>
      <c r="K610" s="22"/>
      <c r="L610" s="468"/>
      <c r="M610" s="468"/>
      <c r="N610" s="22"/>
      <c r="O610" s="22"/>
      <c r="P610" s="22"/>
      <c r="Q610" s="22"/>
      <c r="R610" s="22"/>
      <c r="S610" s="22"/>
      <c r="T610" s="468"/>
      <c r="U610" s="22"/>
      <c r="V610" s="22"/>
      <c r="W610" s="22"/>
      <c r="X610" s="22"/>
      <c r="Y610" s="22"/>
      <c r="Z610" s="465"/>
      <c r="AA610" s="22"/>
      <c r="AB610" s="22"/>
      <c r="AC610" s="22"/>
      <c r="AD610" s="22"/>
    </row>
    <row r="611" ht="15.75" customHeight="1">
      <c r="A611" s="22"/>
      <c r="B611" s="22"/>
      <c r="C611" s="22"/>
      <c r="D611" s="22"/>
      <c r="E611" s="22"/>
      <c r="F611" s="22"/>
      <c r="G611" s="22"/>
      <c r="H611" s="22"/>
      <c r="I611" s="22"/>
      <c r="J611" s="22"/>
      <c r="K611" s="22"/>
      <c r="L611" s="468"/>
      <c r="M611" s="468"/>
      <c r="N611" s="22"/>
      <c r="O611" s="22"/>
      <c r="P611" s="22"/>
      <c r="Q611" s="22"/>
      <c r="R611" s="22"/>
      <c r="S611" s="22"/>
      <c r="T611" s="468"/>
      <c r="U611" s="22"/>
      <c r="V611" s="22"/>
      <c r="W611" s="22"/>
      <c r="X611" s="22"/>
      <c r="Y611" s="22"/>
      <c r="Z611" s="465"/>
      <c r="AA611" s="22"/>
      <c r="AB611" s="22"/>
      <c r="AC611" s="22"/>
      <c r="AD611" s="22"/>
    </row>
    <row r="612" ht="15.75" customHeight="1">
      <c r="A612" s="22"/>
      <c r="B612" s="22"/>
      <c r="C612" s="22"/>
      <c r="D612" s="22"/>
      <c r="E612" s="22"/>
      <c r="F612" s="22"/>
      <c r="G612" s="22"/>
      <c r="H612" s="22"/>
      <c r="I612" s="22"/>
      <c r="J612" s="22"/>
      <c r="K612" s="22"/>
      <c r="L612" s="468"/>
      <c r="M612" s="468"/>
      <c r="N612" s="22"/>
      <c r="O612" s="22"/>
      <c r="P612" s="22"/>
      <c r="Q612" s="22"/>
      <c r="R612" s="22"/>
      <c r="S612" s="22"/>
      <c r="T612" s="468"/>
      <c r="U612" s="22"/>
      <c r="V612" s="22"/>
      <c r="W612" s="22"/>
      <c r="X612" s="22"/>
      <c r="Y612" s="22"/>
      <c r="Z612" s="465"/>
      <c r="AA612" s="22"/>
      <c r="AB612" s="22"/>
      <c r="AC612" s="22"/>
      <c r="AD612" s="22"/>
    </row>
    <row r="613" ht="15.75" customHeight="1">
      <c r="A613" s="22"/>
      <c r="B613" s="22"/>
      <c r="C613" s="22"/>
      <c r="D613" s="22"/>
      <c r="E613" s="22"/>
      <c r="F613" s="22"/>
      <c r="G613" s="22"/>
      <c r="H613" s="22"/>
      <c r="I613" s="22"/>
      <c r="J613" s="22"/>
      <c r="K613" s="22"/>
      <c r="L613" s="468"/>
      <c r="M613" s="468"/>
      <c r="N613" s="22"/>
      <c r="O613" s="22"/>
      <c r="P613" s="22"/>
      <c r="Q613" s="22"/>
      <c r="R613" s="22"/>
      <c r="S613" s="22"/>
      <c r="T613" s="468"/>
      <c r="U613" s="22"/>
      <c r="V613" s="22"/>
      <c r="W613" s="22"/>
      <c r="X613" s="22"/>
      <c r="Y613" s="22"/>
      <c r="Z613" s="465"/>
      <c r="AA613" s="22"/>
      <c r="AB613" s="22"/>
      <c r="AC613" s="22"/>
      <c r="AD613" s="22"/>
    </row>
    <row r="614" ht="15.75" customHeight="1">
      <c r="A614" s="22"/>
      <c r="B614" s="22"/>
      <c r="C614" s="22"/>
      <c r="D614" s="22"/>
      <c r="E614" s="22"/>
      <c r="F614" s="22"/>
      <c r="G614" s="22"/>
      <c r="H614" s="22"/>
      <c r="I614" s="22"/>
      <c r="J614" s="22"/>
      <c r="K614" s="22"/>
      <c r="L614" s="468"/>
      <c r="M614" s="468"/>
      <c r="N614" s="22"/>
      <c r="O614" s="22"/>
      <c r="P614" s="22"/>
      <c r="Q614" s="22"/>
      <c r="R614" s="22"/>
      <c r="S614" s="22"/>
      <c r="T614" s="468"/>
      <c r="U614" s="22"/>
      <c r="V614" s="22"/>
      <c r="W614" s="22"/>
      <c r="X614" s="22"/>
      <c r="Y614" s="22"/>
      <c r="Z614" s="465"/>
      <c r="AA614" s="22"/>
      <c r="AB614" s="22"/>
      <c r="AC614" s="22"/>
      <c r="AD614" s="22"/>
    </row>
    <row r="615" ht="15.75" customHeight="1">
      <c r="A615" s="22"/>
      <c r="B615" s="22"/>
      <c r="C615" s="22"/>
      <c r="D615" s="22"/>
      <c r="E615" s="22"/>
      <c r="F615" s="22"/>
      <c r="G615" s="22"/>
      <c r="H615" s="22"/>
      <c r="I615" s="22"/>
      <c r="J615" s="22"/>
      <c r="K615" s="22"/>
      <c r="L615" s="468"/>
      <c r="M615" s="468"/>
      <c r="N615" s="22"/>
      <c r="O615" s="22"/>
      <c r="P615" s="22"/>
      <c r="Q615" s="22"/>
      <c r="R615" s="22"/>
      <c r="S615" s="22"/>
      <c r="T615" s="468"/>
      <c r="U615" s="22"/>
      <c r="V615" s="22"/>
      <c r="W615" s="22"/>
      <c r="X615" s="22"/>
      <c r="Y615" s="22"/>
      <c r="Z615" s="465"/>
      <c r="AA615" s="22"/>
      <c r="AB615" s="22"/>
      <c r="AC615" s="22"/>
      <c r="AD615" s="22"/>
    </row>
    <row r="616" ht="15.75" customHeight="1">
      <c r="A616" s="22"/>
      <c r="B616" s="22"/>
      <c r="C616" s="22"/>
      <c r="D616" s="22"/>
      <c r="E616" s="22"/>
      <c r="F616" s="22"/>
      <c r="G616" s="22"/>
      <c r="H616" s="22"/>
      <c r="I616" s="22"/>
      <c r="J616" s="22"/>
      <c r="K616" s="22"/>
      <c r="L616" s="468"/>
      <c r="M616" s="468"/>
      <c r="N616" s="22"/>
      <c r="O616" s="22"/>
      <c r="P616" s="22"/>
      <c r="Q616" s="22"/>
      <c r="R616" s="22"/>
      <c r="S616" s="22"/>
      <c r="T616" s="468"/>
      <c r="U616" s="22"/>
      <c r="V616" s="22"/>
      <c r="W616" s="22"/>
      <c r="X616" s="22"/>
      <c r="Y616" s="22"/>
      <c r="Z616" s="465"/>
      <c r="AA616" s="22"/>
      <c r="AB616" s="22"/>
      <c r="AC616" s="22"/>
      <c r="AD616" s="22"/>
    </row>
    <row r="617" ht="15.75" customHeight="1">
      <c r="A617" s="22"/>
      <c r="B617" s="22"/>
      <c r="C617" s="22"/>
      <c r="D617" s="22"/>
      <c r="E617" s="22"/>
      <c r="F617" s="22"/>
      <c r="G617" s="22"/>
      <c r="H617" s="22"/>
      <c r="I617" s="22"/>
      <c r="J617" s="22"/>
      <c r="K617" s="22"/>
      <c r="L617" s="468"/>
      <c r="M617" s="468"/>
      <c r="N617" s="22"/>
      <c r="O617" s="22"/>
      <c r="P617" s="22"/>
      <c r="Q617" s="22"/>
      <c r="R617" s="22"/>
      <c r="S617" s="22"/>
      <c r="T617" s="468"/>
      <c r="U617" s="22"/>
      <c r="V617" s="22"/>
      <c r="W617" s="22"/>
      <c r="X617" s="22"/>
      <c r="Y617" s="22"/>
      <c r="Z617" s="465"/>
      <c r="AA617" s="22"/>
      <c r="AB617" s="22"/>
      <c r="AC617" s="22"/>
      <c r="AD617" s="22"/>
    </row>
    <row r="618" ht="15.75" customHeight="1">
      <c r="A618" s="22"/>
      <c r="B618" s="22"/>
      <c r="C618" s="22"/>
      <c r="D618" s="22"/>
      <c r="E618" s="22"/>
      <c r="F618" s="22"/>
      <c r="G618" s="22"/>
      <c r="H618" s="22"/>
      <c r="I618" s="22"/>
      <c r="J618" s="22"/>
      <c r="K618" s="22"/>
      <c r="L618" s="468"/>
      <c r="M618" s="468"/>
      <c r="N618" s="22"/>
      <c r="O618" s="22"/>
      <c r="P618" s="22"/>
      <c r="Q618" s="22"/>
      <c r="R618" s="22"/>
      <c r="S618" s="22"/>
      <c r="T618" s="468"/>
      <c r="U618" s="22"/>
      <c r="V618" s="22"/>
      <c r="W618" s="22"/>
      <c r="X618" s="22"/>
      <c r="Y618" s="22"/>
      <c r="Z618" s="465"/>
      <c r="AA618" s="22"/>
      <c r="AB618" s="22"/>
      <c r="AC618" s="22"/>
      <c r="AD618" s="22"/>
    </row>
    <row r="619" ht="15.75" customHeight="1">
      <c r="A619" s="22"/>
      <c r="B619" s="22"/>
      <c r="C619" s="22"/>
      <c r="D619" s="22"/>
      <c r="E619" s="22"/>
      <c r="F619" s="22"/>
      <c r="G619" s="22"/>
      <c r="H619" s="22"/>
      <c r="I619" s="22"/>
      <c r="J619" s="22"/>
      <c r="K619" s="22"/>
      <c r="L619" s="468"/>
      <c r="M619" s="468"/>
      <c r="N619" s="22"/>
      <c r="O619" s="22"/>
      <c r="P619" s="22"/>
      <c r="Q619" s="22"/>
      <c r="R619" s="22"/>
      <c r="S619" s="22"/>
      <c r="T619" s="468"/>
      <c r="U619" s="22"/>
      <c r="V619" s="22"/>
      <c r="W619" s="22"/>
      <c r="X619" s="22"/>
      <c r="Y619" s="22"/>
      <c r="Z619" s="465"/>
      <c r="AA619" s="22"/>
      <c r="AB619" s="22"/>
      <c r="AC619" s="22"/>
      <c r="AD619" s="22"/>
    </row>
    <row r="620" ht="15.75" customHeight="1">
      <c r="A620" s="22"/>
      <c r="B620" s="22"/>
      <c r="C620" s="22"/>
      <c r="D620" s="22"/>
      <c r="E620" s="22"/>
      <c r="F620" s="22"/>
      <c r="G620" s="22"/>
      <c r="H620" s="22"/>
      <c r="I620" s="22"/>
      <c r="J620" s="22"/>
      <c r="K620" s="22"/>
      <c r="L620" s="468"/>
      <c r="M620" s="468"/>
      <c r="N620" s="22"/>
      <c r="O620" s="22"/>
      <c r="P620" s="22"/>
      <c r="Q620" s="22"/>
      <c r="R620" s="22"/>
      <c r="S620" s="22"/>
      <c r="T620" s="468"/>
      <c r="U620" s="22"/>
      <c r="V620" s="22"/>
      <c r="W620" s="22"/>
      <c r="X620" s="22"/>
      <c r="Y620" s="22"/>
      <c r="Z620" s="465"/>
      <c r="AA620" s="22"/>
      <c r="AB620" s="22"/>
      <c r="AC620" s="22"/>
      <c r="AD620" s="22"/>
    </row>
    <row r="621" ht="15.75" customHeight="1">
      <c r="A621" s="22"/>
      <c r="B621" s="22"/>
      <c r="C621" s="22"/>
      <c r="D621" s="22"/>
      <c r="E621" s="22"/>
      <c r="F621" s="22"/>
      <c r="G621" s="22"/>
      <c r="H621" s="22"/>
      <c r="I621" s="22"/>
      <c r="J621" s="22"/>
      <c r="K621" s="22"/>
      <c r="L621" s="468"/>
      <c r="M621" s="468"/>
      <c r="N621" s="22"/>
      <c r="O621" s="22"/>
      <c r="P621" s="22"/>
      <c r="Q621" s="22"/>
      <c r="R621" s="22"/>
      <c r="S621" s="22"/>
      <c r="T621" s="468"/>
      <c r="U621" s="22"/>
      <c r="V621" s="22"/>
      <c r="W621" s="22"/>
      <c r="X621" s="22"/>
      <c r="Y621" s="22"/>
      <c r="Z621" s="465"/>
      <c r="AA621" s="22"/>
      <c r="AB621" s="22"/>
      <c r="AC621" s="22"/>
      <c r="AD621" s="22"/>
    </row>
    <row r="622" ht="15.75" customHeight="1">
      <c r="A622" s="22"/>
      <c r="B622" s="22"/>
      <c r="C622" s="22"/>
      <c r="D622" s="22"/>
      <c r="E622" s="22"/>
      <c r="F622" s="22"/>
      <c r="G622" s="22"/>
      <c r="H622" s="22"/>
      <c r="I622" s="22"/>
      <c r="J622" s="22"/>
      <c r="K622" s="22"/>
      <c r="L622" s="468"/>
      <c r="M622" s="468"/>
      <c r="N622" s="22"/>
      <c r="O622" s="22"/>
      <c r="P622" s="22"/>
      <c r="Q622" s="22"/>
      <c r="R622" s="22"/>
      <c r="S622" s="22"/>
      <c r="T622" s="468"/>
      <c r="U622" s="22"/>
      <c r="V622" s="22"/>
      <c r="W622" s="22"/>
      <c r="X622" s="22"/>
      <c r="Y622" s="22"/>
      <c r="Z622" s="465"/>
      <c r="AA622" s="22"/>
      <c r="AB622" s="22"/>
      <c r="AC622" s="22"/>
      <c r="AD622" s="22"/>
    </row>
    <row r="623" ht="15.75" customHeight="1">
      <c r="A623" s="22"/>
      <c r="B623" s="22"/>
      <c r="C623" s="22"/>
      <c r="D623" s="22"/>
      <c r="E623" s="22"/>
      <c r="F623" s="22"/>
      <c r="G623" s="22"/>
      <c r="H623" s="22"/>
      <c r="I623" s="22"/>
      <c r="J623" s="22"/>
      <c r="K623" s="22"/>
      <c r="L623" s="468"/>
      <c r="M623" s="468"/>
      <c r="N623" s="22"/>
      <c r="O623" s="22"/>
      <c r="P623" s="22"/>
      <c r="Q623" s="22"/>
      <c r="R623" s="22"/>
      <c r="S623" s="22"/>
      <c r="T623" s="468"/>
      <c r="U623" s="22"/>
      <c r="V623" s="22"/>
      <c r="W623" s="22"/>
      <c r="X623" s="22"/>
      <c r="Y623" s="22"/>
      <c r="Z623" s="465"/>
      <c r="AA623" s="22"/>
      <c r="AB623" s="22"/>
      <c r="AC623" s="22"/>
      <c r="AD623" s="22"/>
    </row>
    <row r="624" ht="15.75" customHeight="1">
      <c r="A624" s="22"/>
      <c r="B624" s="22"/>
      <c r="C624" s="22"/>
      <c r="D624" s="22"/>
      <c r="E624" s="22"/>
      <c r="F624" s="22"/>
      <c r="G624" s="22"/>
      <c r="H624" s="22"/>
      <c r="I624" s="22"/>
      <c r="J624" s="22"/>
      <c r="K624" s="22"/>
      <c r="L624" s="468"/>
      <c r="M624" s="468"/>
      <c r="N624" s="22"/>
      <c r="O624" s="22"/>
      <c r="P624" s="22"/>
      <c r="Q624" s="22"/>
      <c r="R624" s="22"/>
      <c r="S624" s="22"/>
      <c r="T624" s="468"/>
      <c r="U624" s="22"/>
      <c r="V624" s="22"/>
      <c r="W624" s="22"/>
      <c r="X624" s="22"/>
      <c r="Y624" s="22"/>
      <c r="Z624" s="465"/>
      <c r="AA624" s="22"/>
      <c r="AB624" s="22"/>
      <c r="AC624" s="22"/>
      <c r="AD624" s="22"/>
    </row>
    <row r="625" ht="15.75" customHeight="1">
      <c r="A625" s="22"/>
      <c r="B625" s="22"/>
      <c r="C625" s="22"/>
      <c r="D625" s="22"/>
      <c r="E625" s="22"/>
      <c r="F625" s="22"/>
      <c r="G625" s="22"/>
      <c r="H625" s="22"/>
      <c r="I625" s="22"/>
      <c r="J625" s="22"/>
      <c r="K625" s="22"/>
      <c r="L625" s="468"/>
      <c r="M625" s="468"/>
      <c r="N625" s="22"/>
      <c r="O625" s="22"/>
      <c r="P625" s="22"/>
      <c r="Q625" s="22"/>
      <c r="R625" s="22"/>
      <c r="S625" s="22"/>
      <c r="T625" s="468"/>
      <c r="U625" s="22"/>
      <c r="V625" s="22"/>
      <c r="W625" s="22"/>
      <c r="X625" s="22"/>
      <c r="Y625" s="22"/>
      <c r="Z625" s="465"/>
      <c r="AA625" s="22"/>
      <c r="AB625" s="22"/>
      <c r="AC625" s="22"/>
      <c r="AD625" s="22"/>
    </row>
    <row r="626" ht="15.75" customHeight="1">
      <c r="A626" s="22"/>
      <c r="B626" s="22"/>
      <c r="C626" s="22"/>
      <c r="D626" s="22"/>
      <c r="E626" s="22"/>
      <c r="F626" s="22"/>
      <c r="G626" s="22"/>
      <c r="H626" s="22"/>
      <c r="I626" s="22"/>
      <c r="J626" s="22"/>
      <c r="K626" s="22"/>
      <c r="L626" s="468"/>
      <c r="M626" s="468"/>
      <c r="N626" s="22"/>
      <c r="O626" s="22"/>
      <c r="P626" s="22"/>
      <c r="Q626" s="22"/>
      <c r="R626" s="22"/>
      <c r="S626" s="22"/>
      <c r="T626" s="468"/>
      <c r="U626" s="22"/>
      <c r="V626" s="22"/>
      <c r="W626" s="22"/>
      <c r="X626" s="22"/>
      <c r="Y626" s="22"/>
      <c r="Z626" s="465"/>
      <c r="AA626" s="22"/>
      <c r="AB626" s="22"/>
      <c r="AC626" s="22"/>
      <c r="AD626" s="22"/>
    </row>
    <row r="627" ht="15.75" customHeight="1">
      <c r="A627" s="22"/>
      <c r="B627" s="22"/>
      <c r="C627" s="22"/>
      <c r="D627" s="22"/>
      <c r="E627" s="22"/>
      <c r="F627" s="22"/>
      <c r="G627" s="22"/>
      <c r="H627" s="22"/>
      <c r="I627" s="22"/>
      <c r="J627" s="22"/>
      <c r="K627" s="22"/>
      <c r="L627" s="468"/>
      <c r="M627" s="468"/>
      <c r="N627" s="22"/>
      <c r="O627" s="22"/>
      <c r="P627" s="22"/>
      <c r="Q627" s="22"/>
      <c r="R627" s="22"/>
      <c r="S627" s="22"/>
      <c r="T627" s="468"/>
      <c r="U627" s="22"/>
      <c r="V627" s="22"/>
      <c r="W627" s="22"/>
      <c r="X627" s="22"/>
      <c r="Y627" s="22"/>
      <c r="Z627" s="465"/>
      <c r="AA627" s="22"/>
      <c r="AB627" s="22"/>
      <c r="AC627" s="22"/>
      <c r="AD627" s="22"/>
    </row>
    <row r="628" ht="15.75" customHeight="1">
      <c r="A628" s="22"/>
      <c r="B628" s="22"/>
      <c r="C628" s="22"/>
      <c r="D628" s="22"/>
      <c r="E628" s="22"/>
      <c r="F628" s="22"/>
      <c r="G628" s="22"/>
      <c r="H628" s="22"/>
      <c r="I628" s="22"/>
      <c r="J628" s="22"/>
      <c r="K628" s="22"/>
      <c r="L628" s="468"/>
      <c r="M628" s="468"/>
      <c r="N628" s="22"/>
      <c r="O628" s="22"/>
      <c r="P628" s="22"/>
      <c r="Q628" s="22"/>
      <c r="R628" s="22"/>
      <c r="S628" s="22"/>
      <c r="T628" s="468"/>
      <c r="U628" s="22"/>
      <c r="V628" s="22"/>
      <c r="W628" s="22"/>
      <c r="X628" s="22"/>
      <c r="Y628" s="22"/>
      <c r="Z628" s="465"/>
      <c r="AA628" s="22"/>
      <c r="AB628" s="22"/>
      <c r="AC628" s="22"/>
      <c r="AD628" s="22"/>
    </row>
    <row r="629" ht="15.75" customHeight="1">
      <c r="A629" s="22"/>
      <c r="B629" s="22"/>
      <c r="C629" s="22"/>
      <c r="D629" s="22"/>
      <c r="E629" s="22"/>
      <c r="F629" s="22"/>
      <c r="G629" s="22"/>
      <c r="H629" s="22"/>
      <c r="I629" s="22"/>
      <c r="J629" s="22"/>
      <c r="K629" s="22"/>
      <c r="L629" s="468"/>
      <c r="M629" s="468"/>
      <c r="N629" s="22"/>
      <c r="O629" s="22"/>
      <c r="P629" s="22"/>
      <c r="Q629" s="22"/>
      <c r="R629" s="22"/>
      <c r="S629" s="22"/>
      <c r="T629" s="468"/>
      <c r="U629" s="22"/>
      <c r="V629" s="22"/>
      <c r="W629" s="22"/>
      <c r="X629" s="22"/>
      <c r="Y629" s="22"/>
      <c r="Z629" s="465"/>
      <c r="AA629" s="22"/>
      <c r="AB629" s="22"/>
      <c r="AC629" s="22"/>
      <c r="AD629" s="22"/>
    </row>
    <row r="630" ht="15.75" customHeight="1">
      <c r="A630" s="22"/>
      <c r="B630" s="22"/>
      <c r="C630" s="22"/>
      <c r="D630" s="22"/>
      <c r="E630" s="22"/>
      <c r="F630" s="22"/>
      <c r="G630" s="22"/>
      <c r="H630" s="22"/>
      <c r="I630" s="22"/>
      <c r="J630" s="22"/>
      <c r="K630" s="22"/>
      <c r="L630" s="468"/>
      <c r="M630" s="468"/>
      <c r="N630" s="22"/>
      <c r="O630" s="22"/>
      <c r="P630" s="22"/>
      <c r="Q630" s="22"/>
      <c r="R630" s="22"/>
      <c r="S630" s="22"/>
      <c r="T630" s="468"/>
      <c r="U630" s="22"/>
      <c r="V630" s="22"/>
      <c r="W630" s="22"/>
      <c r="X630" s="22"/>
      <c r="Y630" s="22"/>
      <c r="Z630" s="465"/>
      <c r="AA630" s="22"/>
      <c r="AB630" s="22"/>
      <c r="AC630" s="22"/>
      <c r="AD630" s="22"/>
    </row>
    <row r="631" ht="15.75" customHeight="1">
      <c r="A631" s="22"/>
      <c r="B631" s="22"/>
      <c r="C631" s="22"/>
      <c r="D631" s="22"/>
      <c r="E631" s="22"/>
      <c r="F631" s="22"/>
      <c r="G631" s="22"/>
      <c r="H631" s="22"/>
      <c r="I631" s="22"/>
      <c r="J631" s="22"/>
      <c r="K631" s="22"/>
      <c r="L631" s="468"/>
      <c r="M631" s="468"/>
      <c r="N631" s="22"/>
      <c r="O631" s="22"/>
      <c r="P631" s="22"/>
      <c r="Q631" s="22"/>
      <c r="R631" s="22"/>
      <c r="S631" s="22"/>
      <c r="T631" s="468"/>
      <c r="U631" s="22"/>
      <c r="V631" s="22"/>
      <c r="W631" s="22"/>
      <c r="X631" s="22"/>
      <c r="Y631" s="22"/>
      <c r="Z631" s="465"/>
      <c r="AA631" s="22"/>
      <c r="AB631" s="22"/>
      <c r="AC631" s="22"/>
      <c r="AD631" s="22"/>
    </row>
    <row r="632" ht="15.75" customHeight="1">
      <c r="A632" s="22"/>
      <c r="B632" s="22"/>
      <c r="C632" s="22"/>
      <c r="D632" s="22"/>
      <c r="E632" s="22"/>
      <c r="F632" s="22"/>
      <c r="G632" s="22"/>
      <c r="H632" s="22"/>
      <c r="I632" s="22"/>
      <c r="J632" s="22"/>
      <c r="K632" s="22"/>
      <c r="L632" s="468"/>
      <c r="M632" s="468"/>
      <c r="N632" s="22"/>
      <c r="O632" s="22"/>
      <c r="P632" s="22"/>
      <c r="Q632" s="22"/>
      <c r="R632" s="22"/>
      <c r="S632" s="22"/>
      <c r="T632" s="468"/>
      <c r="U632" s="22"/>
      <c r="V632" s="22"/>
      <c r="W632" s="22"/>
      <c r="X632" s="22"/>
      <c r="Y632" s="22"/>
      <c r="Z632" s="465"/>
      <c r="AA632" s="22"/>
      <c r="AB632" s="22"/>
      <c r="AC632" s="22"/>
      <c r="AD632" s="22"/>
    </row>
    <row r="633" ht="15.75" customHeight="1">
      <c r="A633" s="22"/>
      <c r="B633" s="22"/>
      <c r="C633" s="22"/>
      <c r="D633" s="22"/>
      <c r="E633" s="22"/>
      <c r="F633" s="22"/>
      <c r="G633" s="22"/>
      <c r="H633" s="22"/>
      <c r="I633" s="22"/>
      <c r="J633" s="22"/>
      <c r="K633" s="22"/>
      <c r="L633" s="468"/>
      <c r="M633" s="468"/>
      <c r="N633" s="22"/>
      <c r="O633" s="22"/>
      <c r="P633" s="22"/>
      <c r="Q633" s="22"/>
      <c r="R633" s="22"/>
      <c r="S633" s="22"/>
      <c r="T633" s="468"/>
      <c r="U633" s="22"/>
      <c r="V633" s="22"/>
      <c r="W633" s="22"/>
      <c r="X633" s="22"/>
      <c r="Y633" s="22"/>
      <c r="Z633" s="465"/>
      <c r="AA633" s="22"/>
      <c r="AB633" s="22"/>
      <c r="AC633" s="22"/>
      <c r="AD633" s="22"/>
    </row>
    <row r="634" ht="15.75" customHeight="1">
      <c r="A634" s="22"/>
      <c r="B634" s="22"/>
      <c r="C634" s="22"/>
      <c r="D634" s="22"/>
      <c r="E634" s="22"/>
      <c r="F634" s="22"/>
      <c r="G634" s="22"/>
      <c r="H634" s="22"/>
      <c r="I634" s="22"/>
      <c r="J634" s="22"/>
      <c r="K634" s="22"/>
      <c r="L634" s="468"/>
      <c r="M634" s="468"/>
      <c r="N634" s="22"/>
      <c r="O634" s="22"/>
      <c r="P634" s="22"/>
      <c r="Q634" s="22"/>
      <c r="R634" s="22"/>
      <c r="S634" s="22"/>
      <c r="T634" s="468"/>
      <c r="U634" s="22"/>
      <c r="V634" s="22"/>
      <c r="W634" s="22"/>
      <c r="X634" s="22"/>
      <c r="Y634" s="22"/>
      <c r="Z634" s="465"/>
      <c r="AA634" s="22"/>
      <c r="AB634" s="22"/>
      <c r="AC634" s="22"/>
      <c r="AD634" s="22"/>
    </row>
    <row r="635" ht="15.75" customHeight="1">
      <c r="A635" s="22"/>
      <c r="B635" s="22"/>
      <c r="C635" s="22"/>
      <c r="D635" s="22"/>
      <c r="E635" s="22"/>
      <c r="F635" s="22"/>
      <c r="G635" s="22"/>
      <c r="H635" s="22"/>
      <c r="I635" s="22"/>
      <c r="J635" s="22"/>
      <c r="K635" s="22"/>
      <c r="L635" s="468"/>
      <c r="M635" s="468"/>
      <c r="N635" s="22"/>
      <c r="O635" s="22"/>
      <c r="P635" s="22"/>
      <c r="Q635" s="22"/>
      <c r="R635" s="22"/>
      <c r="S635" s="22"/>
      <c r="T635" s="468"/>
      <c r="U635" s="22"/>
      <c r="V635" s="22"/>
      <c r="W635" s="22"/>
      <c r="X635" s="22"/>
      <c r="Y635" s="22"/>
      <c r="Z635" s="465"/>
      <c r="AA635" s="22"/>
      <c r="AB635" s="22"/>
      <c r="AC635" s="22"/>
      <c r="AD635" s="22"/>
    </row>
    <row r="636" ht="15.75" customHeight="1">
      <c r="A636" s="22"/>
      <c r="B636" s="22"/>
      <c r="C636" s="22"/>
      <c r="D636" s="22"/>
      <c r="E636" s="22"/>
      <c r="F636" s="22"/>
      <c r="G636" s="22"/>
      <c r="H636" s="22"/>
      <c r="I636" s="22"/>
      <c r="J636" s="22"/>
      <c r="K636" s="22"/>
      <c r="L636" s="468"/>
      <c r="M636" s="468"/>
      <c r="N636" s="22"/>
      <c r="O636" s="22"/>
      <c r="P636" s="22"/>
      <c r="Q636" s="22"/>
      <c r="R636" s="22"/>
      <c r="S636" s="22"/>
      <c r="T636" s="468"/>
      <c r="U636" s="22"/>
      <c r="V636" s="22"/>
      <c r="W636" s="22"/>
      <c r="X636" s="22"/>
      <c r="Y636" s="22"/>
      <c r="Z636" s="465"/>
      <c r="AA636" s="22"/>
      <c r="AB636" s="22"/>
      <c r="AC636" s="22"/>
      <c r="AD636" s="22"/>
    </row>
    <row r="637" ht="15.75" customHeight="1">
      <c r="A637" s="22"/>
      <c r="B637" s="22"/>
      <c r="C637" s="22"/>
      <c r="D637" s="22"/>
      <c r="E637" s="22"/>
      <c r="F637" s="22"/>
      <c r="G637" s="22"/>
      <c r="H637" s="22"/>
      <c r="I637" s="22"/>
      <c r="J637" s="22"/>
      <c r="K637" s="22"/>
      <c r="L637" s="468"/>
      <c r="M637" s="468"/>
      <c r="N637" s="22"/>
      <c r="O637" s="22"/>
      <c r="P637" s="22"/>
      <c r="Q637" s="22"/>
      <c r="R637" s="22"/>
      <c r="S637" s="22"/>
      <c r="T637" s="468"/>
      <c r="U637" s="22"/>
      <c r="V637" s="22"/>
      <c r="W637" s="22"/>
      <c r="X637" s="22"/>
      <c r="Y637" s="22"/>
      <c r="Z637" s="465"/>
      <c r="AA637" s="22"/>
      <c r="AB637" s="22"/>
      <c r="AC637" s="22"/>
      <c r="AD637" s="22"/>
    </row>
    <row r="638" ht="15.75" customHeight="1">
      <c r="A638" s="22"/>
      <c r="B638" s="22"/>
      <c r="C638" s="22"/>
      <c r="D638" s="22"/>
      <c r="E638" s="22"/>
      <c r="F638" s="22"/>
      <c r="G638" s="22"/>
      <c r="H638" s="22"/>
      <c r="I638" s="22"/>
      <c r="J638" s="22"/>
      <c r="K638" s="22"/>
      <c r="L638" s="468"/>
      <c r="M638" s="468"/>
      <c r="N638" s="22"/>
      <c r="O638" s="22"/>
      <c r="P638" s="22"/>
      <c r="Q638" s="22"/>
      <c r="R638" s="22"/>
      <c r="S638" s="22"/>
      <c r="T638" s="468"/>
      <c r="U638" s="22"/>
      <c r="V638" s="22"/>
      <c r="W638" s="22"/>
      <c r="X638" s="22"/>
      <c r="Y638" s="22"/>
      <c r="Z638" s="465"/>
      <c r="AA638" s="22"/>
      <c r="AB638" s="22"/>
      <c r="AC638" s="22"/>
      <c r="AD638" s="22"/>
    </row>
    <row r="639" ht="15.75" customHeight="1">
      <c r="A639" s="22"/>
      <c r="B639" s="22"/>
      <c r="C639" s="22"/>
      <c r="D639" s="22"/>
      <c r="E639" s="22"/>
      <c r="F639" s="22"/>
      <c r="G639" s="22"/>
      <c r="H639" s="22"/>
      <c r="I639" s="22"/>
      <c r="J639" s="22"/>
      <c r="K639" s="22"/>
      <c r="L639" s="468"/>
      <c r="M639" s="468"/>
      <c r="N639" s="22"/>
      <c r="O639" s="22"/>
      <c r="P639" s="22"/>
      <c r="Q639" s="22"/>
      <c r="R639" s="22"/>
      <c r="S639" s="22"/>
      <c r="T639" s="468"/>
      <c r="U639" s="22"/>
      <c r="V639" s="22"/>
      <c r="W639" s="22"/>
      <c r="X639" s="22"/>
      <c r="Y639" s="22"/>
      <c r="Z639" s="465"/>
      <c r="AA639" s="22"/>
      <c r="AB639" s="22"/>
      <c r="AC639" s="22"/>
      <c r="AD639" s="22"/>
    </row>
    <row r="640" ht="15.75" customHeight="1">
      <c r="A640" s="22"/>
      <c r="B640" s="22"/>
      <c r="C640" s="22"/>
      <c r="D640" s="22"/>
      <c r="E640" s="22"/>
      <c r="F640" s="22"/>
      <c r="G640" s="22"/>
      <c r="H640" s="22"/>
      <c r="I640" s="22"/>
      <c r="J640" s="22"/>
      <c r="K640" s="22"/>
      <c r="L640" s="468"/>
      <c r="M640" s="468"/>
      <c r="N640" s="22"/>
      <c r="O640" s="22"/>
      <c r="P640" s="22"/>
      <c r="Q640" s="22"/>
      <c r="R640" s="22"/>
      <c r="S640" s="22"/>
      <c r="T640" s="468"/>
      <c r="U640" s="22"/>
      <c r="V640" s="22"/>
      <c r="W640" s="22"/>
      <c r="X640" s="22"/>
      <c r="Y640" s="22"/>
      <c r="Z640" s="465"/>
      <c r="AA640" s="22"/>
      <c r="AB640" s="22"/>
      <c r="AC640" s="22"/>
      <c r="AD640" s="22"/>
    </row>
    <row r="641" ht="15.75" customHeight="1">
      <c r="A641" s="22"/>
      <c r="B641" s="22"/>
      <c r="C641" s="22"/>
      <c r="D641" s="22"/>
      <c r="E641" s="22"/>
      <c r="F641" s="22"/>
      <c r="G641" s="22"/>
      <c r="H641" s="22"/>
      <c r="I641" s="22"/>
      <c r="J641" s="22"/>
      <c r="K641" s="22"/>
      <c r="L641" s="468"/>
      <c r="M641" s="468"/>
      <c r="N641" s="22"/>
      <c r="O641" s="22"/>
      <c r="P641" s="22"/>
      <c r="Q641" s="22"/>
      <c r="R641" s="22"/>
      <c r="S641" s="22"/>
      <c r="T641" s="468"/>
      <c r="U641" s="22"/>
      <c r="V641" s="22"/>
      <c r="W641" s="22"/>
      <c r="X641" s="22"/>
      <c r="Y641" s="22"/>
      <c r="Z641" s="465"/>
      <c r="AA641" s="22"/>
      <c r="AB641" s="22"/>
      <c r="AC641" s="22"/>
      <c r="AD641" s="22"/>
    </row>
    <row r="642" ht="15.75" customHeight="1">
      <c r="A642" s="22"/>
      <c r="B642" s="22"/>
      <c r="C642" s="22"/>
      <c r="D642" s="22"/>
      <c r="E642" s="22"/>
      <c r="F642" s="22"/>
      <c r="G642" s="22"/>
      <c r="H642" s="22"/>
      <c r="I642" s="22"/>
      <c r="J642" s="22"/>
      <c r="K642" s="22"/>
      <c r="L642" s="468"/>
      <c r="M642" s="468"/>
      <c r="N642" s="22"/>
      <c r="O642" s="22"/>
      <c r="P642" s="22"/>
      <c r="Q642" s="22"/>
      <c r="R642" s="22"/>
      <c r="S642" s="22"/>
      <c r="T642" s="468"/>
      <c r="U642" s="22"/>
      <c r="V642" s="22"/>
      <c r="W642" s="22"/>
      <c r="X642" s="22"/>
      <c r="Y642" s="22"/>
      <c r="Z642" s="465"/>
      <c r="AA642" s="22"/>
      <c r="AB642" s="22"/>
      <c r="AC642" s="22"/>
      <c r="AD642" s="22"/>
    </row>
    <row r="643" ht="15.75" customHeight="1">
      <c r="A643" s="22"/>
      <c r="B643" s="22"/>
      <c r="C643" s="22"/>
      <c r="D643" s="22"/>
      <c r="E643" s="22"/>
      <c r="F643" s="22"/>
      <c r="G643" s="22"/>
      <c r="H643" s="22"/>
      <c r="I643" s="22"/>
      <c r="J643" s="22"/>
      <c r="K643" s="22"/>
      <c r="L643" s="468"/>
      <c r="M643" s="468"/>
      <c r="N643" s="22"/>
      <c r="O643" s="22"/>
      <c r="P643" s="22"/>
      <c r="Q643" s="22"/>
      <c r="R643" s="22"/>
      <c r="S643" s="22"/>
      <c r="T643" s="468"/>
      <c r="U643" s="22"/>
      <c r="V643" s="22"/>
      <c r="W643" s="22"/>
      <c r="X643" s="22"/>
      <c r="Y643" s="22"/>
      <c r="Z643" s="465"/>
      <c r="AA643" s="22"/>
      <c r="AB643" s="22"/>
      <c r="AC643" s="22"/>
      <c r="AD643" s="22"/>
    </row>
    <row r="644" ht="15.75" customHeight="1">
      <c r="A644" s="22"/>
      <c r="B644" s="22"/>
      <c r="C644" s="22"/>
      <c r="D644" s="22"/>
      <c r="E644" s="22"/>
      <c r="F644" s="22"/>
      <c r="G644" s="22"/>
      <c r="H644" s="22"/>
      <c r="I644" s="22"/>
      <c r="J644" s="22"/>
      <c r="K644" s="22"/>
      <c r="L644" s="468"/>
      <c r="M644" s="468"/>
      <c r="N644" s="22"/>
      <c r="O644" s="22"/>
      <c r="P644" s="22"/>
      <c r="Q644" s="22"/>
      <c r="R644" s="22"/>
      <c r="S644" s="22"/>
      <c r="T644" s="468"/>
      <c r="U644" s="22"/>
      <c r="V644" s="22"/>
      <c r="W644" s="22"/>
      <c r="X644" s="22"/>
      <c r="Y644" s="22"/>
      <c r="Z644" s="465"/>
      <c r="AA644" s="22"/>
      <c r="AB644" s="22"/>
      <c r="AC644" s="22"/>
      <c r="AD644" s="22"/>
    </row>
    <row r="645" ht="15.75" customHeight="1">
      <c r="A645" s="22"/>
      <c r="B645" s="22"/>
      <c r="C645" s="22"/>
      <c r="D645" s="22"/>
      <c r="E645" s="22"/>
      <c r="F645" s="22"/>
      <c r="G645" s="22"/>
      <c r="H645" s="22"/>
      <c r="I645" s="22"/>
      <c r="J645" s="22"/>
      <c r="K645" s="22"/>
      <c r="L645" s="468"/>
      <c r="M645" s="468"/>
      <c r="N645" s="22"/>
      <c r="O645" s="22"/>
      <c r="P645" s="22"/>
      <c r="Q645" s="22"/>
      <c r="R645" s="22"/>
      <c r="S645" s="22"/>
      <c r="T645" s="468"/>
      <c r="U645" s="22"/>
      <c r="V645" s="22"/>
      <c r="W645" s="22"/>
      <c r="X645" s="22"/>
      <c r="Y645" s="22"/>
      <c r="Z645" s="465"/>
      <c r="AA645" s="22"/>
      <c r="AB645" s="22"/>
      <c r="AC645" s="22"/>
      <c r="AD645" s="22"/>
    </row>
    <row r="646" ht="15.75" customHeight="1">
      <c r="A646" s="22"/>
      <c r="B646" s="22"/>
      <c r="C646" s="22"/>
      <c r="D646" s="22"/>
      <c r="E646" s="22"/>
      <c r="F646" s="22"/>
      <c r="G646" s="22"/>
      <c r="H646" s="22"/>
      <c r="I646" s="22"/>
      <c r="J646" s="22"/>
      <c r="K646" s="22"/>
      <c r="L646" s="468"/>
      <c r="M646" s="468"/>
      <c r="N646" s="22"/>
      <c r="O646" s="22"/>
      <c r="P646" s="22"/>
      <c r="Q646" s="22"/>
      <c r="R646" s="22"/>
      <c r="S646" s="22"/>
      <c r="T646" s="468"/>
      <c r="U646" s="22"/>
      <c r="V646" s="22"/>
      <c r="W646" s="22"/>
      <c r="X646" s="22"/>
      <c r="Y646" s="22"/>
      <c r="Z646" s="465"/>
      <c r="AA646" s="22"/>
      <c r="AB646" s="22"/>
      <c r="AC646" s="22"/>
      <c r="AD646" s="22"/>
    </row>
    <row r="647" ht="15.75" customHeight="1">
      <c r="A647" s="22"/>
      <c r="B647" s="22"/>
      <c r="C647" s="22"/>
      <c r="D647" s="22"/>
      <c r="E647" s="22"/>
      <c r="F647" s="22"/>
      <c r="G647" s="22"/>
      <c r="H647" s="22"/>
      <c r="I647" s="22"/>
      <c r="J647" s="22"/>
      <c r="K647" s="22"/>
      <c r="L647" s="468"/>
      <c r="M647" s="468"/>
      <c r="N647" s="22"/>
      <c r="O647" s="22"/>
      <c r="P647" s="22"/>
      <c r="Q647" s="22"/>
      <c r="R647" s="22"/>
      <c r="S647" s="22"/>
      <c r="T647" s="468"/>
      <c r="U647" s="22"/>
      <c r="V647" s="22"/>
      <c r="W647" s="22"/>
      <c r="X647" s="22"/>
      <c r="Y647" s="22"/>
      <c r="Z647" s="465"/>
      <c r="AA647" s="22"/>
      <c r="AB647" s="22"/>
      <c r="AC647" s="22"/>
      <c r="AD647" s="22"/>
    </row>
    <row r="648" ht="15.75" customHeight="1">
      <c r="A648" s="22"/>
      <c r="B648" s="22"/>
      <c r="C648" s="22"/>
      <c r="D648" s="22"/>
      <c r="E648" s="22"/>
      <c r="F648" s="22"/>
      <c r="G648" s="22"/>
      <c r="H648" s="22"/>
      <c r="I648" s="22"/>
      <c r="J648" s="22"/>
      <c r="K648" s="22"/>
      <c r="L648" s="468"/>
      <c r="M648" s="468"/>
      <c r="N648" s="22"/>
      <c r="O648" s="22"/>
      <c r="P648" s="22"/>
      <c r="Q648" s="22"/>
      <c r="R648" s="22"/>
      <c r="S648" s="22"/>
      <c r="T648" s="468"/>
      <c r="U648" s="22"/>
      <c r="V648" s="22"/>
      <c r="W648" s="22"/>
      <c r="X648" s="22"/>
      <c r="Y648" s="22"/>
      <c r="Z648" s="465"/>
      <c r="AA648" s="22"/>
      <c r="AB648" s="22"/>
      <c r="AC648" s="22"/>
      <c r="AD648" s="22"/>
    </row>
    <row r="649" ht="15.75" customHeight="1">
      <c r="A649" s="22"/>
      <c r="B649" s="22"/>
      <c r="C649" s="22"/>
      <c r="D649" s="22"/>
      <c r="E649" s="22"/>
      <c r="F649" s="22"/>
      <c r="G649" s="22"/>
      <c r="H649" s="22"/>
      <c r="I649" s="22"/>
      <c r="J649" s="22"/>
      <c r="K649" s="22"/>
      <c r="L649" s="468"/>
      <c r="M649" s="468"/>
      <c r="N649" s="22"/>
      <c r="O649" s="22"/>
      <c r="P649" s="22"/>
      <c r="Q649" s="22"/>
      <c r="R649" s="22"/>
      <c r="S649" s="22"/>
      <c r="T649" s="468"/>
      <c r="U649" s="22"/>
      <c r="V649" s="22"/>
      <c r="W649" s="22"/>
      <c r="X649" s="22"/>
      <c r="Y649" s="22"/>
      <c r="Z649" s="465"/>
      <c r="AA649" s="22"/>
      <c r="AB649" s="22"/>
      <c r="AC649" s="22"/>
      <c r="AD649" s="22"/>
    </row>
    <row r="650" ht="15.75" customHeight="1">
      <c r="A650" s="22"/>
      <c r="B650" s="22"/>
      <c r="C650" s="22"/>
      <c r="D650" s="22"/>
      <c r="E650" s="22"/>
      <c r="F650" s="22"/>
      <c r="G650" s="22"/>
      <c r="H650" s="22"/>
      <c r="I650" s="22"/>
      <c r="J650" s="22"/>
      <c r="K650" s="22"/>
      <c r="L650" s="468"/>
      <c r="M650" s="468"/>
      <c r="N650" s="22"/>
      <c r="O650" s="22"/>
      <c r="P650" s="22"/>
      <c r="Q650" s="22"/>
      <c r="R650" s="22"/>
      <c r="S650" s="22"/>
      <c r="T650" s="468"/>
      <c r="U650" s="22"/>
      <c r="V650" s="22"/>
      <c r="W650" s="22"/>
      <c r="X650" s="22"/>
      <c r="Y650" s="22"/>
      <c r="Z650" s="465"/>
      <c r="AA650" s="22"/>
      <c r="AB650" s="22"/>
      <c r="AC650" s="22"/>
      <c r="AD650" s="22"/>
    </row>
    <row r="651" ht="15.75" customHeight="1">
      <c r="A651" s="22"/>
      <c r="B651" s="22"/>
      <c r="C651" s="22"/>
      <c r="D651" s="22"/>
      <c r="E651" s="22"/>
      <c r="F651" s="22"/>
      <c r="G651" s="22"/>
      <c r="H651" s="22"/>
      <c r="I651" s="22"/>
      <c r="J651" s="22"/>
      <c r="K651" s="22"/>
      <c r="L651" s="468"/>
      <c r="M651" s="468"/>
      <c r="N651" s="22"/>
      <c r="O651" s="22"/>
      <c r="P651" s="22"/>
      <c r="Q651" s="22"/>
      <c r="R651" s="22"/>
      <c r="S651" s="22"/>
      <c r="T651" s="468"/>
      <c r="U651" s="22"/>
      <c r="V651" s="22"/>
      <c r="W651" s="22"/>
      <c r="X651" s="22"/>
      <c r="Y651" s="22"/>
      <c r="Z651" s="465"/>
      <c r="AA651" s="22"/>
      <c r="AB651" s="22"/>
      <c r="AC651" s="22"/>
      <c r="AD651" s="22"/>
    </row>
    <row r="652" ht="15.75" customHeight="1">
      <c r="A652" s="22"/>
      <c r="B652" s="22"/>
      <c r="C652" s="22"/>
      <c r="D652" s="22"/>
      <c r="E652" s="22"/>
      <c r="F652" s="22"/>
      <c r="G652" s="22"/>
      <c r="H652" s="22"/>
      <c r="I652" s="22"/>
      <c r="J652" s="22"/>
      <c r="K652" s="22"/>
      <c r="L652" s="468"/>
      <c r="M652" s="468"/>
      <c r="N652" s="22"/>
      <c r="O652" s="22"/>
      <c r="P652" s="22"/>
      <c r="Q652" s="22"/>
      <c r="R652" s="22"/>
      <c r="S652" s="22"/>
      <c r="T652" s="468"/>
      <c r="U652" s="22"/>
      <c r="V652" s="22"/>
      <c r="W652" s="22"/>
      <c r="X652" s="22"/>
      <c r="Y652" s="22"/>
      <c r="Z652" s="465"/>
      <c r="AA652" s="22"/>
      <c r="AB652" s="22"/>
      <c r="AC652" s="22"/>
      <c r="AD652" s="22"/>
    </row>
    <row r="653" ht="15.75" customHeight="1">
      <c r="A653" s="22"/>
      <c r="B653" s="22"/>
      <c r="C653" s="22"/>
      <c r="D653" s="22"/>
      <c r="E653" s="22"/>
      <c r="F653" s="22"/>
      <c r="G653" s="22"/>
      <c r="H653" s="22"/>
      <c r="I653" s="22"/>
      <c r="J653" s="22"/>
      <c r="K653" s="22"/>
      <c r="L653" s="468"/>
      <c r="M653" s="468"/>
      <c r="N653" s="22"/>
      <c r="O653" s="22"/>
      <c r="P653" s="22"/>
      <c r="Q653" s="22"/>
      <c r="R653" s="22"/>
      <c r="S653" s="22"/>
      <c r="T653" s="468"/>
      <c r="U653" s="22"/>
      <c r="V653" s="22"/>
      <c r="W653" s="22"/>
      <c r="X653" s="22"/>
      <c r="Y653" s="22"/>
      <c r="Z653" s="465"/>
      <c r="AA653" s="22"/>
      <c r="AB653" s="22"/>
      <c r="AC653" s="22"/>
      <c r="AD653" s="22"/>
    </row>
    <row r="654" ht="15.75" customHeight="1">
      <c r="A654" s="22"/>
      <c r="B654" s="22"/>
      <c r="C654" s="22"/>
      <c r="D654" s="22"/>
      <c r="E654" s="22"/>
      <c r="F654" s="22"/>
      <c r="G654" s="22"/>
      <c r="H654" s="22"/>
      <c r="I654" s="22"/>
      <c r="J654" s="22"/>
      <c r="K654" s="22"/>
      <c r="L654" s="468"/>
      <c r="M654" s="468"/>
      <c r="N654" s="22"/>
      <c r="O654" s="22"/>
      <c r="P654" s="22"/>
      <c r="Q654" s="22"/>
      <c r="R654" s="22"/>
      <c r="S654" s="22"/>
      <c r="T654" s="468"/>
      <c r="U654" s="22"/>
      <c r="V654" s="22"/>
      <c r="W654" s="22"/>
      <c r="X654" s="22"/>
      <c r="Y654" s="22"/>
      <c r="Z654" s="465"/>
      <c r="AA654" s="22"/>
      <c r="AB654" s="22"/>
      <c r="AC654" s="22"/>
      <c r="AD654" s="22"/>
    </row>
    <row r="655" ht="15.75" customHeight="1">
      <c r="A655" s="22"/>
      <c r="B655" s="22"/>
      <c r="C655" s="22"/>
      <c r="D655" s="22"/>
      <c r="E655" s="22"/>
      <c r="F655" s="22"/>
      <c r="G655" s="22"/>
      <c r="H655" s="22"/>
      <c r="I655" s="22"/>
      <c r="J655" s="22"/>
      <c r="K655" s="22"/>
      <c r="L655" s="468"/>
      <c r="M655" s="468"/>
      <c r="N655" s="22"/>
      <c r="O655" s="22"/>
      <c r="P655" s="22"/>
      <c r="Q655" s="22"/>
      <c r="R655" s="22"/>
      <c r="S655" s="22"/>
      <c r="T655" s="468"/>
      <c r="U655" s="22"/>
      <c r="V655" s="22"/>
      <c r="W655" s="22"/>
      <c r="X655" s="22"/>
      <c r="Y655" s="22"/>
      <c r="Z655" s="465"/>
      <c r="AA655" s="22"/>
      <c r="AB655" s="22"/>
      <c r="AC655" s="22"/>
      <c r="AD655" s="22"/>
    </row>
    <row r="656" ht="15.75" customHeight="1">
      <c r="A656" s="22"/>
      <c r="B656" s="22"/>
      <c r="C656" s="22"/>
      <c r="D656" s="22"/>
      <c r="E656" s="22"/>
      <c r="F656" s="22"/>
      <c r="G656" s="22"/>
      <c r="H656" s="22"/>
      <c r="I656" s="22"/>
      <c r="J656" s="22"/>
      <c r="K656" s="22"/>
      <c r="L656" s="468"/>
      <c r="M656" s="468"/>
      <c r="N656" s="22"/>
      <c r="O656" s="22"/>
      <c r="P656" s="22"/>
      <c r="Q656" s="22"/>
      <c r="R656" s="22"/>
      <c r="S656" s="22"/>
      <c r="T656" s="468"/>
      <c r="U656" s="22"/>
      <c r="V656" s="22"/>
      <c r="W656" s="22"/>
      <c r="X656" s="22"/>
      <c r="Y656" s="22"/>
      <c r="Z656" s="465"/>
      <c r="AA656" s="22"/>
      <c r="AB656" s="22"/>
      <c r="AC656" s="22"/>
      <c r="AD656" s="22"/>
    </row>
    <row r="657" ht="15.75" customHeight="1">
      <c r="A657" s="22"/>
      <c r="B657" s="22"/>
      <c r="C657" s="22"/>
      <c r="D657" s="22"/>
      <c r="E657" s="22"/>
      <c r="F657" s="22"/>
      <c r="G657" s="22"/>
      <c r="H657" s="22"/>
      <c r="I657" s="22"/>
      <c r="J657" s="22"/>
      <c r="K657" s="22"/>
      <c r="L657" s="468"/>
      <c r="M657" s="468"/>
      <c r="N657" s="22"/>
      <c r="O657" s="22"/>
      <c r="P657" s="22"/>
      <c r="Q657" s="22"/>
      <c r="R657" s="22"/>
      <c r="S657" s="22"/>
      <c r="T657" s="468"/>
      <c r="U657" s="22"/>
      <c r="V657" s="22"/>
      <c r="W657" s="22"/>
      <c r="X657" s="22"/>
      <c r="Y657" s="22"/>
      <c r="Z657" s="465"/>
      <c r="AA657" s="22"/>
      <c r="AB657" s="22"/>
      <c r="AC657" s="22"/>
      <c r="AD657" s="22"/>
    </row>
    <row r="658" ht="15.75" customHeight="1">
      <c r="A658" s="22"/>
      <c r="B658" s="22"/>
      <c r="C658" s="22"/>
      <c r="D658" s="22"/>
      <c r="E658" s="22"/>
      <c r="F658" s="22"/>
      <c r="G658" s="22"/>
      <c r="H658" s="22"/>
      <c r="I658" s="22"/>
      <c r="J658" s="22"/>
      <c r="K658" s="22"/>
      <c r="L658" s="468"/>
      <c r="M658" s="468"/>
      <c r="N658" s="22"/>
      <c r="O658" s="22"/>
      <c r="P658" s="22"/>
      <c r="Q658" s="22"/>
      <c r="R658" s="22"/>
      <c r="S658" s="22"/>
      <c r="T658" s="468"/>
      <c r="U658" s="22"/>
      <c r="V658" s="22"/>
      <c r="W658" s="22"/>
      <c r="X658" s="22"/>
      <c r="Y658" s="22"/>
      <c r="Z658" s="465"/>
      <c r="AA658" s="22"/>
      <c r="AB658" s="22"/>
      <c r="AC658" s="22"/>
      <c r="AD658" s="22"/>
    </row>
    <row r="659" ht="15.75" customHeight="1">
      <c r="A659" s="22"/>
      <c r="B659" s="22"/>
      <c r="C659" s="22"/>
      <c r="D659" s="22"/>
      <c r="E659" s="22"/>
      <c r="F659" s="22"/>
      <c r="G659" s="22"/>
      <c r="H659" s="22"/>
      <c r="I659" s="22"/>
      <c r="J659" s="22"/>
      <c r="K659" s="22"/>
      <c r="L659" s="468"/>
      <c r="M659" s="468"/>
      <c r="N659" s="22"/>
      <c r="O659" s="22"/>
      <c r="P659" s="22"/>
      <c r="Q659" s="22"/>
      <c r="R659" s="22"/>
      <c r="S659" s="22"/>
      <c r="T659" s="468"/>
      <c r="U659" s="22"/>
      <c r="V659" s="22"/>
      <c r="W659" s="22"/>
      <c r="X659" s="22"/>
      <c r="Y659" s="22"/>
      <c r="Z659" s="465"/>
      <c r="AA659" s="22"/>
      <c r="AB659" s="22"/>
      <c r="AC659" s="22"/>
      <c r="AD659" s="22"/>
    </row>
    <row r="660" ht="15.75" customHeight="1">
      <c r="A660" s="22"/>
      <c r="B660" s="22"/>
      <c r="C660" s="22"/>
      <c r="D660" s="22"/>
      <c r="E660" s="22"/>
      <c r="F660" s="22"/>
      <c r="G660" s="22"/>
      <c r="H660" s="22"/>
      <c r="I660" s="22"/>
      <c r="J660" s="22"/>
      <c r="K660" s="22"/>
      <c r="L660" s="468"/>
      <c r="M660" s="468"/>
      <c r="N660" s="22"/>
      <c r="O660" s="22"/>
      <c r="P660" s="22"/>
      <c r="Q660" s="22"/>
      <c r="R660" s="22"/>
      <c r="S660" s="22"/>
      <c r="T660" s="468"/>
      <c r="U660" s="22"/>
      <c r="V660" s="22"/>
      <c r="W660" s="22"/>
      <c r="X660" s="22"/>
      <c r="Y660" s="22"/>
      <c r="Z660" s="465"/>
      <c r="AA660" s="22"/>
      <c r="AB660" s="22"/>
      <c r="AC660" s="22"/>
      <c r="AD660" s="22"/>
    </row>
    <row r="661" ht="15.75" customHeight="1">
      <c r="A661" s="22"/>
      <c r="B661" s="22"/>
      <c r="C661" s="22"/>
      <c r="D661" s="22"/>
      <c r="E661" s="22"/>
      <c r="F661" s="22"/>
      <c r="G661" s="22"/>
      <c r="H661" s="22"/>
      <c r="I661" s="22"/>
      <c r="J661" s="22"/>
      <c r="K661" s="22"/>
      <c r="L661" s="468"/>
      <c r="M661" s="468"/>
      <c r="N661" s="22"/>
      <c r="O661" s="22"/>
      <c r="P661" s="22"/>
      <c r="Q661" s="22"/>
      <c r="R661" s="22"/>
      <c r="S661" s="22"/>
      <c r="T661" s="468"/>
      <c r="U661" s="22"/>
      <c r="V661" s="22"/>
      <c r="W661" s="22"/>
      <c r="X661" s="22"/>
      <c r="Y661" s="22"/>
      <c r="Z661" s="465"/>
      <c r="AA661" s="22"/>
      <c r="AB661" s="22"/>
      <c r="AC661" s="22"/>
      <c r="AD661" s="22"/>
    </row>
    <row r="662" ht="15.75" customHeight="1">
      <c r="A662" s="22"/>
      <c r="B662" s="22"/>
      <c r="C662" s="22"/>
      <c r="D662" s="22"/>
      <c r="E662" s="22"/>
      <c r="F662" s="22"/>
      <c r="G662" s="22"/>
      <c r="H662" s="22"/>
      <c r="I662" s="22"/>
      <c r="J662" s="22"/>
      <c r="K662" s="22"/>
      <c r="L662" s="468"/>
      <c r="M662" s="468"/>
      <c r="N662" s="22"/>
      <c r="O662" s="22"/>
      <c r="P662" s="22"/>
      <c r="Q662" s="22"/>
      <c r="R662" s="22"/>
      <c r="S662" s="22"/>
      <c r="T662" s="468"/>
      <c r="U662" s="22"/>
      <c r="V662" s="22"/>
      <c r="W662" s="22"/>
      <c r="X662" s="22"/>
      <c r="Y662" s="22"/>
      <c r="Z662" s="465"/>
      <c r="AA662" s="22"/>
      <c r="AB662" s="22"/>
      <c r="AC662" s="22"/>
      <c r="AD662" s="22"/>
    </row>
    <row r="663" ht="15.75" customHeight="1">
      <c r="A663" s="22"/>
      <c r="B663" s="22"/>
      <c r="C663" s="22"/>
      <c r="D663" s="22"/>
      <c r="E663" s="22"/>
      <c r="F663" s="22"/>
      <c r="G663" s="22"/>
      <c r="H663" s="22"/>
      <c r="I663" s="22"/>
      <c r="J663" s="22"/>
      <c r="K663" s="22"/>
      <c r="L663" s="468"/>
      <c r="M663" s="468"/>
      <c r="N663" s="22"/>
      <c r="O663" s="22"/>
      <c r="P663" s="22"/>
      <c r="Q663" s="22"/>
      <c r="R663" s="22"/>
      <c r="S663" s="22"/>
      <c r="T663" s="468"/>
      <c r="U663" s="22"/>
      <c r="V663" s="22"/>
      <c r="W663" s="22"/>
      <c r="X663" s="22"/>
      <c r="Y663" s="22"/>
      <c r="Z663" s="465"/>
      <c r="AA663" s="22"/>
      <c r="AB663" s="22"/>
      <c r="AC663" s="22"/>
      <c r="AD663" s="22"/>
    </row>
    <row r="664" ht="15.75" customHeight="1">
      <c r="A664" s="22"/>
      <c r="B664" s="22"/>
      <c r="C664" s="22"/>
      <c r="D664" s="22"/>
      <c r="E664" s="22"/>
      <c r="F664" s="22"/>
      <c r="G664" s="22"/>
      <c r="H664" s="22"/>
      <c r="I664" s="22"/>
      <c r="J664" s="22"/>
      <c r="K664" s="22"/>
      <c r="L664" s="468"/>
      <c r="M664" s="468"/>
      <c r="N664" s="22"/>
      <c r="O664" s="22"/>
      <c r="P664" s="22"/>
      <c r="Q664" s="22"/>
      <c r="R664" s="22"/>
      <c r="S664" s="22"/>
      <c r="T664" s="468"/>
      <c r="U664" s="22"/>
      <c r="V664" s="22"/>
      <c r="W664" s="22"/>
      <c r="X664" s="22"/>
      <c r="Y664" s="22"/>
      <c r="Z664" s="465"/>
      <c r="AA664" s="22"/>
      <c r="AB664" s="22"/>
      <c r="AC664" s="22"/>
      <c r="AD664" s="22"/>
    </row>
    <row r="665" ht="15.75" customHeight="1">
      <c r="A665" s="22"/>
      <c r="B665" s="22"/>
      <c r="C665" s="22"/>
      <c r="D665" s="22"/>
      <c r="E665" s="22"/>
      <c r="F665" s="22"/>
      <c r="G665" s="22"/>
      <c r="H665" s="22"/>
      <c r="I665" s="22"/>
      <c r="J665" s="22"/>
      <c r="K665" s="22"/>
      <c r="L665" s="468"/>
      <c r="M665" s="468"/>
      <c r="N665" s="22"/>
      <c r="O665" s="22"/>
      <c r="P665" s="22"/>
      <c r="Q665" s="22"/>
      <c r="R665" s="22"/>
      <c r="S665" s="22"/>
      <c r="T665" s="468"/>
      <c r="U665" s="22"/>
      <c r="V665" s="22"/>
      <c r="W665" s="22"/>
      <c r="X665" s="22"/>
      <c r="Y665" s="22"/>
      <c r="Z665" s="465"/>
      <c r="AA665" s="22"/>
      <c r="AB665" s="22"/>
      <c r="AC665" s="22"/>
      <c r="AD665" s="22"/>
    </row>
    <row r="666" ht="15.75" customHeight="1">
      <c r="A666" s="22"/>
      <c r="B666" s="22"/>
      <c r="C666" s="22"/>
      <c r="D666" s="22"/>
      <c r="E666" s="22"/>
      <c r="F666" s="22"/>
      <c r="G666" s="22"/>
      <c r="H666" s="22"/>
      <c r="I666" s="22"/>
      <c r="J666" s="22"/>
      <c r="K666" s="22"/>
      <c r="L666" s="468"/>
      <c r="M666" s="468"/>
      <c r="N666" s="22"/>
      <c r="O666" s="22"/>
      <c r="P666" s="22"/>
      <c r="Q666" s="22"/>
      <c r="R666" s="22"/>
      <c r="S666" s="22"/>
      <c r="T666" s="468"/>
      <c r="U666" s="22"/>
      <c r="V666" s="22"/>
      <c r="W666" s="22"/>
      <c r="X666" s="22"/>
      <c r="Y666" s="22"/>
      <c r="Z666" s="465"/>
      <c r="AA666" s="22"/>
      <c r="AB666" s="22"/>
      <c r="AC666" s="22"/>
      <c r="AD666" s="22"/>
    </row>
    <row r="667" ht="15.75" customHeight="1">
      <c r="A667" s="22"/>
      <c r="B667" s="22"/>
      <c r="C667" s="22"/>
      <c r="D667" s="22"/>
      <c r="E667" s="22"/>
      <c r="F667" s="22"/>
      <c r="G667" s="22"/>
      <c r="H667" s="22"/>
      <c r="I667" s="22"/>
      <c r="J667" s="22"/>
      <c r="K667" s="22"/>
      <c r="L667" s="468"/>
      <c r="M667" s="468"/>
      <c r="N667" s="22"/>
      <c r="O667" s="22"/>
      <c r="P667" s="22"/>
      <c r="Q667" s="22"/>
      <c r="R667" s="22"/>
      <c r="S667" s="22"/>
      <c r="T667" s="468"/>
      <c r="U667" s="22"/>
      <c r="V667" s="22"/>
      <c r="W667" s="22"/>
      <c r="X667" s="22"/>
      <c r="Y667" s="22"/>
      <c r="Z667" s="465"/>
      <c r="AA667" s="22"/>
      <c r="AB667" s="22"/>
      <c r="AC667" s="22"/>
      <c r="AD667" s="22"/>
    </row>
    <row r="668" ht="15.75" customHeight="1">
      <c r="A668" s="22"/>
      <c r="B668" s="22"/>
      <c r="C668" s="22"/>
      <c r="D668" s="22"/>
      <c r="E668" s="22"/>
      <c r="F668" s="22"/>
      <c r="G668" s="22"/>
      <c r="H668" s="22"/>
      <c r="I668" s="22"/>
      <c r="J668" s="22"/>
      <c r="K668" s="22"/>
      <c r="L668" s="468"/>
      <c r="M668" s="468"/>
      <c r="N668" s="22"/>
      <c r="O668" s="22"/>
      <c r="P668" s="22"/>
      <c r="Q668" s="22"/>
      <c r="R668" s="22"/>
      <c r="S668" s="22"/>
      <c r="T668" s="468"/>
      <c r="U668" s="22"/>
      <c r="V668" s="22"/>
      <c r="W668" s="22"/>
      <c r="X668" s="22"/>
      <c r="Y668" s="22"/>
      <c r="Z668" s="465"/>
      <c r="AA668" s="22"/>
      <c r="AB668" s="22"/>
      <c r="AC668" s="22"/>
      <c r="AD668" s="22"/>
    </row>
    <row r="669" ht="15.75" customHeight="1">
      <c r="A669" s="22"/>
      <c r="B669" s="22"/>
      <c r="C669" s="22"/>
      <c r="D669" s="22"/>
      <c r="E669" s="22"/>
      <c r="F669" s="22"/>
      <c r="G669" s="22"/>
      <c r="H669" s="22"/>
      <c r="I669" s="22"/>
      <c r="J669" s="22"/>
      <c r="K669" s="22"/>
      <c r="L669" s="468"/>
      <c r="M669" s="468"/>
      <c r="N669" s="22"/>
      <c r="O669" s="22"/>
      <c r="P669" s="22"/>
      <c r="Q669" s="22"/>
      <c r="R669" s="22"/>
      <c r="S669" s="22"/>
      <c r="T669" s="468"/>
      <c r="U669" s="22"/>
      <c r="V669" s="22"/>
      <c r="W669" s="22"/>
      <c r="X669" s="22"/>
      <c r="Y669" s="22"/>
      <c r="Z669" s="465"/>
      <c r="AA669" s="22"/>
      <c r="AB669" s="22"/>
      <c r="AC669" s="22"/>
      <c r="AD669" s="22"/>
    </row>
    <row r="670" ht="15.75" customHeight="1">
      <c r="A670" s="22"/>
      <c r="B670" s="22"/>
      <c r="C670" s="22"/>
      <c r="D670" s="22"/>
      <c r="E670" s="22"/>
      <c r="F670" s="22"/>
      <c r="G670" s="22"/>
      <c r="H670" s="22"/>
      <c r="I670" s="22"/>
      <c r="J670" s="22"/>
      <c r="K670" s="22"/>
      <c r="L670" s="468"/>
      <c r="M670" s="468"/>
      <c r="N670" s="22"/>
      <c r="O670" s="22"/>
      <c r="P670" s="22"/>
      <c r="Q670" s="22"/>
      <c r="R670" s="22"/>
      <c r="S670" s="22"/>
      <c r="T670" s="468"/>
      <c r="U670" s="22"/>
      <c r="V670" s="22"/>
      <c r="W670" s="22"/>
      <c r="X670" s="22"/>
      <c r="Y670" s="22"/>
      <c r="Z670" s="465"/>
      <c r="AA670" s="22"/>
      <c r="AB670" s="22"/>
      <c r="AC670" s="22"/>
      <c r="AD670" s="22"/>
    </row>
    <row r="671" ht="15.75" customHeight="1">
      <c r="A671" s="22"/>
      <c r="B671" s="22"/>
      <c r="C671" s="22"/>
      <c r="D671" s="22"/>
      <c r="E671" s="22"/>
      <c r="F671" s="22"/>
      <c r="G671" s="22"/>
      <c r="H671" s="22"/>
      <c r="I671" s="22"/>
      <c r="J671" s="22"/>
      <c r="K671" s="22"/>
      <c r="L671" s="468"/>
      <c r="M671" s="468"/>
      <c r="N671" s="22"/>
      <c r="O671" s="22"/>
      <c r="P671" s="22"/>
      <c r="Q671" s="22"/>
      <c r="R671" s="22"/>
      <c r="S671" s="22"/>
      <c r="T671" s="468"/>
      <c r="U671" s="22"/>
      <c r="V671" s="22"/>
      <c r="W671" s="22"/>
      <c r="X671" s="22"/>
      <c r="Y671" s="22"/>
      <c r="Z671" s="465"/>
      <c r="AA671" s="22"/>
      <c r="AB671" s="22"/>
      <c r="AC671" s="22"/>
      <c r="AD671" s="22"/>
    </row>
    <row r="672" ht="15.75" customHeight="1">
      <c r="A672" s="22"/>
      <c r="B672" s="22"/>
      <c r="C672" s="22"/>
      <c r="D672" s="22"/>
      <c r="E672" s="22"/>
      <c r="F672" s="22"/>
      <c r="G672" s="22"/>
      <c r="H672" s="22"/>
      <c r="I672" s="22"/>
      <c r="J672" s="22"/>
      <c r="K672" s="22"/>
      <c r="L672" s="468"/>
      <c r="M672" s="468"/>
      <c r="N672" s="22"/>
      <c r="O672" s="22"/>
      <c r="P672" s="22"/>
      <c r="Q672" s="22"/>
      <c r="R672" s="22"/>
      <c r="S672" s="22"/>
      <c r="T672" s="468"/>
      <c r="U672" s="22"/>
      <c r="V672" s="22"/>
      <c r="W672" s="22"/>
      <c r="X672" s="22"/>
      <c r="Y672" s="22"/>
      <c r="Z672" s="465"/>
      <c r="AA672" s="22"/>
      <c r="AB672" s="22"/>
      <c r="AC672" s="22"/>
      <c r="AD672" s="22"/>
    </row>
    <row r="673" ht="15.75" customHeight="1">
      <c r="A673" s="22"/>
      <c r="B673" s="22"/>
      <c r="C673" s="22"/>
      <c r="D673" s="22"/>
      <c r="E673" s="22"/>
      <c r="F673" s="22"/>
      <c r="G673" s="22"/>
      <c r="H673" s="22"/>
      <c r="I673" s="22"/>
      <c r="J673" s="22"/>
      <c r="K673" s="22"/>
      <c r="L673" s="468"/>
      <c r="M673" s="468"/>
      <c r="N673" s="22"/>
      <c r="O673" s="22"/>
      <c r="P673" s="22"/>
      <c r="Q673" s="22"/>
      <c r="R673" s="22"/>
      <c r="S673" s="22"/>
      <c r="T673" s="468"/>
      <c r="U673" s="22"/>
      <c r="V673" s="22"/>
      <c r="W673" s="22"/>
      <c r="X673" s="22"/>
      <c r="Y673" s="22"/>
      <c r="Z673" s="465"/>
      <c r="AA673" s="22"/>
      <c r="AB673" s="22"/>
      <c r="AC673" s="22"/>
      <c r="AD673" s="22"/>
    </row>
    <row r="674" ht="15.75" customHeight="1">
      <c r="A674" s="22"/>
      <c r="B674" s="22"/>
      <c r="C674" s="22"/>
      <c r="D674" s="22"/>
      <c r="E674" s="22"/>
      <c r="F674" s="22"/>
      <c r="G674" s="22"/>
      <c r="H674" s="22"/>
      <c r="I674" s="22"/>
      <c r="J674" s="22"/>
      <c r="K674" s="22"/>
      <c r="L674" s="468"/>
      <c r="M674" s="468"/>
      <c r="N674" s="22"/>
      <c r="O674" s="22"/>
      <c r="P674" s="22"/>
      <c r="Q674" s="22"/>
      <c r="R674" s="22"/>
      <c r="S674" s="22"/>
      <c r="T674" s="468"/>
      <c r="U674" s="22"/>
      <c r="V674" s="22"/>
      <c r="W674" s="22"/>
      <c r="X674" s="22"/>
      <c r="Y674" s="22"/>
      <c r="Z674" s="465"/>
      <c r="AA674" s="22"/>
      <c r="AB674" s="22"/>
      <c r="AC674" s="22"/>
      <c r="AD674" s="22"/>
    </row>
    <row r="675" ht="15.75" customHeight="1">
      <c r="A675" s="22"/>
      <c r="B675" s="22"/>
      <c r="C675" s="22"/>
      <c r="D675" s="22"/>
      <c r="E675" s="22"/>
      <c r="F675" s="22"/>
      <c r="G675" s="22"/>
      <c r="H675" s="22"/>
      <c r="I675" s="22"/>
      <c r="J675" s="22"/>
      <c r="K675" s="22"/>
      <c r="L675" s="468"/>
      <c r="M675" s="468"/>
      <c r="N675" s="22"/>
      <c r="O675" s="22"/>
      <c r="P675" s="22"/>
      <c r="Q675" s="22"/>
      <c r="R675" s="22"/>
      <c r="S675" s="22"/>
      <c r="T675" s="468"/>
      <c r="U675" s="22"/>
      <c r="V675" s="22"/>
      <c r="W675" s="22"/>
      <c r="X675" s="22"/>
      <c r="Y675" s="22"/>
      <c r="Z675" s="465"/>
      <c r="AA675" s="22"/>
      <c r="AB675" s="22"/>
      <c r="AC675" s="22"/>
      <c r="AD675" s="22"/>
    </row>
    <row r="676" ht="15.75" customHeight="1">
      <c r="A676" s="22"/>
      <c r="B676" s="22"/>
      <c r="C676" s="22"/>
      <c r="D676" s="22"/>
      <c r="E676" s="22"/>
      <c r="F676" s="22"/>
      <c r="G676" s="22"/>
      <c r="H676" s="22"/>
      <c r="I676" s="22"/>
      <c r="J676" s="22"/>
      <c r="K676" s="22"/>
      <c r="L676" s="468"/>
      <c r="M676" s="468"/>
      <c r="N676" s="22"/>
      <c r="O676" s="22"/>
      <c r="P676" s="22"/>
      <c r="Q676" s="22"/>
      <c r="R676" s="22"/>
      <c r="S676" s="22"/>
      <c r="T676" s="468"/>
      <c r="U676" s="22"/>
      <c r="V676" s="22"/>
      <c r="W676" s="22"/>
      <c r="X676" s="22"/>
      <c r="Y676" s="22"/>
      <c r="Z676" s="465"/>
      <c r="AA676" s="22"/>
      <c r="AB676" s="22"/>
      <c r="AC676" s="22"/>
      <c r="AD676" s="22"/>
    </row>
    <row r="677" ht="15.75" customHeight="1">
      <c r="A677" s="22"/>
      <c r="B677" s="22"/>
      <c r="C677" s="22"/>
      <c r="D677" s="22"/>
      <c r="E677" s="22"/>
      <c r="F677" s="22"/>
      <c r="G677" s="22"/>
      <c r="H677" s="22"/>
      <c r="I677" s="22"/>
      <c r="J677" s="22"/>
      <c r="K677" s="22"/>
      <c r="L677" s="468"/>
      <c r="M677" s="468"/>
      <c r="N677" s="22"/>
      <c r="O677" s="22"/>
      <c r="P677" s="22"/>
      <c r="Q677" s="22"/>
      <c r="R677" s="22"/>
      <c r="S677" s="22"/>
      <c r="T677" s="468"/>
      <c r="U677" s="22"/>
      <c r="V677" s="22"/>
      <c r="W677" s="22"/>
      <c r="X677" s="22"/>
      <c r="Y677" s="22"/>
      <c r="Z677" s="465"/>
      <c r="AA677" s="22"/>
      <c r="AB677" s="22"/>
      <c r="AC677" s="22"/>
      <c r="AD677" s="22"/>
    </row>
    <row r="678" ht="15.75" customHeight="1">
      <c r="A678" s="22"/>
      <c r="B678" s="22"/>
      <c r="C678" s="22"/>
      <c r="D678" s="22"/>
      <c r="E678" s="22"/>
      <c r="F678" s="22"/>
      <c r="G678" s="22"/>
      <c r="H678" s="22"/>
      <c r="I678" s="22"/>
      <c r="J678" s="22"/>
      <c r="K678" s="22"/>
      <c r="L678" s="468"/>
      <c r="M678" s="468"/>
      <c r="N678" s="22"/>
      <c r="O678" s="22"/>
      <c r="P678" s="22"/>
      <c r="Q678" s="22"/>
      <c r="R678" s="22"/>
      <c r="S678" s="22"/>
      <c r="T678" s="468"/>
      <c r="U678" s="22"/>
      <c r="V678" s="22"/>
      <c r="W678" s="22"/>
      <c r="X678" s="22"/>
      <c r="Y678" s="22"/>
      <c r="Z678" s="465"/>
      <c r="AA678" s="22"/>
      <c r="AB678" s="22"/>
      <c r="AC678" s="22"/>
      <c r="AD678" s="22"/>
    </row>
    <row r="679" ht="15.75" customHeight="1">
      <c r="A679" s="22"/>
      <c r="B679" s="22"/>
      <c r="C679" s="22"/>
      <c r="D679" s="22"/>
      <c r="E679" s="22"/>
      <c r="F679" s="22"/>
      <c r="G679" s="22"/>
      <c r="H679" s="22"/>
      <c r="I679" s="22"/>
      <c r="J679" s="22"/>
      <c r="K679" s="22"/>
      <c r="L679" s="468"/>
      <c r="M679" s="468"/>
      <c r="N679" s="22"/>
      <c r="O679" s="22"/>
      <c r="P679" s="22"/>
      <c r="Q679" s="22"/>
      <c r="R679" s="22"/>
      <c r="S679" s="22"/>
      <c r="T679" s="468"/>
      <c r="U679" s="22"/>
      <c r="V679" s="22"/>
      <c r="W679" s="22"/>
      <c r="X679" s="22"/>
      <c r="Y679" s="22"/>
      <c r="Z679" s="465"/>
      <c r="AA679" s="22"/>
      <c r="AB679" s="22"/>
      <c r="AC679" s="22"/>
      <c r="AD679" s="22"/>
    </row>
    <row r="680" ht="15.75" customHeight="1">
      <c r="A680" s="22"/>
      <c r="B680" s="22"/>
      <c r="C680" s="22"/>
      <c r="D680" s="22"/>
      <c r="E680" s="22"/>
      <c r="F680" s="22"/>
      <c r="G680" s="22"/>
      <c r="H680" s="22"/>
      <c r="I680" s="22"/>
      <c r="J680" s="22"/>
      <c r="K680" s="22"/>
      <c r="L680" s="468"/>
      <c r="M680" s="468"/>
      <c r="N680" s="22"/>
      <c r="O680" s="22"/>
      <c r="P680" s="22"/>
      <c r="Q680" s="22"/>
      <c r="R680" s="22"/>
      <c r="S680" s="22"/>
      <c r="T680" s="468"/>
      <c r="U680" s="22"/>
      <c r="V680" s="22"/>
      <c r="W680" s="22"/>
      <c r="X680" s="22"/>
      <c r="Y680" s="22"/>
      <c r="Z680" s="465"/>
      <c r="AA680" s="22"/>
      <c r="AB680" s="22"/>
      <c r="AC680" s="22"/>
      <c r="AD680" s="22"/>
    </row>
    <row r="681" ht="15.75" customHeight="1">
      <c r="A681" s="22"/>
      <c r="B681" s="22"/>
      <c r="C681" s="22"/>
      <c r="D681" s="22"/>
      <c r="E681" s="22"/>
      <c r="F681" s="22"/>
      <c r="G681" s="22"/>
      <c r="H681" s="22"/>
      <c r="I681" s="22"/>
      <c r="J681" s="22"/>
      <c r="K681" s="22"/>
      <c r="L681" s="468"/>
      <c r="M681" s="468"/>
      <c r="N681" s="22"/>
      <c r="O681" s="22"/>
      <c r="P681" s="22"/>
      <c r="Q681" s="22"/>
      <c r="R681" s="22"/>
      <c r="S681" s="22"/>
      <c r="T681" s="468"/>
      <c r="U681" s="22"/>
      <c r="V681" s="22"/>
      <c r="W681" s="22"/>
      <c r="X681" s="22"/>
      <c r="Y681" s="22"/>
      <c r="Z681" s="465"/>
      <c r="AA681" s="22"/>
      <c r="AB681" s="22"/>
      <c r="AC681" s="22"/>
      <c r="AD681" s="22"/>
    </row>
    <row r="682" ht="15.75" customHeight="1">
      <c r="A682" s="22"/>
      <c r="B682" s="22"/>
      <c r="C682" s="22"/>
      <c r="D682" s="22"/>
      <c r="E682" s="22"/>
      <c r="F682" s="22"/>
      <c r="G682" s="22"/>
      <c r="H682" s="22"/>
      <c r="I682" s="22"/>
      <c r="J682" s="22"/>
      <c r="K682" s="22"/>
      <c r="L682" s="468"/>
      <c r="M682" s="468"/>
      <c r="N682" s="22"/>
      <c r="O682" s="22"/>
      <c r="P682" s="22"/>
      <c r="Q682" s="22"/>
      <c r="R682" s="22"/>
      <c r="S682" s="22"/>
      <c r="T682" s="468"/>
      <c r="U682" s="22"/>
      <c r="V682" s="22"/>
      <c r="W682" s="22"/>
      <c r="X682" s="22"/>
      <c r="Y682" s="22"/>
      <c r="Z682" s="465"/>
      <c r="AA682" s="22"/>
      <c r="AB682" s="22"/>
      <c r="AC682" s="22"/>
      <c r="AD682" s="22"/>
    </row>
    <row r="683" ht="15.75" customHeight="1">
      <c r="A683" s="22"/>
      <c r="B683" s="22"/>
      <c r="C683" s="22"/>
      <c r="D683" s="22"/>
      <c r="E683" s="22"/>
      <c r="F683" s="22"/>
      <c r="G683" s="22"/>
      <c r="H683" s="22"/>
      <c r="I683" s="22"/>
      <c r="J683" s="22"/>
      <c r="K683" s="22"/>
      <c r="L683" s="468"/>
      <c r="M683" s="468"/>
      <c r="N683" s="22"/>
      <c r="O683" s="22"/>
      <c r="P683" s="22"/>
      <c r="Q683" s="22"/>
      <c r="R683" s="22"/>
      <c r="S683" s="22"/>
      <c r="T683" s="468"/>
      <c r="U683" s="22"/>
      <c r="V683" s="22"/>
      <c r="W683" s="22"/>
      <c r="X683" s="22"/>
      <c r="Y683" s="22"/>
      <c r="Z683" s="465"/>
      <c r="AA683" s="22"/>
      <c r="AB683" s="22"/>
      <c r="AC683" s="22"/>
      <c r="AD683" s="22"/>
    </row>
    <row r="684" ht="15.75" customHeight="1">
      <c r="A684" s="22"/>
      <c r="B684" s="22"/>
      <c r="C684" s="22"/>
      <c r="D684" s="22"/>
      <c r="E684" s="22"/>
      <c r="F684" s="22"/>
      <c r="G684" s="22"/>
      <c r="H684" s="22"/>
      <c r="I684" s="22"/>
      <c r="J684" s="22"/>
      <c r="K684" s="22"/>
      <c r="L684" s="468"/>
      <c r="M684" s="468"/>
      <c r="N684" s="22"/>
      <c r="O684" s="22"/>
      <c r="P684" s="22"/>
      <c r="Q684" s="22"/>
      <c r="R684" s="22"/>
      <c r="S684" s="22"/>
      <c r="T684" s="468"/>
      <c r="U684" s="22"/>
      <c r="V684" s="22"/>
      <c r="W684" s="22"/>
      <c r="X684" s="22"/>
      <c r="Y684" s="22"/>
      <c r="Z684" s="465"/>
      <c r="AA684" s="22"/>
      <c r="AB684" s="22"/>
      <c r="AC684" s="22"/>
      <c r="AD684" s="22"/>
    </row>
    <row r="685" ht="15.75" customHeight="1">
      <c r="A685" s="22"/>
      <c r="B685" s="22"/>
      <c r="C685" s="22"/>
      <c r="D685" s="22"/>
      <c r="E685" s="22"/>
      <c r="F685" s="22"/>
      <c r="G685" s="22"/>
      <c r="H685" s="22"/>
      <c r="I685" s="22"/>
      <c r="J685" s="22"/>
      <c r="K685" s="22"/>
      <c r="L685" s="468"/>
      <c r="M685" s="468"/>
      <c r="N685" s="22"/>
      <c r="O685" s="22"/>
      <c r="P685" s="22"/>
      <c r="Q685" s="22"/>
      <c r="R685" s="22"/>
      <c r="S685" s="22"/>
      <c r="T685" s="468"/>
      <c r="U685" s="22"/>
      <c r="V685" s="22"/>
      <c r="W685" s="22"/>
      <c r="X685" s="22"/>
      <c r="Y685" s="22"/>
      <c r="Z685" s="465"/>
      <c r="AA685" s="22"/>
      <c r="AB685" s="22"/>
      <c r="AC685" s="22"/>
      <c r="AD685" s="22"/>
    </row>
    <row r="686" ht="15.75" customHeight="1">
      <c r="A686" s="22"/>
      <c r="B686" s="22"/>
      <c r="C686" s="22"/>
      <c r="D686" s="22"/>
      <c r="E686" s="22"/>
      <c r="F686" s="22"/>
      <c r="G686" s="22"/>
      <c r="H686" s="22"/>
      <c r="I686" s="22"/>
      <c r="J686" s="22"/>
      <c r="K686" s="22"/>
      <c r="L686" s="468"/>
      <c r="M686" s="468"/>
      <c r="N686" s="22"/>
      <c r="O686" s="22"/>
      <c r="P686" s="22"/>
      <c r="Q686" s="22"/>
      <c r="R686" s="22"/>
      <c r="S686" s="22"/>
      <c r="T686" s="468"/>
      <c r="U686" s="22"/>
      <c r="V686" s="22"/>
      <c r="W686" s="22"/>
      <c r="X686" s="22"/>
      <c r="Y686" s="22"/>
      <c r="Z686" s="465"/>
      <c r="AA686" s="22"/>
      <c r="AB686" s="22"/>
      <c r="AC686" s="22"/>
      <c r="AD686" s="22"/>
    </row>
    <row r="687" ht="15.75" customHeight="1">
      <c r="A687" s="22"/>
      <c r="B687" s="22"/>
      <c r="C687" s="22"/>
      <c r="D687" s="22"/>
      <c r="E687" s="22"/>
      <c r="F687" s="22"/>
      <c r="G687" s="22"/>
      <c r="H687" s="22"/>
      <c r="I687" s="22"/>
      <c r="J687" s="22"/>
      <c r="K687" s="22"/>
      <c r="L687" s="468"/>
      <c r="M687" s="468"/>
      <c r="N687" s="22"/>
      <c r="O687" s="22"/>
      <c r="P687" s="22"/>
      <c r="Q687" s="22"/>
      <c r="R687" s="22"/>
      <c r="S687" s="22"/>
      <c r="T687" s="468"/>
      <c r="U687" s="22"/>
      <c r="V687" s="22"/>
      <c r="W687" s="22"/>
      <c r="X687" s="22"/>
      <c r="Y687" s="22"/>
      <c r="Z687" s="465"/>
      <c r="AA687" s="22"/>
      <c r="AB687" s="22"/>
      <c r="AC687" s="22"/>
      <c r="AD687" s="22"/>
    </row>
    <row r="688" ht="15.75" customHeight="1">
      <c r="A688" s="22"/>
      <c r="B688" s="22"/>
      <c r="C688" s="22"/>
      <c r="D688" s="22"/>
      <c r="E688" s="22"/>
      <c r="F688" s="22"/>
      <c r="G688" s="22"/>
      <c r="H688" s="22"/>
      <c r="I688" s="22"/>
      <c r="J688" s="22"/>
      <c r="K688" s="22"/>
      <c r="L688" s="468"/>
      <c r="M688" s="468"/>
      <c r="N688" s="22"/>
      <c r="O688" s="22"/>
      <c r="P688" s="22"/>
      <c r="Q688" s="22"/>
      <c r="R688" s="22"/>
      <c r="S688" s="22"/>
      <c r="T688" s="468"/>
      <c r="U688" s="22"/>
      <c r="V688" s="22"/>
      <c r="W688" s="22"/>
      <c r="X688" s="22"/>
      <c r="Y688" s="22"/>
      <c r="Z688" s="465"/>
      <c r="AA688" s="22"/>
      <c r="AB688" s="22"/>
      <c r="AC688" s="22"/>
      <c r="AD688" s="22"/>
    </row>
    <row r="689" ht="15.75" customHeight="1">
      <c r="A689" s="22"/>
      <c r="B689" s="22"/>
      <c r="C689" s="22"/>
      <c r="D689" s="22"/>
      <c r="E689" s="22"/>
      <c r="F689" s="22"/>
      <c r="G689" s="22"/>
      <c r="H689" s="22"/>
      <c r="I689" s="22"/>
      <c r="J689" s="22"/>
      <c r="K689" s="22"/>
      <c r="L689" s="468"/>
      <c r="M689" s="468"/>
      <c r="N689" s="22"/>
      <c r="O689" s="22"/>
      <c r="P689" s="22"/>
      <c r="Q689" s="22"/>
      <c r="R689" s="22"/>
      <c r="S689" s="22"/>
      <c r="T689" s="468"/>
      <c r="U689" s="22"/>
      <c r="V689" s="22"/>
      <c r="W689" s="22"/>
      <c r="X689" s="22"/>
      <c r="Y689" s="22"/>
      <c r="Z689" s="465"/>
      <c r="AA689" s="22"/>
      <c r="AB689" s="22"/>
      <c r="AC689" s="22"/>
      <c r="AD689" s="22"/>
    </row>
    <row r="690" ht="15.75" customHeight="1">
      <c r="A690" s="22"/>
      <c r="B690" s="22"/>
      <c r="C690" s="22"/>
      <c r="D690" s="22"/>
      <c r="E690" s="22"/>
      <c r="F690" s="22"/>
      <c r="G690" s="22"/>
      <c r="H690" s="22"/>
      <c r="I690" s="22"/>
      <c r="J690" s="22"/>
      <c r="K690" s="22"/>
      <c r="L690" s="468"/>
      <c r="M690" s="468"/>
      <c r="N690" s="22"/>
      <c r="O690" s="22"/>
      <c r="P690" s="22"/>
      <c r="Q690" s="22"/>
      <c r="R690" s="22"/>
      <c r="S690" s="22"/>
      <c r="T690" s="468"/>
      <c r="U690" s="22"/>
      <c r="V690" s="22"/>
      <c r="W690" s="22"/>
      <c r="X690" s="22"/>
      <c r="Y690" s="22"/>
      <c r="Z690" s="465"/>
      <c r="AA690" s="22"/>
      <c r="AB690" s="22"/>
      <c r="AC690" s="22"/>
      <c r="AD690" s="22"/>
    </row>
    <row r="691" ht="15.75" customHeight="1">
      <c r="A691" s="22"/>
      <c r="B691" s="22"/>
      <c r="C691" s="22"/>
      <c r="D691" s="22"/>
      <c r="E691" s="22"/>
      <c r="F691" s="22"/>
      <c r="G691" s="22"/>
      <c r="H691" s="22"/>
      <c r="I691" s="22"/>
      <c r="J691" s="22"/>
      <c r="K691" s="22"/>
      <c r="L691" s="468"/>
      <c r="M691" s="468"/>
      <c r="N691" s="22"/>
      <c r="O691" s="22"/>
      <c r="P691" s="22"/>
      <c r="Q691" s="22"/>
      <c r="R691" s="22"/>
      <c r="S691" s="22"/>
      <c r="T691" s="468"/>
      <c r="U691" s="22"/>
      <c r="V691" s="22"/>
      <c r="W691" s="22"/>
      <c r="X691" s="22"/>
      <c r="Y691" s="22"/>
      <c r="Z691" s="465"/>
      <c r="AA691" s="22"/>
      <c r="AB691" s="22"/>
      <c r="AC691" s="22"/>
      <c r="AD691" s="22"/>
    </row>
    <row r="692" ht="15.75" customHeight="1">
      <c r="A692" s="22"/>
      <c r="B692" s="22"/>
      <c r="C692" s="22"/>
      <c r="D692" s="22"/>
      <c r="E692" s="22"/>
      <c r="F692" s="22"/>
      <c r="G692" s="22"/>
      <c r="H692" s="22"/>
      <c r="I692" s="22"/>
      <c r="J692" s="22"/>
      <c r="K692" s="22"/>
      <c r="L692" s="468"/>
      <c r="M692" s="468"/>
      <c r="N692" s="22"/>
      <c r="O692" s="22"/>
      <c r="P692" s="22"/>
      <c r="Q692" s="22"/>
      <c r="R692" s="22"/>
      <c r="S692" s="22"/>
      <c r="T692" s="468"/>
      <c r="U692" s="22"/>
      <c r="V692" s="22"/>
      <c r="W692" s="22"/>
      <c r="X692" s="22"/>
      <c r="Y692" s="22"/>
      <c r="Z692" s="465"/>
      <c r="AA692" s="22"/>
      <c r="AB692" s="22"/>
      <c r="AC692" s="22"/>
      <c r="AD692" s="22"/>
    </row>
    <row r="693" ht="15.75" customHeight="1">
      <c r="A693" s="22"/>
      <c r="B693" s="22"/>
      <c r="C693" s="22"/>
      <c r="D693" s="22"/>
      <c r="E693" s="22"/>
      <c r="F693" s="22"/>
      <c r="G693" s="22"/>
      <c r="H693" s="22"/>
      <c r="I693" s="22"/>
      <c r="J693" s="22"/>
      <c r="K693" s="22"/>
      <c r="L693" s="468"/>
      <c r="M693" s="468"/>
      <c r="N693" s="22"/>
      <c r="O693" s="22"/>
      <c r="P693" s="22"/>
      <c r="Q693" s="22"/>
      <c r="R693" s="22"/>
      <c r="S693" s="22"/>
      <c r="T693" s="468"/>
      <c r="U693" s="22"/>
      <c r="V693" s="22"/>
      <c r="W693" s="22"/>
      <c r="X693" s="22"/>
      <c r="Y693" s="22"/>
      <c r="Z693" s="465"/>
      <c r="AA693" s="22"/>
      <c r="AB693" s="22"/>
      <c r="AC693" s="22"/>
      <c r="AD693" s="22"/>
    </row>
    <row r="694" ht="15.75" customHeight="1">
      <c r="A694" s="22"/>
      <c r="B694" s="22"/>
      <c r="C694" s="22"/>
      <c r="D694" s="22"/>
      <c r="E694" s="22"/>
      <c r="F694" s="22"/>
      <c r="G694" s="22"/>
      <c r="H694" s="22"/>
      <c r="I694" s="22"/>
      <c r="J694" s="22"/>
      <c r="K694" s="22"/>
      <c r="L694" s="468"/>
      <c r="M694" s="468"/>
      <c r="N694" s="22"/>
      <c r="O694" s="22"/>
      <c r="P694" s="22"/>
      <c r="Q694" s="22"/>
      <c r="R694" s="22"/>
      <c r="S694" s="22"/>
      <c r="T694" s="468"/>
      <c r="U694" s="22"/>
      <c r="V694" s="22"/>
      <c r="W694" s="22"/>
      <c r="X694" s="22"/>
      <c r="Y694" s="22"/>
      <c r="Z694" s="465"/>
      <c r="AA694" s="22"/>
      <c r="AB694" s="22"/>
      <c r="AC694" s="22"/>
      <c r="AD694" s="22"/>
    </row>
    <row r="695" ht="15.75" customHeight="1">
      <c r="A695" s="22"/>
      <c r="B695" s="22"/>
      <c r="C695" s="22"/>
      <c r="D695" s="22"/>
      <c r="E695" s="22"/>
      <c r="F695" s="22"/>
      <c r="G695" s="22"/>
      <c r="H695" s="22"/>
      <c r="I695" s="22"/>
      <c r="J695" s="22"/>
      <c r="K695" s="22"/>
      <c r="L695" s="468"/>
      <c r="M695" s="468"/>
      <c r="N695" s="22"/>
      <c r="O695" s="22"/>
      <c r="P695" s="22"/>
      <c r="Q695" s="22"/>
      <c r="R695" s="22"/>
      <c r="S695" s="22"/>
      <c r="T695" s="468"/>
      <c r="U695" s="22"/>
      <c r="V695" s="22"/>
      <c r="W695" s="22"/>
      <c r="X695" s="22"/>
      <c r="Y695" s="22"/>
      <c r="Z695" s="465"/>
      <c r="AA695" s="22"/>
      <c r="AB695" s="22"/>
      <c r="AC695" s="22"/>
      <c r="AD695" s="22"/>
    </row>
    <row r="696" ht="15.75" customHeight="1">
      <c r="A696" s="22"/>
      <c r="B696" s="22"/>
      <c r="C696" s="22"/>
      <c r="D696" s="22"/>
      <c r="E696" s="22"/>
      <c r="F696" s="22"/>
      <c r="G696" s="22"/>
      <c r="H696" s="22"/>
      <c r="I696" s="22"/>
      <c r="J696" s="22"/>
      <c r="K696" s="22"/>
      <c r="L696" s="468"/>
      <c r="M696" s="468"/>
      <c r="N696" s="22"/>
      <c r="O696" s="22"/>
      <c r="P696" s="22"/>
      <c r="Q696" s="22"/>
      <c r="R696" s="22"/>
      <c r="S696" s="22"/>
      <c r="T696" s="468"/>
      <c r="U696" s="22"/>
      <c r="V696" s="22"/>
      <c r="W696" s="22"/>
      <c r="X696" s="22"/>
      <c r="Y696" s="22"/>
      <c r="Z696" s="465"/>
      <c r="AA696" s="22"/>
      <c r="AB696" s="22"/>
      <c r="AC696" s="22"/>
      <c r="AD696" s="22"/>
    </row>
    <row r="697" ht="15.75" customHeight="1">
      <c r="A697" s="22"/>
      <c r="B697" s="22"/>
      <c r="C697" s="22"/>
      <c r="D697" s="22"/>
      <c r="E697" s="22"/>
      <c r="F697" s="22"/>
      <c r="G697" s="22"/>
      <c r="H697" s="22"/>
      <c r="I697" s="22"/>
      <c r="J697" s="22"/>
      <c r="K697" s="22"/>
      <c r="L697" s="468"/>
      <c r="M697" s="468"/>
      <c r="N697" s="22"/>
      <c r="O697" s="22"/>
      <c r="P697" s="22"/>
      <c r="Q697" s="22"/>
      <c r="R697" s="22"/>
      <c r="S697" s="22"/>
      <c r="T697" s="468"/>
      <c r="U697" s="22"/>
      <c r="V697" s="22"/>
      <c r="W697" s="22"/>
      <c r="X697" s="22"/>
      <c r="Y697" s="22"/>
      <c r="Z697" s="465"/>
      <c r="AA697" s="22"/>
      <c r="AB697" s="22"/>
      <c r="AC697" s="22"/>
      <c r="AD697" s="22"/>
    </row>
    <row r="698" ht="15.75" customHeight="1">
      <c r="A698" s="22"/>
      <c r="B698" s="22"/>
      <c r="C698" s="22"/>
      <c r="D698" s="22"/>
      <c r="E698" s="22"/>
      <c r="F698" s="22"/>
      <c r="G698" s="22"/>
      <c r="H698" s="22"/>
      <c r="I698" s="22"/>
      <c r="J698" s="22"/>
      <c r="K698" s="22"/>
      <c r="L698" s="468"/>
      <c r="M698" s="468"/>
      <c r="N698" s="22"/>
      <c r="O698" s="22"/>
      <c r="P698" s="22"/>
      <c r="Q698" s="22"/>
      <c r="R698" s="22"/>
      <c r="S698" s="22"/>
      <c r="T698" s="468"/>
      <c r="U698" s="22"/>
      <c r="V698" s="22"/>
      <c r="W698" s="22"/>
      <c r="X698" s="22"/>
      <c r="Y698" s="22"/>
      <c r="Z698" s="465"/>
      <c r="AA698" s="22"/>
      <c r="AB698" s="22"/>
      <c r="AC698" s="22"/>
      <c r="AD698" s="22"/>
    </row>
    <row r="699" ht="15.75" customHeight="1">
      <c r="A699" s="22"/>
      <c r="B699" s="22"/>
      <c r="C699" s="22"/>
      <c r="D699" s="22"/>
      <c r="E699" s="22"/>
      <c r="F699" s="22"/>
      <c r="G699" s="22"/>
      <c r="H699" s="22"/>
      <c r="I699" s="22"/>
      <c r="J699" s="22"/>
      <c r="K699" s="22"/>
      <c r="L699" s="468"/>
      <c r="M699" s="468"/>
      <c r="N699" s="22"/>
      <c r="O699" s="22"/>
      <c r="P699" s="22"/>
      <c r="Q699" s="22"/>
      <c r="R699" s="22"/>
      <c r="S699" s="22"/>
      <c r="T699" s="468"/>
      <c r="U699" s="22"/>
      <c r="V699" s="22"/>
      <c r="W699" s="22"/>
      <c r="X699" s="22"/>
      <c r="Y699" s="22"/>
      <c r="Z699" s="465"/>
      <c r="AA699" s="22"/>
      <c r="AB699" s="22"/>
      <c r="AC699" s="22"/>
      <c r="AD699" s="22"/>
    </row>
    <row r="700" ht="15.75" customHeight="1">
      <c r="A700" s="22"/>
      <c r="B700" s="22"/>
      <c r="C700" s="22"/>
      <c r="D700" s="22"/>
      <c r="E700" s="22"/>
      <c r="F700" s="22"/>
      <c r="G700" s="22"/>
      <c r="H700" s="22"/>
      <c r="I700" s="22"/>
      <c r="J700" s="22"/>
      <c r="K700" s="22"/>
      <c r="L700" s="468"/>
      <c r="M700" s="468"/>
      <c r="N700" s="22"/>
      <c r="O700" s="22"/>
      <c r="P700" s="22"/>
      <c r="Q700" s="22"/>
      <c r="R700" s="22"/>
      <c r="S700" s="22"/>
      <c r="T700" s="468"/>
      <c r="U700" s="22"/>
      <c r="V700" s="22"/>
      <c r="W700" s="22"/>
      <c r="X700" s="22"/>
      <c r="Y700" s="22"/>
      <c r="Z700" s="465"/>
      <c r="AA700" s="22"/>
      <c r="AB700" s="22"/>
      <c r="AC700" s="22"/>
      <c r="AD700" s="22"/>
    </row>
    <row r="701" ht="15.75" customHeight="1">
      <c r="A701" s="22"/>
      <c r="B701" s="22"/>
      <c r="C701" s="22"/>
      <c r="D701" s="22"/>
      <c r="E701" s="22"/>
      <c r="F701" s="22"/>
      <c r="G701" s="22"/>
      <c r="H701" s="22"/>
      <c r="I701" s="22"/>
      <c r="J701" s="22"/>
      <c r="K701" s="22"/>
      <c r="L701" s="468"/>
      <c r="M701" s="468"/>
      <c r="N701" s="22"/>
      <c r="O701" s="22"/>
      <c r="P701" s="22"/>
      <c r="Q701" s="22"/>
      <c r="R701" s="22"/>
      <c r="S701" s="22"/>
      <c r="T701" s="468"/>
      <c r="U701" s="22"/>
      <c r="V701" s="22"/>
      <c r="W701" s="22"/>
      <c r="X701" s="22"/>
      <c r="Y701" s="22"/>
      <c r="Z701" s="465"/>
      <c r="AA701" s="22"/>
      <c r="AB701" s="22"/>
      <c r="AC701" s="22"/>
      <c r="AD701" s="22"/>
    </row>
    <row r="702" ht="15.75" customHeight="1">
      <c r="A702" s="22"/>
      <c r="B702" s="22"/>
      <c r="C702" s="22"/>
      <c r="D702" s="22"/>
      <c r="E702" s="22"/>
      <c r="F702" s="22"/>
      <c r="G702" s="22"/>
      <c r="H702" s="22"/>
      <c r="I702" s="22"/>
      <c r="J702" s="22"/>
      <c r="K702" s="22"/>
      <c r="L702" s="468"/>
      <c r="M702" s="468"/>
      <c r="N702" s="22"/>
      <c r="O702" s="22"/>
      <c r="P702" s="22"/>
      <c r="Q702" s="22"/>
      <c r="R702" s="22"/>
      <c r="S702" s="22"/>
      <c r="T702" s="468"/>
      <c r="U702" s="22"/>
      <c r="V702" s="22"/>
      <c r="W702" s="22"/>
      <c r="X702" s="22"/>
      <c r="Y702" s="22"/>
      <c r="Z702" s="465"/>
      <c r="AA702" s="22"/>
      <c r="AB702" s="22"/>
      <c r="AC702" s="22"/>
      <c r="AD702" s="22"/>
    </row>
    <row r="703" ht="15.75" customHeight="1">
      <c r="A703" s="22"/>
      <c r="B703" s="22"/>
      <c r="C703" s="22"/>
      <c r="D703" s="22"/>
      <c r="E703" s="22"/>
      <c r="F703" s="22"/>
      <c r="G703" s="22"/>
      <c r="H703" s="22"/>
      <c r="I703" s="22"/>
      <c r="J703" s="22"/>
      <c r="K703" s="22"/>
      <c r="L703" s="468"/>
      <c r="M703" s="468"/>
      <c r="N703" s="22"/>
      <c r="O703" s="22"/>
      <c r="P703" s="22"/>
      <c r="Q703" s="22"/>
      <c r="R703" s="22"/>
      <c r="S703" s="22"/>
      <c r="T703" s="468"/>
      <c r="U703" s="22"/>
      <c r="V703" s="22"/>
      <c r="W703" s="22"/>
      <c r="X703" s="22"/>
      <c r="Y703" s="22"/>
      <c r="Z703" s="465"/>
      <c r="AA703" s="22"/>
      <c r="AB703" s="22"/>
      <c r="AC703" s="22"/>
      <c r="AD703" s="22"/>
    </row>
    <row r="704" ht="15.75" customHeight="1">
      <c r="A704" s="22"/>
      <c r="B704" s="22"/>
      <c r="C704" s="22"/>
      <c r="D704" s="22"/>
      <c r="E704" s="22"/>
      <c r="F704" s="22"/>
      <c r="G704" s="22"/>
      <c r="H704" s="22"/>
      <c r="I704" s="22"/>
      <c r="J704" s="22"/>
      <c r="K704" s="22"/>
      <c r="L704" s="468"/>
      <c r="M704" s="468"/>
      <c r="N704" s="22"/>
      <c r="O704" s="22"/>
      <c r="P704" s="22"/>
      <c r="Q704" s="22"/>
      <c r="R704" s="22"/>
      <c r="S704" s="22"/>
      <c r="T704" s="468"/>
      <c r="U704" s="22"/>
      <c r="V704" s="22"/>
      <c r="W704" s="22"/>
      <c r="X704" s="22"/>
      <c r="Y704" s="22"/>
      <c r="Z704" s="465"/>
      <c r="AA704" s="22"/>
      <c r="AB704" s="22"/>
      <c r="AC704" s="22"/>
      <c r="AD704" s="22"/>
    </row>
    <row r="705" ht="15.75" customHeight="1">
      <c r="A705" s="22"/>
      <c r="B705" s="22"/>
      <c r="C705" s="22"/>
      <c r="D705" s="22"/>
      <c r="E705" s="22"/>
      <c r="F705" s="22"/>
      <c r="G705" s="22"/>
      <c r="H705" s="22"/>
      <c r="I705" s="22"/>
      <c r="J705" s="22"/>
      <c r="K705" s="22"/>
      <c r="L705" s="468"/>
      <c r="M705" s="468"/>
      <c r="N705" s="22"/>
      <c r="O705" s="22"/>
      <c r="P705" s="22"/>
      <c r="Q705" s="22"/>
      <c r="R705" s="22"/>
      <c r="S705" s="22"/>
      <c r="T705" s="468"/>
      <c r="U705" s="22"/>
      <c r="V705" s="22"/>
      <c r="W705" s="22"/>
      <c r="X705" s="22"/>
      <c r="Y705" s="22"/>
      <c r="Z705" s="465"/>
      <c r="AA705" s="22"/>
      <c r="AB705" s="22"/>
      <c r="AC705" s="22"/>
      <c r="AD705" s="22"/>
    </row>
    <row r="706" ht="15.75" customHeight="1">
      <c r="A706" s="22"/>
      <c r="B706" s="22"/>
      <c r="C706" s="22"/>
      <c r="D706" s="22"/>
      <c r="E706" s="22"/>
      <c r="F706" s="22"/>
      <c r="G706" s="22"/>
      <c r="H706" s="22"/>
      <c r="I706" s="22"/>
      <c r="J706" s="22"/>
      <c r="K706" s="22"/>
      <c r="L706" s="468"/>
      <c r="M706" s="468"/>
      <c r="N706" s="22"/>
      <c r="O706" s="22"/>
      <c r="P706" s="22"/>
      <c r="Q706" s="22"/>
      <c r="R706" s="22"/>
      <c r="S706" s="22"/>
      <c r="T706" s="468"/>
      <c r="U706" s="22"/>
      <c r="V706" s="22"/>
      <c r="W706" s="22"/>
      <c r="X706" s="22"/>
      <c r="Y706" s="22"/>
      <c r="Z706" s="465"/>
      <c r="AA706" s="22"/>
      <c r="AB706" s="22"/>
      <c r="AC706" s="22"/>
      <c r="AD706" s="22"/>
    </row>
    <row r="707" ht="15.75" customHeight="1">
      <c r="A707" s="22"/>
      <c r="B707" s="22"/>
      <c r="C707" s="22"/>
      <c r="D707" s="22"/>
      <c r="E707" s="22"/>
      <c r="F707" s="22"/>
      <c r="G707" s="22"/>
      <c r="H707" s="22"/>
      <c r="I707" s="22"/>
      <c r="J707" s="22"/>
      <c r="K707" s="22"/>
      <c r="L707" s="468"/>
      <c r="M707" s="468"/>
      <c r="N707" s="22"/>
      <c r="O707" s="22"/>
      <c r="P707" s="22"/>
      <c r="Q707" s="22"/>
      <c r="R707" s="22"/>
      <c r="S707" s="22"/>
      <c r="T707" s="468"/>
      <c r="U707" s="22"/>
      <c r="V707" s="22"/>
      <c r="W707" s="22"/>
      <c r="X707" s="22"/>
      <c r="Y707" s="22"/>
      <c r="Z707" s="465"/>
      <c r="AA707" s="22"/>
      <c r="AB707" s="22"/>
      <c r="AC707" s="22"/>
      <c r="AD707" s="22"/>
    </row>
    <row r="708" ht="15.75" customHeight="1">
      <c r="A708" s="22"/>
      <c r="B708" s="22"/>
      <c r="C708" s="22"/>
      <c r="D708" s="22"/>
      <c r="E708" s="22"/>
      <c r="F708" s="22"/>
      <c r="G708" s="22"/>
      <c r="H708" s="22"/>
      <c r="I708" s="22"/>
      <c r="J708" s="22"/>
      <c r="K708" s="22"/>
      <c r="L708" s="468"/>
      <c r="M708" s="468"/>
      <c r="N708" s="22"/>
      <c r="O708" s="22"/>
      <c r="P708" s="22"/>
      <c r="Q708" s="22"/>
      <c r="R708" s="22"/>
      <c r="S708" s="22"/>
      <c r="T708" s="468"/>
      <c r="U708" s="22"/>
      <c r="V708" s="22"/>
      <c r="W708" s="22"/>
      <c r="X708" s="22"/>
      <c r="Y708" s="22"/>
      <c r="Z708" s="465"/>
      <c r="AA708" s="22"/>
      <c r="AB708" s="22"/>
      <c r="AC708" s="22"/>
      <c r="AD708" s="22"/>
    </row>
    <row r="709" ht="15.75" customHeight="1">
      <c r="A709" s="22"/>
      <c r="B709" s="22"/>
      <c r="C709" s="22"/>
      <c r="D709" s="22"/>
      <c r="E709" s="22"/>
      <c r="F709" s="22"/>
      <c r="G709" s="22"/>
      <c r="H709" s="22"/>
      <c r="I709" s="22"/>
      <c r="J709" s="22"/>
      <c r="K709" s="22"/>
      <c r="L709" s="468"/>
      <c r="M709" s="468"/>
      <c r="N709" s="22"/>
      <c r="O709" s="22"/>
      <c r="P709" s="22"/>
      <c r="Q709" s="22"/>
      <c r="R709" s="22"/>
      <c r="S709" s="22"/>
      <c r="T709" s="468"/>
      <c r="U709" s="22"/>
      <c r="V709" s="22"/>
      <c r="W709" s="22"/>
      <c r="X709" s="22"/>
      <c r="Y709" s="22"/>
      <c r="Z709" s="465"/>
      <c r="AA709" s="22"/>
      <c r="AB709" s="22"/>
      <c r="AC709" s="22"/>
      <c r="AD709" s="22"/>
    </row>
    <row r="710" ht="15.75" customHeight="1">
      <c r="A710" s="22"/>
      <c r="B710" s="22"/>
      <c r="C710" s="22"/>
      <c r="D710" s="22"/>
      <c r="E710" s="22"/>
      <c r="F710" s="22"/>
      <c r="G710" s="22"/>
      <c r="H710" s="22"/>
      <c r="I710" s="22"/>
      <c r="J710" s="22"/>
      <c r="K710" s="22"/>
      <c r="L710" s="468"/>
      <c r="M710" s="468"/>
      <c r="N710" s="22"/>
      <c r="O710" s="22"/>
      <c r="P710" s="22"/>
      <c r="Q710" s="22"/>
      <c r="R710" s="22"/>
      <c r="S710" s="22"/>
      <c r="T710" s="468"/>
      <c r="U710" s="22"/>
      <c r="V710" s="22"/>
      <c r="W710" s="22"/>
      <c r="X710" s="22"/>
      <c r="Y710" s="22"/>
      <c r="Z710" s="465"/>
      <c r="AA710" s="22"/>
      <c r="AB710" s="22"/>
      <c r="AC710" s="22"/>
      <c r="AD710" s="22"/>
    </row>
    <row r="711" ht="15.75" customHeight="1">
      <c r="A711" s="22"/>
      <c r="B711" s="22"/>
      <c r="C711" s="22"/>
      <c r="D711" s="22"/>
      <c r="E711" s="22"/>
      <c r="F711" s="22"/>
      <c r="G711" s="22"/>
      <c r="H711" s="22"/>
      <c r="I711" s="22"/>
      <c r="J711" s="22"/>
      <c r="K711" s="22"/>
      <c r="L711" s="468"/>
      <c r="M711" s="468"/>
      <c r="N711" s="22"/>
      <c r="O711" s="22"/>
      <c r="P711" s="22"/>
      <c r="Q711" s="22"/>
      <c r="R711" s="22"/>
      <c r="S711" s="22"/>
      <c r="T711" s="468"/>
      <c r="U711" s="22"/>
      <c r="V711" s="22"/>
      <c r="W711" s="22"/>
      <c r="X711" s="22"/>
      <c r="Y711" s="22"/>
      <c r="Z711" s="465"/>
      <c r="AA711" s="22"/>
      <c r="AB711" s="22"/>
      <c r="AC711" s="22"/>
      <c r="AD711" s="22"/>
    </row>
    <row r="712" ht="15.75" customHeight="1">
      <c r="A712" s="22"/>
      <c r="B712" s="22"/>
      <c r="C712" s="22"/>
      <c r="D712" s="22"/>
      <c r="E712" s="22"/>
      <c r="F712" s="22"/>
      <c r="G712" s="22"/>
      <c r="H712" s="22"/>
      <c r="I712" s="22"/>
      <c r="J712" s="22"/>
      <c r="K712" s="22"/>
      <c r="L712" s="468"/>
      <c r="M712" s="468"/>
      <c r="N712" s="22"/>
      <c r="O712" s="22"/>
      <c r="P712" s="22"/>
      <c r="Q712" s="22"/>
      <c r="R712" s="22"/>
      <c r="S712" s="22"/>
      <c r="T712" s="468"/>
      <c r="U712" s="22"/>
      <c r="V712" s="22"/>
      <c r="W712" s="22"/>
      <c r="X712" s="22"/>
      <c r="Y712" s="22"/>
      <c r="Z712" s="465"/>
      <c r="AA712" s="22"/>
      <c r="AB712" s="22"/>
      <c r="AC712" s="22"/>
      <c r="AD712" s="22"/>
    </row>
    <row r="713" ht="15.75" customHeight="1">
      <c r="A713" s="22"/>
      <c r="B713" s="22"/>
      <c r="C713" s="22"/>
      <c r="D713" s="22"/>
      <c r="E713" s="22"/>
      <c r="F713" s="22"/>
      <c r="G713" s="22"/>
      <c r="H713" s="22"/>
      <c r="I713" s="22"/>
      <c r="J713" s="22"/>
      <c r="K713" s="22"/>
      <c r="L713" s="468"/>
      <c r="M713" s="468"/>
      <c r="N713" s="22"/>
      <c r="O713" s="22"/>
      <c r="P713" s="22"/>
      <c r="Q713" s="22"/>
      <c r="R713" s="22"/>
      <c r="S713" s="22"/>
      <c r="T713" s="468"/>
      <c r="U713" s="22"/>
      <c r="V713" s="22"/>
      <c r="W713" s="22"/>
      <c r="X713" s="22"/>
      <c r="Y713" s="22"/>
      <c r="Z713" s="465"/>
      <c r="AA713" s="22"/>
      <c r="AB713" s="22"/>
      <c r="AC713" s="22"/>
      <c r="AD713" s="22"/>
    </row>
    <row r="714" ht="15.75" customHeight="1">
      <c r="A714" s="22"/>
      <c r="B714" s="22"/>
      <c r="C714" s="22"/>
      <c r="D714" s="22"/>
      <c r="E714" s="22"/>
      <c r="F714" s="22"/>
      <c r="G714" s="22"/>
      <c r="H714" s="22"/>
      <c r="I714" s="22"/>
      <c r="J714" s="22"/>
      <c r="K714" s="22"/>
      <c r="L714" s="468"/>
      <c r="M714" s="468"/>
      <c r="N714" s="22"/>
      <c r="O714" s="22"/>
      <c r="P714" s="22"/>
      <c r="Q714" s="22"/>
      <c r="R714" s="22"/>
      <c r="S714" s="22"/>
      <c r="T714" s="468"/>
      <c r="U714" s="22"/>
      <c r="V714" s="22"/>
      <c r="W714" s="22"/>
      <c r="X714" s="22"/>
      <c r="Y714" s="22"/>
      <c r="Z714" s="465"/>
      <c r="AA714" s="22"/>
      <c r="AB714" s="22"/>
      <c r="AC714" s="22"/>
      <c r="AD714" s="22"/>
    </row>
    <row r="715" ht="15.75" customHeight="1">
      <c r="A715" s="22"/>
      <c r="B715" s="22"/>
      <c r="C715" s="22"/>
      <c r="D715" s="22"/>
      <c r="E715" s="22"/>
      <c r="F715" s="22"/>
      <c r="G715" s="22"/>
      <c r="H715" s="22"/>
      <c r="I715" s="22"/>
      <c r="J715" s="22"/>
      <c r="K715" s="22"/>
      <c r="L715" s="468"/>
      <c r="M715" s="468"/>
      <c r="N715" s="22"/>
      <c r="O715" s="22"/>
      <c r="P715" s="22"/>
      <c r="Q715" s="22"/>
      <c r="R715" s="22"/>
      <c r="S715" s="22"/>
      <c r="T715" s="468"/>
      <c r="U715" s="22"/>
      <c r="V715" s="22"/>
      <c r="W715" s="22"/>
      <c r="X715" s="22"/>
      <c r="Y715" s="22"/>
      <c r="Z715" s="465"/>
      <c r="AA715" s="22"/>
      <c r="AB715" s="22"/>
      <c r="AC715" s="22"/>
      <c r="AD715" s="22"/>
    </row>
    <row r="716" ht="15.75" customHeight="1">
      <c r="A716" s="22"/>
      <c r="B716" s="22"/>
      <c r="C716" s="22"/>
      <c r="D716" s="22"/>
      <c r="E716" s="22"/>
      <c r="F716" s="22"/>
      <c r="G716" s="22"/>
      <c r="H716" s="22"/>
      <c r="I716" s="22"/>
      <c r="J716" s="22"/>
      <c r="K716" s="22"/>
      <c r="L716" s="468"/>
      <c r="M716" s="468"/>
      <c r="N716" s="22"/>
      <c r="O716" s="22"/>
      <c r="P716" s="22"/>
      <c r="Q716" s="22"/>
      <c r="R716" s="22"/>
      <c r="S716" s="22"/>
      <c r="T716" s="468"/>
      <c r="U716" s="22"/>
      <c r="V716" s="22"/>
      <c r="W716" s="22"/>
      <c r="X716" s="22"/>
      <c r="Y716" s="22"/>
      <c r="Z716" s="465"/>
      <c r="AA716" s="22"/>
      <c r="AB716" s="22"/>
      <c r="AC716" s="22"/>
      <c r="AD716" s="22"/>
    </row>
    <row r="717" ht="15.75" customHeight="1">
      <c r="A717" s="22"/>
      <c r="B717" s="22"/>
      <c r="C717" s="22"/>
      <c r="D717" s="22"/>
      <c r="E717" s="22"/>
      <c r="F717" s="22"/>
      <c r="G717" s="22"/>
      <c r="H717" s="22"/>
      <c r="I717" s="22"/>
      <c r="J717" s="22"/>
      <c r="K717" s="22"/>
      <c r="L717" s="468"/>
      <c r="M717" s="468"/>
      <c r="N717" s="22"/>
      <c r="O717" s="22"/>
      <c r="P717" s="22"/>
      <c r="Q717" s="22"/>
      <c r="R717" s="22"/>
      <c r="S717" s="22"/>
      <c r="T717" s="468"/>
      <c r="U717" s="22"/>
      <c r="V717" s="22"/>
      <c r="W717" s="22"/>
      <c r="X717" s="22"/>
      <c r="Y717" s="22"/>
      <c r="Z717" s="465"/>
      <c r="AA717" s="22"/>
      <c r="AB717" s="22"/>
      <c r="AC717" s="22"/>
      <c r="AD717" s="22"/>
    </row>
    <row r="718" ht="15.75" customHeight="1">
      <c r="A718" s="22"/>
      <c r="B718" s="22"/>
      <c r="C718" s="22"/>
      <c r="D718" s="22"/>
      <c r="E718" s="22"/>
      <c r="F718" s="22"/>
      <c r="G718" s="22"/>
      <c r="H718" s="22"/>
      <c r="I718" s="22"/>
      <c r="J718" s="22"/>
      <c r="K718" s="22"/>
      <c r="L718" s="468"/>
      <c r="M718" s="468"/>
      <c r="N718" s="22"/>
      <c r="O718" s="22"/>
      <c r="P718" s="22"/>
      <c r="Q718" s="22"/>
      <c r="R718" s="22"/>
      <c r="S718" s="22"/>
      <c r="T718" s="468"/>
      <c r="U718" s="22"/>
      <c r="V718" s="22"/>
      <c r="W718" s="22"/>
      <c r="X718" s="22"/>
      <c r="Y718" s="22"/>
      <c r="Z718" s="465"/>
      <c r="AA718" s="22"/>
      <c r="AB718" s="22"/>
      <c r="AC718" s="22"/>
      <c r="AD718" s="22"/>
    </row>
    <row r="719" ht="15.75" customHeight="1">
      <c r="A719" s="22"/>
      <c r="B719" s="22"/>
      <c r="C719" s="22"/>
      <c r="D719" s="22"/>
      <c r="E719" s="22"/>
      <c r="F719" s="22"/>
      <c r="G719" s="22"/>
      <c r="H719" s="22"/>
      <c r="I719" s="22"/>
      <c r="J719" s="22"/>
      <c r="K719" s="22"/>
      <c r="L719" s="468"/>
      <c r="M719" s="468"/>
      <c r="N719" s="22"/>
      <c r="O719" s="22"/>
      <c r="P719" s="22"/>
      <c r="Q719" s="22"/>
      <c r="R719" s="22"/>
      <c r="S719" s="22"/>
      <c r="T719" s="468"/>
      <c r="U719" s="22"/>
      <c r="V719" s="22"/>
      <c r="W719" s="22"/>
      <c r="X719" s="22"/>
      <c r="Y719" s="22"/>
      <c r="Z719" s="465"/>
      <c r="AA719" s="22"/>
      <c r="AB719" s="22"/>
      <c r="AC719" s="22"/>
      <c r="AD719" s="22"/>
    </row>
    <row r="720" ht="15.75" customHeight="1">
      <c r="A720" s="22"/>
      <c r="B720" s="22"/>
      <c r="C720" s="22"/>
      <c r="D720" s="22"/>
      <c r="E720" s="22"/>
      <c r="F720" s="22"/>
      <c r="G720" s="22"/>
      <c r="H720" s="22"/>
      <c r="I720" s="22"/>
      <c r="J720" s="22"/>
      <c r="K720" s="22"/>
      <c r="L720" s="468"/>
      <c r="M720" s="468"/>
      <c r="N720" s="22"/>
      <c r="O720" s="22"/>
      <c r="P720" s="22"/>
      <c r="Q720" s="22"/>
      <c r="R720" s="22"/>
      <c r="S720" s="22"/>
      <c r="T720" s="468"/>
      <c r="U720" s="22"/>
      <c r="V720" s="22"/>
      <c r="W720" s="22"/>
      <c r="X720" s="22"/>
      <c r="Y720" s="22"/>
      <c r="Z720" s="465"/>
      <c r="AA720" s="22"/>
      <c r="AB720" s="22"/>
      <c r="AC720" s="22"/>
      <c r="AD720" s="22"/>
    </row>
    <row r="721" ht="15.75" customHeight="1">
      <c r="A721" s="22"/>
      <c r="B721" s="22"/>
      <c r="C721" s="22"/>
      <c r="D721" s="22"/>
      <c r="E721" s="22"/>
      <c r="F721" s="22"/>
      <c r="G721" s="22"/>
      <c r="H721" s="22"/>
      <c r="I721" s="22"/>
      <c r="J721" s="22"/>
      <c r="K721" s="22"/>
      <c r="L721" s="468"/>
      <c r="M721" s="468"/>
      <c r="N721" s="22"/>
      <c r="O721" s="22"/>
      <c r="P721" s="22"/>
      <c r="Q721" s="22"/>
      <c r="R721" s="22"/>
      <c r="S721" s="22"/>
      <c r="T721" s="468"/>
      <c r="U721" s="22"/>
      <c r="V721" s="22"/>
      <c r="W721" s="22"/>
      <c r="X721" s="22"/>
      <c r="Y721" s="22"/>
      <c r="Z721" s="465"/>
      <c r="AA721" s="22"/>
      <c r="AB721" s="22"/>
      <c r="AC721" s="22"/>
      <c r="AD721" s="22"/>
    </row>
    <row r="722" ht="15.75" customHeight="1">
      <c r="A722" s="22"/>
      <c r="B722" s="22"/>
      <c r="C722" s="22"/>
      <c r="D722" s="22"/>
      <c r="E722" s="22"/>
      <c r="F722" s="22"/>
      <c r="G722" s="22"/>
      <c r="H722" s="22"/>
      <c r="I722" s="22"/>
      <c r="J722" s="22"/>
      <c r="K722" s="22"/>
      <c r="L722" s="468"/>
      <c r="M722" s="468"/>
      <c r="N722" s="22"/>
      <c r="O722" s="22"/>
      <c r="P722" s="22"/>
      <c r="Q722" s="22"/>
      <c r="R722" s="22"/>
      <c r="S722" s="22"/>
      <c r="T722" s="468"/>
      <c r="U722" s="22"/>
      <c r="V722" s="22"/>
      <c r="W722" s="22"/>
      <c r="X722" s="22"/>
      <c r="Y722" s="22"/>
      <c r="Z722" s="465"/>
      <c r="AA722" s="22"/>
      <c r="AB722" s="22"/>
      <c r="AC722" s="22"/>
      <c r="AD722" s="22"/>
    </row>
    <row r="723" ht="15.75" customHeight="1">
      <c r="A723" s="22"/>
      <c r="B723" s="22"/>
      <c r="C723" s="22"/>
      <c r="D723" s="22"/>
      <c r="E723" s="22"/>
      <c r="F723" s="22"/>
      <c r="G723" s="22"/>
      <c r="H723" s="22"/>
      <c r="I723" s="22"/>
      <c r="J723" s="22"/>
      <c r="K723" s="22"/>
      <c r="L723" s="468"/>
      <c r="M723" s="468"/>
      <c r="N723" s="22"/>
      <c r="O723" s="22"/>
      <c r="P723" s="22"/>
      <c r="Q723" s="22"/>
      <c r="R723" s="22"/>
      <c r="S723" s="22"/>
      <c r="T723" s="468"/>
      <c r="U723" s="22"/>
      <c r="V723" s="22"/>
      <c r="W723" s="22"/>
      <c r="X723" s="22"/>
      <c r="Y723" s="22"/>
      <c r="Z723" s="465"/>
      <c r="AA723" s="22"/>
      <c r="AB723" s="22"/>
      <c r="AC723" s="22"/>
      <c r="AD723" s="22"/>
    </row>
    <row r="724" ht="15.75" customHeight="1">
      <c r="A724" s="22"/>
      <c r="B724" s="22"/>
      <c r="C724" s="22"/>
      <c r="D724" s="22"/>
      <c r="E724" s="22"/>
      <c r="F724" s="22"/>
      <c r="G724" s="22"/>
      <c r="H724" s="22"/>
      <c r="I724" s="22"/>
      <c r="J724" s="22"/>
      <c r="K724" s="22"/>
      <c r="L724" s="468"/>
      <c r="M724" s="468"/>
      <c r="N724" s="22"/>
      <c r="O724" s="22"/>
      <c r="P724" s="22"/>
      <c r="Q724" s="22"/>
      <c r="R724" s="22"/>
      <c r="S724" s="22"/>
      <c r="T724" s="468"/>
      <c r="U724" s="22"/>
      <c r="V724" s="22"/>
      <c r="W724" s="22"/>
      <c r="X724" s="22"/>
      <c r="Y724" s="22"/>
      <c r="Z724" s="465"/>
      <c r="AA724" s="22"/>
      <c r="AB724" s="22"/>
      <c r="AC724" s="22"/>
      <c r="AD724" s="22"/>
    </row>
    <row r="725" ht="15.75" customHeight="1">
      <c r="A725" s="22"/>
      <c r="B725" s="22"/>
      <c r="C725" s="22"/>
      <c r="D725" s="22"/>
      <c r="E725" s="22"/>
      <c r="F725" s="22"/>
      <c r="G725" s="22"/>
      <c r="H725" s="22"/>
      <c r="I725" s="22"/>
      <c r="J725" s="22"/>
      <c r="K725" s="22"/>
      <c r="L725" s="468"/>
      <c r="M725" s="468"/>
      <c r="N725" s="22"/>
      <c r="O725" s="22"/>
      <c r="P725" s="22"/>
      <c r="Q725" s="22"/>
      <c r="R725" s="22"/>
      <c r="S725" s="22"/>
      <c r="T725" s="468"/>
      <c r="U725" s="22"/>
      <c r="V725" s="22"/>
      <c r="W725" s="22"/>
      <c r="X725" s="22"/>
      <c r="Y725" s="22"/>
      <c r="Z725" s="465"/>
      <c r="AA725" s="22"/>
      <c r="AB725" s="22"/>
      <c r="AC725" s="22"/>
      <c r="AD725" s="22"/>
    </row>
    <row r="726" ht="15.75" customHeight="1">
      <c r="A726" s="22"/>
      <c r="B726" s="22"/>
      <c r="C726" s="22"/>
      <c r="D726" s="22"/>
      <c r="E726" s="22"/>
      <c r="F726" s="22"/>
      <c r="G726" s="22"/>
      <c r="H726" s="22"/>
      <c r="I726" s="22"/>
      <c r="J726" s="22"/>
      <c r="K726" s="22"/>
      <c r="L726" s="468"/>
      <c r="M726" s="468"/>
      <c r="N726" s="22"/>
      <c r="O726" s="22"/>
      <c r="P726" s="22"/>
      <c r="Q726" s="22"/>
      <c r="R726" s="22"/>
      <c r="S726" s="22"/>
      <c r="T726" s="468"/>
      <c r="U726" s="22"/>
      <c r="V726" s="22"/>
      <c r="W726" s="22"/>
      <c r="X726" s="22"/>
      <c r="Y726" s="22"/>
      <c r="Z726" s="465"/>
      <c r="AA726" s="22"/>
      <c r="AB726" s="22"/>
      <c r="AC726" s="22"/>
      <c r="AD726" s="22"/>
    </row>
    <row r="727" ht="15.75" customHeight="1">
      <c r="A727" s="22"/>
      <c r="B727" s="22"/>
      <c r="C727" s="22"/>
      <c r="D727" s="22"/>
      <c r="E727" s="22"/>
      <c r="F727" s="22"/>
      <c r="G727" s="22"/>
      <c r="H727" s="22"/>
      <c r="I727" s="22"/>
      <c r="J727" s="22"/>
      <c r="K727" s="22"/>
      <c r="L727" s="468"/>
      <c r="M727" s="468"/>
      <c r="N727" s="22"/>
      <c r="O727" s="22"/>
      <c r="P727" s="22"/>
      <c r="Q727" s="22"/>
      <c r="R727" s="22"/>
      <c r="S727" s="22"/>
      <c r="T727" s="468"/>
      <c r="U727" s="22"/>
      <c r="V727" s="22"/>
      <c r="W727" s="22"/>
      <c r="X727" s="22"/>
      <c r="Y727" s="22"/>
      <c r="Z727" s="465"/>
      <c r="AA727" s="22"/>
      <c r="AB727" s="22"/>
      <c r="AC727" s="22"/>
      <c r="AD727" s="22"/>
    </row>
    <row r="728" ht="15.75" customHeight="1">
      <c r="A728" s="22"/>
      <c r="B728" s="22"/>
      <c r="C728" s="22"/>
      <c r="D728" s="22"/>
      <c r="E728" s="22"/>
      <c r="F728" s="22"/>
      <c r="G728" s="22"/>
      <c r="H728" s="22"/>
      <c r="I728" s="22"/>
      <c r="J728" s="22"/>
      <c r="K728" s="22"/>
      <c r="L728" s="468"/>
      <c r="M728" s="468"/>
      <c r="N728" s="22"/>
      <c r="O728" s="22"/>
      <c r="P728" s="22"/>
      <c r="Q728" s="22"/>
      <c r="R728" s="22"/>
      <c r="S728" s="22"/>
      <c r="T728" s="468"/>
      <c r="U728" s="22"/>
      <c r="V728" s="22"/>
      <c r="W728" s="22"/>
      <c r="X728" s="22"/>
      <c r="Y728" s="22"/>
      <c r="Z728" s="465"/>
      <c r="AA728" s="22"/>
      <c r="AB728" s="22"/>
      <c r="AC728" s="22"/>
      <c r="AD728" s="22"/>
    </row>
    <row r="729" ht="15.75" customHeight="1">
      <c r="A729" s="22"/>
      <c r="B729" s="22"/>
      <c r="C729" s="22"/>
      <c r="D729" s="22"/>
      <c r="E729" s="22"/>
      <c r="F729" s="22"/>
      <c r="G729" s="22"/>
      <c r="H729" s="22"/>
      <c r="I729" s="22"/>
      <c r="J729" s="22"/>
      <c r="K729" s="22"/>
      <c r="L729" s="468"/>
      <c r="M729" s="468"/>
      <c r="N729" s="22"/>
      <c r="O729" s="22"/>
      <c r="P729" s="22"/>
      <c r="Q729" s="22"/>
      <c r="R729" s="22"/>
      <c r="S729" s="22"/>
      <c r="T729" s="468"/>
      <c r="U729" s="22"/>
      <c r="V729" s="22"/>
      <c r="W729" s="22"/>
      <c r="X729" s="22"/>
      <c r="Y729" s="22"/>
      <c r="Z729" s="465"/>
      <c r="AA729" s="22"/>
      <c r="AB729" s="22"/>
      <c r="AC729" s="22"/>
      <c r="AD729" s="22"/>
    </row>
    <row r="730" ht="15.75" customHeight="1">
      <c r="A730" s="22"/>
      <c r="B730" s="22"/>
      <c r="C730" s="22"/>
      <c r="D730" s="22"/>
      <c r="E730" s="22"/>
      <c r="F730" s="22"/>
      <c r="G730" s="22"/>
      <c r="H730" s="22"/>
      <c r="I730" s="22"/>
      <c r="J730" s="22"/>
      <c r="K730" s="22"/>
      <c r="L730" s="468"/>
      <c r="M730" s="468"/>
      <c r="N730" s="22"/>
      <c r="O730" s="22"/>
      <c r="P730" s="22"/>
      <c r="Q730" s="22"/>
      <c r="R730" s="22"/>
      <c r="S730" s="22"/>
      <c r="T730" s="468"/>
      <c r="U730" s="22"/>
      <c r="V730" s="22"/>
      <c r="W730" s="22"/>
      <c r="X730" s="22"/>
      <c r="Y730" s="22"/>
      <c r="Z730" s="465"/>
      <c r="AA730" s="22"/>
      <c r="AB730" s="22"/>
      <c r="AC730" s="22"/>
      <c r="AD730" s="22"/>
    </row>
    <row r="731" ht="15.75" customHeight="1">
      <c r="A731" s="22"/>
      <c r="B731" s="22"/>
      <c r="C731" s="22"/>
      <c r="D731" s="22"/>
      <c r="E731" s="22"/>
      <c r="F731" s="22"/>
      <c r="G731" s="22"/>
      <c r="H731" s="22"/>
      <c r="I731" s="22"/>
      <c r="J731" s="22"/>
      <c r="K731" s="22"/>
      <c r="L731" s="468"/>
      <c r="M731" s="468"/>
      <c r="N731" s="22"/>
      <c r="O731" s="22"/>
      <c r="P731" s="22"/>
      <c r="Q731" s="22"/>
      <c r="R731" s="22"/>
      <c r="S731" s="22"/>
      <c r="T731" s="468"/>
      <c r="U731" s="22"/>
      <c r="V731" s="22"/>
      <c r="W731" s="22"/>
      <c r="X731" s="22"/>
      <c r="Y731" s="22"/>
      <c r="Z731" s="465"/>
      <c r="AA731" s="22"/>
      <c r="AB731" s="22"/>
      <c r="AC731" s="22"/>
      <c r="AD731" s="22"/>
    </row>
    <row r="732" ht="15.75" customHeight="1">
      <c r="A732" s="22"/>
      <c r="B732" s="22"/>
      <c r="C732" s="22"/>
      <c r="D732" s="22"/>
      <c r="E732" s="22"/>
      <c r="F732" s="22"/>
      <c r="G732" s="22"/>
      <c r="H732" s="22"/>
      <c r="I732" s="22"/>
      <c r="J732" s="22"/>
      <c r="K732" s="22"/>
      <c r="L732" s="468"/>
      <c r="M732" s="468"/>
      <c r="N732" s="22"/>
      <c r="O732" s="22"/>
      <c r="P732" s="22"/>
      <c r="Q732" s="22"/>
      <c r="R732" s="22"/>
      <c r="S732" s="22"/>
      <c r="T732" s="468"/>
      <c r="U732" s="22"/>
      <c r="V732" s="22"/>
      <c r="W732" s="22"/>
      <c r="X732" s="22"/>
      <c r="Y732" s="22"/>
      <c r="Z732" s="465"/>
      <c r="AA732" s="22"/>
      <c r="AB732" s="22"/>
      <c r="AC732" s="22"/>
      <c r="AD732" s="22"/>
    </row>
    <row r="733" ht="15.75" customHeight="1">
      <c r="A733" s="22"/>
      <c r="B733" s="22"/>
      <c r="C733" s="22"/>
      <c r="D733" s="22"/>
      <c r="E733" s="22"/>
      <c r="F733" s="22"/>
      <c r="G733" s="22"/>
      <c r="H733" s="22"/>
      <c r="I733" s="22"/>
      <c r="J733" s="22"/>
      <c r="K733" s="22"/>
      <c r="L733" s="468"/>
      <c r="M733" s="468"/>
      <c r="N733" s="22"/>
      <c r="O733" s="22"/>
      <c r="P733" s="22"/>
      <c r="Q733" s="22"/>
      <c r="R733" s="22"/>
      <c r="S733" s="22"/>
      <c r="T733" s="468"/>
      <c r="U733" s="22"/>
      <c r="V733" s="22"/>
      <c r="W733" s="22"/>
      <c r="X733" s="22"/>
      <c r="Y733" s="22"/>
      <c r="Z733" s="465"/>
      <c r="AA733" s="22"/>
      <c r="AB733" s="22"/>
      <c r="AC733" s="22"/>
      <c r="AD733" s="22"/>
    </row>
    <row r="734" ht="15.75" customHeight="1">
      <c r="A734" s="22"/>
      <c r="B734" s="22"/>
      <c r="C734" s="22"/>
      <c r="D734" s="22"/>
      <c r="E734" s="22"/>
      <c r="F734" s="22"/>
      <c r="G734" s="22"/>
      <c r="H734" s="22"/>
      <c r="I734" s="22"/>
      <c r="J734" s="22"/>
      <c r="K734" s="22"/>
      <c r="L734" s="468"/>
      <c r="M734" s="468"/>
      <c r="N734" s="22"/>
      <c r="O734" s="22"/>
      <c r="P734" s="22"/>
      <c r="Q734" s="22"/>
      <c r="R734" s="22"/>
      <c r="S734" s="22"/>
      <c r="T734" s="468"/>
      <c r="U734" s="22"/>
      <c r="V734" s="22"/>
      <c r="W734" s="22"/>
      <c r="X734" s="22"/>
      <c r="Y734" s="22"/>
      <c r="Z734" s="465"/>
      <c r="AA734" s="22"/>
      <c r="AB734" s="22"/>
      <c r="AC734" s="22"/>
      <c r="AD734" s="22"/>
    </row>
    <row r="735" ht="15.75" customHeight="1">
      <c r="A735" s="22"/>
      <c r="B735" s="22"/>
      <c r="C735" s="22"/>
      <c r="D735" s="22"/>
      <c r="E735" s="22"/>
      <c r="F735" s="22"/>
      <c r="G735" s="22"/>
      <c r="H735" s="22"/>
      <c r="I735" s="22"/>
      <c r="J735" s="22"/>
      <c r="K735" s="22"/>
      <c r="L735" s="468"/>
      <c r="M735" s="468"/>
      <c r="N735" s="22"/>
      <c r="O735" s="22"/>
      <c r="P735" s="22"/>
      <c r="Q735" s="22"/>
      <c r="R735" s="22"/>
      <c r="S735" s="22"/>
      <c r="T735" s="468"/>
      <c r="U735" s="22"/>
      <c r="V735" s="22"/>
      <c r="W735" s="22"/>
      <c r="X735" s="22"/>
      <c r="Y735" s="22"/>
      <c r="Z735" s="465"/>
      <c r="AA735" s="22"/>
      <c r="AB735" s="22"/>
      <c r="AC735" s="22"/>
      <c r="AD735" s="22"/>
    </row>
    <row r="736" ht="15.75" customHeight="1">
      <c r="A736" s="22"/>
      <c r="B736" s="22"/>
      <c r="C736" s="22"/>
      <c r="D736" s="22"/>
      <c r="E736" s="22"/>
      <c r="F736" s="22"/>
      <c r="G736" s="22"/>
      <c r="H736" s="22"/>
      <c r="I736" s="22"/>
      <c r="J736" s="22"/>
      <c r="K736" s="22"/>
      <c r="L736" s="468"/>
      <c r="M736" s="468"/>
      <c r="N736" s="22"/>
      <c r="O736" s="22"/>
      <c r="P736" s="22"/>
      <c r="Q736" s="22"/>
      <c r="R736" s="22"/>
      <c r="S736" s="22"/>
      <c r="T736" s="468"/>
      <c r="U736" s="22"/>
      <c r="V736" s="22"/>
      <c r="W736" s="22"/>
      <c r="X736" s="22"/>
      <c r="Y736" s="22"/>
      <c r="Z736" s="465"/>
      <c r="AA736" s="22"/>
      <c r="AB736" s="22"/>
      <c r="AC736" s="22"/>
      <c r="AD736" s="22"/>
    </row>
    <row r="737" ht="15.75" customHeight="1">
      <c r="A737" s="22"/>
      <c r="B737" s="22"/>
      <c r="C737" s="22"/>
      <c r="D737" s="22"/>
      <c r="E737" s="22"/>
      <c r="F737" s="22"/>
      <c r="G737" s="22"/>
      <c r="H737" s="22"/>
      <c r="I737" s="22"/>
      <c r="J737" s="22"/>
      <c r="K737" s="22"/>
      <c r="L737" s="468"/>
      <c r="M737" s="468"/>
      <c r="N737" s="22"/>
      <c r="O737" s="22"/>
      <c r="P737" s="22"/>
      <c r="Q737" s="22"/>
      <c r="R737" s="22"/>
      <c r="S737" s="22"/>
      <c r="T737" s="468"/>
      <c r="U737" s="22"/>
      <c r="V737" s="22"/>
      <c r="W737" s="22"/>
      <c r="X737" s="22"/>
      <c r="Y737" s="22"/>
      <c r="Z737" s="465"/>
      <c r="AA737" s="22"/>
      <c r="AB737" s="22"/>
      <c r="AC737" s="22"/>
      <c r="AD737" s="22"/>
    </row>
    <row r="738" ht="15.75" customHeight="1">
      <c r="A738" s="22"/>
      <c r="B738" s="22"/>
      <c r="C738" s="22"/>
      <c r="D738" s="22"/>
      <c r="E738" s="22"/>
      <c r="F738" s="22"/>
      <c r="G738" s="22"/>
      <c r="H738" s="22"/>
      <c r="I738" s="22"/>
      <c r="J738" s="22"/>
      <c r="K738" s="22"/>
      <c r="L738" s="468"/>
      <c r="M738" s="468"/>
      <c r="N738" s="22"/>
      <c r="O738" s="22"/>
      <c r="P738" s="22"/>
      <c r="Q738" s="22"/>
      <c r="R738" s="22"/>
      <c r="S738" s="22"/>
      <c r="T738" s="468"/>
      <c r="U738" s="22"/>
      <c r="V738" s="22"/>
      <c r="W738" s="22"/>
      <c r="X738" s="22"/>
      <c r="Y738" s="22"/>
      <c r="Z738" s="465"/>
      <c r="AA738" s="22"/>
      <c r="AB738" s="22"/>
      <c r="AC738" s="22"/>
      <c r="AD738" s="22"/>
    </row>
    <row r="739" ht="15.75" customHeight="1">
      <c r="A739" s="22"/>
      <c r="B739" s="22"/>
      <c r="C739" s="22"/>
      <c r="D739" s="22"/>
      <c r="E739" s="22"/>
      <c r="F739" s="22"/>
      <c r="G739" s="22"/>
      <c r="H739" s="22"/>
      <c r="I739" s="22"/>
      <c r="J739" s="22"/>
      <c r="K739" s="22"/>
      <c r="L739" s="468"/>
      <c r="M739" s="468"/>
      <c r="N739" s="22"/>
      <c r="O739" s="22"/>
      <c r="P739" s="22"/>
      <c r="Q739" s="22"/>
      <c r="R739" s="22"/>
      <c r="S739" s="22"/>
      <c r="T739" s="468"/>
      <c r="U739" s="22"/>
      <c r="V739" s="22"/>
      <c r="W739" s="22"/>
      <c r="X739" s="22"/>
      <c r="Y739" s="22"/>
      <c r="Z739" s="465"/>
      <c r="AA739" s="22"/>
      <c r="AB739" s="22"/>
      <c r="AC739" s="22"/>
      <c r="AD739" s="22"/>
    </row>
    <row r="740" ht="15.75" customHeight="1">
      <c r="A740" s="22"/>
      <c r="B740" s="22"/>
      <c r="C740" s="22"/>
      <c r="D740" s="22"/>
      <c r="E740" s="22"/>
      <c r="F740" s="22"/>
      <c r="G740" s="22"/>
      <c r="H740" s="22"/>
      <c r="I740" s="22"/>
      <c r="J740" s="22"/>
      <c r="K740" s="22"/>
      <c r="L740" s="468"/>
      <c r="M740" s="468"/>
      <c r="N740" s="22"/>
      <c r="O740" s="22"/>
      <c r="P740" s="22"/>
      <c r="Q740" s="22"/>
      <c r="R740" s="22"/>
      <c r="S740" s="22"/>
      <c r="T740" s="468"/>
      <c r="U740" s="22"/>
      <c r="V740" s="22"/>
      <c r="W740" s="22"/>
      <c r="X740" s="22"/>
      <c r="Y740" s="22"/>
      <c r="Z740" s="465"/>
      <c r="AA740" s="22"/>
      <c r="AB740" s="22"/>
      <c r="AC740" s="22"/>
      <c r="AD740" s="22"/>
    </row>
    <row r="741" ht="15.75" customHeight="1">
      <c r="A741" s="22"/>
      <c r="B741" s="22"/>
      <c r="C741" s="22"/>
      <c r="D741" s="22"/>
      <c r="E741" s="22"/>
      <c r="F741" s="22"/>
      <c r="G741" s="22"/>
      <c r="H741" s="22"/>
      <c r="I741" s="22"/>
      <c r="J741" s="22"/>
      <c r="K741" s="22"/>
      <c r="L741" s="468"/>
      <c r="M741" s="468"/>
      <c r="N741" s="22"/>
      <c r="O741" s="22"/>
      <c r="P741" s="22"/>
      <c r="Q741" s="22"/>
      <c r="R741" s="22"/>
      <c r="S741" s="22"/>
      <c r="T741" s="468"/>
      <c r="U741" s="22"/>
      <c r="V741" s="22"/>
      <c r="W741" s="22"/>
      <c r="X741" s="22"/>
      <c r="Y741" s="22"/>
      <c r="Z741" s="465"/>
      <c r="AA741" s="22"/>
      <c r="AB741" s="22"/>
      <c r="AC741" s="22"/>
      <c r="AD741" s="22"/>
    </row>
    <row r="742" ht="15.75" customHeight="1">
      <c r="A742" s="22"/>
      <c r="B742" s="22"/>
      <c r="C742" s="22"/>
      <c r="D742" s="22"/>
      <c r="E742" s="22"/>
      <c r="F742" s="22"/>
      <c r="G742" s="22"/>
      <c r="H742" s="22"/>
      <c r="I742" s="22"/>
      <c r="J742" s="22"/>
      <c r="K742" s="22"/>
      <c r="L742" s="468"/>
      <c r="M742" s="468"/>
      <c r="N742" s="22"/>
      <c r="O742" s="22"/>
      <c r="P742" s="22"/>
      <c r="Q742" s="22"/>
      <c r="R742" s="22"/>
      <c r="S742" s="22"/>
      <c r="T742" s="468"/>
      <c r="U742" s="22"/>
      <c r="V742" s="22"/>
      <c r="W742" s="22"/>
      <c r="X742" s="22"/>
      <c r="Y742" s="22"/>
      <c r="Z742" s="465"/>
      <c r="AA742" s="22"/>
      <c r="AB742" s="22"/>
      <c r="AC742" s="22"/>
      <c r="AD742" s="22"/>
    </row>
    <row r="743" ht="15.75" customHeight="1">
      <c r="A743" s="22"/>
      <c r="B743" s="22"/>
      <c r="C743" s="22"/>
      <c r="D743" s="22"/>
      <c r="E743" s="22"/>
      <c r="F743" s="22"/>
      <c r="G743" s="22"/>
      <c r="H743" s="22"/>
      <c r="I743" s="22"/>
      <c r="J743" s="22"/>
      <c r="K743" s="22"/>
      <c r="L743" s="468"/>
      <c r="M743" s="468"/>
      <c r="N743" s="22"/>
      <c r="O743" s="22"/>
      <c r="P743" s="22"/>
      <c r="Q743" s="22"/>
      <c r="R743" s="22"/>
      <c r="S743" s="22"/>
      <c r="T743" s="468"/>
      <c r="U743" s="22"/>
      <c r="V743" s="22"/>
      <c r="W743" s="22"/>
      <c r="X743" s="22"/>
      <c r="Y743" s="22"/>
      <c r="Z743" s="465"/>
      <c r="AA743" s="22"/>
      <c r="AB743" s="22"/>
      <c r="AC743" s="22"/>
      <c r="AD743" s="22"/>
    </row>
    <row r="744" ht="15.75" customHeight="1">
      <c r="A744" s="22"/>
      <c r="B744" s="22"/>
      <c r="C744" s="22"/>
      <c r="D744" s="22"/>
      <c r="E744" s="22"/>
      <c r="F744" s="22"/>
      <c r="G744" s="22"/>
      <c r="H744" s="22"/>
      <c r="I744" s="22"/>
      <c r="J744" s="22"/>
      <c r="K744" s="22"/>
      <c r="L744" s="468"/>
      <c r="M744" s="468"/>
      <c r="N744" s="22"/>
      <c r="O744" s="22"/>
      <c r="P744" s="22"/>
      <c r="Q744" s="22"/>
      <c r="R744" s="22"/>
      <c r="S744" s="22"/>
      <c r="T744" s="468"/>
      <c r="U744" s="22"/>
      <c r="V744" s="22"/>
      <c r="W744" s="22"/>
      <c r="X744" s="22"/>
      <c r="Y744" s="22"/>
      <c r="Z744" s="465"/>
      <c r="AA744" s="22"/>
      <c r="AB744" s="22"/>
      <c r="AC744" s="22"/>
      <c r="AD744" s="22"/>
    </row>
    <row r="745" ht="15.75" customHeight="1">
      <c r="A745" s="22"/>
      <c r="B745" s="22"/>
      <c r="C745" s="22"/>
      <c r="D745" s="22"/>
      <c r="E745" s="22"/>
      <c r="F745" s="22"/>
      <c r="G745" s="22"/>
      <c r="H745" s="22"/>
      <c r="I745" s="22"/>
      <c r="J745" s="22"/>
      <c r="K745" s="22"/>
      <c r="L745" s="468"/>
      <c r="M745" s="468"/>
      <c r="N745" s="22"/>
      <c r="O745" s="22"/>
      <c r="P745" s="22"/>
      <c r="Q745" s="22"/>
      <c r="R745" s="22"/>
      <c r="S745" s="22"/>
      <c r="T745" s="468"/>
      <c r="U745" s="22"/>
      <c r="V745" s="22"/>
      <c r="W745" s="22"/>
      <c r="X745" s="22"/>
      <c r="Y745" s="22"/>
      <c r="Z745" s="465"/>
      <c r="AA745" s="22"/>
      <c r="AB745" s="22"/>
      <c r="AC745" s="22"/>
      <c r="AD745" s="22"/>
    </row>
    <row r="746" ht="15.75" customHeight="1">
      <c r="A746" s="22"/>
      <c r="B746" s="22"/>
      <c r="C746" s="22"/>
      <c r="D746" s="22"/>
      <c r="E746" s="22"/>
      <c r="F746" s="22"/>
      <c r="G746" s="22"/>
      <c r="H746" s="22"/>
      <c r="I746" s="22"/>
      <c r="J746" s="22"/>
      <c r="K746" s="22"/>
      <c r="L746" s="468"/>
      <c r="M746" s="468"/>
      <c r="N746" s="22"/>
      <c r="O746" s="22"/>
      <c r="P746" s="22"/>
      <c r="Q746" s="22"/>
      <c r="R746" s="22"/>
      <c r="S746" s="22"/>
      <c r="T746" s="468"/>
      <c r="U746" s="22"/>
      <c r="V746" s="22"/>
      <c r="W746" s="22"/>
      <c r="X746" s="22"/>
      <c r="Y746" s="22"/>
      <c r="Z746" s="465"/>
      <c r="AA746" s="22"/>
      <c r="AB746" s="22"/>
      <c r="AC746" s="22"/>
      <c r="AD746" s="22"/>
    </row>
    <row r="747" ht="15.75" customHeight="1">
      <c r="A747" s="22"/>
      <c r="B747" s="22"/>
      <c r="C747" s="22"/>
      <c r="D747" s="22"/>
      <c r="E747" s="22"/>
      <c r="F747" s="22"/>
      <c r="G747" s="22"/>
      <c r="H747" s="22"/>
      <c r="I747" s="22"/>
      <c r="J747" s="22"/>
      <c r="K747" s="22"/>
      <c r="L747" s="468"/>
      <c r="M747" s="468"/>
      <c r="N747" s="22"/>
      <c r="O747" s="22"/>
      <c r="P747" s="22"/>
      <c r="Q747" s="22"/>
      <c r="R747" s="22"/>
      <c r="S747" s="22"/>
      <c r="T747" s="468"/>
      <c r="U747" s="22"/>
      <c r="V747" s="22"/>
      <c r="W747" s="22"/>
      <c r="X747" s="22"/>
      <c r="Y747" s="22"/>
      <c r="Z747" s="465"/>
      <c r="AA747" s="22"/>
      <c r="AB747" s="22"/>
      <c r="AC747" s="22"/>
      <c r="AD747" s="22"/>
    </row>
    <row r="748" ht="15.75" customHeight="1">
      <c r="A748" s="22"/>
      <c r="B748" s="22"/>
      <c r="C748" s="22"/>
      <c r="D748" s="22"/>
      <c r="E748" s="22"/>
      <c r="F748" s="22"/>
      <c r="G748" s="22"/>
      <c r="H748" s="22"/>
      <c r="I748" s="22"/>
      <c r="J748" s="22"/>
      <c r="K748" s="22"/>
      <c r="L748" s="468"/>
      <c r="M748" s="468"/>
      <c r="N748" s="22"/>
      <c r="O748" s="22"/>
      <c r="P748" s="22"/>
      <c r="Q748" s="22"/>
      <c r="R748" s="22"/>
      <c r="S748" s="22"/>
      <c r="T748" s="468"/>
      <c r="U748" s="22"/>
      <c r="V748" s="22"/>
      <c r="W748" s="22"/>
      <c r="X748" s="22"/>
      <c r="Y748" s="22"/>
      <c r="Z748" s="465"/>
      <c r="AA748" s="22"/>
      <c r="AB748" s="22"/>
      <c r="AC748" s="22"/>
      <c r="AD748" s="22"/>
    </row>
    <row r="749" ht="15.75" customHeight="1">
      <c r="A749" s="22"/>
      <c r="B749" s="22"/>
      <c r="C749" s="22"/>
      <c r="D749" s="22"/>
      <c r="E749" s="22"/>
      <c r="F749" s="22"/>
      <c r="G749" s="22"/>
      <c r="H749" s="22"/>
      <c r="I749" s="22"/>
      <c r="J749" s="22"/>
      <c r="K749" s="22"/>
      <c r="L749" s="468"/>
      <c r="M749" s="468"/>
      <c r="N749" s="22"/>
      <c r="O749" s="22"/>
      <c r="P749" s="22"/>
      <c r="Q749" s="22"/>
      <c r="R749" s="22"/>
      <c r="S749" s="22"/>
      <c r="T749" s="468"/>
      <c r="U749" s="22"/>
      <c r="V749" s="22"/>
      <c r="W749" s="22"/>
      <c r="X749" s="22"/>
      <c r="Y749" s="22"/>
      <c r="Z749" s="465"/>
      <c r="AA749" s="22"/>
      <c r="AB749" s="22"/>
      <c r="AC749" s="22"/>
      <c r="AD749" s="22"/>
    </row>
    <row r="750" ht="15.75" customHeight="1">
      <c r="A750" s="22"/>
      <c r="B750" s="22"/>
      <c r="C750" s="22"/>
      <c r="D750" s="22"/>
      <c r="E750" s="22"/>
      <c r="F750" s="22"/>
      <c r="G750" s="22"/>
      <c r="H750" s="22"/>
      <c r="I750" s="22"/>
      <c r="J750" s="22"/>
      <c r="K750" s="22"/>
      <c r="L750" s="468"/>
      <c r="M750" s="468"/>
      <c r="N750" s="22"/>
      <c r="O750" s="22"/>
      <c r="P750" s="22"/>
      <c r="Q750" s="22"/>
      <c r="R750" s="22"/>
      <c r="S750" s="22"/>
      <c r="T750" s="468"/>
      <c r="U750" s="22"/>
      <c r="V750" s="22"/>
      <c r="W750" s="22"/>
      <c r="X750" s="22"/>
      <c r="Y750" s="22"/>
      <c r="Z750" s="465"/>
      <c r="AA750" s="22"/>
      <c r="AB750" s="22"/>
      <c r="AC750" s="22"/>
      <c r="AD750" s="22"/>
    </row>
    <row r="751" ht="15.75" customHeight="1">
      <c r="A751" s="22"/>
      <c r="B751" s="22"/>
      <c r="C751" s="22"/>
      <c r="D751" s="22"/>
      <c r="E751" s="22"/>
      <c r="F751" s="22"/>
      <c r="G751" s="22"/>
      <c r="H751" s="22"/>
      <c r="I751" s="22"/>
      <c r="J751" s="22"/>
      <c r="K751" s="22"/>
      <c r="L751" s="468"/>
      <c r="M751" s="468"/>
      <c r="N751" s="22"/>
      <c r="O751" s="22"/>
      <c r="P751" s="22"/>
      <c r="Q751" s="22"/>
      <c r="R751" s="22"/>
      <c r="S751" s="22"/>
      <c r="T751" s="468"/>
      <c r="U751" s="22"/>
      <c r="V751" s="22"/>
      <c r="W751" s="22"/>
      <c r="X751" s="22"/>
      <c r="Y751" s="22"/>
      <c r="Z751" s="465"/>
      <c r="AA751" s="22"/>
      <c r="AB751" s="22"/>
      <c r="AC751" s="22"/>
      <c r="AD751" s="22"/>
    </row>
    <row r="752" ht="15.75" customHeight="1">
      <c r="A752" s="22"/>
      <c r="B752" s="22"/>
      <c r="C752" s="22"/>
      <c r="D752" s="22"/>
      <c r="E752" s="22"/>
      <c r="F752" s="22"/>
      <c r="G752" s="22"/>
      <c r="H752" s="22"/>
      <c r="I752" s="22"/>
      <c r="J752" s="22"/>
      <c r="K752" s="22"/>
      <c r="L752" s="468"/>
      <c r="M752" s="468"/>
      <c r="N752" s="22"/>
      <c r="O752" s="22"/>
      <c r="P752" s="22"/>
      <c r="Q752" s="22"/>
      <c r="R752" s="22"/>
      <c r="S752" s="22"/>
      <c r="T752" s="468"/>
      <c r="U752" s="22"/>
      <c r="V752" s="22"/>
      <c r="W752" s="22"/>
      <c r="X752" s="22"/>
      <c r="Y752" s="22"/>
      <c r="Z752" s="465"/>
      <c r="AA752" s="22"/>
      <c r="AB752" s="22"/>
      <c r="AC752" s="22"/>
      <c r="AD752" s="22"/>
    </row>
    <row r="753" ht="15.75" customHeight="1">
      <c r="A753" s="22"/>
      <c r="B753" s="22"/>
      <c r="C753" s="22"/>
      <c r="D753" s="22"/>
      <c r="E753" s="22"/>
      <c r="F753" s="22"/>
      <c r="G753" s="22"/>
      <c r="H753" s="22"/>
      <c r="I753" s="22"/>
      <c r="J753" s="22"/>
      <c r="K753" s="22"/>
      <c r="L753" s="468"/>
      <c r="M753" s="468"/>
      <c r="N753" s="22"/>
      <c r="O753" s="22"/>
      <c r="P753" s="22"/>
      <c r="Q753" s="22"/>
      <c r="R753" s="22"/>
      <c r="S753" s="22"/>
      <c r="T753" s="468"/>
      <c r="U753" s="22"/>
      <c r="V753" s="22"/>
      <c r="W753" s="22"/>
      <c r="X753" s="22"/>
      <c r="Y753" s="22"/>
      <c r="Z753" s="465"/>
      <c r="AA753" s="22"/>
      <c r="AB753" s="22"/>
      <c r="AC753" s="22"/>
      <c r="AD753" s="22"/>
    </row>
    <row r="754" ht="15.75" customHeight="1">
      <c r="A754" s="22"/>
      <c r="B754" s="22"/>
      <c r="C754" s="22"/>
      <c r="D754" s="22"/>
      <c r="E754" s="22"/>
      <c r="F754" s="22"/>
      <c r="G754" s="22"/>
      <c r="H754" s="22"/>
      <c r="I754" s="22"/>
      <c r="J754" s="22"/>
      <c r="K754" s="22"/>
      <c r="L754" s="468"/>
      <c r="M754" s="468"/>
      <c r="N754" s="22"/>
      <c r="O754" s="22"/>
      <c r="P754" s="22"/>
      <c r="Q754" s="22"/>
      <c r="R754" s="22"/>
      <c r="S754" s="22"/>
      <c r="T754" s="468"/>
      <c r="U754" s="22"/>
      <c r="V754" s="22"/>
      <c r="W754" s="22"/>
      <c r="X754" s="22"/>
      <c r="Y754" s="22"/>
      <c r="Z754" s="465"/>
      <c r="AA754" s="22"/>
      <c r="AB754" s="22"/>
      <c r="AC754" s="22"/>
      <c r="AD754" s="22"/>
    </row>
    <row r="755" ht="15.75" customHeight="1">
      <c r="A755" s="22"/>
      <c r="B755" s="22"/>
      <c r="C755" s="22"/>
      <c r="D755" s="22"/>
      <c r="E755" s="22"/>
      <c r="F755" s="22"/>
      <c r="G755" s="22"/>
      <c r="H755" s="22"/>
      <c r="I755" s="22"/>
      <c r="J755" s="22"/>
      <c r="K755" s="22"/>
      <c r="L755" s="468"/>
      <c r="M755" s="468"/>
      <c r="N755" s="22"/>
      <c r="O755" s="22"/>
      <c r="P755" s="22"/>
      <c r="Q755" s="22"/>
      <c r="R755" s="22"/>
      <c r="S755" s="22"/>
      <c r="T755" s="468"/>
      <c r="U755" s="22"/>
      <c r="V755" s="22"/>
      <c r="W755" s="22"/>
      <c r="X755" s="22"/>
      <c r="Y755" s="22"/>
      <c r="Z755" s="465"/>
      <c r="AA755" s="22"/>
      <c r="AB755" s="22"/>
      <c r="AC755" s="22"/>
      <c r="AD755" s="22"/>
    </row>
    <row r="756" ht="15.75" customHeight="1">
      <c r="A756" s="22"/>
      <c r="B756" s="22"/>
      <c r="C756" s="22"/>
      <c r="D756" s="22"/>
      <c r="E756" s="22"/>
      <c r="F756" s="22"/>
      <c r="G756" s="22"/>
      <c r="H756" s="22"/>
      <c r="I756" s="22"/>
      <c r="J756" s="22"/>
      <c r="K756" s="22"/>
      <c r="L756" s="468"/>
      <c r="M756" s="468"/>
      <c r="N756" s="22"/>
      <c r="O756" s="22"/>
      <c r="P756" s="22"/>
      <c r="Q756" s="22"/>
      <c r="R756" s="22"/>
      <c r="S756" s="22"/>
      <c r="T756" s="468"/>
      <c r="U756" s="22"/>
      <c r="V756" s="22"/>
      <c r="W756" s="22"/>
      <c r="X756" s="22"/>
      <c r="Y756" s="22"/>
      <c r="Z756" s="465"/>
      <c r="AA756" s="22"/>
      <c r="AB756" s="22"/>
      <c r="AC756" s="22"/>
      <c r="AD756" s="22"/>
    </row>
    <row r="757" ht="15.75" customHeight="1">
      <c r="A757" s="22"/>
      <c r="B757" s="22"/>
      <c r="C757" s="22"/>
      <c r="D757" s="22"/>
      <c r="E757" s="22"/>
      <c r="F757" s="22"/>
      <c r="G757" s="22"/>
      <c r="H757" s="22"/>
      <c r="I757" s="22"/>
      <c r="J757" s="22"/>
      <c r="K757" s="22"/>
      <c r="L757" s="468"/>
      <c r="M757" s="468"/>
      <c r="N757" s="22"/>
      <c r="O757" s="22"/>
      <c r="P757" s="22"/>
      <c r="Q757" s="22"/>
      <c r="R757" s="22"/>
      <c r="S757" s="22"/>
      <c r="T757" s="468"/>
      <c r="U757" s="22"/>
      <c r="V757" s="22"/>
      <c r="W757" s="22"/>
      <c r="X757" s="22"/>
      <c r="Y757" s="22"/>
      <c r="Z757" s="465"/>
      <c r="AA757" s="22"/>
      <c r="AB757" s="22"/>
      <c r="AC757" s="22"/>
      <c r="AD757" s="22"/>
    </row>
    <row r="758" ht="15.75" customHeight="1">
      <c r="A758" s="22"/>
      <c r="B758" s="22"/>
      <c r="C758" s="22"/>
      <c r="D758" s="22"/>
      <c r="E758" s="22"/>
      <c r="F758" s="22"/>
      <c r="G758" s="22"/>
      <c r="H758" s="22"/>
      <c r="I758" s="22"/>
      <c r="J758" s="22"/>
      <c r="K758" s="22"/>
      <c r="L758" s="468"/>
      <c r="M758" s="468"/>
      <c r="N758" s="22"/>
      <c r="O758" s="22"/>
      <c r="P758" s="22"/>
      <c r="Q758" s="22"/>
      <c r="R758" s="22"/>
      <c r="S758" s="22"/>
      <c r="T758" s="468"/>
      <c r="U758" s="22"/>
      <c r="V758" s="22"/>
      <c r="W758" s="22"/>
      <c r="X758" s="22"/>
      <c r="Y758" s="22"/>
      <c r="Z758" s="465"/>
      <c r="AA758" s="22"/>
      <c r="AB758" s="22"/>
      <c r="AC758" s="22"/>
      <c r="AD758" s="22"/>
    </row>
    <row r="759" ht="15.75" customHeight="1">
      <c r="A759" s="22"/>
      <c r="B759" s="22"/>
      <c r="C759" s="22"/>
      <c r="D759" s="22"/>
      <c r="E759" s="22"/>
      <c r="F759" s="22"/>
      <c r="G759" s="22"/>
      <c r="H759" s="22"/>
      <c r="I759" s="22"/>
      <c r="J759" s="22"/>
      <c r="K759" s="22"/>
      <c r="L759" s="468"/>
      <c r="M759" s="468"/>
      <c r="N759" s="22"/>
      <c r="O759" s="22"/>
      <c r="P759" s="22"/>
      <c r="Q759" s="22"/>
      <c r="R759" s="22"/>
      <c r="S759" s="22"/>
      <c r="T759" s="468"/>
      <c r="U759" s="22"/>
      <c r="V759" s="22"/>
      <c r="W759" s="22"/>
      <c r="X759" s="22"/>
      <c r="Y759" s="22"/>
      <c r="Z759" s="465"/>
      <c r="AA759" s="22"/>
      <c r="AB759" s="22"/>
      <c r="AC759" s="22"/>
      <c r="AD759" s="22"/>
    </row>
    <row r="760" ht="15.75" customHeight="1">
      <c r="A760" s="22"/>
      <c r="B760" s="22"/>
      <c r="C760" s="22"/>
      <c r="D760" s="22"/>
      <c r="E760" s="22"/>
      <c r="F760" s="22"/>
      <c r="G760" s="22"/>
      <c r="H760" s="22"/>
      <c r="I760" s="22"/>
      <c r="J760" s="22"/>
      <c r="K760" s="22"/>
      <c r="L760" s="468"/>
      <c r="M760" s="468"/>
      <c r="N760" s="22"/>
      <c r="O760" s="22"/>
      <c r="P760" s="22"/>
      <c r="Q760" s="22"/>
      <c r="R760" s="22"/>
      <c r="S760" s="22"/>
      <c r="T760" s="468"/>
      <c r="U760" s="22"/>
      <c r="V760" s="22"/>
      <c r="W760" s="22"/>
      <c r="X760" s="22"/>
      <c r="Y760" s="22"/>
      <c r="Z760" s="465"/>
      <c r="AA760" s="22"/>
      <c r="AB760" s="22"/>
      <c r="AC760" s="22"/>
      <c r="AD760" s="22"/>
    </row>
    <row r="761" ht="15.75" customHeight="1">
      <c r="A761" s="22"/>
      <c r="B761" s="22"/>
      <c r="C761" s="22"/>
      <c r="D761" s="22"/>
      <c r="E761" s="22"/>
      <c r="F761" s="22"/>
      <c r="G761" s="22"/>
      <c r="H761" s="22"/>
      <c r="I761" s="22"/>
      <c r="J761" s="22"/>
      <c r="K761" s="22"/>
      <c r="L761" s="468"/>
      <c r="M761" s="468"/>
      <c r="N761" s="22"/>
      <c r="O761" s="22"/>
      <c r="P761" s="22"/>
      <c r="Q761" s="22"/>
      <c r="R761" s="22"/>
      <c r="S761" s="22"/>
      <c r="T761" s="468"/>
      <c r="U761" s="22"/>
      <c r="V761" s="22"/>
      <c r="W761" s="22"/>
      <c r="X761" s="22"/>
      <c r="Y761" s="22"/>
      <c r="Z761" s="465"/>
      <c r="AA761" s="22"/>
      <c r="AB761" s="22"/>
      <c r="AC761" s="22"/>
      <c r="AD761" s="22"/>
    </row>
    <row r="762" ht="15.75" customHeight="1">
      <c r="A762" s="22"/>
      <c r="B762" s="22"/>
      <c r="C762" s="22"/>
      <c r="D762" s="22"/>
      <c r="E762" s="22"/>
      <c r="F762" s="22"/>
      <c r="G762" s="22"/>
      <c r="H762" s="22"/>
      <c r="I762" s="22"/>
      <c r="J762" s="22"/>
      <c r="K762" s="22"/>
      <c r="L762" s="468"/>
      <c r="M762" s="468"/>
      <c r="N762" s="22"/>
      <c r="O762" s="22"/>
      <c r="P762" s="22"/>
      <c r="Q762" s="22"/>
      <c r="R762" s="22"/>
      <c r="S762" s="22"/>
      <c r="T762" s="468"/>
      <c r="U762" s="22"/>
      <c r="V762" s="22"/>
      <c r="W762" s="22"/>
      <c r="X762" s="22"/>
      <c r="Y762" s="22"/>
      <c r="Z762" s="465"/>
      <c r="AA762" s="22"/>
      <c r="AB762" s="22"/>
      <c r="AC762" s="22"/>
      <c r="AD762" s="22"/>
    </row>
    <row r="763" ht="15.75" customHeight="1">
      <c r="A763" s="22"/>
      <c r="B763" s="22"/>
      <c r="C763" s="22"/>
      <c r="D763" s="22"/>
      <c r="E763" s="22"/>
      <c r="F763" s="22"/>
      <c r="G763" s="22"/>
      <c r="H763" s="22"/>
      <c r="I763" s="22"/>
      <c r="J763" s="22"/>
      <c r="K763" s="22"/>
      <c r="L763" s="468"/>
      <c r="M763" s="468"/>
      <c r="N763" s="22"/>
      <c r="O763" s="22"/>
      <c r="P763" s="22"/>
      <c r="Q763" s="22"/>
      <c r="R763" s="22"/>
      <c r="S763" s="22"/>
      <c r="T763" s="468"/>
      <c r="U763" s="22"/>
      <c r="V763" s="22"/>
      <c r="W763" s="22"/>
      <c r="X763" s="22"/>
      <c r="Y763" s="22"/>
      <c r="Z763" s="465"/>
      <c r="AA763" s="22"/>
      <c r="AB763" s="22"/>
      <c r="AC763" s="22"/>
      <c r="AD763" s="22"/>
    </row>
    <row r="764" ht="15.75" customHeight="1">
      <c r="A764" s="22"/>
      <c r="B764" s="22"/>
      <c r="C764" s="22"/>
      <c r="D764" s="22"/>
      <c r="E764" s="22"/>
      <c r="F764" s="22"/>
      <c r="G764" s="22"/>
      <c r="H764" s="22"/>
      <c r="I764" s="22"/>
      <c r="J764" s="22"/>
      <c r="K764" s="22"/>
      <c r="L764" s="468"/>
      <c r="M764" s="468"/>
      <c r="N764" s="22"/>
      <c r="O764" s="22"/>
      <c r="P764" s="22"/>
      <c r="Q764" s="22"/>
      <c r="R764" s="22"/>
      <c r="S764" s="22"/>
      <c r="T764" s="468"/>
      <c r="U764" s="22"/>
      <c r="V764" s="22"/>
      <c r="W764" s="22"/>
      <c r="X764" s="22"/>
      <c r="Y764" s="22"/>
      <c r="Z764" s="465"/>
      <c r="AA764" s="22"/>
      <c r="AB764" s="22"/>
      <c r="AC764" s="22"/>
      <c r="AD764" s="22"/>
    </row>
    <row r="765" ht="15.75" customHeight="1">
      <c r="A765" s="22"/>
      <c r="B765" s="22"/>
      <c r="C765" s="22"/>
      <c r="D765" s="22"/>
      <c r="E765" s="22"/>
      <c r="F765" s="22"/>
      <c r="G765" s="22"/>
      <c r="H765" s="22"/>
      <c r="I765" s="22"/>
      <c r="J765" s="22"/>
      <c r="K765" s="22"/>
      <c r="L765" s="468"/>
      <c r="M765" s="468"/>
      <c r="N765" s="22"/>
      <c r="O765" s="22"/>
      <c r="P765" s="22"/>
      <c r="Q765" s="22"/>
      <c r="R765" s="22"/>
      <c r="S765" s="22"/>
      <c r="T765" s="468"/>
      <c r="U765" s="22"/>
      <c r="V765" s="22"/>
      <c r="W765" s="22"/>
      <c r="X765" s="22"/>
      <c r="Y765" s="22"/>
      <c r="Z765" s="465"/>
      <c r="AA765" s="22"/>
      <c r="AB765" s="22"/>
      <c r="AC765" s="22"/>
      <c r="AD765" s="22"/>
    </row>
    <row r="766" ht="15.75" customHeight="1">
      <c r="A766" s="22"/>
      <c r="B766" s="22"/>
      <c r="C766" s="22"/>
      <c r="D766" s="22"/>
      <c r="E766" s="22"/>
      <c r="F766" s="22"/>
      <c r="G766" s="22"/>
      <c r="H766" s="22"/>
      <c r="I766" s="22"/>
      <c r="J766" s="22"/>
      <c r="K766" s="22"/>
      <c r="L766" s="468"/>
      <c r="M766" s="468"/>
      <c r="N766" s="22"/>
      <c r="O766" s="22"/>
      <c r="P766" s="22"/>
      <c r="Q766" s="22"/>
      <c r="R766" s="22"/>
      <c r="S766" s="22"/>
      <c r="T766" s="468"/>
      <c r="U766" s="22"/>
      <c r="V766" s="22"/>
      <c r="W766" s="22"/>
      <c r="X766" s="22"/>
      <c r="Y766" s="22"/>
      <c r="Z766" s="465"/>
      <c r="AA766" s="22"/>
      <c r="AB766" s="22"/>
      <c r="AC766" s="22"/>
      <c r="AD766" s="22"/>
    </row>
    <row r="767" ht="15.75" customHeight="1">
      <c r="A767" s="22"/>
      <c r="B767" s="22"/>
      <c r="C767" s="22"/>
      <c r="D767" s="22"/>
      <c r="E767" s="22"/>
      <c r="F767" s="22"/>
      <c r="G767" s="22"/>
      <c r="H767" s="22"/>
      <c r="I767" s="22"/>
      <c r="J767" s="22"/>
      <c r="K767" s="22"/>
      <c r="L767" s="468"/>
      <c r="M767" s="468"/>
      <c r="N767" s="22"/>
      <c r="O767" s="22"/>
      <c r="P767" s="22"/>
      <c r="Q767" s="22"/>
      <c r="R767" s="22"/>
      <c r="S767" s="22"/>
      <c r="T767" s="468"/>
      <c r="U767" s="22"/>
      <c r="V767" s="22"/>
      <c r="W767" s="22"/>
      <c r="X767" s="22"/>
      <c r="Y767" s="22"/>
      <c r="Z767" s="465"/>
      <c r="AA767" s="22"/>
      <c r="AB767" s="22"/>
      <c r="AC767" s="22"/>
      <c r="AD767" s="22"/>
    </row>
    <row r="768" ht="15.75" customHeight="1">
      <c r="A768" s="22"/>
      <c r="B768" s="22"/>
      <c r="C768" s="22"/>
      <c r="D768" s="22"/>
      <c r="E768" s="22"/>
      <c r="F768" s="22"/>
      <c r="G768" s="22"/>
      <c r="H768" s="22"/>
      <c r="I768" s="22"/>
      <c r="J768" s="22"/>
      <c r="K768" s="22"/>
      <c r="L768" s="468"/>
      <c r="M768" s="468"/>
      <c r="N768" s="22"/>
      <c r="O768" s="22"/>
      <c r="P768" s="22"/>
      <c r="Q768" s="22"/>
      <c r="R768" s="22"/>
      <c r="S768" s="22"/>
      <c r="T768" s="468"/>
      <c r="U768" s="22"/>
      <c r="V768" s="22"/>
      <c r="W768" s="22"/>
      <c r="X768" s="22"/>
      <c r="Y768" s="22"/>
      <c r="Z768" s="465"/>
      <c r="AA768" s="22"/>
      <c r="AB768" s="22"/>
      <c r="AC768" s="22"/>
      <c r="AD768" s="22"/>
    </row>
    <row r="769" ht="15.75" customHeight="1">
      <c r="A769" s="22"/>
      <c r="B769" s="22"/>
      <c r="C769" s="22"/>
      <c r="D769" s="22"/>
      <c r="E769" s="22"/>
      <c r="F769" s="22"/>
      <c r="G769" s="22"/>
      <c r="H769" s="22"/>
      <c r="I769" s="22"/>
      <c r="J769" s="22"/>
      <c r="K769" s="22"/>
      <c r="L769" s="468"/>
      <c r="M769" s="468"/>
      <c r="N769" s="22"/>
      <c r="O769" s="22"/>
      <c r="P769" s="22"/>
      <c r="Q769" s="22"/>
      <c r="R769" s="22"/>
      <c r="S769" s="22"/>
      <c r="T769" s="468"/>
      <c r="U769" s="22"/>
      <c r="V769" s="22"/>
      <c r="W769" s="22"/>
      <c r="X769" s="22"/>
      <c r="Y769" s="22"/>
      <c r="Z769" s="465"/>
      <c r="AA769" s="22"/>
      <c r="AB769" s="22"/>
      <c r="AC769" s="22"/>
      <c r="AD769" s="22"/>
    </row>
    <row r="770" ht="15.75" customHeight="1">
      <c r="A770" s="22"/>
      <c r="B770" s="22"/>
      <c r="C770" s="22"/>
      <c r="D770" s="22"/>
      <c r="E770" s="22"/>
      <c r="F770" s="22"/>
      <c r="G770" s="22"/>
      <c r="H770" s="22"/>
      <c r="I770" s="22"/>
      <c r="J770" s="22"/>
      <c r="K770" s="22"/>
      <c r="L770" s="468"/>
      <c r="M770" s="468"/>
      <c r="N770" s="22"/>
      <c r="O770" s="22"/>
      <c r="P770" s="22"/>
      <c r="Q770" s="22"/>
      <c r="R770" s="22"/>
      <c r="S770" s="22"/>
      <c r="T770" s="468"/>
      <c r="U770" s="22"/>
      <c r="V770" s="22"/>
      <c r="W770" s="22"/>
      <c r="X770" s="22"/>
      <c r="Y770" s="22"/>
      <c r="Z770" s="465"/>
      <c r="AA770" s="22"/>
      <c r="AB770" s="22"/>
      <c r="AC770" s="22"/>
      <c r="AD770" s="22"/>
    </row>
    <row r="771" ht="15.75" customHeight="1">
      <c r="A771" s="22"/>
      <c r="B771" s="22"/>
      <c r="C771" s="22"/>
      <c r="D771" s="22"/>
      <c r="E771" s="22"/>
      <c r="F771" s="22"/>
      <c r="G771" s="22"/>
      <c r="H771" s="22"/>
      <c r="I771" s="22"/>
      <c r="J771" s="22"/>
      <c r="K771" s="22"/>
      <c r="L771" s="468"/>
      <c r="M771" s="468"/>
      <c r="N771" s="22"/>
      <c r="O771" s="22"/>
      <c r="P771" s="22"/>
      <c r="Q771" s="22"/>
      <c r="R771" s="22"/>
      <c r="S771" s="22"/>
      <c r="T771" s="468"/>
      <c r="U771" s="22"/>
      <c r="V771" s="22"/>
      <c r="W771" s="22"/>
      <c r="X771" s="22"/>
      <c r="Y771" s="22"/>
      <c r="Z771" s="465"/>
      <c r="AA771" s="22"/>
      <c r="AB771" s="22"/>
      <c r="AC771" s="22"/>
      <c r="AD771" s="22"/>
    </row>
    <row r="772" ht="15.75" customHeight="1">
      <c r="A772" s="22"/>
      <c r="B772" s="22"/>
      <c r="C772" s="22"/>
      <c r="D772" s="22"/>
      <c r="E772" s="22"/>
      <c r="F772" s="22"/>
      <c r="G772" s="22"/>
      <c r="H772" s="22"/>
      <c r="I772" s="22"/>
      <c r="J772" s="22"/>
      <c r="K772" s="22"/>
      <c r="L772" s="468"/>
      <c r="M772" s="468"/>
      <c r="N772" s="22"/>
      <c r="O772" s="22"/>
      <c r="P772" s="22"/>
      <c r="Q772" s="22"/>
      <c r="R772" s="22"/>
      <c r="S772" s="22"/>
      <c r="T772" s="468"/>
      <c r="U772" s="22"/>
      <c r="V772" s="22"/>
      <c r="W772" s="22"/>
      <c r="X772" s="22"/>
      <c r="Y772" s="22"/>
      <c r="Z772" s="465"/>
      <c r="AA772" s="22"/>
      <c r="AB772" s="22"/>
      <c r="AC772" s="22"/>
      <c r="AD772" s="22"/>
    </row>
    <row r="773" ht="15.75" customHeight="1">
      <c r="A773" s="22"/>
      <c r="B773" s="22"/>
      <c r="C773" s="22"/>
      <c r="D773" s="22"/>
      <c r="E773" s="22"/>
      <c r="F773" s="22"/>
      <c r="G773" s="22"/>
      <c r="H773" s="22"/>
      <c r="I773" s="22"/>
      <c r="J773" s="22"/>
      <c r="K773" s="22"/>
      <c r="L773" s="468"/>
      <c r="M773" s="468"/>
      <c r="N773" s="22"/>
      <c r="O773" s="22"/>
      <c r="P773" s="22"/>
      <c r="Q773" s="22"/>
      <c r="R773" s="22"/>
      <c r="S773" s="22"/>
      <c r="T773" s="468"/>
      <c r="U773" s="22"/>
      <c r="V773" s="22"/>
      <c r="W773" s="22"/>
      <c r="X773" s="22"/>
      <c r="Y773" s="22"/>
      <c r="Z773" s="465"/>
      <c r="AA773" s="22"/>
      <c r="AB773" s="22"/>
      <c r="AC773" s="22"/>
      <c r="AD773" s="22"/>
    </row>
    <row r="774" ht="15.75" customHeight="1">
      <c r="A774" s="22"/>
      <c r="B774" s="22"/>
      <c r="C774" s="22"/>
      <c r="D774" s="22"/>
      <c r="E774" s="22"/>
      <c r="F774" s="22"/>
      <c r="G774" s="22"/>
      <c r="H774" s="22"/>
      <c r="I774" s="22"/>
      <c r="J774" s="22"/>
      <c r="K774" s="22"/>
      <c r="L774" s="468"/>
      <c r="M774" s="468"/>
      <c r="N774" s="22"/>
      <c r="O774" s="22"/>
      <c r="P774" s="22"/>
      <c r="Q774" s="22"/>
      <c r="R774" s="22"/>
      <c r="S774" s="22"/>
      <c r="T774" s="468"/>
      <c r="U774" s="22"/>
      <c r="V774" s="22"/>
      <c r="W774" s="22"/>
      <c r="X774" s="22"/>
      <c r="Y774" s="22"/>
      <c r="Z774" s="465"/>
      <c r="AA774" s="22"/>
      <c r="AB774" s="22"/>
      <c r="AC774" s="22"/>
      <c r="AD774" s="22"/>
    </row>
    <row r="775" ht="15.75" customHeight="1">
      <c r="A775" s="22"/>
      <c r="B775" s="22"/>
      <c r="C775" s="22"/>
      <c r="D775" s="22"/>
      <c r="E775" s="22"/>
      <c r="F775" s="22"/>
      <c r="G775" s="22"/>
      <c r="H775" s="22"/>
      <c r="I775" s="22"/>
      <c r="J775" s="22"/>
      <c r="K775" s="22"/>
      <c r="L775" s="468"/>
      <c r="M775" s="468"/>
      <c r="N775" s="22"/>
      <c r="O775" s="22"/>
      <c r="P775" s="22"/>
      <c r="Q775" s="22"/>
      <c r="R775" s="22"/>
      <c r="S775" s="22"/>
      <c r="T775" s="468"/>
      <c r="U775" s="22"/>
      <c r="V775" s="22"/>
      <c r="W775" s="22"/>
      <c r="X775" s="22"/>
      <c r="Y775" s="22"/>
      <c r="Z775" s="465"/>
      <c r="AA775" s="22"/>
      <c r="AB775" s="22"/>
      <c r="AC775" s="22"/>
      <c r="AD775" s="22"/>
    </row>
    <row r="776" ht="15.75" customHeight="1">
      <c r="A776" s="22"/>
      <c r="B776" s="22"/>
      <c r="C776" s="22"/>
      <c r="D776" s="22"/>
      <c r="E776" s="22"/>
      <c r="F776" s="22"/>
      <c r="G776" s="22"/>
      <c r="H776" s="22"/>
      <c r="I776" s="22"/>
      <c r="J776" s="22"/>
      <c r="K776" s="22"/>
      <c r="L776" s="468"/>
      <c r="M776" s="468"/>
      <c r="N776" s="22"/>
      <c r="O776" s="22"/>
      <c r="P776" s="22"/>
      <c r="Q776" s="22"/>
      <c r="R776" s="22"/>
      <c r="S776" s="22"/>
      <c r="T776" s="468"/>
      <c r="U776" s="22"/>
      <c r="V776" s="22"/>
      <c r="W776" s="22"/>
      <c r="X776" s="22"/>
      <c r="Y776" s="22"/>
      <c r="Z776" s="465"/>
      <c r="AA776" s="22"/>
      <c r="AB776" s="22"/>
      <c r="AC776" s="22"/>
      <c r="AD776" s="22"/>
    </row>
    <row r="777" ht="15.75" customHeight="1">
      <c r="A777" s="22"/>
      <c r="B777" s="22"/>
      <c r="C777" s="22"/>
      <c r="D777" s="22"/>
      <c r="E777" s="22"/>
      <c r="F777" s="22"/>
      <c r="G777" s="22"/>
      <c r="H777" s="22"/>
      <c r="I777" s="22"/>
      <c r="J777" s="22"/>
      <c r="K777" s="22"/>
      <c r="L777" s="468"/>
      <c r="M777" s="468"/>
      <c r="N777" s="22"/>
      <c r="O777" s="22"/>
      <c r="P777" s="22"/>
      <c r="Q777" s="22"/>
      <c r="R777" s="22"/>
      <c r="S777" s="22"/>
      <c r="T777" s="468"/>
      <c r="U777" s="22"/>
      <c r="V777" s="22"/>
      <c r="W777" s="22"/>
      <c r="X777" s="22"/>
      <c r="Y777" s="22"/>
      <c r="Z777" s="465"/>
      <c r="AA777" s="22"/>
      <c r="AB777" s="22"/>
      <c r="AC777" s="22"/>
      <c r="AD777" s="22"/>
    </row>
    <row r="778" ht="15.75" customHeight="1">
      <c r="A778" s="22"/>
      <c r="B778" s="22"/>
      <c r="C778" s="22"/>
      <c r="D778" s="22"/>
      <c r="E778" s="22"/>
      <c r="F778" s="22"/>
      <c r="G778" s="22"/>
      <c r="H778" s="22"/>
      <c r="I778" s="22"/>
      <c r="J778" s="22"/>
      <c r="K778" s="22"/>
      <c r="L778" s="468"/>
      <c r="M778" s="468"/>
      <c r="N778" s="22"/>
      <c r="O778" s="22"/>
      <c r="P778" s="22"/>
      <c r="Q778" s="22"/>
      <c r="R778" s="22"/>
      <c r="S778" s="22"/>
      <c r="T778" s="468"/>
      <c r="U778" s="22"/>
      <c r="V778" s="22"/>
      <c r="W778" s="22"/>
      <c r="X778" s="22"/>
      <c r="Y778" s="22"/>
      <c r="Z778" s="465"/>
      <c r="AA778" s="22"/>
      <c r="AB778" s="22"/>
      <c r="AC778" s="22"/>
      <c r="AD778" s="22"/>
    </row>
    <row r="779" ht="15.75" customHeight="1">
      <c r="A779" s="22"/>
      <c r="B779" s="22"/>
      <c r="C779" s="22"/>
      <c r="D779" s="22"/>
      <c r="E779" s="22"/>
      <c r="F779" s="22"/>
      <c r="G779" s="22"/>
      <c r="H779" s="22"/>
      <c r="I779" s="22"/>
      <c r="J779" s="22"/>
      <c r="K779" s="22"/>
      <c r="L779" s="468"/>
      <c r="M779" s="468"/>
      <c r="N779" s="22"/>
      <c r="O779" s="22"/>
      <c r="P779" s="22"/>
      <c r="Q779" s="22"/>
      <c r="R779" s="22"/>
      <c r="S779" s="22"/>
      <c r="T779" s="468"/>
      <c r="U779" s="22"/>
      <c r="V779" s="22"/>
      <c r="W779" s="22"/>
      <c r="X779" s="22"/>
      <c r="Y779" s="22"/>
      <c r="Z779" s="465"/>
      <c r="AA779" s="22"/>
      <c r="AB779" s="22"/>
      <c r="AC779" s="22"/>
      <c r="AD779" s="22"/>
    </row>
    <row r="780" ht="15.75" customHeight="1">
      <c r="A780" s="22"/>
      <c r="B780" s="22"/>
      <c r="C780" s="22"/>
      <c r="D780" s="22"/>
      <c r="E780" s="22"/>
      <c r="F780" s="22"/>
      <c r="G780" s="22"/>
      <c r="H780" s="22"/>
      <c r="I780" s="22"/>
      <c r="J780" s="22"/>
      <c r="K780" s="22"/>
      <c r="L780" s="468"/>
      <c r="M780" s="468"/>
      <c r="N780" s="22"/>
      <c r="O780" s="22"/>
      <c r="P780" s="22"/>
      <c r="Q780" s="22"/>
      <c r="R780" s="22"/>
      <c r="S780" s="22"/>
      <c r="T780" s="468"/>
      <c r="U780" s="22"/>
      <c r="V780" s="22"/>
      <c r="W780" s="22"/>
      <c r="X780" s="22"/>
      <c r="Y780" s="22"/>
      <c r="Z780" s="465"/>
      <c r="AA780" s="22"/>
      <c r="AB780" s="22"/>
      <c r="AC780" s="22"/>
      <c r="AD780" s="22"/>
    </row>
    <row r="781" ht="15.75" customHeight="1">
      <c r="A781" s="22"/>
      <c r="B781" s="22"/>
      <c r="C781" s="22"/>
      <c r="D781" s="22"/>
      <c r="E781" s="22"/>
      <c r="F781" s="22"/>
      <c r="G781" s="22"/>
      <c r="H781" s="22"/>
      <c r="I781" s="22"/>
      <c r="J781" s="22"/>
      <c r="K781" s="22"/>
      <c r="L781" s="468"/>
      <c r="M781" s="468"/>
      <c r="N781" s="22"/>
      <c r="O781" s="22"/>
      <c r="P781" s="22"/>
      <c r="Q781" s="22"/>
      <c r="R781" s="22"/>
      <c r="S781" s="22"/>
      <c r="T781" s="468"/>
      <c r="U781" s="22"/>
      <c r="V781" s="22"/>
      <c r="W781" s="22"/>
      <c r="X781" s="22"/>
      <c r="Y781" s="22"/>
      <c r="Z781" s="465"/>
      <c r="AA781" s="22"/>
      <c r="AB781" s="22"/>
      <c r="AC781" s="22"/>
      <c r="AD781" s="22"/>
    </row>
    <row r="782" ht="15.75" customHeight="1">
      <c r="A782" s="22"/>
      <c r="B782" s="22"/>
      <c r="C782" s="22"/>
      <c r="D782" s="22"/>
      <c r="E782" s="22"/>
      <c r="F782" s="22"/>
      <c r="G782" s="22"/>
      <c r="H782" s="22"/>
      <c r="I782" s="22"/>
      <c r="J782" s="22"/>
      <c r="K782" s="22"/>
      <c r="L782" s="468"/>
      <c r="M782" s="468"/>
      <c r="N782" s="22"/>
      <c r="O782" s="22"/>
      <c r="P782" s="22"/>
      <c r="Q782" s="22"/>
      <c r="R782" s="22"/>
      <c r="S782" s="22"/>
      <c r="T782" s="468"/>
      <c r="U782" s="22"/>
      <c r="V782" s="22"/>
      <c r="W782" s="22"/>
      <c r="X782" s="22"/>
      <c r="Y782" s="22"/>
      <c r="Z782" s="465"/>
      <c r="AA782" s="22"/>
      <c r="AB782" s="22"/>
      <c r="AC782" s="22"/>
      <c r="AD782" s="22"/>
    </row>
    <row r="783" ht="15.75" customHeight="1">
      <c r="A783" s="22"/>
      <c r="B783" s="22"/>
      <c r="C783" s="22"/>
      <c r="D783" s="22"/>
      <c r="E783" s="22"/>
      <c r="F783" s="22"/>
      <c r="G783" s="22"/>
      <c r="H783" s="22"/>
      <c r="I783" s="22"/>
      <c r="J783" s="22"/>
      <c r="K783" s="22"/>
      <c r="L783" s="468"/>
      <c r="M783" s="468"/>
      <c r="N783" s="22"/>
      <c r="O783" s="22"/>
      <c r="P783" s="22"/>
      <c r="Q783" s="22"/>
      <c r="R783" s="22"/>
      <c r="S783" s="22"/>
      <c r="T783" s="468"/>
      <c r="U783" s="22"/>
      <c r="V783" s="22"/>
      <c r="W783" s="22"/>
      <c r="X783" s="22"/>
      <c r="Y783" s="22"/>
      <c r="Z783" s="465"/>
      <c r="AA783" s="22"/>
      <c r="AB783" s="22"/>
      <c r="AC783" s="22"/>
      <c r="AD783" s="22"/>
    </row>
    <row r="784" ht="15.75" customHeight="1">
      <c r="A784" s="22"/>
      <c r="B784" s="22"/>
      <c r="C784" s="22"/>
      <c r="D784" s="22"/>
      <c r="E784" s="22"/>
      <c r="F784" s="22"/>
      <c r="G784" s="22"/>
      <c r="H784" s="22"/>
      <c r="I784" s="22"/>
      <c r="J784" s="22"/>
      <c r="K784" s="22"/>
      <c r="L784" s="468"/>
      <c r="M784" s="468"/>
      <c r="N784" s="22"/>
      <c r="O784" s="22"/>
      <c r="P784" s="22"/>
      <c r="Q784" s="22"/>
      <c r="R784" s="22"/>
      <c r="S784" s="22"/>
      <c r="T784" s="468"/>
      <c r="U784" s="22"/>
      <c r="V784" s="22"/>
      <c r="W784" s="22"/>
      <c r="X784" s="22"/>
      <c r="Y784" s="22"/>
      <c r="Z784" s="465"/>
      <c r="AA784" s="22"/>
      <c r="AB784" s="22"/>
      <c r="AC784" s="22"/>
      <c r="AD784" s="22"/>
    </row>
    <row r="785" ht="15.75" customHeight="1">
      <c r="A785" s="22"/>
      <c r="B785" s="22"/>
      <c r="C785" s="22"/>
      <c r="D785" s="22"/>
      <c r="E785" s="22"/>
      <c r="F785" s="22"/>
      <c r="G785" s="22"/>
      <c r="H785" s="22"/>
      <c r="I785" s="22"/>
      <c r="J785" s="22"/>
      <c r="K785" s="22"/>
      <c r="L785" s="468"/>
      <c r="M785" s="468"/>
      <c r="N785" s="22"/>
      <c r="O785" s="22"/>
      <c r="P785" s="22"/>
      <c r="Q785" s="22"/>
      <c r="R785" s="22"/>
      <c r="S785" s="22"/>
      <c r="T785" s="468"/>
      <c r="U785" s="22"/>
      <c r="V785" s="22"/>
      <c r="W785" s="22"/>
      <c r="X785" s="22"/>
      <c r="Y785" s="22"/>
      <c r="Z785" s="465"/>
      <c r="AA785" s="22"/>
      <c r="AB785" s="22"/>
      <c r="AC785" s="22"/>
      <c r="AD785" s="22"/>
    </row>
    <row r="786" ht="15.75" customHeight="1">
      <c r="A786" s="22"/>
      <c r="B786" s="22"/>
      <c r="C786" s="22"/>
      <c r="D786" s="22"/>
      <c r="E786" s="22"/>
      <c r="F786" s="22"/>
      <c r="G786" s="22"/>
      <c r="H786" s="22"/>
      <c r="I786" s="22"/>
      <c r="J786" s="22"/>
      <c r="K786" s="22"/>
      <c r="L786" s="468"/>
      <c r="M786" s="468"/>
      <c r="N786" s="22"/>
      <c r="O786" s="22"/>
      <c r="P786" s="22"/>
      <c r="Q786" s="22"/>
      <c r="R786" s="22"/>
      <c r="S786" s="22"/>
      <c r="T786" s="468"/>
      <c r="U786" s="22"/>
      <c r="V786" s="22"/>
      <c r="W786" s="22"/>
      <c r="X786" s="22"/>
      <c r="Y786" s="22"/>
      <c r="Z786" s="465"/>
      <c r="AA786" s="22"/>
      <c r="AB786" s="22"/>
      <c r="AC786" s="22"/>
      <c r="AD786" s="22"/>
    </row>
    <row r="787" ht="15.75" customHeight="1">
      <c r="A787" s="22"/>
      <c r="B787" s="22"/>
      <c r="C787" s="22"/>
      <c r="D787" s="22"/>
      <c r="E787" s="22"/>
      <c r="F787" s="22"/>
      <c r="G787" s="22"/>
      <c r="H787" s="22"/>
      <c r="I787" s="22"/>
      <c r="J787" s="22"/>
      <c r="K787" s="22"/>
      <c r="L787" s="468"/>
      <c r="M787" s="468"/>
      <c r="N787" s="22"/>
      <c r="O787" s="22"/>
      <c r="P787" s="22"/>
      <c r="Q787" s="22"/>
      <c r="R787" s="22"/>
      <c r="S787" s="22"/>
      <c r="T787" s="468"/>
      <c r="U787" s="22"/>
      <c r="V787" s="22"/>
      <c r="W787" s="22"/>
      <c r="X787" s="22"/>
      <c r="Y787" s="22"/>
      <c r="Z787" s="465"/>
      <c r="AA787" s="22"/>
      <c r="AB787" s="22"/>
      <c r="AC787" s="22"/>
      <c r="AD787" s="22"/>
    </row>
    <row r="788" ht="15.75" customHeight="1">
      <c r="A788" s="22"/>
      <c r="B788" s="22"/>
      <c r="C788" s="22"/>
      <c r="D788" s="22"/>
      <c r="E788" s="22"/>
      <c r="F788" s="22"/>
      <c r="G788" s="22"/>
      <c r="H788" s="22"/>
      <c r="I788" s="22"/>
      <c r="J788" s="22"/>
      <c r="K788" s="22"/>
      <c r="L788" s="468"/>
      <c r="M788" s="468"/>
      <c r="N788" s="22"/>
      <c r="O788" s="22"/>
      <c r="P788" s="22"/>
      <c r="Q788" s="22"/>
      <c r="R788" s="22"/>
      <c r="S788" s="22"/>
      <c r="T788" s="468"/>
      <c r="U788" s="22"/>
      <c r="V788" s="22"/>
      <c r="W788" s="22"/>
      <c r="X788" s="22"/>
      <c r="Y788" s="22"/>
      <c r="Z788" s="465"/>
      <c r="AA788" s="22"/>
      <c r="AB788" s="22"/>
      <c r="AC788" s="22"/>
      <c r="AD788" s="22"/>
    </row>
    <row r="789" ht="15.75" customHeight="1">
      <c r="A789" s="22"/>
      <c r="B789" s="22"/>
      <c r="C789" s="22"/>
      <c r="D789" s="22"/>
      <c r="E789" s="22"/>
      <c r="F789" s="22"/>
      <c r="G789" s="22"/>
      <c r="H789" s="22"/>
      <c r="I789" s="22"/>
      <c r="J789" s="22"/>
      <c r="K789" s="22"/>
      <c r="L789" s="468"/>
      <c r="M789" s="468"/>
      <c r="N789" s="22"/>
      <c r="O789" s="22"/>
      <c r="P789" s="22"/>
      <c r="Q789" s="22"/>
      <c r="R789" s="22"/>
      <c r="S789" s="22"/>
      <c r="T789" s="468"/>
      <c r="U789" s="22"/>
      <c r="V789" s="22"/>
      <c r="W789" s="22"/>
      <c r="X789" s="22"/>
      <c r="Y789" s="22"/>
      <c r="Z789" s="465"/>
      <c r="AA789" s="22"/>
      <c r="AB789" s="22"/>
      <c r="AC789" s="22"/>
      <c r="AD789" s="22"/>
    </row>
    <row r="790" ht="15.75" customHeight="1">
      <c r="A790" s="22"/>
      <c r="B790" s="22"/>
      <c r="C790" s="22"/>
      <c r="D790" s="22"/>
      <c r="E790" s="22"/>
      <c r="F790" s="22"/>
      <c r="G790" s="22"/>
      <c r="H790" s="22"/>
      <c r="I790" s="22"/>
      <c r="J790" s="22"/>
      <c r="K790" s="22"/>
      <c r="L790" s="468"/>
      <c r="M790" s="468"/>
      <c r="N790" s="22"/>
      <c r="O790" s="22"/>
      <c r="P790" s="22"/>
      <c r="Q790" s="22"/>
      <c r="R790" s="22"/>
      <c r="S790" s="22"/>
      <c r="T790" s="468"/>
      <c r="U790" s="22"/>
      <c r="V790" s="22"/>
      <c r="W790" s="22"/>
      <c r="X790" s="22"/>
      <c r="Y790" s="22"/>
      <c r="Z790" s="465"/>
      <c r="AA790" s="22"/>
      <c r="AB790" s="22"/>
      <c r="AC790" s="22"/>
      <c r="AD790" s="22"/>
    </row>
    <row r="791" ht="15.75" customHeight="1">
      <c r="A791" s="22"/>
      <c r="B791" s="22"/>
      <c r="C791" s="22"/>
      <c r="D791" s="22"/>
      <c r="E791" s="22"/>
      <c r="F791" s="22"/>
      <c r="G791" s="22"/>
      <c r="H791" s="22"/>
      <c r="I791" s="22"/>
      <c r="J791" s="22"/>
      <c r="K791" s="22"/>
      <c r="L791" s="468"/>
      <c r="M791" s="468"/>
      <c r="N791" s="22"/>
      <c r="O791" s="22"/>
      <c r="P791" s="22"/>
      <c r="Q791" s="22"/>
      <c r="R791" s="22"/>
      <c r="S791" s="22"/>
      <c r="T791" s="468"/>
      <c r="U791" s="22"/>
      <c r="V791" s="22"/>
      <c r="W791" s="22"/>
      <c r="X791" s="22"/>
      <c r="Y791" s="22"/>
      <c r="Z791" s="465"/>
      <c r="AA791" s="22"/>
      <c r="AB791" s="22"/>
      <c r="AC791" s="22"/>
      <c r="AD791" s="22"/>
    </row>
    <row r="792" ht="15.75" customHeight="1">
      <c r="A792" s="22"/>
      <c r="B792" s="22"/>
      <c r="C792" s="22"/>
      <c r="D792" s="22"/>
      <c r="E792" s="22"/>
      <c r="F792" s="22"/>
      <c r="G792" s="22"/>
      <c r="H792" s="22"/>
      <c r="I792" s="22"/>
      <c r="J792" s="22"/>
      <c r="K792" s="22"/>
      <c r="L792" s="468"/>
      <c r="M792" s="468"/>
      <c r="N792" s="22"/>
      <c r="O792" s="22"/>
      <c r="P792" s="22"/>
      <c r="Q792" s="22"/>
      <c r="R792" s="22"/>
      <c r="S792" s="22"/>
      <c r="T792" s="468"/>
      <c r="U792" s="22"/>
      <c r="V792" s="22"/>
      <c r="W792" s="22"/>
      <c r="X792" s="22"/>
      <c r="Y792" s="22"/>
      <c r="Z792" s="465"/>
      <c r="AA792" s="22"/>
      <c r="AB792" s="22"/>
      <c r="AC792" s="22"/>
      <c r="AD792" s="22"/>
    </row>
    <row r="793" ht="15.75" customHeight="1">
      <c r="A793" s="22"/>
      <c r="B793" s="22"/>
      <c r="C793" s="22"/>
      <c r="D793" s="22"/>
      <c r="E793" s="22"/>
      <c r="F793" s="22"/>
      <c r="G793" s="22"/>
      <c r="H793" s="22"/>
      <c r="I793" s="22"/>
      <c r="J793" s="22"/>
      <c r="K793" s="22"/>
      <c r="L793" s="468"/>
      <c r="M793" s="468"/>
      <c r="N793" s="22"/>
      <c r="O793" s="22"/>
      <c r="P793" s="22"/>
      <c r="Q793" s="22"/>
      <c r="R793" s="22"/>
      <c r="S793" s="22"/>
      <c r="T793" s="468"/>
      <c r="U793" s="22"/>
      <c r="V793" s="22"/>
      <c r="W793" s="22"/>
      <c r="X793" s="22"/>
      <c r="Y793" s="22"/>
      <c r="Z793" s="465"/>
      <c r="AA793" s="22"/>
      <c r="AB793" s="22"/>
      <c r="AC793" s="22"/>
      <c r="AD793" s="22"/>
    </row>
    <row r="794" ht="15.75" customHeight="1">
      <c r="A794" s="22"/>
      <c r="B794" s="22"/>
      <c r="C794" s="22"/>
      <c r="D794" s="22"/>
      <c r="E794" s="22"/>
      <c r="F794" s="22"/>
      <c r="G794" s="22"/>
      <c r="H794" s="22"/>
      <c r="I794" s="22"/>
      <c r="J794" s="22"/>
      <c r="K794" s="22"/>
      <c r="L794" s="468"/>
      <c r="M794" s="468"/>
      <c r="N794" s="22"/>
      <c r="O794" s="22"/>
      <c r="P794" s="22"/>
      <c r="Q794" s="22"/>
      <c r="R794" s="22"/>
      <c r="S794" s="22"/>
      <c r="T794" s="468"/>
      <c r="U794" s="22"/>
      <c r="V794" s="22"/>
      <c r="W794" s="22"/>
      <c r="X794" s="22"/>
      <c r="Y794" s="22"/>
      <c r="Z794" s="465"/>
      <c r="AA794" s="22"/>
      <c r="AB794" s="22"/>
      <c r="AC794" s="22"/>
      <c r="AD794" s="22"/>
    </row>
    <row r="795" ht="15.75" customHeight="1">
      <c r="A795" s="22"/>
      <c r="B795" s="22"/>
      <c r="C795" s="22"/>
      <c r="D795" s="22"/>
      <c r="E795" s="22"/>
      <c r="F795" s="22"/>
      <c r="G795" s="22"/>
      <c r="H795" s="22"/>
      <c r="I795" s="22"/>
      <c r="J795" s="22"/>
      <c r="K795" s="22"/>
      <c r="L795" s="468"/>
      <c r="M795" s="468"/>
      <c r="N795" s="22"/>
      <c r="O795" s="22"/>
      <c r="P795" s="22"/>
      <c r="Q795" s="22"/>
      <c r="R795" s="22"/>
      <c r="S795" s="22"/>
      <c r="T795" s="468"/>
      <c r="U795" s="22"/>
      <c r="V795" s="22"/>
      <c r="W795" s="22"/>
      <c r="X795" s="22"/>
      <c r="Y795" s="22"/>
      <c r="Z795" s="465"/>
      <c r="AA795" s="22"/>
      <c r="AB795" s="22"/>
      <c r="AC795" s="22"/>
      <c r="AD795" s="22"/>
    </row>
    <row r="796" ht="15.75" customHeight="1">
      <c r="A796" s="22"/>
      <c r="B796" s="22"/>
      <c r="C796" s="22"/>
      <c r="D796" s="22"/>
      <c r="E796" s="22"/>
      <c r="F796" s="22"/>
      <c r="G796" s="22"/>
      <c r="H796" s="22"/>
      <c r="I796" s="22"/>
      <c r="J796" s="22"/>
      <c r="K796" s="22"/>
      <c r="L796" s="468"/>
      <c r="M796" s="468"/>
      <c r="N796" s="22"/>
      <c r="O796" s="22"/>
      <c r="P796" s="22"/>
      <c r="Q796" s="22"/>
      <c r="R796" s="22"/>
      <c r="S796" s="22"/>
      <c r="T796" s="468"/>
      <c r="U796" s="22"/>
      <c r="V796" s="22"/>
      <c r="W796" s="22"/>
      <c r="X796" s="22"/>
      <c r="Y796" s="22"/>
      <c r="Z796" s="465"/>
      <c r="AA796" s="22"/>
      <c r="AB796" s="22"/>
      <c r="AC796" s="22"/>
      <c r="AD796" s="22"/>
    </row>
    <row r="797" ht="15.75" customHeight="1">
      <c r="A797" s="22"/>
      <c r="B797" s="22"/>
      <c r="C797" s="22"/>
      <c r="D797" s="22"/>
      <c r="E797" s="22"/>
      <c r="F797" s="22"/>
      <c r="G797" s="22"/>
      <c r="H797" s="22"/>
      <c r="I797" s="22"/>
      <c r="J797" s="22"/>
      <c r="K797" s="22"/>
      <c r="L797" s="468"/>
      <c r="M797" s="468"/>
      <c r="N797" s="22"/>
      <c r="O797" s="22"/>
      <c r="P797" s="22"/>
      <c r="Q797" s="22"/>
      <c r="R797" s="22"/>
      <c r="S797" s="22"/>
      <c r="T797" s="468"/>
      <c r="U797" s="22"/>
      <c r="V797" s="22"/>
      <c r="W797" s="22"/>
      <c r="X797" s="22"/>
      <c r="Y797" s="22"/>
      <c r="Z797" s="465"/>
      <c r="AA797" s="22"/>
      <c r="AB797" s="22"/>
      <c r="AC797" s="22"/>
      <c r="AD797" s="22"/>
    </row>
    <row r="798" ht="15.75" customHeight="1">
      <c r="A798" s="22"/>
      <c r="B798" s="22"/>
      <c r="C798" s="22"/>
      <c r="D798" s="22"/>
      <c r="E798" s="22"/>
      <c r="F798" s="22"/>
      <c r="G798" s="22"/>
      <c r="H798" s="22"/>
      <c r="I798" s="22"/>
      <c r="J798" s="22"/>
      <c r="K798" s="22"/>
      <c r="L798" s="468"/>
      <c r="M798" s="468"/>
      <c r="N798" s="22"/>
      <c r="O798" s="22"/>
      <c r="P798" s="22"/>
      <c r="Q798" s="22"/>
      <c r="R798" s="22"/>
      <c r="S798" s="22"/>
      <c r="T798" s="468"/>
      <c r="U798" s="22"/>
      <c r="V798" s="22"/>
      <c r="W798" s="22"/>
      <c r="X798" s="22"/>
      <c r="Y798" s="22"/>
      <c r="Z798" s="465"/>
      <c r="AA798" s="22"/>
      <c r="AB798" s="22"/>
      <c r="AC798" s="22"/>
      <c r="AD798" s="22"/>
    </row>
    <row r="799" ht="15.75" customHeight="1">
      <c r="A799" s="22"/>
      <c r="B799" s="22"/>
      <c r="C799" s="22"/>
      <c r="D799" s="22"/>
      <c r="E799" s="22"/>
      <c r="F799" s="22"/>
      <c r="G799" s="22"/>
      <c r="H799" s="22"/>
      <c r="I799" s="22"/>
      <c r="J799" s="22"/>
      <c r="K799" s="22"/>
      <c r="L799" s="468"/>
      <c r="M799" s="468"/>
      <c r="N799" s="22"/>
      <c r="O799" s="22"/>
      <c r="P799" s="22"/>
      <c r="Q799" s="22"/>
      <c r="R799" s="22"/>
      <c r="S799" s="22"/>
      <c r="T799" s="468"/>
      <c r="U799" s="22"/>
      <c r="V799" s="22"/>
      <c r="W799" s="22"/>
      <c r="X799" s="22"/>
      <c r="Y799" s="22"/>
      <c r="Z799" s="465"/>
      <c r="AA799" s="22"/>
      <c r="AB799" s="22"/>
      <c r="AC799" s="22"/>
      <c r="AD799" s="22"/>
    </row>
    <row r="800" ht="15.75" customHeight="1">
      <c r="A800" s="22"/>
      <c r="B800" s="22"/>
      <c r="C800" s="22"/>
      <c r="D800" s="22"/>
      <c r="E800" s="22"/>
      <c r="F800" s="22"/>
      <c r="G800" s="22"/>
      <c r="H800" s="22"/>
      <c r="I800" s="22"/>
      <c r="J800" s="22"/>
      <c r="K800" s="22"/>
      <c r="L800" s="468"/>
      <c r="M800" s="468"/>
      <c r="N800" s="22"/>
      <c r="O800" s="22"/>
      <c r="P800" s="22"/>
      <c r="Q800" s="22"/>
      <c r="R800" s="22"/>
      <c r="S800" s="22"/>
      <c r="T800" s="468"/>
      <c r="U800" s="22"/>
      <c r="V800" s="22"/>
      <c r="W800" s="22"/>
      <c r="X800" s="22"/>
      <c r="Y800" s="22"/>
      <c r="Z800" s="465"/>
      <c r="AA800" s="22"/>
      <c r="AB800" s="22"/>
      <c r="AC800" s="22"/>
      <c r="AD800" s="22"/>
    </row>
    <row r="801" ht="15.75" customHeight="1">
      <c r="A801" s="22"/>
      <c r="B801" s="22"/>
      <c r="C801" s="22"/>
      <c r="D801" s="22"/>
      <c r="E801" s="22"/>
      <c r="F801" s="22"/>
      <c r="G801" s="22"/>
      <c r="H801" s="22"/>
      <c r="I801" s="22"/>
      <c r="J801" s="22"/>
      <c r="K801" s="22"/>
      <c r="L801" s="468"/>
      <c r="M801" s="468"/>
      <c r="N801" s="22"/>
      <c r="O801" s="22"/>
      <c r="P801" s="22"/>
      <c r="Q801" s="22"/>
      <c r="R801" s="22"/>
      <c r="S801" s="22"/>
      <c r="T801" s="468"/>
      <c r="U801" s="22"/>
      <c r="V801" s="22"/>
      <c r="W801" s="22"/>
      <c r="X801" s="22"/>
      <c r="Y801" s="22"/>
      <c r="Z801" s="465"/>
      <c r="AA801" s="22"/>
      <c r="AB801" s="22"/>
      <c r="AC801" s="22"/>
      <c r="AD801" s="22"/>
    </row>
    <row r="802" ht="15.75" customHeight="1">
      <c r="A802" s="22"/>
      <c r="B802" s="22"/>
      <c r="C802" s="22"/>
      <c r="D802" s="22"/>
      <c r="E802" s="22"/>
      <c r="F802" s="22"/>
      <c r="G802" s="22"/>
      <c r="H802" s="22"/>
      <c r="I802" s="22"/>
      <c r="J802" s="22"/>
      <c r="K802" s="22"/>
      <c r="L802" s="468"/>
      <c r="M802" s="468"/>
      <c r="N802" s="22"/>
      <c r="O802" s="22"/>
      <c r="P802" s="22"/>
      <c r="Q802" s="22"/>
      <c r="R802" s="22"/>
      <c r="S802" s="22"/>
      <c r="T802" s="468"/>
      <c r="U802" s="22"/>
      <c r="V802" s="22"/>
      <c r="W802" s="22"/>
      <c r="X802" s="22"/>
      <c r="Y802" s="22"/>
      <c r="Z802" s="465"/>
      <c r="AA802" s="22"/>
      <c r="AB802" s="22"/>
      <c r="AC802" s="22"/>
      <c r="AD802" s="22"/>
    </row>
    <row r="803" ht="15.75" customHeight="1">
      <c r="A803" s="22"/>
      <c r="B803" s="22"/>
      <c r="C803" s="22"/>
      <c r="D803" s="22"/>
      <c r="E803" s="22"/>
      <c r="F803" s="22"/>
      <c r="G803" s="22"/>
      <c r="H803" s="22"/>
      <c r="I803" s="22"/>
      <c r="J803" s="22"/>
      <c r="K803" s="22"/>
      <c r="L803" s="468"/>
      <c r="M803" s="468"/>
      <c r="N803" s="22"/>
      <c r="O803" s="22"/>
      <c r="P803" s="22"/>
      <c r="Q803" s="22"/>
      <c r="R803" s="22"/>
      <c r="S803" s="22"/>
      <c r="T803" s="468"/>
      <c r="U803" s="22"/>
      <c r="V803" s="22"/>
      <c r="W803" s="22"/>
      <c r="X803" s="22"/>
      <c r="Y803" s="22"/>
      <c r="Z803" s="465"/>
      <c r="AA803" s="22"/>
      <c r="AB803" s="22"/>
      <c r="AC803" s="22"/>
      <c r="AD803" s="22"/>
    </row>
    <row r="804" ht="15.75" customHeight="1">
      <c r="A804" s="22"/>
      <c r="B804" s="22"/>
      <c r="C804" s="22"/>
      <c r="D804" s="22"/>
      <c r="E804" s="22"/>
      <c r="F804" s="22"/>
      <c r="G804" s="22"/>
      <c r="H804" s="22"/>
      <c r="I804" s="22"/>
      <c r="J804" s="22"/>
      <c r="K804" s="22"/>
      <c r="L804" s="468"/>
      <c r="M804" s="468"/>
      <c r="N804" s="22"/>
      <c r="O804" s="22"/>
      <c r="P804" s="22"/>
      <c r="Q804" s="22"/>
      <c r="R804" s="22"/>
      <c r="S804" s="22"/>
      <c r="T804" s="468"/>
      <c r="U804" s="22"/>
      <c r="V804" s="22"/>
      <c r="W804" s="22"/>
      <c r="X804" s="22"/>
      <c r="Y804" s="22"/>
      <c r="Z804" s="465"/>
      <c r="AA804" s="22"/>
      <c r="AB804" s="22"/>
      <c r="AC804" s="22"/>
      <c r="AD804" s="22"/>
    </row>
    <row r="805" ht="15.75" customHeight="1">
      <c r="A805" s="22"/>
      <c r="B805" s="22"/>
      <c r="C805" s="22"/>
      <c r="D805" s="22"/>
      <c r="E805" s="22"/>
      <c r="F805" s="22"/>
      <c r="G805" s="22"/>
      <c r="H805" s="22"/>
      <c r="I805" s="22"/>
      <c r="J805" s="22"/>
      <c r="K805" s="22"/>
      <c r="L805" s="468"/>
      <c r="M805" s="468"/>
      <c r="N805" s="22"/>
      <c r="O805" s="22"/>
      <c r="P805" s="22"/>
      <c r="Q805" s="22"/>
      <c r="R805" s="22"/>
      <c r="S805" s="22"/>
      <c r="T805" s="468"/>
      <c r="U805" s="22"/>
      <c r="V805" s="22"/>
      <c r="W805" s="22"/>
      <c r="X805" s="22"/>
      <c r="Y805" s="22"/>
      <c r="Z805" s="465"/>
      <c r="AA805" s="22"/>
      <c r="AB805" s="22"/>
      <c r="AC805" s="22"/>
      <c r="AD805" s="22"/>
    </row>
    <row r="806" ht="15.75" customHeight="1">
      <c r="A806" s="22"/>
      <c r="B806" s="22"/>
      <c r="C806" s="22"/>
      <c r="D806" s="22"/>
      <c r="E806" s="22"/>
      <c r="F806" s="22"/>
      <c r="G806" s="22"/>
      <c r="H806" s="22"/>
      <c r="I806" s="22"/>
      <c r="J806" s="22"/>
      <c r="K806" s="22"/>
      <c r="L806" s="468"/>
      <c r="M806" s="468"/>
      <c r="N806" s="22"/>
      <c r="O806" s="22"/>
      <c r="P806" s="22"/>
      <c r="Q806" s="22"/>
      <c r="R806" s="22"/>
      <c r="S806" s="22"/>
      <c r="T806" s="468"/>
      <c r="U806" s="22"/>
      <c r="V806" s="22"/>
      <c r="W806" s="22"/>
      <c r="X806" s="22"/>
      <c r="Y806" s="22"/>
      <c r="Z806" s="465"/>
      <c r="AA806" s="22"/>
      <c r="AB806" s="22"/>
      <c r="AC806" s="22"/>
      <c r="AD806" s="22"/>
    </row>
    <row r="807" ht="15.75" customHeight="1">
      <c r="A807" s="22"/>
      <c r="B807" s="22"/>
      <c r="C807" s="22"/>
      <c r="D807" s="22"/>
      <c r="E807" s="22"/>
      <c r="F807" s="22"/>
      <c r="G807" s="22"/>
      <c r="H807" s="22"/>
      <c r="I807" s="22"/>
      <c r="J807" s="22"/>
      <c r="K807" s="22"/>
      <c r="L807" s="468"/>
      <c r="M807" s="468"/>
      <c r="N807" s="22"/>
      <c r="O807" s="22"/>
      <c r="P807" s="22"/>
      <c r="Q807" s="22"/>
      <c r="R807" s="22"/>
      <c r="S807" s="22"/>
      <c r="T807" s="468"/>
      <c r="U807" s="22"/>
      <c r="V807" s="22"/>
      <c r="W807" s="22"/>
      <c r="X807" s="22"/>
      <c r="Y807" s="22"/>
      <c r="Z807" s="465"/>
      <c r="AA807" s="22"/>
      <c r="AB807" s="22"/>
      <c r="AC807" s="22"/>
      <c r="AD807" s="22"/>
    </row>
    <row r="808" ht="15.75" customHeight="1">
      <c r="A808" s="22"/>
      <c r="B808" s="22"/>
      <c r="C808" s="22"/>
      <c r="D808" s="22"/>
      <c r="E808" s="22"/>
      <c r="F808" s="22"/>
      <c r="G808" s="22"/>
      <c r="H808" s="22"/>
      <c r="I808" s="22"/>
      <c r="J808" s="22"/>
      <c r="K808" s="22"/>
      <c r="L808" s="468"/>
      <c r="M808" s="468"/>
      <c r="N808" s="22"/>
      <c r="O808" s="22"/>
      <c r="P808" s="22"/>
      <c r="Q808" s="22"/>
      <c r="R808" s="22"/>
      <c r="S808" s="22"/>
      <c r="T808" s="468"/>
      <c r="U808" s="22"/>
      <c r="V808" s="22"/>
      <c r="W808" s="22"/>
      <c r="X808" s="22"/>
      <c r="Y808" s="22"/>
      <c r="Z808" s="465"/>
      <c r="AA808" s="22"/>
      <c r="AB808" s="22"/>
      <c r="AC808" s="22"/>
      <c r="AD808" s="22"/>
    </row>
    <row r="809" ht="15.75" customHeight="1">
      <c r="A809" s="22"/>
      <c r="B809" s="22"/>
      <c r="C809" s="22"/>
      <c r="D809" s="22"/>
      <c r="E809" s="22"/>
      <c r="F809" s="22"/>
      <c r="G809" s="22"/>
      <c r="H809" s="22"/>
      <c r="I809" s="22"/>
      <c r="J809" s="22"/>
      <c r="K809" s="22"/>
      <c r="L809" s="468"/>
      <c r="M809" s="468"/>
      <c r="N809" s="22"/>
      <c r="O809" s="22"/>
      <c r="P809" s="22"/>
      <c r="Q809" s="22"/>
      <c r="R809" s="22"/>
      <c r="S809" s="22"/>
      <c r="T809" s="468"/>
      <c r="U809" s="22"/>
      <c r="V809" s="22"/>
      <c r="W809" s="22"/>
      <c r="X809" s="22"/>
      <c r="Y809" s="22"/>
      <c r="Z809" s="465"/>
      <c r="AA809" s="22"/>
      <c r="AB809" s="22"/>
      <c r="AC809" s="22"/>
      <c r="AD809" s="22"/>
    </row>
    <row r="810" ht="15.75" customHeight="1">
      <c r="A810" s="22"/>
      <c r="B810" s="22"/>
      <c r="C810" s="22"/>
      <c r="D810" s="22"/>
      <c r="E810" s="22"/>
      <c r="F810" s="22"/>
      <c r="G810" s="22"/>
      <c r="H810" s="22"/>
      <c r="I810" s="22"/>
      <c r="J810" s="22"/>
      <c r="K810" s="22"/>
      <c r="L810" s="468"/>
      <c r="M810" s="468"/>
      <c r="N810" s="22"/>
      <c r="O810" s="22"/>
      <c r="P810" s="22"/>
      <c r="Q810" s="22"/>
      <c r="R810" s="22"/>
      <c r="S810" s="22"/>
      <c r="T810" s="468"/>
      <c r="U810" s="22"/>
      <c r="V810" s="22"/>
      <c r="W810" s="22"/>
      <c r="X810" s="22"/>
      <c r="Y810" s="22"/>
      <c r="Z810" s="465"/>
      <c r="AA810" s="22"/>
      <c r="AB810" s="22"/>
      <c r="AC810" s="22"/>
      <c r="AD810" s="22"/>
    </row>
    <row r="811" ht="15.75" customHeight="1">
      <c r="A811" s="22"/>
      <c r="B811" s="22"/>
      <c r="C811" s="22"/>
      <c r="D811" s="22"/>
      <c r="E811" s="22"/>
      <c r="F811" s="22"/>
      <c r="G811" s="22"/>
      <c r="H811" s="22"/>
      <c r="I811" s="22"/>
      <c r="J811" s="22"/>
      <c r="K811" s="22"/>
      <c r="L811" s="468"/>
      <c r="M811" s="468"/>
      <c r="N811" s="22"/>
      <c r="O811" s="22"/>
      <c r="P811" s="22"/>
      <c r="Q811" s="22"/>
      <c r="R811" s="22"/>
      <c r="S811" s="22"/>
      <c r="T811" s="468"/>
      <c r="U811" s="22"/>
      <c r="V811" s="22"/>
      <c r="W811" s="22"/>
      <c r="X811" s="22"/>
      <c r="Y811" s="22"/>
      <c r="Z811" s="465"/>
      <c r="AA811" s="22"/>
      <c r="AB811" s="22"/>
      <c r="AC811" s="22"/>
      <c r="AD811" s="22"/>
    </row>
    <row r="812" ht="15.75" customHeight="1">
      <c r="A812" s="22"/>
      <c r="B812" s="22"/>
      <c r="C812" s="22"/>
      <c r="D812" s="22"/>
      <c r="E812" s="22"/>
      <c r="F812" s="22"/>
      <c r="G812" s="22"/>
      <c r="H812" s="22"/>
      <c r="I812" s="22"/>
      <c r="J812" s="22"/>
      <c r="K812" s="22"/>
      <c r="L812" s="468"/>
      <c r="M812" s="468"/>
      <c r="N812" s="22"/>
      <c r="O812" s="22"/>
      <c r="P812" s="22"/>
      <c r="Q812" s="22"/>
      <c r="R812" s="22"/>
      <c r="S812" s="22"/>
      <c r="T812" s="468"/>
      <c r="U812" s="22"/>
      <c r="V812" s="22"/>
      <c r="W812" s="22"/>
      <c r="X812" s="22"/>
      <c r="Y812" s="22"/>
      <c r="Z812" s="465"/>
      <c r="AA812" s="22"/>
      <c r="AB812" s="22"/>
      <c r="AC812" s="22"/>
      <c r="AD812" s="22"/>
    </row>
    <row r="813" ht="15.75" customHeight="1">
      <c r="A813" s="22"/>
      <c r="B813" s="22"/>
      <c r="C813" s="22"/>
      <c r="D813" s="22"/>
      <c r="E813" s="22"/>
      <c r="F813" s="22"/>
      <c r="G813" s="22"/>
      <c r="H813" s="22"/>
      <c r="I813" s="22"/>
      <c r="J813" s="22"/>
      <c r="K813" s="22"/>
      <c r="L813" s="468"/>
      <c r="M813" s="468"/>
      <c r="N813" s="22"/>
      <c r="O813" s="22"/>
      <c r="P813" s="22"/>
      <c r="Q813" s="22"/>
      <c r="R813" s="22"/>
      <c r="S813" s="22"/>
      <c r="T813" s="468"/>
      <c r="U813" s="22"/>
      <c r="V813" s="22"/>
      <c r="W813" s="22"/>
      <c r="X813" s="22"/>
      <c r="Y813" s="22"/>
      <c r="Z813" s="465"/>
      <c r="AA813" s="22"/>
      <c r="AB813" s="22"/>
      <c r="AC813" s="22"/>
      <c r="AD813" s="22"/>
    </row>
    <row r="814" ht="15.75" customHeight="1">
      <c r="A814" s="22"/>
      <c r="B814" s="22"/>
      <c r="C814" s="22"/>
      <c r="D814" s="22"/>
      <c r="E814" s="22"/>
      <c r="F814" s="22"/>
      <c r="G814" s="22"/>
      <c r="H814" s="22"/>
      <c r="I814" s="22"/>
      <c r="J814" s="22"/>
      <c r="K814" s="22"/>
      <c r="L814" s="468"/>
      <c r="M814" s="468"/>
      <c r="N814" s="22"/>
      <c r="O814" s="22"/>
      <c r="P814" s="22"/>
      <c r="Q814" s="22"/>
      <c r="R814" s="22"/>
      <c r="S814" s="22"/>
      <c r="T814" s="468"/>
      <c r="U814" s="22"/>
      <c r="V814" s="22"/>
      <c r="W814" s="22"/>
      <c r="X814" s="22"/>
      <c r="Y814" s="22"/>
      <c r="Z814" s="465"/>
      <c r="AA814" s="22"/>
      <c r="AB814" s="22"/>
      <c r="AC814" s="22"/>
      <c r="AD814" s="22"/>
    </row>
    <row r="815" ht="15.75" customHeight="1">
      <c r="A815" s="22"/>
      <c r="B815" s="22"/>
      <c r="C815" s="22"/>
      <c r="D815" s="22"/>
      <c r="E815" s="22"/>
      <c r="F815" s="22"/>
      <c r="G815" s="22"/>
      <c r="H815" s="22"/>
      <c r="I815" s="22"/>
      <c r="J815" s="22"/>
      <c r="K815" s="22"/>
      <c r="L815" s="468"/>
      <c r="M815" s="468"/>
      <c r="N815" s="22"/>
      <c r="O815" s="22"/>
      <c r="P815" s="22"/>
      <c r="Q815" s="22"/>
      <c r="R815" s="22"/>
      <c r="S815" s="22"/>
      <c r="T815" s="468"/>
      <c r="U815" s="22"/>
      <c r="V815" s="22"/>
      <c r="W815" s="22"/>
      <c r="X815" s="22"/>
      <c r="Y815" s="22"/>
      <c r="Z815" s="465"/>
      <c r="AA815" s="22"/>
      <c r="AB815" s="22"/>
      <c r="AC815" s="22"/>
      <c r="AD815" s="22"/>
    </row>
    <row r="816" ht="15.75" customHeight="1">
      <c r="A816" s="22"/>
      <c r="B816" s="22"/>
      <c r="C816" s="22"/>
      <c r="D816" s="22"/>
      <c r="E816" s="22"/>
      <c r="F816" s="22"/>
      <c r="G816" s="22"/>
      <c r="H816" s="22"/>
      <c r="I816" s="22"/>
      <c r="J816" s="22"/>
      <c r="K816" s="22"/>
      <c r="L816" s="468"/>
      <c r="M816" s="468"/>
      <c r="N816" s="22"/>
      <c r="O816" s="22"/>
      <c r="P816" s="22"/>
      <c r="Q816" s="22"/>
      <c r="R816" s="22"/>
      <c r="S816" s="22"/>
      <c r="T816" s="468"/>
      <c r="U816" s="22"/>
      <c r="V816" s="22"/>
      <c r="W816" s="22"/>
      <c r="X816" s="22"/>
      <c r="Y816" s="22"/>
      <c r="Z816" s="465"/>
      <c r="AA816" s="22"/>
      <c r="AB816" s="22"/>
      <c r="AC816" s="22"/>
      <c r="AD816" s="22"/>
    </row>
    <row r="817" ht="15.75" customHeight="1">
      <c r="A817" s="22"/>
      <c r="B817" s="22"/>
      <c r="C817" s="22"/>
      <c r="D817" s="22"/>
      <c r="E817" s="22"/>
      <c r="F817" s="22"/>
      <c r="G817" s="22"/>
      <c r="H817" s="22"/>
      <c r="I817" s="22"/>
      <c r="J817" s="22"/>
      <c r="K817" s="22"/>
      <c r="L817" s="468"/>
      <c r="M817" s="468"/>
      <c r="N817" s="22"/>
      <c r="O817" s="22"/>
      <c r="P817" s="22"/>
      <c r="Q817" s="22"/>
      <c r="R817" s="22"/>
      <c r="S817" s="22"/>
      <c r="T817" s="468"/>
      <c r="U817" s="22"/>
      <c r="V817" s="22"/>
      <c r="W817" s="22"/>
      <c r="X817" s="22"/>
      <c r="Y817" s="22"/>
      <c r="Z817" s="465"/>
      <c r="AA817" s="22"/>
      <c r="AB817" s="22"/>
      <c r="AC817" s="22"/>
      <c r="AD817" s="22"/>
    </row>
    <row r="818" ht="15.75" customHeight="1">
      <c r="A818" s="22"/>
      <c r="B818" s="22"/>
      <c r="C818" s="22"/>
      <c r="D818" s="22"/>
      <c r="E818" s="22"/>
      <c r="F818" s="22"/>
      <c r="G818" s="22"/>
      <c r="H818" s="22"/>
      <c r="I818" s="22"/>
      <c r="J818" s="22"/>
      <c r="K818" s="22"/>
      <c r="L818" s="468"/>
      <c r="M818" s="468"/>
      <c r="N818" s="22"/>
      <c r="O818" s="22"/>
      <c r="P818" s="22"/>
      <c r="Q818" s="22"/>
      <c r="R818" s="22"/>
      <c r="S818" s="22"/>
      <c r="T818" s="468"/>
      <c r="U818" s="22"/>
      <c r="V818" s="22"/>
      <c r="W818" s="22"/>
      <c r="X818" s="22"/>
      <c r="Y818" s="22"/>
      <c r="Z818" s="465"/>
      <c r="AA818" s="22"/>
      <c r="AB818" s="22"/>
      <c r="AC818" s="22"/>
      <c r="AD818" s="22"/>
    </row>
    <row r="819" ht="15.75" customHeight="1">
      <c r="A819" s="22"/>
      <c r="B819" s="22"/>
      <c r="C819" s="22"/>
      <c r="D819" s="22"/>
      <c r="E819" s="22"/>
      <c r="F819" s="22"/>
      <c r="G819" s="22"/>
      <c r="H819" s="22"/>
      <c r="I819" s="22"/>
      <c r="J819" s="22"/>
      <c r="K819" s="22"/>
      <c r="L819" s="468"/>
      <c r="M819" s="468"/>
      <c r="N819" s="22"/>
      <c r="O819" s="22"/>
      <c r="P819" s="22"/>
      <c r="Q819" s="22"/>
      <c r="R819" s="22"/>
      <c r="S819" s="22"/>
      <c r="T819" s="468"/>
      <c r="U819" s="22"/>
      <c r="V819" s="22"/>
      <c r="W819" s="22"/>
      <c r="X819" s="22"/>
      <c r="Y819" s="22"/>
      <c r="Z819" s="465"/>
      <c r="AA819" s="22"/>
      <c r="AB819" s="22"/>
      <c r="AC819" s="22"/>
      <c r="AD819" s="22"/>
    </row>
    <row r="820" ht="15.75" customHeight="1">
      <c r="A820" s="22"/>
      <c r="B820" s="22"/>
      <c r="C820" s="22"/>
      <c r="D820" s="22"/>
      <c r="E820" s="22"/>
      <c r="F820" s="22"/>
      <c r="G820" s="22"/>
      <c r="H820" s="22"/>
      <c r="I820" s="22"/>
      <c r="J820" s="22"/>
      <c r="K820" s="22"/>
      <c r="L820" s="468"/>
      <c r="M820" s="468"/>
      <c r="N820" s="22"/>
      <c r="O820" s="22"/>
      <c r="P820" s="22"/>
      <c r="Q820" s="22"/>
      <c r="R820" s="22"/>
      <c r="S820" s="22"/>
      <c r="T820" s="468"/>
      <c r="U820" s="22"/>
      <c r="V820" s="22"/>
      <c r="W820" s="22"/>
      <c r="X820" s="22"/>
      <c r="Y820" s="22"/>
      <c r="Z820" s="465"/>
      <c r="AA820" s="22"/>
      <c r="AB820" s="22"/>
      <c r="AC820" s="22"/>
      <c r="AD820" s="22"/>
    </row>
    <row r="821" ht="15.75" customHeight="1">
      <c r="A821" s="22"/>
      <c r="B821" s="22"/>
      <c r="C821" s="22"/>
      <c r="D821" s="22"/>
      <c r="E821" s="22"/>
      <c r="F821" s="22"/>
      <c r="G821" s="22"/>
      <c r="H821" s="22"/>
      <c r="I821" s="22"/>
      <c r="J821" s="22"/>
      <c r="K821" s="22"/>
      <c r="L821" s="468"/>
      <c r="M821" s="468"/>
      <c r="N821" s="22"/>
      <c r="O821" s="22"/>
      <c r="P821" s="22"/>
      <c r="Q821" s="22"/>
      <c r="R821" s="22"/>
      <c r="S821" s="22"/>
      <c r="T821" s="468"/>
      <c r="U821" s="22"/>
      <c r="V821" s="22"/>
      <c r="W821" s="22"/>
      <c r="X821" s="22"/>
      <c r="Y821" s="22"/>
      <c r="Z821" s="465"/>
      <c r="AA821" s="22"/>
      <c r="AB821" s="22"/>
      <c r="AC821" s="22"/>
      <c r="AD821" s="22"/>
    </row>
    <row r="822" ht="15.75" customHeight="1">
      <c r="A822" s="22"/>
      <c r="B822" s="22"/>
      <c r="C822" s="22"/>
      <c r="D822" s="22"/>
      <c r="E822" s="22"/>
      <c r="F822" s="22"/>
      <c r="G822" s="22"/>
      <c r="H822" s="22"/>
      <c r="I822" s="22"/>
      <c r="J822" s="22"/>
      <c r="K822" s="22"/>
      <c r="L822" s="468"/>
      <c r="M822" s="468"/>
      <c r="N822" s="22"/>
      <c r="O822" s="22"/>
      <c r="P822" s="22"/>
      <c r="Q822" s="22"/>
      <c r="R822" s="22"/>
      <c r="S822" s="22"/>
      <c r="T822" s="468"/>
      <c r="U822" s="22"/>
      <c r="V822" s="22"/>
      <c r="W822" s="22"/>
      <c r="X822" s="22"/>
      <c r="Y822" s="22"/>
      <c r="Z822" s="465"/>
      <c r="AA822" s="22"/>
      <c r="AB822" s="22"/>
      <c r="AC822" s="22"/>
      <c r="AD822" s="22"/>
    </row>
    <row r="823" ht="15.75" customHeight="1">
      <c r="A823" s="22"/>
      <c r="B823" s="22"/>
      <c r="C823" s="22"/>
      <c r="D823" s="22"/>
      <c r="E823" s="22"/>
      <c r="F823" s="22"/>
      <c r="G823" s="22"/>
      <c r="H823" s="22"/>
      <c r="I823" s="22"/>
      <c r="J823" s="22"/>
      <c r="K823" s="22"/>
      <c r="L823" s="468"/>
      <c r="M823" s="468"/>
      <c r="N823" s="22"/>
      <c r="O823" s="22"/>
      <c r="P823" s="22"/>
      <c r="Q823" s="22"/>
      <c r="R823" s="22"/>
      <c r="S823" s="22"/>
      <c r="T823" s="468"/>
      <c r="U823" s="22"/>
      <c r="V823" s="22"/>
      <c r="W823" s="22"/>
      <c r="X823" s="22"/>
      <c r="Y823" s="22"/>
      <c r="Z823" s="465"/>
      <c r="AA823" s="22"/>
      <c r="AB823" s="22"/>
      <c r="AC823" s="22"/>
      <c r="AD823" s="22"/>
    </row>
    <row r="824" ht="15.75" customHeight="1">
      <c r="A824" s="22"/>
      <c r="B824" s="22"/>
      <c r="C824" s="22"/>
      <c r="D824" s="22"/>
      <c r="E824" s="22"/>
      <c r="F824" s="22"/>
      <c r="G824" s="22"/>
      <c r="H824" s="22"/>
      <c r="I824" s="22"/>
      <c r="J824" s="22"/>
      <c r="K824" s="22"/>
      <c r="L824" s="468"/>
      <c r="M824" s="468"/>
      <c r="N824" s="22"/>
      <c r="O824" s="22"/>
      <c r="P824" s="22"/>
      <c r="Q824" s="22"/>
      <c r="R824" s="22"/>
      <c r="S824" s="22"/>
      <c r="T824" s="468"/>
      <c r="U824" s="22"/>
      <c r="V824" s="22"/>
      <c r="W824" s="22"/>
      <c r="X824" s="22"/>
      <c r="Y824" s="22"/>
      <c r="Z824" s="465"/>
      <c r="AA824" s="22"/>
      <c r="AB824" s="22"/>
      <c r="AC824" s="22"/>
      <c r="AD824" s="22"/>
    </row>
    <row r="825" ht="15.75" customHeight="1">
      <c r="A825" s="22"/>
      <c r="B825" s="22"/>
      <c r="C825" s="22"/>
      <c r="D825" s="22"/>
      <c r="E825" s="22"/>
      <c r="F825" s="22"/>
      <c r="G825" s="22"/>
      <c r="H825" s="22"/>
      <c r="I825" s="22"/>
      <c r="J825" s="22"/>
      <c r="K825" s="22"/>
      <c r="L825" s="468"/>
      <c r="M825" s="468"/>
      <c r="N825" s="22"/>
      <c r="O825" s="22"/>
      <c r="P825" s="22"/>
      <c r="Q825" s="22"/>
      <c r="R825" s="22"/>
      <c r="S825" s="22"/>
      <c r="T825" s="468"/>
      <c r="U825" s="22"/>
      <c r="V825" s="22"/>
      <c r="W825" s="22"/>
      <c r="X825" s="22"/>
      <c r="Y825" s="22"/>
      <c r="Z825" s="465"/>
      <c r="AA825" s="22"/>
      <c r="AB825" s="22"/>
      <c r="AC825" s="22"/>
      <c r="AD825" s="22"/>
    </row>
    <row r="826" ht="15.75" customHeight="1">
      <c r="A826" s="22"/>
      <c r="B826" s="22"/>
      <c r="C826" s="22"/>
      <c r="D826" s="22"/>
      <c r="E826" s="22"/>
      <c r="F826" s="22"/>
      <c r="G826" s="22"/>
      <c r="H826" s="22"/>
      <c r="I826" s="22"/>
      <c r="J826" s="22"/>
      <c r="K826" s="22"/>
      <c r="L826" s="468"/>
      <c r="M826" s="468"/>
      <c r="N826" s="22"/>
      <c r="O826" s="22"/>
      <c r="P826" s="22"/>
      <c r="Q826" s="22"/>
      <c r="R826" s="22"/>
      <c r="S826" s="22"/>
      <c r="T826" s="468"/>
      <c r="U826" s="22"/>
      <c r="V826" s="22"/>
      <c r="W826" s="22"/>
      <c r="X826" s="22"/>
      <c r="Y826" s="22"/>
      <c r="Z826" s="465"/>
      <c r="AA826" s="22"/>
      <c r="AB826" s="22"/>
      <c r="AC826" s="22"/>
      <c r="AD826" s="22"/>
    </row>
    <row r="827" ht="15.75" customHeight="1">
      <c r="A827" s="22"/>
      <c r="B827" s="22"/>
      <c r="C827" s="22"/>
      <c r="D827" s="22"/>
      <c r="E827" s="22"/>
      <c r="F827" s="22"/>
      <c r="G827" s="22"/>
      <c r="H827" s="22"/>
      <c r="I827" s="22"/>
      <c r="J827" s="22"/>
      <c r="K827" s="22"/>
      <c r="L827" s="468"/>
      <c r="M827" s="468"/>
      <c r="N827" s="22"/>
      <c r="O827" s="22"/>
      <c r="P827" s="22"/>
      <c r="Q827" s="22"/>
      <c r="R827" s="22"/>
      <c r="S827" s="22"/>
      <c r="T827" s="468"/>
      <c r="U827" s="22"/>
      <c r="V827" s="22"/>
      <c r="W827" s="22"/>
      <c r="X827" s="22"/>
      <c r="Y827" s="22"/>
      <c r="Z827" s="465"/>
      <c r="AA827" s="22"/>
      <c r="AB827" s="22"/>
      <c r="AC827" s="22"/>
      <c r="AD827" s="22"/>
    </row>
    <row r="828" ht="15.75" customHeight="1">
      <c r="A828" s="22"/>
      <c r="B828" s="22"/>
      <c r="C828" s="22"/>
      <c r="D828" s="22"/>
      <c r="E828" s="22"/>
      <c r="F828" s="22"/>
      <c r="G828" s="22"/>
      <c r="H828" s="22"/>
      <c r="I828" s="22"/>
      <c r="J828" s="22"/>
      <c r="K828" s="22"/>
      <c r="L828" s="468"/>
      <c r="M828" s="468"/>
      <c r="N828" s="22"/>
      <c r="O828" s="22"/>
      <c r="P828" s="22"/>
      <c r="Q828" s="22"/>
      <c r="R828" s="22"/>
      <c r="S828" s="22"/>
      <c r="T828" s="468"/>
      <c r="U828" s="22"/>
      <c r="V828" s="22"/>
      <c r="W828" s="22"/>
      <c r="X828" s="22"/>
      <c r="Y828" s="22"/>
      <c r="Z828" s="465"/>
      <c r="AA828" s="22"/>
      <c r="AB828" s="22"/>
      <c r="AC828" s="22"/>
      <c r="AD828" s="22"/>
    </row>
    <row r="829" ht="15.75" customHeight="1">
      <c r="A829" s="22"/>
      <c r="B829" s="22"/>
      <c r="C829" s="22"/>
      <c r="D829" s="22"/>
      <c r="E829" s="22"/>
      <c r="F829" s="22"/>
      <c r="G829" s="22"/>
      <c r="H829" s="22"/>
      <c r="I829" s="22"/>
      <c r="J829" s="22"/>
      <c r="K829" s="22"/>
      <c r="L829" s="468"/>
      <c r="M829" s="468"/>
      <c r="N829" s="22"/>
      <c r="O829" s="22"/>
      <c r="P829" s="22"/>
      <c r="Q829" s="22"/>
      <c r="R829" s="22"/>
      <c r="S829" s="22"/>
      <c r="T829" s="468"/>
      <c r="U829" s="22"/>
      <c r="V829" s="22"/>
      <c r="W829" s="22"/>
      <c r="X829" s="22"/>
      <c r="Y829" s="22"/>
      <c r="Z829" s="465"/>
      <c r="AA829" s="22"/>
      <c r="AB829" s="22"/>
      <c r="AC829" s="22"/>
      <c r="AD829" s="22"/>
    </row>
    <row r="830" ht="15.75" customHeight="1">
      <c r="A830" s="22"/>
      <c r="B830" s="22"/>
      <c r="C830" s="22"/>
      <c r="D830" s="22"/>
      <c r="E830" s="22"/>
      <c r="F830" s="22"/>
      <c r="G830" s="22"/>
      <c r="H830" s="22"/>
      <c r="I830" s="22"/>
      <c r="J830" s="22"/>
      <c r="K830" s="22"/>
      <c r="L830" s="468"/>
      <c r="M830" s="468"/>
      <c r="N830" s="22"/>
      <c r="O830" s="22"/>
      <c r="P830" s="22"/>
      <c r="Q830" s="22"/>
      <c r="R830" s="22"/>
      <c r="S830" s="22"/>
      <c r="T830" s="468"/>
      <c r="U830" s="22"/>
      <c r="V830" s="22"/>
      <c r="W830" s="22"/>
      <c r="X830" s="22"/>
      <c r="Y830" s="22"/>
      <c r="Z830" s="465"/>
      <c r="AA830" s="22"/>
      <c r="AB830" s="22"/>
      <c r="AC830" s="22"/>
      <c r="AD830" s="22"/>
    </row>
    <row r="831" ht="15.75" customHeight="1">
      <c r="A831" s="22"/>
      <c r="B831" s="22"/>
      <c r="C831" s="22"/>
      <c r="D831" s="22"/>
      <c r="E831" s="22"/>
      <c r="F831" s="22"/>
      <c r="G831" s="22"/>
      <c r="H831" s="22"/>
      <c r="I831" s="22"/>
      <c r="J831" s="22"/>
      <c r="K831" s="22"/>
      <c r="L831" s="468"/>
      <c r="M831" s="468"/>
      <c r="N831" s="22"/>
      <c r="O831" s="22"/>
      <c r="P831" s="22"/>
      <c r="Q831" s="22"/>
      <c r="R831" s="22"/>
      <c r="S831" s="22"/>
      <c r="T831" s="468"/>
      <c r="U831" s="22"/>
      <c r="V831" s="22"/>
      <c r="W831" s="22"/>
      <c r="X831" s="22"/>
      <c r="Y831" s="22"/>
      <c r="Z831" s="465"/>
      <c r="AA831" s="22"/>
      <c r="AB831" s="22"/>
      <c r="AC831" s="22"/>
      <c r="AD831" s="22"/>
    </row>
    <row r="832" ht="15.75" customHeight="1">
      <c r="A832" s="22"/>
      <c r="B832" s="22"/>
      <c r="C832" s="22"/>
      <c r="D832" s="22"/>
      <c r="E832" s="22"/>
      <c r="F832" s="22"/>
      <c r="G832" s="22"/>
      <c r="H832" s="22"/>
      <c r="I832" s="22"/>
      <c r="J832" s="22"/>
      <c r="K832" s="22"/>
      <c r="L832" s="468"/>
      <c r="M832" s="468"/>
      <c r="N832" s="22"/>
      <c r="O832" s="22"/>
      <c r="P832" s="22"/>
      <c r="Q832" s="22"/>
      <c r="R832" s="22"/>
      <c r="S832" s="22"/>
      <c r="T832" s="468"/>
      <c r="U832" s="22"/>
      <c r="V832" s="22"/>
      <c r="W832" s="22"/>
      <c r="X832" s="22"/>
      <c r="Y832" s="22"/>
      <c r="Z832" s="465"/>
      <c r="AA832" s="22"/>
      <c r="AB832" s="22"/>
      <c r="AC832" s="22"/>
      <c r="AD832" s="22"/>
    </row>
    <row r="833" ht="15.75" customHeight="1">
      <c r="A833" s="22"/>
      <c r="B833" s="22"/>
      <c r="C833" s="22"/>
      <c r="D833" s="22"/>
      <c r="E833" s="22"/>
      <c r="F833" s="22"/>
      <c r="G833" s="22"/>
      <c r="H833" s="22"/>
      <c r="I833" s="22"/>
      <c r="J833" s="22"/>
      <c r="K833" s="22"/>
      <c r="L833" s="468"/>
      <c r="M833" s="468"/>
      <c r="N833" s="22"/>
      <c r="O833" s="22"/>
      <c r="P833" s="22"/>
      <c r="Q833" s="22"/>
      <c r="R833" s="22"/>
      <c r="S833" s="22"/>
      <c r="T833" s="468"/>
      <c r="U833" s="22"/>
      <c r="V833" s="22"/>
      <c r="W833" s="22"/>
      <c r="X833" s="22"/>
      <c r="Y833" s="22"/>
      <c r="Z833" s="465"/>
      <c r="AA833" s="22"/>
      <c r="AB833" s="22"/>
      <c r="AC833" s="22"/>
      <c r="AD833" s="22"/>
    </row>
    <row r="834" ht="15.75" customHeight="1">
      <c r="A834" s="22"/>
      <c r="B834" s="22"/>
      <c r="C834" s="22"/>
      <c r="D834" s="22"/>
      <c r="E834" s="22"/>
      <c r="F834" s="22"/>
      <c r="G834" s="22"/>
      <c r="H834" s="22"/>
      <c r="I834" s="22"/>
      <c r="J834" s="22"/>
      <c r="K834" s="22"/>
      <c r="L834" s="468"/>
      <c r="M834" s="468"/>
      <c r="N834" s="22"/>
      <c r="O834" s="22"/>
      <c r="P834" s="22"/>
      <c r="Q834" s="22"/>
      <c r="R834" s="22"/>
      <c r="S834" s="22"/>
      <c r="T834" s="468"/>
      <c r="U834" s="22"/>
      <c r="V834" s="22"/>
      <c r="W834" s="22"/>
      <c r="X834" s="22"/>
      <c r="Y834" s="22"/>
      <c r="Z834" s="465"/>
      <c r="AA834" s="22"/>
      <c r="AB834" s="22"/>
      <c r="AC834" s="22"/>
      <c r="AD834" s="22"/>
    </row>
    <row r="835" ht="15.75" customHeight="1">
      <c r="A835" s="22"/>
      <c r="B835" s="22"/>
      <c r="C835" s="22"/>
      <c r="D835" s="22"/>
      <c r="E835" s="22"/>
      <c r="F835" s="22"/>
      <c r="G835" s="22"/>
      <c r="H835" s="22"/>
      <c r="I835" s="22"/>
      <c r="J835" s="22"/>
      <c r="K835" s="22"/>
      <c r="L835" s="468"/>
      <c r="M835" s="468"/>
      <c r="N835" s="22"/>
      <c r="O835" s="22"/>
      <c r="P835" s="22"/>
      <c r="Q835" s="22"/>
      <c r="R835" s="22"/>
      <c r="S835" s="22"/>
      <c r="T835" s="468"/>
      <c r="U835" s="22"/>
      <c r="V835" s="22"/>
      <c r="W835" s="22"/>
      <c r="X835" s="22"/>
      <c r="Y835" s="22"/>
      <c r="Z835" s="465"/>
      <c r="AA835" s="22"/>
      <c r="AB835" s="22"/>
      <c r="AC835" s="22"/>
      <c r="AD835" s="22"/>
    </row>
    <row r="836" ht="15.75" customHeight="1">
      <c r="A836" s="22"/>
      <c r="B836" s="22"/>
      <c r="C836" s="22"/>
      <c r="D836" s="22"/>
      <c r="E836" s="22"/>
      <c r="F836" s="22"/>
      <c r="G836" s="22"/>
      <c r="H836" s="22"/>
      <c r="I836" s="22"/>
      <c r="J836" s="22"/>
      <c r="K836" s="22"/>
      <c r="L836" s="468"/>
      <c r="M836" s="468"/>
      <c r="N836" s="22"/>
      <c r="O836" s="22"/>
      <c r="P836" s="22"/>
      <c r="Q836" s="22"/>
      <c r="R836" s="22"/>
      <c r="S836" s="22"/>
      <c r="T836" s="468"/>
      <c r="U836" s="22"/>
      <c r="V836" s="22"/>
      <c r="W836" s="22"/>
      <c r="X836" s="22"/>
      <c r="Y836" s="22"/>
      <c r="Z836" s="465"/>
      <c r="AA836" s="22"/>
      <c r="AB836" s="22"/>
      <c r="AC836" s="22"/>
      <c r="AD836" s="22"/>
    </row>
    <row r="837" ht="15.75" customHeight="1">
      <c r="A837" s="22"/>
      <c r="B837" s="22"/>
      <c r="C837" s="22"/>
      <c r="D837" s="22"/>
      <c r="E837" s="22"/>
      <c r="F837" s="22"/>
      <c r="G837" s="22"/>
      <c r="H837" s="22"/>
      <c r="I837" s="22"/>
      <c r="J837" s="22"/>
      <c r="K837" s="22"/>
      <c r="L837" s="468"/>
      <c r="M837" s="468"/>
      <c r="N837" s="22"/>
      <c r="O837" s="22"/>
      <c r="P837" s="22"/>
      <c r="Q837" s="22"/>
      <c r="R837" s="22"/>
      <c r="S837" s="22"/>
      <c r="T837" s="468"/>
      <c r="U837" s="22"/>
      <c r="V837" s="22"/>
      <c r="W837" s="22"/>
      <c r="X837" s="22"/>
      <c r="Y837" s="22"/>
      <c r="Z837" s="465"/>
      <c r="AA837" s="22"/>
      <c r="AB837" s="22"/>
      <c r="AC837" s="22"/>
      <c r="AD837" s="22"/>
    </row>
    <row r="838" ht="15.75" customHeight="1">
      <c r="A838" s="22"/>
      <c r="B838" s="22"/>
      <c r="C838" s="22"/>
      <c r="D838" s="22"/>
      <c r="E838" s="22"/>
      <c r="F838" s="22"/>
      <c r="G838" s="22"/>
      <c r="H838" s="22"/>
      <c r="I838" s="22"/>
      <c r="J838" s="22"/>
      <c r="K838" s="22"/>
      <c r="L838" s="468"/>
      <c r="M838" s="468"/>
      <c r="N838" s="22"/>
      <c r="O838" s="22"/>
      <c r="P838" s="22"/>
      <c r="Q838" s="22"/>
      <c r="R838" s="22"/>
      <c r="S838" s="22"/>
      <c r="T838" s="468"/>
      <c r="U838" s="22"/>
      <c r="V838" s="22"/>
      <c r="W838" s="22"/>
      <c r="X838" s="22"/>
      <c r="Y838" s="22"/>
      <c r="Z838" s="465"/>
      <c r="AA838" s="22"/>
      <c r="AB838" s="22"/>
      <c r="AC838" s="22"/>
      <c r="AD838" s="22"/>
    </row>
    <row r="839" ht="15.75" customHeight="1">
      <c r="A839" s="22"/>
      <c r="B839" s="22"/>
      <c r="C839" s="22"/>
      <c r="D839" s="22"/>
      <c r="E839" s="22"/>
      <c r="F839" s="22"/>
      <c r="G839" s="22"/>
      <c r="H839" s="22"/>
      <c r="I839" s="22"/>
      <c r="J839" s="22"/>
      <c r="K839" s="22"/>
      <c r="L839" s="468"/>
      <c r="M839" s="468"/>
      <c r="N839" s="22"/>
      <c r="O839" s="22"/>
      <c r="P839" s="22"/>
      <c r="Q839" s="22"/>
      <c r="R839" s="22"/>
      <c r="S839" s="22"/>
      <c r="T839" s="468"/>
      <c r="U839" s="22"/>
      <c r="V839" s="22"/>
      <c r="W839" s="22"/>
      <c r="X839" s="22"/>
      <c r="Y839" s="22"/>
      <c r="Z839" s="465"/>
      <c r="AA839" s="22"/>
      <c r="AB839" s="22"/>
      <c r="AC839" s="22"/>
      <c r="AD839" s="22"/>
    </row>
    <row r="840" ht="15.75" customHeight="1">
      <c r="A840" s="22"/>
      <c r="B840" s="22"/>
      <c r="C840" s="22"/>
      <c r="D840" s="22"/>
      <c r="E840" s="22"/>
      <c r="F840" s="22"/>
      <c r="G840" s="22"/>
      <c r="H840" s="22"/>
      <c r="I840" s="22"/>
      <c r="J840" s="22"/>
      <c r="K840" s="22"/>
      <c r="L840" s="468"/>
      <c r="M840" s="468"/>
      <c r="N840" s="22"/>
      <c r="O840" s="22"/>
      <c r="P840" s="22"/>
      <c r="Q840" s="22"/>
      <c r="R840" s="22"/>
      <c r="S840" s="22"/>
      <c r="T840" s="468"/>
      <c r="U840" s="22"/>
      <c r="V840" s="22"/>
      <c r="W840" s="22"/>
      <c r="X840" s="22"/>
      <c r="Y840" s="22"/>
      <c r="Z840" s="465"/>
      <c r="AA840" s="22"/>
      <c r="AB840" s="22"/>
      <c r="AC840" s="22"/>
      <c r="AD840" s="22"/>
    </row>
    <row r="841" ht="15.75" customHeight="1">
      <c r="A841" s="22"/>
      <c r="B841" s="22"/>
      <c r="C841" s="22"/>
      <c r="D841" s="22"/>
      <c r="E841" s="22"/>
      <c r="F841" s="22"/>
      <c r="G841" s="22"/>
      <c r="H841" s="22"/>
      <c r="I841" s="22"/>
      <c r="J841" s="22"/>
      <c r="K841" s="22"/>
      <c r="L841" s="468"/>
      <c r="M841" s="468"/>
      <c r="N841" s="22"/>
      <c r="O841" s="22"/>
      <c r="P841" s="22"/>
      <c r="Q841" s="22"/>
      <c r="R841" s="22"/>
      <c r="S841" s="22"/>
      <c r="T841" s="468"/>
      <c r="U841" s="22"/>
      <c r="V841" s="22"/>
      <c r="W841" s="22"/>
      <c r="X841" s="22"/>
      <c r="Y841" s="22"/>
      <c r="Z841" s="465"/>
      <c r="AA841" s="22"/>
      <c r="AB841" s="22"/>
      <c r="AC841" s="22"/>
      <c r="AD841" s="22"/>
    </row>
    <row r="842" ht="15.75" customHeight="1">
      <c r="A842" s="22"/>
      <c r="B842" s="22"/>
      <c r="C842" s="22"/>
      <c r="D842" s="22"/>
      <c r="E842" s="22"/>
      <c r="F842" s="22"/>
      <c r="G842" s="22"/>
      <c r="H842" s="22"/>
      <c r="I842" s="22"/>
      <c r="J842" s="22"/>
      <c r="K842" s="22"/>
      <c r="L842" s="468"/>
      <c r="M842" s="468"/>
      <c r="N842" s="22"/>
      <c r="O842" s="22"/>
      <c r="P842" s="22"/>
      <c r="Q842" s="22"/>
      <c r="R842" s="22"/>
      <c r="S842" s="22"/>
      <c r="T842" s="468"/>
      <c r="U842" s="22"/>
      <c r="V842" s="22"/>
      <c r="W842" s="22"/>
      <c r="X842" s="22"/>
      <c r="Y842" s="22"/>
      <c r="Z842" s="465"/>
      <c r="AA842" s="22"/>
      <c r="AB842" s="22"/>
      <c r="AC842" s="22"/>
      <c r="AD842" s="22"/>
    </row>
    <row r="843" ht="15.75" customHeight="1">
      <c r="A843" s="22"/>
      <c r="B843" s="22"/>
      <c r="C843" s="22"/>
      <c r="D843" s="22"/>
      <c r="E843" s="22"/>
      <c r="F843" s="22"/>
      <c r="G843" s="22"/>
      <c r="H843" s="22"/>
      <c r="I843" s="22"/>
      <c r="J843" s="22"/>
      <c r="K843" s="22"/>
      <c r="L843" s="468"/>
      <c r="M843" s="468"/>
      <c r="N843" s="22"/>
      <c r="O843" s="22"/>
      <c r="P843" s="22"/>
      <c r="Q843" s="22"/>
      <c r="R843" s="22"/>
      <c r="S843" s="22"/>
      <c r="T843" s="468"/>
      <c r="U843" s="22"/>
      <c r="V843" s="22"/>
      <c r="W843" s="22"/>
      <c r="X843" s="22"/>
      <c r="Y843" s="22"/>
      <c r="Z843" s="465"/>
      <c r="AA843" s="22"/>
      <c r="AB843" s="22"/>
      <c r="AC843" s="22"/>
      <c r="AD843" s="22"/>
    </row>
    <row r="844" ht="15.75" customHeight="1">
      <c r="A844" s="22"/>
      <c r="B844" s="22"/>
      <c r="C844" s="22"/>
      <c r="D844" s="22"/>
      <c r="E844" s="22"/>
      <c r="F844" s="22"/>
      <c r="G844" s="22"/>
      <c r="H844" s="22"/>
      <c r="I844" s="22"/>
      <c r="J844" s="22"/>
      <c r="K844" s="22"/>
      <c r="L844" s="468"/>
      <c r="M844" s="468"/>
      <c r="N844" s="22"/>
      <c r="O844" s="22"/>
      <c r="P844" s="22"/>
      <c r="Q844" s="22"/>
      <c r="R844" s="22"/>
      <c r="S844" s="22"/>
      <c r="T844" s="468"/>
      <c r="U844" s="22"/>
      <c r="V844" s="22"/>
      <c r="W844" s="22"/>
      <c r="X844" s="22"/>
      <c r="Y844" s="22"/>
      <c r="Z844" s="465"/>
      <c r="AA844" s="22"/>
      <c r="AB844" s="22"/>
      <c r="AC844" s="22"/>
      <c r="AD844" s="22"/>
    </row>
    <row r="845" ht="15.75" customHeight="1">
      <c r="A845" s="22"/>
      <c r="B845" s="22"/>
      <c r="C845" s="22"/>
      <c r="D845" s="22"/>
      <c r="E845" s="22"/>
      <c r="F845" s="22"/>
      <c r="G845" s="22"/>
      <c r="H845" s="22"/>
      <c r="I845" s="22"/>
      <c r="J845" s="22"/>
      <c r="K845" s="22"/>
      <c r="L845" s="468"/>
      <c r="M845" s="468"/>
      <c r="N845" s="22"/>
      <c r="O845" s="22"/>
      <c r="P845" s="22"/>
      <c r="Q845" s="22"/>
      <c r="R845" s="22"/>
      <c r="S845" s="22"/>
      <c r="T845" s="468"/>
      <c r="U845" s="22"/>
      <c r="V845" s="22"/>
      <c r="W845" s="22"/>
      <c r="X845" s="22"/>
      <c r="Y845" s="22"/>
      <c r="Z845" s="465"/>
      <c r="AA845" s="22"/>
      <c r="AB845" s="22"/>
      <c r="AC845" s="22"/>
      <c r="AD845" s="22"/>
    </row>
    <row r="846" ht="15.75" customHeight="1">
      <c r="A846" s="22"/>
      <c r="B846" s="22"/>
      <c r="C846" s="22"/>
      <c r="D846" s="22"/>
      <c r="E846" s="22"/>
      <c r="F846" s="22"/>
      <c r="G846" s="22"/>
      <c r="H846" s="22"/>
      <c r="I846" s="22"/>
      <c r="J846" s="22"/>
      <c r="K846" s="22"/>
      <c r="L846" s="468"/>
      <c r="M846" s="468"/>
      <c r="N846" s="22"/>
      <c r="O846" s="22"/>
      <c r="P846" s="22"/>
      <c r="Q846" s="22"/>
      <c r="R846" s="22"/>
      <c r="S846" s="22"/>
      <c r="T846" s="468"/>
      <c r="U846" s="22"/>
      <c r="V846" s="22"/>
      <c r="W846" s="22"/>
      <c r="X846" s="22"/>
      <c r="Y846" s="22"/>
      <c r="Z846" s="465"/>
      <c r="AA846" s="22"/>
      <c r="AB846" s="22"/>
      <c r="AC846" s="22"/>
      <c r="AD846" s="22"/>
    </row>
    <row r="847" ht="15.75" customHeight="1">
      <c r="A847" s="22"/>
      <c r="B847" s="22"/>
      <c r="C847" s="22"/>
      <c r="D847" s="22"/>
      <c r="E847" s="22"/>
      <c r="F847" s="22"/>
      <c r="G847" s="22"/>
      <c r="H847" s="22"/>
      <c r="I847" s="22"/>
      <c r="J847" s="22"/>
      <c r="K847" s="22"/>
      <c r="L847" s="468"/>
      <c r="M847" s="468"/>
      <c r="N847" s="22"/>
      <c r="O847" s="22"/>
      <c r="P847" s="22"/>
      <c r="Q847" s="22"/>
      <c r="R847" s="22"/>
      <c r="S847" s="22"/>
      <c r="T847" s="468"/>
      <c r="U847" s="22"/>
      <c r="V847" s="22"/>
      <c r="W847" s="22"/>
      <c r="X847" s="22"/>
      <c r="Y847" s="22"/>
      <c r="Z847" s="465"/>
      <c r="AA847" s="22"/>
      <c r="AB847" s="22"/>
      <c r="AC847" s="22"/>
      <c r="AD847" s="22"/>
    </row>
    <row r="848" ht="15.75" customHeight="1">
      <c r="A848" s="22"/>
      <c r="B848" s="22"/>
      <c r="C848" s="22"/>
      <c r="D848" s="22"/>
      <c r="E848" s="22"/>
      <c r="F848" s="22"/>
      <c r="G848" s="22"/>
      <c r="H848" s="22"/>
      <c r="I848" s="22"/>
      <c r="J848" s="22"/>
      <c r="K848" s="22"/>
      <c r="L848" s="468"/>
      <c r="M848" s="468"/>
      <c r="N848" s="22"/>
      <c r="O848" s="22"/>
      <c r="P848" s="22"/>
      <c r="Q848" s="22"/>
      <c r="R848" s="22"/>
      <c r="S848" s="22"/>
      <c r="T848" s="468"/>
      <c r="U848" s="22"/>
      <c r="V848" s="22"/>
      <c r="W848" s="22"/>
      <c r="X848" s="22"/>
      <c r="Y848" s="22"/>
      <c r="Z848" s="465"/>
      <c r="AA848" s="22"/>
      <c r="AB848" s="22"/>
      <c r="AC848" s="22"/>
      <c r="AD848" s="22"/>
    </row>
    <row r="849" ht="15.75" customHeight="1">
      <c r="A849" s="22"/>
      <c r="B849" s="22"/>
      <c r="C849" s="22"/>
      <c r="D849" s="22"/>
      <c r="E849" s="22"/>
      <c r="F849" s="22"/>
      <c r="G849" s="22"/>
      <c r="H849" s="22"/>
      <c r="I849" s="22"/>
      <c r="J849" s="22"/>
      <c r="K849" s="22"/>
      <c r="L849" s="468"/>
      <c r="M849" s="468"/>
      <c r="N849" s="22"/>
      <c r="O849" s="22"/>
      <c r="P849" s="22"/>
      <c r="Q849" s="22"/>
      <c r="R849" s="22"/>
      <c r="S849" s="22"/>
      <c r="T849" s="468"/>
      <c r="U849" s="22"/>
      <c r="V849" s="22"/>
      <c r="W849" s="22"/>
      <c r="X849" s="22"/>
      <c r="Y849" s="22"/>
      <c r="Z849" s="465"/>
      <c r="AA849" s="22"/>
      <c r="AB849" s="22"/>
      <c r="AC849" s="22"/>
      <c r="AD849" s="22"/>
    </row>
    <row r="850" ht="15.75" customHeight="1">
      <c r="A850" s="22"/>
      <c r="B850" s="22"/>
      <c r="C850" s="22"/>
      <c r="D850" s="22"/>
      <c r="E850" s="22"/>
      <c r="F850" s="22"/>
      <c r="G850" s="22"/>
      <c r="H850" s="22"/>
      <c r="I850" s="22"/>
      <c r="J850" s="22"/>
      <c r="K850" s="22"/>
      <c r="L850" s="468"/>
      <c r="M850" s="468"/>
      <c r="N850" s="22"/>
      <c r="O850" s="22"/>
      <c r="P850" s="22"/>
      <c r="Q850" s="22"/>
      <c r="R850" s="22"/>
      <c r="S850" s="22"/>
      <c r="T850" s="468"/>
      <c r="U850" s="22"/>
      <c r="V850" s="22"/>
      <c r="W850" s="22"/>
      <c r="X850" s="22"/>
      <c r="Y850" s="22"/>
      <c r="Z850" s="465"/>
      <c r="AA850" s="22"/>
      <c r="AB850" s="22"/>
      <c r="AC850" s="22"/>
      <c r="AD850" s="22"/>
    </row>
    <row r="851" ht="15.75" customHeight="1">
      <c r="A851" s="22"/>
      <c r="B851" s="22"/>
      <c r="C851" s="22"/>
      <c r="D851" s="22"/>
      <c r="E851" s="22"/>
      <c r="F851" s="22"/>
      <c r="G851" s="22"/>
      <c r="H851" s="22"/>
      <c r="I851" s="22"/>
      <c r="J851" s="22"/>
      <c r="K851" s="22"/>
      <c r="L851" s="468"/>
      <c r="M851" s="468"/>
      <c r="N851" s="22"/>
      <c r="O851" s="22"/>
      <c r="P851" s="22"/>
      <c r="Q851" s="22"/>
      <c r="R851" s="22"/>
      <c r="S851" s="22"/>
      <c r="T851" s="468"/>
      <c r="U851" s="22"/>
      <c r="V851" s="22"/>
      <c r="W851" s="22"/>
      <c r="X851" s="22"/>
      <c r="Y851" s="22"/>
      <c r="Z851" s="465"/>
      <c r="AA851" s="22"/>
      <c r="AB851" s="22"/>
      <c r="AC851" s="22"/>
      <c r="AD851" s="22"/>
    </row>
    <row r="852" ht="15.75" customHeight="1">
      <c r="A852" s="22"/>
      <c r="B852" s="22"/>
      <c r="C852" s="22"/>
      <c r="D852" s="22"/>
      <c r="E852" s="22"/>
      <c r="F852" s="22"/>
      <c r="G852" s="22"/>
      <c r="H852" s="22"/>
      <c r="I852" s="22"/>
      <c r="J852" s="22"/>
      <c r="K852" s="22"/>
      <c r="L852" s="468"/>
      <c r="M852" s="468"/>
      <c r="N852" s="22"/>
      <c r="O852" s="22"/>
      <c r="P852" s="22"/>
      <c r="Q852" s="22"/>
      <c r="R852" s="22"/>
      <c r="S852" s="22"/>
      <c r="T852" s="468"/>
      <c r="U852" s="22"/>
      <c r="V852" s="22"/>
      <c r="W852" s="22"/>
      <c r="X852" s="22"/>
      <c r="Y852" s="22"/>
      <c r="Z852" s="465"/>
      <c r="AA852" s="22"/>
      <c r="AB852" s="22"/>
      <c r="AC852" s="22"/>
      <c r="AD852" s="22"/>
    </row>
    <row r="853" ht="15.75" customHeight="1">
      <c r="A853" s="22"/>
      <c r="B853" s="22"/>
      <c r="C853" s="22"/>
      <c r="D853" s="22"/>
      <c r="E853" s="22"/>
      <c r="F853" s="22"/>
      <c r="G853" s="22"/>
      <c r="H853" s="22"/>
      <c r="I853" s="22"/>
      <c r="J853" s="22"/>
      <c r="K853" s="22"/>
      <c r="L853" s="468"/>
      <c r="M853" s="468"/>
      <c r="N853" s="22"/>
      <c r="O853" s="22"/>
      <c r="P853" s="22"/>
      <c r="Q853" s="22"/>
      <c r="R853" s="22"/>
      <c r="S853" s="22"/>
      <c r="T853" s="468"/>
      <c r="U853" s="22"/>
      <c r="V853" s="22"/>
      <c r="W853" s="22"/>
      <c r="X853" s="22"/>
      <c r="Y853" s="22"/>
      <c r="Z853" s="465"/>
      <c r="AA853" s="22"/>
      <c r="AB853" s="22"/>
      <c r="AC853" s="22"/>
      <c r="AD853" s="22"/>
    </row>
    <row r="854" ht="15.75" customHeight="1">
      <c r="A854" s="22"/>
      <c r="B854" s="22"/>
      <c r="C854" s="22"/>
      <c r="D854" s="22"/>
      <c r="E854" s="22"/>
      <c r="F854" s="22"/>
      <c r="G854" s="22"/>
      <c r="H854" s="22"/>
      <c r="I854" s="22"/>
      <c r="J854" s="22"/>
      <c r="K854" s="22"/>
      <c r="L854" s="468"/>
      <c r="M854" s="468"/>
      <c r="N854" s="22"/>
      <c r="O854" s="22"/>
      <c r="P854" s="22"/>
      <c r="Q854" s="22"/>
      <c r="R854" s="22"/>
      <c r="S854" s="22"/>
      <c r="T854" s="468"/>
      <c r="U854" s="22"/>
      <c r="V854" s="22"/>
      <c r="W854" s="22"/>
      <c r="X854" s="22"/>
      <c r="Y854" s="22"/>
      <c r="Z854" s="465"/>
      <c r="AA854" s="22"/>
      <c r="AB854" s="22"/>
      <c r="AC854" s="22"/>
      <c r="AD854" s="22"/>
    </row>
    <row r="855" ht="15.75" customHeight="1">
      <c r="A855" s="22"/>
      <c r="B855" s="22"/>
      <c r="C855" s="22"/>
      <c r="D855" s="22"/>
      <c r="E855" s="22"/>
      <c r="F855" s="22"/>
      <c r="G855" s="22"/>
      <c r="H855" s="22"/>
      <c r="I855" s="22"/>
      <c r="J855" s="22"/>
      <c r="K855" s="22"/>
      <c r="L855" s="468"/>
      <c r="M855" s="468"/>
      <c r="N855" s="22"/>
      <c r="O855" s="22"/>
      <c r="P855" s="22"/>
      <c r="Q855" s="22"/>
      <c r="R855" s="22"/>
      <c r="S855" s="22"/>
      <c r="T855" s="468"/>
      <c r="U855" s="22"/>
      <c r="V855" s="22"/>
      <c r="W855" s="22"/>
      <c r="X855" s="22"/>
      <c r="Y855" s="22"/>
      <c r="Z855" s="465"/>
      <c r="AA855" s="22"/>
      <c r="AB855" s="22"/>
      <c r="AC855" s="22"/>
      <c r="AD855" s="22"/>
    </row>
    <row r="856" ht="15.75" customHeight="1">
      <c r="A856" s="22"/>
      <c r="B856" s="22"/>
      <c r="C856" s="22"/>
      <c r="D856" s="22"/>
      <c r="E856" s="22"/>
      <c r="F856" s="22"/>
      <c r="G856" s="22"/>
      <c r="H856" s="22"/>
      <c r="I856" s="22"/>
      <c r="J856" s="22"/>
      <c r="K856" s="22"/>
      <c r="L856" s="468"/>
      <c r="M856" s="468"/>
      <c r="N856" s="22"/>
      <c r="O856" s="22"/>
      <c r="P856" s="22"/>
      <c r="Q856" s="22"/>
      <c r="R856" s="22"/>
      <c r="S856" s="22"/>
      <c r="T856" s="468"/>
      <c r="U856" s="22"/>
      <c r="V856" s="22"/>
      <c r="W856" s="22"/>
      <c r="X856" s="22"/>
      <c r="Y856" s="22"/>
      <c r="Z856" s="465"/>
      <c r="AA856" s="22"/>
      <c r="AB856" s="22"/>
      <c r="AC856" s="22"/>
      <c r="AD856" s="22"/>
    </row>
    <row r="857" ht="15.75" customHeight="1">
      <c r="A857" s="22"/>
      <c r="B857" s="22"/>
      <c r="C857" s="22"/>
      <c r="D857" s="22"/>
      <c r="E857" s="22"/>
      <c r="F857" s="22"/>
      <c r="G857" s="22"/>
      <c r="H857" s="22"/>
      <c r="I857" s="22"/>
      <c r="J857" s="22"/>
      <c r="K857" s="22"/>
      <c r="L857" s="468"/>
      <c r="M857" s="468"/>
      <c r="N857" s="22"/>
      <c r="O857" s="22"/>
      <c r="P857" s="22"/>
      <c r="Q857" s="22"/>
      <c r="R857" s="22"/>
      <c r="S857" s="22"/>
      <c r="T857" s="468"/>
      <c r="U857" s="22"/>
      <c r="V857" s="22"/>
      <c r="W857" s="22"/>
      <c r="X857" s="22"/>
      <c r="Y857" s="22"/>
      <c r="Z857" s="465"/>
      <c r="AA857" s="22"/>
      <c r="AB857" s="22"/>
      <c r="AC857" s="22"/>
      <c r="AD857" s="22"/>
    </row>
    <row r="858" ht="15.75" customHeight="1">
      <c r="A858" s="22"/>
      <c r="B858" s="22"/>
      <c r="C858" s="22"/>
      <c r="D858" s="22"/>
      <c r="E858" s="22"/>
      <c r="F858" s="22"/>
      <c r="G858" s="22"/>
      <c r="H858" s="22"/>
      <c r="I858" s="22"/>
      <c r="J858" s="22"/>
      <c r="K858" s="22"/>
      <c r="L858" s="468"/>
      <c r="M858" s="468"/>
      <c r="N858" s="22"/>
      <c r="O858" s="22"/>
      <c r="P858" s="22"/>
      <c r="Q858" s="22"/>
      <c r="R858" s="22"/>
      <c r="S858" s="22"/>
      <c r="T858" s="468"/>
      <c r="U858" s="22"/>
      <c r="V858" s="22"/>
      <c r="W858" s="22"/>
      <c r="X858" s="22"/>
      <c r="Y858" s="22"/>
      <c r="Z858" s="465"/>
      <c r="AA858" s="22"/>
      <c r="AB858" s="22"/>
      <c r="AC858" s="22"/>
      <c r="AD858" s="22"/>
    </row>
    <row r="859" ht="15.75" customHeight="1">
      <c r="A859" s="22"/>
      <c r="B859" s="22"/>
      <c r="C859" s="22"/>
      <c r="D859" s="22"/>
      <c r="E859" s="22"/>
      <c r="F859" s="22"/>
      <c r="G859" s="22"/>
      <c r="H859" s="22"/>
      <c r="I859" s="22"/>
      <c r="J859" s="22"/>
      <c r="K859" s="22"/>
      <c r="L859" s="468"/>
      <c r="M859" s="468"/>
      <c r="N859" s="22"/>
      <c r="O859" s="22"/>
      <c r="P859" s="22"/>
      <c r="Q859" s="22"/>
      <c r="R859" s="22"/>
      <c r="S859" s="22"/>
      <c r="T859" s="468"/>
      <c r="U859" s="22"/>
      <c r="V859" s="22"/>
      <c r="W859" s="22"/>
      <c r="X859" s="22"/>
      <c r="Y859" s="22"/>
      <c r="Z859" s="465"/>
      <c r="AA859" s="22"/>
      <c r="AB859" s="22"/>
      <c r="AC859" s="22"/>
      <c r="AD859" s="22"/>
    </row>
    <row r="860" ht="15.75" customHeight="1">
      <c r="A860" s="22"/>
      <c r="B860" s="22"/>
      <c r="C860" s="22"/>
      <c r="D860" s="22"/>
      <c r="E860" s="22"/>
      <c r="F860" s="22"/>
      <c r="G860" s="22"/>
      <c r="H860" s="22"/>
      <c r="I860" s="22"/>
      <c r="J860" s="22"/>
      <c r="K860" s="22"/>
      <c r="L860" s="468"/>
      <c r="M860" s="468"/>
      <c r="N860" s="22"/>
      <c r="O860" s="22"/>
      <c r="P860" s="22"/>
      <c r="Q860" s="22"/>
      <c r="R860" s="22"/>
      <c r="S860" s="22"/>
      <c r="T860" s="468"/>
      <c r="U860" s="22"/>
      <c r="V860" s="22"/>
      <c r="W860" s="22"/>
      <c r="X860" s="22"/>
      <c r="Y860" s="22"/>
      <c r="Z860" s="465"/>
      <c r="AA860" s="22"/>
      <c r="AB860" s="22"/>
      <c r="AC860" s="22"/>
      <c r="AD860" s="22"/>
    </row>
    <row r="861" ht="15.75" customHeight="1">
      <c r="A861" s="22"/>
      <c r="B861" s="22"/>
      <c r="C861" s="22"/>
      <c r="D861" s="22"/>
      <c r="E861" s="22"/>
      <c r="F861" s="22"/>
      <c r="G861" s="22"/>
      <c r="H861" s="22"/>
      <c r="I861" s="22"/>
      <c r="J861" s="22"/>
      <c r="K861" s="22"/>
      <c r="L861" s="468"/>
      <c r="M861" s="468"/>
      <c r="N861" s="22"/>
      <c r="O861" s="22"/>
      <c r="P861" s="22"/>
      <c r="Q861" s="22"/>
      <c r="R861" s="22"/>
      <c r="S861" s="22"/>
      <c r="T861" s="468"/>
      <c r="U861" s="22"/>
      <c r="V861" s="22"/>
      <c r="W861" s="22"/>
      <c r="X861" s="22"/>
      <c r="Y861" s="22"/>
      <c r="Z861" s="465"/>
      <c r="AA861" s="22"/>
      <c r="AB861" s="22"/>
      <c r="AC861" s="22"/>
      <c r="AD861" s="22"/>
    </row>
    <row r="862" ht="15.75" customHeight="1">
      <c r="A862" s="22"/>
      <c r="B862" s="22"/>
      <c r="C862" s="22"/>
      <c r="D862" s="22"/>
      <c r="E862" s="22"/>
      <c r="F862" s="22"/>
      <c r="G862" s="22"/>
      <c r="H862" s="22"/>
      <c r="I862" s="22"/>
      <c r="J862" s="22"/>
      <c r="K862" s="22"/>
      <c r="L862" s="468"/>
      <c r="M862" s="468"/>
      <c r="N862" s="22"/>
      <c r="O862" s="22"/>
      <c r="P862" s="22"/>
      <c r="Q862" s="22"/>
      <c r="R862" s="22"/>
      <c r="S862" s="22"/>
      <c r="T862" s="468"/>
      <c r="U862" s="22"/>
      <c r="V862" s="22"/>
      <c r="W862" s="22"/>
      <c r="X862" s="22"/>
      <c r="Y862" s="22"/>
      <c r="Z862" s="465"/>
      <c r="AA862" s="22"/>
      <c r="AB862" s="22"/>
      <c r="AC862" s="22"/>
      <c r="AD862" s="22"/>
    </row>
    <row r="863" ht="15.75" customHeight="1">
      <c r="A863" s="22"/>
      <c r="B863" s="22"/>
      <c r="C863" s="22"/>
      <c r="D863" s="22"/>
      <c r="E863" s="22"/>
      <c r="F863" s="22"/>
      <c r="G863" s="22"/>
      <c r="H863" s="22"/>
      <c r="I863" s="22"/>
      <c r="J863" s="22"/>
      <c r="K863" s="22"/>
      <c r="L863" s="468"/>
      <c r="M863" s="468"/>
      <c r="N863" s="22"/>
      <c r="O863" s="22"/>
      <c r="P863" s="22"/>
      <c r="Q863" s="22"/>
      <c r="R863" s="22"/>
      <c r="S863" s="22"/>
      <c r="T863" s="468"/>
      <c r="U863" s="22"/>
      <c r="V863" s="22"/>
      <c r="W863" s="22"/>
      <c r="X863" s="22"/>
      <c r="Y863" s="22"/>
      <c r="Z863" s="465"/>
      <c r="AA863" s="22"/>
      <c r="AB863" s="22"/>
      <c r="AC863" s="22"/>
      <c r="AD863" s="22"/>
    </row>
    <row r="864" ht="15.75" customHeight="1">
      <c r="A864" s="22"/>
      <c r="B864" s="22"/>
      <c r="C864" s="22"/>
      <c r="D864" s="22"/>
      <c r="E864" s="22"/>
      <c r="F864" s="22"/>
      <c r="G864" s="22"/>
      <c r="H864" s="22"/>
      <c r="I864" s="22"/>
      <c r="J864" s="22"/>
      <c r="K864" s="22"/>
      <c r="L864" s="468"/>
      <c r="M864" s="468"/>
      <c r="N864" s="22"/>
      <c r="O864" s="22"/>
      <c r="P864" s="22"/>
      <c r="Q864" s="22"/>
      <c r="R864" s="22"/>
      <c r="S864" s="22"/>
      <c r="T864" s="468"/>
      <c r="U864" s="22"/>
      <c r="V864" s="22"/>
      <c r="W864" s="22"/>
      <c r="X864" s="22"/>
      <c r="Y864" s="22"/>
      <c r="Z864" s="465"/>
      <c r="AA864" s="22"/>
      <c r="AB864" s="22"/>
      <c r="AC864" s="22"/>
      <c r="AD864" s="22"/>
    </row>
    <row r="865" ht="15.75" customHeight="1">
      <c r="A865" s="22"/>
      <c r="B865" s="22"/>
      <c r="C865" s="22"/>
      <c r="D865" s="22"/>
      <c r="E865" s="22"/>
      <c r="F865" s="22"/>
      <c r="G865" s="22"/>
      <c r="H865" s="22"/>
      <c r="I865" s="22"/>
      <c r="J865" s="22"/>
      <c r="K865" s="22"/>
      <c r="L865" s="468"/>
      <c r="M865" s="468"/>
      <c r="N865" s="22"/>
      <c r="O865" s="22"/>
      <c r="P865" s="22"/>
      <c r="Q865" s="22"/>
      <c r="R865" s="22"/>
      <c r="S865" s="22"/>
      <c r="T865" s="468"/>
      <c r="U865" s="22"/>
      <c r="V865" s="22"/>
      <c r="W865" s="22"/>
      <c r="X865" s="22"/>
      <c r="Y865" s="22"/>
      <c r="Z865" s="465"/>
      <c r="AA865" s="22"/>
      <c r="AB865" s="22"/>
      <c r="AC865" s="22"/>
      <c r="AD865" s="22"/>
    </row>
    <row r="866" ht="15.75" customHeight="1">
      <c r="A866" s="22"/>
      <c r="B866" s="22"/>
      <c r="C866" s="22"/>
      <c r="D866" s="22"/>
      <c r="E866" s="22"/>
      <c r="F866" s="22"/>
      <c r="G866" s="22"/>
      <c r="H866" s="22"/>
      <c r="I866" s="22"/>
      <c r="J866" s="22"/>
      <c r="K866" s="22"/>
      <c r="L866" s="468"/>
      <c r="M866" s="468"/>
      <c r="N866" s="22"/>
      <c r="O866" s="22"/>
      <c r="P866" s="22"/>
      <c r="Q866" s="22"/>
      <c r="R866" s="22"/>
      <c r="S866" s="22"/>
      <c r="T866" s="468"/>
      <c r="U866" s="22"/>
      <c r="V866" s="22"/>
      <c r="W866" s="22"/>
      <c r="X866" s="22"/>
      <c r="Y866" s="22"/>
      <c r="Z866" s="465"/>
      <c r="AA866" s="22"/>
      <c r="AB866" s="22"/>
      <c r="AC866" s="22"/>
      <c r="AD866" s="22"/>
    </row>
    <row r="867" ht="15.75" customHeight="1">
      <c r="A867" s="22"/>
      <c r="B867" s="22"/>
      <c r="C867" s="22"/>
      <c r="D867" s="22"/>
      <c r="E867" s="22"/>
      <c r="F867" s="22"/>
      <c r="G867" s="22"/>
      <c r="H867" s="22"/>
      <c r="I867" s="22"/>
      <c r="J867" s="22"/>
      <c r="K867" s="22"/>
      <c r="L867" s="468"/>
      <c r="M867" s="468"/>
      <c r="N867" s="22"/>
      <c r="O867" s="22"/>
      <c r="P867" s="22"/>
      <c r="Q867" s="22"/>
      <c r="R867" s="22"/>
      <c r="S867" s="22"/>
      <c r="T867" s="468"/>
      <c r="U867" s="22"/>
      <c r="V867" s="22"/>
      <c r="W867" s="22"/>
      <c r="X867" s="22"/>
      <c r="Y867" s="22"/>
      <c r="Z867" s="465"/>
      <c r="AA867" s="22"/>
      <c r="AB867" s="22"/>
      <c r="AC867" s="22"/>
      <c r="AD867" s="22"/>
    </row>
    <row r="868" ht="15.75" customHeight="1">
      <c r="A868" s="22"/>
      <c r="B868" s="22"/>
      <c r="C868" s="22"/>
      <c r="D868" s="22"/>
      <c r="E868" s="22"/>
      <c r="F868" s="22"/>
      <c r="G868" s="22"/>
      <c r="H868" s="22"/>
      <c r="I868" s="22"/>
      <c r="J868" s="22"/>
      <c r="K868" s="22"/>
      <c r="L868" s="468"/>
      <c r="M868" s="468"/>
      <c r="N868" s="22"/>
      <c r="O868" s="22"/>
      <c r="P868" s="22"/>
      <c r="Q868" s="22"/>
      <c r="R868" s="22"/>
      <c r="S868" s="22"/>
      <c r="T868" s="468"/>
      <c r="U868" s="22"/>
      <c r="V868" s="22"/>
      <c r="W868" s="22"/>
      <c r="X868" s="22"/>
      <c r="Y868" s="22"/>
      <c r="Z868" s="465"/>
      <c r="AA868" s="22"/>
      <c r="AB868" s="22"/>
      <c r="AC868" s="22"/>
      <c r="AD868" s="22"/>
    </row>
    <row r="869" ht="15.75" customHeight="1">
      <c r="A869" s="22"/>
      <c r="B869" s="22"/>
      <c r="C869" s="22"/>
      <c r="D869" s="22"/>
      <c r="E869" s="22"/>
      <c r="F869" s="22"/>
      <c r="G869" s="22"/>
      <c r="H869" s="22"/>
      <c r="I869" s="22"/>
      <c r="J869" s="22"/>
      <c r="K869" s="22"/>
      <c r="L869" s="468"/>
      <c r="M869" s="468"/>
      <c r="N869" s="22"/>
      <c r="O869" s="22"/>
      <c r="P869" s="22"/>
      <c r="Q869" s="22"/>
      <c r="R869" s="22"/>
      <c r="S869" s="22"/>
      <c r="T869" s="468"/>
      <c r="U869" s="22"/>
      <c r="V869" s="22"/>
      <c r="W869" s="22"/>
      <c r="X869" s="22"/>
      <c r="Y869" s="22"/>
      <c r="Z869" s="465"/>
      <c r="AA869" s="22"/>
      <c r="AB869" s="22"/>
      <c r="AC869" s="22"/>
      <c r="AD869" s="22"/>
    </row>
    <row r="870" ht="15.75" customHeight="1">
      <c r="A870" s="22"/>
      <c r="B870" s="22"/>
      <c r="C870" s="22"/>
      <c r="D870" s="22"/>
      <c r="E870" s="22"/>
      <c r="F870" s="22"/>
      <c r="G870" s="22"/>
      <c r="H870" s="22"/>
      <c r="I870" s="22"/>
      <c r="J870" s="22"/>
      <c r="K870" s="22"/>
      <c r="L870" s="468"/>
      <c r="M870" s="468"/>
      <c r="N870" s="22"/>
      <c r="O870" s="22"/>
      <c r="P870" s="22"/>
      <c r="Q870" s="22"/>
      <c r="R870" s="22"/>
      <c r="S870" s="22"/>
      <c r="T870" s="468"/>
      <c r="U870" s="22"/>
      <c r="V870" s="22"/>
      <c r="W870" s="22"/>
      <c r="X870" s="22"/>
      <c r="Y870" s="22"/>
      <c r="Z870" s="465"/>
      <c r="AA870" s="22"/>
      <c r="AB870" s="22"/>
      <c r="AC870" s="22"/>
      <c r="AD870" s="22"/>
    </row>
    <row r="871" ht="15.75" customHeight="1">
      <c r="A871" s="22"/>
      <c r="B871" s="22"/>
      <c r="C871" s="22"/>
      <c r="D871" s="22"/>
      <c r="E871" s="22"/>
      <c r="F871" s="22"/>
      <c r="G871" s="22"/>
      <c r="H871" s="22"/>
      <c r="I871" s="22"/>
      <c r="J871" s="22"/>
      <c r="K871" s="22"/>
      <c r="L871" s="468"/>
      <c r="M871" s="468"/>
      <c r="N871" s="22"/>
      <c r="O871" s="22"/>
      <c r="P871" s="22"/>
      <c r="Q871" s="22"/>
      <c r="R871" s="22"/>
      <c r="S871" s="22"/>
      <c r="T871" s="468"/>
      <c r="U871" s="22"/>
      <c r="V871" s="22"/>
      <c r="W871" s="22"/>
      <c r="X871" s="22"/>
      <c r="Y871" s="22"/>
      <c r="Z871" s="465"/>
      <c r="AA871" s="22"/>
      <c r="AB871" s="22"/>
      <c r="AC871" s="22"/>
      <c r="AD871" s="22"/>
    </row>
    <row r="872" ht="15.75" customHeight="1">
      <c r="A872" s="22"/>
      <c r="B872" s="22"/>
      <c r="C872" s="22"/>
      <c r="D872" s="22"/>
      <c r="E872" s="22"/>
      <c r="F872" s="22"/>
      <c r="G872" s="22"/>
      <c r="H872" s="22"/>
      <c r="I872" s="22"/>
      <c r="J872" s="22"/>
      <c r="K872" s="22"/>
      <c r="L872" s="468"/>
      <c r="M872" s="468"/>
      <c r="N872" s="22"/>
      <c r="O872" s="22"/>
      <c r="P872" s="22"/>
      <c r="Q872" s="22"/>
      <c r="R872" s="22"/>
      <c r="S872" s="22"/>
      <c r="T872" s="468"/>
      <c r="U872" s="22"/>
      <c r="V872" s="22"/>
      <c r="W872" s="22"/>
      <c r="X872" s="22"/>
      <c r="Y872" s="22"/>
      <c r="Z872" s="465"/>
      <c r="AA872" s="22"/>
      <c r="AB872" s="22"/>
      <c r="AC872" s="22"/>
      <c r="AD872" s="22"/>
    </row>
    <row r="873" ht="15.75" customHeight="1">
      <c r="A873" s="22"/>
      <c r="B873" s="22"/>
      <c r="C873" s="22"/>
      <c r="D873" s="22"/>
      <c r="E873" s="22"/>
      <c r="F873" s="22"/>
      <c r="G873" s="22"/>
      <c r="H873" s="22"/>
      <c r="I873" s="22"/>
      <c r="J873" s="22"/>
      <c r="K873" s="22"/>
      <c r="L873" s="468"/>
      <c r="M873" s="468"/>
      <c r="N873" s="22"/>
      <c r="O873" s="22"/>
      <c r="P873" s="22"/>
      <c r="Q873" s="22"/>
      <c r="R873" s="22"/>
      <c r="S873" s="22"/>
      <c r="T873" s="468"/>
      <c r="U873" s="22"/>
      <c r="V873" s="22"/>
      <c r="W873" s="22"/>
      <c r="X873" s="22"/>
      <c r="Y873" s="22"/>
      <c r="Z873" s="465"/>
      <c r="AA873" s="22"/>
      <c r="AB873" s="22"/>
      <c r="AC873" s="22"/>
      <c r="AD873" s="22"/>
    </row>
    <row r="874" ht="15.75" customHeight="1">
      <c r="A874" s="22"/>
      <c r="B874" s="22"/>
      <c r="C874" s="22"/>
      <c r="D874" s="22"/>
      <c r="E874" s="22"/>
      <c r="F874" s="22"/>
      <c r="G874" s="22"/>
      <c r="H874" s="22"/>
      <c r="I874" s="22"/>
      <c r="J874" s="22"/>
      <c r="K874" s="22"/>
      <c r="L874" s="468"/>
      <c r="M874" s="468"/>
      <c r="N874" s="22"/>
      <c r="O874" s="22"/>
      <c r="P874" s="22"/>
      <c r="Q874" s="22"/>
      <c r="R874" s="22"/>
      <c r="S874" s="22"/>
      <c r="T874" s="468"/>
      <c r="U874" s="22"/>
      <c r="V874" s="22"/>
      <c r="W874" s="22"/>
      <c r="X874" s="22"/>
      <c r="Y874" s="22"/>
      <c r="Z874" s="465"/>
      <c r="AA874" s="22"/>
      <c r="AB874" s="22"/>
      <c r="AC874" s="22"/>
      <c r="AD874" s="22"/>
    </row>
    <row r="875" ht="15.75" customHeight="1">
      <c r="A875" s="22"/>
      <c r="B875" s="22"/>
      <c r="C875" s="22"/>
      <c r="D875" s="22"/>
      <c r="E875" s="22"/>
      <c r="F875" s="22"/>
      <c r="G875" s="22"/>
      <c r="H875" s="22"/>
      <c r="I875" s="22"/>
      <c r="J875" s="22"/>
      <c r="K875" s="22"/>
      <c r="L875" s="468"/>
      <c r="M875" s="468"/>
      <c r="N875" s="22"/>
      <c r="O875" s="22"/>
      <c r="P875" s="22"/>
      <c r="Q875" s="22"/>
      <c r="R875" s="22"/>
      <c r="S875" s="22"/>
      <c r="T875" s="468"/>
      <c r="U875" s="22"/>
      <c r="V875" s="22"/>
      <c r="W875" s="22"/>
      <c r="X875" s="22"/>
      <c r="Y875" s="22"/>
      <c r="Z875" s="465"/>
      <c r="AA875" s="22"/>
      <c r="AB875" s="22"/>
      <c r="AC875" s="22"/>
      <c r="AD875" s="22"/>
    </row>
    <row r="876" ht="15.75" customHeight="1">
      <c r="A876" s="22"/>
      <c r="B876" s="22"/>
      <c r="C876" s="22"/>
      <c r="D876" s="22"/>
      <c r="E876" s="22"/>
      <c r="F876" s="22"/>
      <c r="G876" s="22"/>
      <c r="H876" s="22"/>
      <c r="I876" s="22"/>
      <c r="J876" s="22"/>
      <c r="K876" s="22"/>
      <c r="L876" s="468"/>
      <c r="M876" s="468"/>
      <c r="N876" s="22"/>
      <c r="O876" s="22"/>
      <c r="P876" s="22"/>
      <c r="Q876" s="22"/>
      <c r="R876" s="22"/>
      <c r="S876" s="22"/>
      <c r="T876" s="468"/>
      <c r="U876" s="22"/>
      <c r="V876" s="22"/>
      <c r="W876" s="22"/>
      <c r="X876" s="22"/>
      <c r="Y876" s="22"/>
      <c r="Z876" s="465"/>
      <c r="AA876" s="22"/>
      <c r="AB876" s="22"/>
      <c r="AC876" s="22"/>
      <c r="AD876" s="22"/>
    </row>
    <row r="877" ht="15.75" customHeight="1">
      <c r="A877" s="22"/>
      <c r="B877" s="22"/>
      <c r="C877" s="22"/>
      <c r="D877" s="22"/>
      <c r="E877" s="22"/>
      <c r="F877" s="22"/>
      <c r="G877" s="22"/>
      <c r="H877" s="22"/>
      <c r="I877" s="22"/>
      <c r="J877" s="22"/>
      <c r="K877" s="22"/>
      <c r="L877" s="468"/>
      <c r="M877" s="468"/>
      <c r="N877" s="22"/>
      <c r="O877" s="22"/>
      <c r="P877" s="22"/>
      <c r="Q877" s="22"/>
      <c r="R877" s="22"/>
      <c r="S877" s="22"/>
      <c r="T877" s="468"/>
      <c r="U877" s="22"/>
      <c r="V877" s="22"/>
      <c r="W877" s="22"/>
      <c r="X877" s="22"/>
      <c r="Y877" s="22"/>
      <c r="Z877" s="465"/>
      <c r="AA877" s="22"/>
      <c r="AB877" s="22"/>
      <c r="AC877" s="22"/>
      <c r="AD877" s="22"/>
    </row>
    <row r="878" ht="15.75" customHeight="1">
      <c r="A878" s="22"/>
      <c r="B878" s="22"/>
      <c r="C878" s="22"/>
      <c r="D878" s="22"/>
      <c r="E878" s="22"/>
      <c r="F878" s="22"/>
      <c r="G878" s="22"/>
      <c r="H878" s="22"/>
      <c r="I878" s="22"/>
      <c r="J878" s="22"/>
      <c r="K878" s="22"/>
      <c r="L878" s="468"/>
      <c r="M878" s="468"/>
      <c r="N878" s="22"/>
      <c r="O878" s="22"/>
      <c r="P878" s="22"/>
      <c r="Q878" s="22"/>
      <c r="R878" s="22"/>
      <c r="S878" s="22"/>
      <c r="T878" s="468"/>
      <c r="U878" s="22"/>
      <c r="V878" s="22"/>
      <c r="W878" s="22"/>
      <c r="X878" s="22"/>
      <c r="Y878" s="22"/>
      <c r="Z878" s="465"/>
      <c r="AA878" s="22"/>
      <c r="AB878" s="22"/>
      <c r="AC878" s="22"/>
      <c r="AD878" s="22"/>
    </row>
    <row r="879" ht="15.75" customHeight="1">
      <c r="A879" s="22"/>
      <c r="B879" s="22"/>
      <c r="C879" s="22"/>
      <c r="D879" s="22"/>
      <c r="E879" s="22"/>
      <c r="F879" s="22"/>
      <c r="G879" s="22"/>
      <c r="H879" s="22"/>
      <c r="I879" s="22"/>
      <c r="J879" s="22"/>
      <c r="K879" s="22"/>
      <c r="L879" s="468"/>
      <c r="M879" s="468"/>
      <c r="N879" s="22"/>
      <c r="O879" s="22"/>
      <c r="P879" s="22"/>
      <c r="Q879" s="22"/>
      <c r="R879" s="22"/>
      <c r="S879" s="22"/>
      <c r="T879" s="468"/>
      <c r="U879" s="22"/>
      <c r="V879" s="22"/>
      <c r="W879" s="22"/>
      <c r="X879" s="22"/>
      <c r="Y879" s="22"/>
      <c r="Z879" s="465"/>
      <c r="AA879" s="22"/>
      <c r="AB879" s="22"/>
      <c r="AC879" s="22"/>
      <c r="AD879" s="22"/>
    </row>
    <row r="880" ht="15.75" customHeight="1">
      <c r="A880" s="22"/>
      <c r="B880" s="22"/>
      <c r="C880" s="22"/>
      <c r="D880" s="22"/>
      <c r="E880" s="22"/>
      <c r="F880" s="22"/>
      <c r="G880" s="22"/>
      <c r="H880" s="22"/>
      <c r="I880" s="22"/>
      <c r="J880" s="22"/>
      <c r="K880" s="22"/>
      <c r="L880" s="468"/>
      <c r="M880" s="468"/>
      <c r="N880" s="22"/>
      <c r="O880" s="22"/>
      <c r="P880" s="22"/>
      <c r="Q880" s="22"/>
      <c r="R880" s="22"/>
      <c r="S880" s="22"/>
      <c r="T880" s="468"/>
      <c r="U880" s="22"/>
      <c r="V880" s="22"/>
      <c r="W880" s="22"/>
      <c r="X880" s="22"/>
      <c r="Y880" s="22"/>
      <c r="Z880" s="465"/>
      <c r="AA880" s="22"/>
      <c r="AB880" s="22"/>
      <c r="AC880" s="22"/>
      <c r="AD880" s="22"/>
    </row>
    <row r="881" ht="15.75" customHeight="1">
      <c r="A881" s="22"/>
      <c r="B881" s="22"/>
      <c r="C881" s="22"/>
      <c r="D881" s="22"/>
      <c r="E881" s="22"/>
      <c r="F881" s="22"/>
      <c r="G881" s="22"/>
      <c r="H881" s="22"/>
      <c r="I881" s="22"/>
      <c r="J881" s="22"/>
      <c r="K881" s="22"/>
      <c r="L881" s="468"/>
      <c r="M881" s="468"/>
      <c r="N881" s="22"/>
      <c r="O881" s="22"/>
      <c r="P881" s="22"/>
      <c r="Q881" s="22"/>
      <c r="R881" s="22"/>
      <c r="S881" s="22"/>
      <c r="T881" s="468"/>
      <c r="U881" s="22"/>
      <c r="V881" s="22"/>
      <c r="W881" s="22"/>
      <c r="X881" s="22"/>
      <c r="Y881" s="22"/>
      <c r="Z881" s="465"/>
      <c r="AA881" s="22"/>
      <c r="AB881" s="22"/>
      <c r="AC881" s="22"/>
      <c r="AD881" s="22"/>
    </row>
    <row r="882" ht="15.75" customHeight="1">
      <c r="A882" s="22"/>
      <c r="B882" s="22"/>
      <c r="C882" s="22"/>
      <c r="D882" s="22"/>
      <c r="E882" s="22"/>
      <c r="F882" s="22"/>
      <c r="G882" s="22"/>
      <c r="H882" s="22"/>
      <c r="I882" s="22"/>
      <c r="J882" s="22"/>
      <c r="K882" s="22"/>
      <c r="L882" s="468"/>
      <c r="M882" s="468"/>
      <c r="N882" s="22"/>
      <c r="O882" s="22"/>
      <c r="P882" s="22"/>
      <c r="Q882" s="22"/>
      <c r="R882" s="22"/>
      <c r="S882" s="22"/>
      <c r="T882" s="468"/>
      <c r="U882" s="22"/>
      <c r="V882" s="22"/>
      <c r="W882" s="22"/>
      <c r="X882" s="22"/>
      <c r="Y882" s="22"/>
      <c r="Z882" s="465"/>
      <c r="AA882" s="22"/>
      <c r="AB882" s="22"/>
      <c r="AC882" s="22"/>
      <c r="AD882" s="22"/>
    </row>
    <row r="883" ht="15.75" customHeight="1">
      <c r="A883" s="22"/>
      <c r="B883" s="22"/>
      <c r="C883" s="22"/>
      <c r="D883" s="22"/>
      <c r="E883" s="22"/>
      <c r="F883" s="22"/>
      <c r="G883" s="22"/>
      <c r="H883" s="22"/>
      <c r="I883" s="22"/>
      <c r="J883" s="22"/>
      <c r="K883" s="22"/>
      <c r="L883" s="468"/>
      <c r="M883" s="468"/>
      <c r="N883" s="22"/>
      <c r="O883" s="22"/>
      <c r="P883" s="22"/>
      <c r="Q883" s="22"/>
      <c r="R883" s="22"/>
      <c r="S883" s="22"/>
      <c r="T883" s="468"/>
      <c r="U883" s="22"/>
      <c r="V883" s="22"/>
      <c r="W883" s="22"/>
      <c r="X883" s="22"/>
      <c r="Y883" s="22"/>
      <c r="Z883" s="465"/>
      <c r="AA883" s="22"/>
      <c r="AB883" s="22"/>
      <c r="AC883" s="22"/>
      <c r="AD883" s="22"/>
    </row>
    <row r="884" ht="15.75" customHeight="1">
      <c r="A884" s="22"/>
      <c r="B884" s="22"/>
      <c r="C884" s="22"/>
      <c r="D884" s="22"/>
      <c r="E884" s="22"/>
      <c r="F884" s="22"/>
      <c r="G884" s="22"/>
      <c r="H884" s="22"/>
      <c r="I884" s="22"/>
      <c r="J884" s="22"/>
      <c r="K884" s="22"/>
      <c r="L884" s="468"/>
      <c r="M884" s="468"/>
      <c r="N884" s="22"/>
      <c r="O884" s="22"/>
      <c r="P884" s="22"/>
      <c r="Q884" s="22"/>
      <c r="R884" s="22"/>
      <c r="S884" s="22"/>
      <c r="T884" s="468"/>
      <c r="U884" s="22"/>
      <c r="V884" s="22"/>
      <c r="W884" s="22"/>
      <c r="X884" s="22"/>
      <c r="Y884" s="22"/>
      <c r="Z884" s="465"/>
      <c r="AA884" s="22"/>
      <c r="AB884" s="22"/>
      <c r="AC884" s="22"/>
      <c r="AD884" s="22"/>
    </row>
    <row r="885" ht="15.75" customHeight="1">
      <c r="A885" s="22"/>
      <c r="B885" s="22"/>
      <c r="C885" s="22"/>
      <c r="D885" s="22"/>
      <c r="E885" s="22"/>
      <c r="F885" s="22"/>
      <c r="G885" s="22"/>
      <c r="H885" s="22"/>
      <c r="I885" s="22"/>
      <c r="J885" s="22"/>
      <c r="K885" s="22"/>
      <c r="L885" s="468"/>
      <c r="M885" s="468"/>
      <c r="N885" s="22"/>
      <c r="O885" s="22"/>
      <c r="P885" s="22"/>
      <c r="Q885" s="22"/>
      <c r="R885" s="22"/>
      <c r="S885" s="22"/>
      <c r="T885" s="468"/>
      <c r="U885" s="22"/>
      <c r="V885" s="22"/>
      <c r="W885" s="22"/>
      <c r="X885" s="22"/>
      <c r="Y885" s="22"/>
      <c r="Z885" s="465"/>
      <c r="AA885" s="22"/>
      <c r="AB885" s="22"/>
      <c r="AC885" s="22"/>
      <c r="AD885" s="22"/>
    </row>
    <row r="886" ht="15.75" customHeight="1">
      <c r="A886" s="22"/>
      <c r="B886" s="22"/>
      <c r="C886" s="22"/>
      <c r="D886" s="22"/>
      <c r="E886" s="22"/>
      <c r="F886" s="22"/>
      <c r="G886" s="22"/>
      <c r="H886" s="22"/>
      <c r="I886" s="22"/>
      <c r="J886" s="22"/>
      <c r="K886" s="22"/>
      <c r="L886" s="468"/>
      <c r="M886" s="468"/>
      <c r="N886" s="22"/>
      <c r="O886" s="22"/>
      <c r="P886" s="22"/>
      <c r="Q886" s="22"/>
      <c r="R886" s="22"/>
      <c r="S886" s="22"/>
      <c r="T886" s="468"/>
      <c r="U886" s="22"/>
      <c r="V886" s="22"/>
      <c r="W886" s="22"/>
      <c r="X886" s="22"/>
      <c r="Y886" s="22"/>
      <c r="Z886" s="465"/>
      <c r="AA886" s="22"/>
      <c r="AB886" s="22"/>
      <c r="AC886" s="22"/>
      <c r="AD886" s="22"/>
    </row>
    <row r="887" ht="15.75" customHeight="1">
      <c r="A887" s="22"/>
      <c r="B887" s="22"/>
      <c r="C887" s="22"/>
      <c r="D887" s="22"/>
      <c r="E887" s="22"/>
      <c r="F887" s="22"/>
      <c r="G887" s="22"/>
      <c r="H887" s="22"/>
      <c r="I887" s="22"/>
      <c r="J887" s="22"/>
      <c r="K887" s="22"/>
      <c r="L887" s="468"/>
      <c r="M887" s="468"/>
      <c r="N887" s="22"/>
      <c r="O887" s="22"/>
      <c r="P887" s="22"/>
      <c r="Q887" s="22"/>
      <c r="R887" s="22"/>
      <c r="S887" s="22"/>
      <c r="T887" s="468"/>
      <c r="U887" s="22"/>
      <c r="V887" s="22"/>
      <c r="W887" s="22"/>
      <c r="X887" s="22"/>
      <c r="Y887" s="22"/>
      <c r="Z887" s="465"/>
      <c r="AA887" s="22"/>
      <c r="AB887" s="22"/>
      <c r="AC887" s="22"/>
      <c r="AD887" s="22"/>
    </row>
    <row r="888" ht="15.75" customHeight="1">
      <c r="A888" s="22"/>
      <c r="B888" s="22"/>
      <c r="C888" s="22"/>
      <c r="D888" s="22"/>
      <c r="E888" s="22"/>
      <c r="F888" s="22"/>
      <c r="G888" s="22"/>
      <c r="H888" s="22"/>
      <c r="I888" s="22"/>
      <c r="J888" s="22"/>
      <c r="K888" s="22"/>
      <c r="L888" s="468"/>
      <c r="M888" s="468"/>
      <c r="N888" s="22"/>
      <c r="O888" s="22"/>
      <c r="P888" s="22"/>
      <c r="Q888" s="22"/>
      <c r="R888" s="22"/>
      <c r="S888" s="22"/>
      <c r="T888" s="468"/>
      <c r="U888" s="22"/>
      <c r="V888" s="22"/>
      <c r="W888" s="22"/>
      <c r="X888" s="22"/>
      <c r="Y888" s="22"/>
      <c r="Z888" s="465"/>
      <c r="AA888" s="22"/>
      <c r="AB888" s="22"/>
      <c r="AC888" s="22"/>
      <c r="AD888" s="22"/>
    </row>
    <row r="889" ht="15.75" customHeight="1">
      <c r="A889" s="22"/>
      <c r="B889" s="22"/>
      <c r="C889" s="22"/>
      <c r="D889" s="22"/>
      <c r="E889" s="22"/>
      <c r="F889" s="22"/>
      <c r="G889" s="22"/>
      <c r="H889" s="22"/>
      <c r="I889" s="22"/>
      <c r="J889" s="22"/>
      <c r="K889" s="22"/>
      <c r="L889" s="468"/>
      <c r="M889" s="468"/>
      <c r="N889" s="22"/>
      <c r="O889" s="22"/>
      <c r="P889" s="22"/>
      <c r="Q889" s="22"/>
      <c r="R889" s="22"/>
      <c r="S889" s="22"/>
      <c r="T889" s="468"/>
      <c r="U889" s="22"/>
      <c r="V889" s="22"/>
      <c r="W889" s="22"/>
      <c r="X889" s="22"/>
      <c r="Y889" s="22"/>
      <c r="Z889" s="465"/>
      <c r="AA889" s="22"/>
      <c r="AB889" s="22"/>
      <c r="AC889" s="22"/>
      <c r="AD889" s="22"/>
    </row>
    <row r="890" ht="15.75" customHeight="1">
      <c r="A890" s="22"/>
      <c r="B890" s="22"/>
      <c r="C890" s="22"/>
      <c r="D890" s="22"/>
      <c r="E890" s="22"/>
      <c r="F890" s="22"/>
      <c r="G890" s="22"/>
      <c r="H890" s="22"/>
      <c r="I890" s="22"/>
      <c r="J890" s="22"/>
      <c r="K890" s="22"/>
      <c r="L890" s="468"/>
      <c r="M890" s="468"/>
      <c r="N890" s="22"/>
      <c r="O890" s="22"/>
      <c r="P890" s="22"/>
      <c r="Q890" s="22"/>
      <c r="R890" s="22"/>
      <c r="S890" s="22"/>
      <c r="T890" s="468"/>
      <c r="U890" s="22"/>
      <c r="V890" s="22"/>
      <c r="W890" s="22"/>
      <c r="X890" s="22"/>
      <c r="Y890" s="22"/>
      <c r="Z890" s="465"/>
      <c r="AA890" s="22"/>
      <c r="AB890" s="22"/>
      <c r="AC890" s="22"/>
      <c r="AD890" s="22"/>
    </row>
    <row r="891" ht="15.75" customHeight="1">
      <c r="A891" s="22"/>
      <c r="B891" s="22"/>
      <c r="C891" s="22"/>
      <c r="D891" s="22"/>
      <c r="E891" s="22"/>
      <c r="F891" s="22"/>
      <c r="G891" s="22"/>
      <c r="H891" s="22"/>
      <c r="I891" s="22"/>
      <c r="J891" s="22"/>
      <c r="K891" s="22"/>
      <c r="L891" s="468"/>
      <c r="M891" s="468"/>
      <c r="N891" s="22"/>
      <c r="O891" s="22"/>
      <c r="P891" s="22"/>
      <c r="Q891" s="22"/>
      <c r="R891" s="22"/>
      <c r="S891" s="22"/>
      <c r="T891" s="468"/>
      <c r="U891" s="22"/>
      <c r="V891" s="22"/>
      <c r="W891" s="22"/>
      <c r="X891" s="22"/>
      <c r="Y891" s="22"/>
      <c r="Z891" s="465"/>
      <c r="AA891" s="22"/>
      <c r="AB891" s="22"/>
      <c r="AC891" s="22"/>
      <c r="AD891" s="22"/>
    </row>
    <row r="892" ht="15.75" customHeight="1">
      <c r="A892" s="22"/>
      <c r="B892" s="22"/>
      <c r="C892" s="22"/>
      <c r="D892" s="22"/>
      <c r="E892" s="22"/>
      <c r="F892" s="22"/>
      <c r="G892" s="22"/>
      <c r="H892" s="22"/>
      <c r="I892" s="22"/>
      <c r="J892" s="22"/>
      <c r="K892" s="22"/>
      <c r="L892" s="468"/>
      <c r="M892" s="468"/>
      <c r="N892" s="22"/>
      <c r="O892" s="22"/>
      <c r="P892" s="22"/>
      <c r="Q892" s="22"/>
      <c r="R892" s="22"/>
      <c r="S892" s="22"/>
      <c r="T892" s="468"/>
      <c r="U892" s="22"/>
      <c r="V892" s="22"/>
      <c r="W892" s="22"/>
      <c r="X892" s="22"/>
      <c r="Y892" s="22"/>
      <c r="Z892" s="465"/>
      <c r="AA892" s="22"/>
      <c r="AB892" s="22"/>
      <c r="AC892" s="22"/>
      <c r="AD892" s="22"/>
    </row>
    <row r="893" ht="15.75" customHeight="1">
      <c r="A893" s="22"/>
      <c r="B893" s="22"/>
      <c r="C893" s="22"/>
      <c r="D893" s="22"/>
      <c r="E893" s="22"/>
      <c r="F893" s="22"/>
      <c r="G893" s="22"/>
      <c r="H893" s="22"/>
      <c r="I893" s="22"/>
      <c r="J893" s="22"/>
      <c r="K893" s="22"/>
      <c r="L893" s="468"/>
      <c r="M893" s="468"/>
      <c r="N893" s="22"/>
      <c r="O893" s="22"/>
      <c r="P893" s="22"/>
      <c r="Q893" s="22"/>
      <c r="R893" s="22"/>
      <c r="S893" s="22"/>
      <c r="T893" s="468"/>
      <c r="U893" s="22"/>
      <c r="V893" s="22"/>
      <c r="W893" s="22"/>
      <c r="X893" s="22"/>
      <c r="Y893" s="22"/>
      <c r="Z893" s="465"/>
      <c r="AA893" s="22"/>
      <c r="AB893" s="22"/>
      <c r="AC893" s="22"/>
      <c r="AD893" s="22"/>
    </row>
    <row r="894" ht="15.75" customHeight="1">
      <c r="A894" s="22"/>
      <c r="B894" s="22"/>
      <c r="C894" s="22"/>
      <c r="D894" s="22"/>
      <c r="E894" s="22"/>
      <c r="F894" s="22"/>
      <c r="G894" s="22"/>
      <c r="H894" s="22"/>
      <c r="I894" s="22"/>
      <c r="J894" s="22"/>
      <c r="K894" s="22"/>
      <c r="L894" s="468"/>
      <c r="M894" s="468"/>
      <c r="N894" s="22"/>
      <c r="O894" s="22"/>
      <c r="P894" s="22"/>
      <c r="Q894" s="22"/>
      <c r="R894" s="22"/>
      <c r="S894" s="22"/>
      <c r="T894" s="468"/>
      <c r="U894" s="22"/>
      <c r="V894" s="22"/>
      <c r="W894" s="22"/>
      <c r="X894" s="22"/>
      <c r="Y894" s="22"/>
      <c r="Z894" s="465"/>
      <c r="AA894" s="22"/>
      <c r="AB894" s="22"/>
      <c r="AC894" s="22"/>
      <c r="AD894" s="22"/>
    </row>
    <row r="895" ht="15.75" customHeight="1">
      <c r="A895" s="22"/>
      <c r="B895" s="22"/>
      <c r="C895" s="22"/>
      <c r="D895" s="22"/>
      <c r="E895" s="22"/>
      <c r="F895" s="22"/>
      <c r="G895" s="22"/>
      <c r="H895" s="22"/>
      <c r="I895" s="22"/>
      <c r="J895" s="22"/>
      <c r="K895" s="22"/>
      <c r="L895" s="468"/>
      <c r="M895" s="468"/>
      <c r="N895" s="22"/>
      <c r="O895" s="22"/>
      <c r="P895" s="22"/>
      <c r="Q895" s="22"/>
      <c r="R895" s="22"/>
      <c r="S895" s="22"/>
      <c r="T895" s="468"/>
      <c r="U895" s="22"/>
      <c r="V895" s="22"/>
      <c r="W895" s="22"/>
      <c r="X895" s="22"/>
      <c r="Y895" s="22"/>
      <c r="Z895" s="465"/>
      <c r="AA895" s="22"/>
      <c r="AB895" s="22"/>
      <c r="AC895" s="22"/>
      <c r="AD895" s="22"/>
    </row>
    <row r="896" ht="15.75" customHeight="1">
      <c r="A896" s="22"/>
      <c r="B896" s="22"/>
      <c r="C896" s="22"/>
      <c r="D896" s="22"/>
      <c r="E896" s="22"/>
      <c r="F896" s="22"/>
      <c r="G896" s="22"/>
      <c r="H896" s="22"/>
      <c r="I896" s="22"/>
      <c r="J896" s="22"/>
      <c r="K896" s="22"/>
      <c r="L896" s="468"/>
      <c r="M896" s="468"/>
      <c r="N896" s="22"/>
      <c r="O896" s="22"/>
      <c r="P896" s="22"/>
      <c r="Q896" s="22"/>
      <c r="R896" s="22"/>
      <c r="S896" s="22"/>
      <c r="T896" s="468"/>
      <c r="U896" s="22"/>
      <c r="V896" s="22"/>
      <c r="W896" s="22"/>
      <c r="X896" s="22"/>
      <c r="Y896" s="22"/>
      <c r="Z896" s="465"/>
      <c r="AA896" s="22"/>
      <c r="AB896" s="22"/>
      <c r="AC896" s="22"/>
      <c r="AD896" s="22"/>
    </row>
    <row r="897" ht="15.75" customHeight="1">
      <c r="A897" s="22"/>
      <c r="B897" s="22"/>
      <c r="C897" s="22"/>
      <c r="D897" s="22"/>
      <c r="E897" s="22"/>
      <c r="F897" s="22"/>
      <c r="G897" s="22"/>
      <c r="H897" s="22"/>
      <c r="I897" s="22"/>
      <c r="J897" s="22"/>
      <c r="K897" s="22"/>
      <c r="L897" s="468"/>
      <c r="M897" s="468"/>
      <c r="N897" s="22"/>
      <c r="O897" s="22"/>
      <c r="P897" s="22"/>
      <c r="Q897" s="22"/>
      <c r="R897" s="22"/>
      <c r="S897" s="22"/>
      <c r="T897" s="468"/>
      <c r="U897" s="22"/>
      <c r="V897" s="22"/>
      <c r="W897" s="22"/>
      <c r="X897" s="22"/>
      <c r="Y897" s="22"/>
      <c r="Z897" s="465"/>
      <c r="AA897" s="22"/>
      <c r="AB897" s="22"/>
      <c r="AC897" s="22"/>
      <c r="AD897" s="22"/>
    </row>
    <row r="898" ht="15.75" customHeight="1">
      <c r="A898" s="22"/>
      <c r="B898" s="22"/>
      <c r="C898" s="22"/>
      <c r="D898" s="22"/>
      <c r="E898" s="22"/>
      <c r="F898" s="22"/>
      <c r="G898" s="22"/>
      <c r="H898" s="22"/>
      <c r="I898" s="22"/>
      <c r="J898" s="22"/>
      <c r="K898" s="22"/>
      <c r="L898" s="468"/>
      <c r="M898" s="468"/>
      <c r="N898" s="22"/>
      <c r="O898" s="22"/>
      <c r="P898" s="22"/>
      <c r="Q898" s="22"/>
      <c r="R898" s="22"/>
      <c r="S898" s="22"/>
      <c r="T898" s="468"/>
      <c r="U898" s="22"/>
      <c r="V898" s="22"/>
      <c r="W898" s="22"/>
      <c r="X898" s="22"/>
      <c r="Y898" s="22"/>
      <c r="Z898" s="465"/>
      <c r="AA898" s="22"/>
      <c r="AB898" s="22"/>
      <c r="AC898" s="22"/>
      <c r="AD898" s="22"/>
    </row>
    <row r="899" ht="15.75" customHeight="1">
      <c r="A899" s="22"/>
      <c r="B899" s="22"/>
      <c r="C899" s="22"/>
      <c r="D899" s="22"/>
      <c r="E899" s="22"/>
      <c r="F899" s="22"/>
      <c r="G899" s="22"/>
      <c r="H899" s="22"/>
      <c r="I899" s="22"/>
      <c r="J899" s="22"/>
      <c r="K899" s="22"/>
      <c r="L899" s="468"/>
      <c r="M899" s="468"/>
      <c r="N899" s="22"/>
      <c r="O899" s="22"/>
      <c r="P899" s="22"/>
      <c r="Q899" s="22"/>
      <c r="R899" s="22"/>
      <c r="S899" s="22"/>
      <c r="T899" s="468"/>
      <c r="U899" s="22"/>
      <c r="V899" s="22"/>
      <c r="W899" s="22"/>
      <c r="X899" s="22"/>
      <c r="Y899" s="22"/>
      <c r="Z899" s="465"/>
      <c r="AA899" s="22"/>
      <c r="AB899" s="22"/>
      <c r="AC899" s="22"/>
      <c r="AD899" s="22"/>
    </row>
    <row r="900" ht="15.75" customHeight="1">
      <c r="A900" s="22"/>
      <c r="B900" s="22"/>
      <c r="C900" s="22"/>
      <c r="D900" s="22"/>
      <c r="E900" s="22"/>
      <c r="F900" s="22"/>
      <c r="G900" s="22"/>
      <c r="H900" s="22"/>
      <c r="I900" s="22"/>
      <c r="J900" s="22"/>
      <c r="K900" s="22"/>
      <c r="L900" s="468"/>
      <c r="M900" s="468"/>
      <c r="N900" s="22"/>
      <c r="O900" s="22"/>
      <c r="P900" s="22"/>
      <c r="Q900" s="22"/>
      <c r="R900" s="22"/>
      <c r="S900" s="22"/>
      <c r="T900" s="468"/>
      <c r="U900" s="22"/>
      <c r="V900" s="22"/>
      <c r="W900" s="22"/>
      <c r="X900" s="22"/>
      <c r="Y900" s="22"/>
      <c r="Z900" s="465"/>
      <c r="AA900" s="22"/>
      <c r="AB900" s="22"/>
      <c r="AC900" s="22"/>
      <c r="AD900" s="22"/>
    </row>
    <row r="901" ht="15.75" customHeight="1">
      <c r="A901" s="22"/>
      <c r="B901" s="22"/>
      <c r="C901" s="22"/>
      <c r="D901" s="22"/>
      <c r="E901" s="22"/>
      <c r="F901" s="22"/>
      <c r="G901" s="22"/>
      <c r="H901" s="22"/>
      <c r="I901" s="22"/>
      <c r="J901" s="22"/>
      <c r="K901" s="22"/>
      <c r="L901" s="468"/>
      <c r="M901" s="468"/>
      <c r="N901" s="22"/>
      <c r="O901" s="22"/>
      <c r="P901" s="22"/>
      <c r="Q901" s="22"/>
      <c r="R901" s="22"/>
      <c r="S901" s="22"/>
      <c r="T901" s="468"/>
      <c r="U901" s="22"/>
      <c r="V901" s="22"/>
      <c r="W901" s="22"/>
      <c r="X901" s="22"/>
      <c r="Y901" s="22"/>
      <c r="Z901" s="465"/>
      <c r="AA901" s="22"/>
      <c r="AB901" s="22"/>
      <c r="AC901" s="22"/>
      <c r="AD901" s="22"/>
    </row>
    <row r="902" ht="15.75" customHeight="1">
      <c r="A902" s="22"/>
      <c r="B902" s="22"/>
      <c r="C902" s="22"/>
      <c r="D902" s="22"/>
      <c r="E902" s="22"/>
      <c r="F902" s="22"/>
      <c r="G902" s="22"/>
      <c r="H902" s="22"/>
      <c r="I902" s="22"/>
      <c r="J902" s="22"/>
      <c r="K902" s="22"/>
      <c r="L902" s="468"/>
      <c r="M902" s="468"/>
      <c r="N902" s="22"/>
      <c r="O902" s="22"/>
      <c r="P902" s="22"/>
      <c r="Q902" s="22"/>
      <c r="R902" s="22"/>
      <c r="S902" s="22"/>
      <c r="T902" s="468"/>
      <c r="U902" s="22"/>
      <c r="V902" s="22"/>
      <c r="W902" s="22"/>
      <c r="X902" s="22"/>
      <c r="Y902" s="22"/>
      <c r="Z902" s="465"/>
      <c r="AA902" s="22"/>
      <c r="AB902" s="22"/>
      <c r="AC902" s="22"/>
      <c r="AD902" s="22"/>
    </row>
    <row r="903" ht="15.75" customHeight="1">
      <c r="A903" s="22"/>
      <c r="B903" s="22"/>
      <c r="C903" s="22"/>
      <c r="D903" s="22"/>
      <c r="E903" s="22"/>
      <c r="F903" s="22"/>
      <c r="G903" s="22"/>
      <c r="H903" s="22"/>
      <c r="I903" s="22"/>
      <c r="J903" s="22"/>
      <c r="K903" s="22"/>
      <c r="L903" s="468"/>
      <c r="M903" s="468"/>
      <c r="N903" s="22"/>
      <c r="O903" s="22"/>
      <c r="P903" s="22"/>
      <c r="Q903" s="22"/>
      <c r="R903" s="22"/>
      <c r="S903" s="22"/>
      <c r="T903" s="468"/>
      <c r="U903" s="22"/>
      <c r="V903" s="22"/>
      <c r="W903" s="22"/>
      <c r="X903" s="22"/>
      <c r="Y903" s="22"/>
      <c r="Z903" s="465"/>
      <c r="AA903" s="22"/>
      <c r="AB903" s="22"/>
      <c r="AC903" s="22"/>
      <c r="AD903" s="22"/>
    </row>
    <row r="904" ht="15.75" customHeight="1">
      <c r="A904" s="22"/>
      <c r="B904" s="22"/>
      <c r="C904" s="22"/>
      <c r="D904" s="22"/>
      <c r="E904" s="22"/>
      <c r="F904" s="22"/>
      <c r="G904" s="22"/>
      <c r="H904" s="22"/>
      <c r="I904" s="22"/>
      <c r="J904" s="22"/>
      <c r="K904" s="22"/>
      <c r="L904" s="468"/>
      <c r="M904" s="468"/>
      <c r="N904" s="22"/>
      <c r="O904" s="22"/>
      <c r="P904" s="22"/>
      <c r="Q904" s="22"/>
      <c r="R904" s="22"/>
      <c r="S904" s="22"/>
      <c r="T904" s="468"/>
      <c r="U904" s="22"/>
      <c r="V904" s="22"/>
      <c r="W904" s="22"/>
      <c r="X904" s="22"/>
      <c r="Y904" s="22"/>
      <c r="Z904" s="465"/>
      <c r="AA904" s="22"/>
      <c r="AB904" s="22"/>
      <c r="AC904" s="22"/>
      <c r="AD904" s="22"/>
    </row>
    <row r="905" ht="15.75" customHeight="1">
      <c r="A905" s="22"/>
      <c r="B905" s="22"/>
      <c r="C905" s="22"/>
      <c r="D905" s="22"/>
      <c r="E905" s="22"/>
      <c r="F905" s="22"/>
      <c r="G905" s="22"/>
      <c r="H905" s="22"/>
      <c r="I905" s="22"/>
      <c r="J905" s="22"/>
      <c r="K905" s="22"/>
      <c r="L905" s="468"/>
      <c r="M905" s="468"/>
      <c r="N905" s="22"/>
      <c r="O905" s="22"/>
      <c r="P905" s="22"/>
      <c r="Q905" s="22"/>
      <c r="R905" s="22"/>
      <c r="S905" s="22"/>
      <c r="T905" s="468"/>
      <c r="U905" s="22"/>
      <c r="V905" s="22"/>
      <c r="W905" s="22"/>
      <c r="X905" s="22"/>
      <c r="Y905" s="22"/>
      <c r="Z905" s="465"/>
      <c r="AA905" s="22"/>
      <c r="AB905" s="22"/>
      <c r="AC905" s="22"/>
      <c r="AD905" s="22"/>
    </row>
    <row r="906" ht="15.75" customHeight="1">
      <c r="A906" s="22"/>
      <c r="B906" s="22"/>
      <c r="C906" s="22"/>
      <c r="D906" s="22"/>
      <c r="E906" s="22"/>
      <c r="F906" s="22"/>
      <c r="G906" s="22"/>
      <c r="H906" s="22"/>
      <c r="I906" s="22"/>
      <c r="J906" s="22"/>
      <c r="K906" s="22"/>
      <c r="L906" s="468"/>
      <c r="M906" s="468"/>
      <c r="N906" s="22"/>
      <c r="O906" s="22"/>
      <c r="P906" s="22"/>
      <c r="Q906" s="22"/>
      <c r="R906" s="22"/>
      <c r="S906" s="22"/>
      <c r="T906" s="468"/>
      <c r="U906" s="22"/>
      <c r="V906" s="22"/>
      <c r="W906" s="22"/>
      <c r="X906" s="22"/>
      <c r="Y906" s="22"/>
      <c r="Z906" s="465"/>
      <c r="AA906" s="22"/>
      <c r="AB906" s="22"/>
      <c r="AC906" s="22"/>
      <c r="AD906" s="22"/>
    </row>
    <row r="907" ht="15.75" customHeight="1">
      <c r="A907" s="22"/>
      <c r="B907" s="22"/>
      <c r="C907" s="22"/>
      <c r="D907" s="22"/>
      <c r="E907" s="22"/>
      <c r="F907" s="22"/>
      <c r="G907" s="22"/>
      <c r="H907" s="22"/>
      <c r="I907" s="22"/>
      <c r="J907" s="22"/>
      <c r="K907" s="22"/>
      <c r="L907" s="468"/>
      <c r="M907" s="468"/>
      <c r="N907" s="22"/>
      <c r="O907" s="22"/>
      <c r="P907" s="22"/>
      <c r="Q907" s="22"/>
      <c r="R907" s="22"/>
      <c r="S907" s="22"/>
      <c r="T907" s="468"/>
      <c r="U907" s="22"/>
      <c r="V907" s="22"/>
      <c r="W907" s="22"/>
      <c r="X907" s="22"/>
      <c r="Y907" s="22"/>
      <c r="Z907" s="465"/>
      <c r="AA907" s="22"/>
      <c r="AB907" s="22"/>
      <c r="AC907" s="22"/>
      <c r="AD907" s="22"/>
    </row>
    <row r="908" ht="15.75" customHeight="1">
      <c r="A908" s="22"/>
      <c r="B908" s="22"/>
      <c r="C908" s="22"/>
      <c r="D908" s="22"/>
      <c r="E908" s="22"/>
      <c r="F908" s="22"/>
      <c r="G908" s="22"/>
      <c r="H908" s="22"/>
      <c r="I908" s="22"/>
      <c r="J908" s="22"/>
      <c r="K908" s="22"/>
      <c r="L908" s="468"/>
      <c r="M908" s="468"/>
      <c r="N908" s="22"/>
      <c r="O908" s="22"/>
      <c r="P908" s="22"/>
      <c r="Q908" s="22"/>
      <c r="R908" s="22"/>
      <c r="S908" s="22"/>
      <c r="T908" s="468"/>
      <c r="U908" s="22"/>
      <c r="V908" s="22"/>
      <c r="W908" s="22"/>
      <c r="X908" s="22"/>
      <c r="Y908" s="22"/>
      <c r="Z908" s="465"/>
      <c r="AA908" s="22"/>
      <c r="AB908" s="22"/>
      <c r="AC908" s="22"/>
      <c r="AD908" s="22"/>
    </row>
    <row r="909" ht="15.75" customHeight="1">
      <c r="A909" s="22"/>
      <c r="B909" s="22"/>
      <c r="C909" s="22"/>
      <c r="D909" s="22"/>
      <c r="E909" s="22"/>
      <c r="F909" s="22"/>
      <c r="G909" s="22"/>
      <c r="H909" s="22"/>
      <c r="I909" s="22"/>
      <c r="J909" s="22"/>
      <c r="K909" s="22"/>
      <c r="L909" s="468"/>
      <c r="M909" s="468"/>
      <c r="N909" s="22"/>
      <c r="O909" s="22"/>
      <c r="P909" s="22"/>
      <c r="Q909" s="22"/>
      <c r="R909" s="22"/>
      <c r="S909" s="22"/>
      <c r="T909" s="468"/>
      <c r="U909" s="22"/>
      <c r="V909" s="22"/>
      <c r="W909" s="22"/>
      <c r="X909" s="22"/>
      <c r="Y909" s="22"/>
      <c r="Z909" s="465"/>
      <c r="AA909" s="22"/>
      <c r="AB909" s="22"/>
      <c r="AC909" s="22"/>
      <c r="AD909" s="22"/>
    </row>
    <row r="910" ht="15.75" customHeight="1">
      <c r="A910" s="22"/>
      <c r="B910" s="22"/>
      <c r="C910" s="22"/>
      <c r="D910" s="22"/>
      <c r="E910" s="22"/>
      <c r="F910" s="22"/>
      <c r="G910" s="22"/>
      <c r="H910" s="22"/>
      <c r="I910" s="22"/>
      <c r="J910" s="22"/>
      <c r="K910" s="22"/>
      <c r="L910" s="468"/>
      <c r="M910" s="468"/>
      <c r="N910" s="22"/>
      <c r="O910" s="22"/>
      <c r="P910" s="22"/>
      <c r="Q910" s="22"/>
      <c r="R910" s="22"/>
      <c r="S910" s="22"/>
      <c r="T910" s="468"/>
      <c r="U910" s="22"/>
      <c r="V910" s="22"/>
      <c r="W910" s="22"/>
      <c r="X910" s="22"/>
      <c r="Y910" s="22"/>
      <c r="Z910" s="465"/>
      <c r="AA910" s="22"/>
      <c r="AB910" s="22"/>
      <c r="AC910" s="22"/>
      <c r="AD910" s="22"/>
    </row>
    <row r="911" ht="15.75" customHeight="1">
      <c r="A911" s="22"/>
      <c r="B911" s="22"/>
      <c r="C911" s="22"/>
      <c r="D911" s="22"/>
      <c r="E911" s="22"/>
      <c r="F911" s="22"/>
      <c r="G911" s="22"/>
      <c r="H911" s="22"/>
      <c r="I911" s="22"/>
      <c r="J911" s="22"/>
      <c r="K911" s="22"/>
      <c r="L911" s="468"/>
      <c r="M911" s="468"/>
      <c r="N911" s="22"/>
      <c r="O911" s="22"/>
      <c r="P911" s="22"/>
      <c r="Q911" s="22"/>
      <c r="R911" s="22"/>
      <c r="S911" s="22"/>
      <c r="T911" s="468"/>
      <c r="U911" s="22"/>
      <c r="V911" s="22"/>
      <c r="W911" s="22"/>
      <c r="X911" s="22"/>
      <c r="Y911" s="22"/>
      <c r="Z911" s="465"/>
      <c r="AA911" s="22"/>
      <c r="AB911" s="22"/>
      <c r="AC911" s="22"/>
      <c r="AD911" s="22"/>
    </row>
    <row r="912" ht="15.75" customHeight="1">
      <c r="A912" s="22"/>
      <c r="B912" s="22"/>
      <c r="C912" s="22"/>
      <c r="D912" s="22"/>
      <c r="E912" s="22"/>
      <c r="F912" s="22"/>
      <c r="G912" s="22"/>
      <c r="H912" s="22"/>
      <c r="I912" s="22"/>
      <c r="J912" s="22"/>
      <c r="K912" s="22"/>
      <c r="L912" s="468"/>
      <c r="M912" s="468"/>
      <c r="N912" s="22"/>
      <c r="O912" s="22"/>
      <c r="P912" s="22"/>
      <c r="Q912" s="22"/>
      <c r="R912" s="22"/>
      <c r="S912" s="22"/>
      <c r="T912" s="468"/>
      <c r="U912" s="22"/>
      <c r="V912" s="22"/>
      <c r="W912" s="22"/>
      <c r="X912" s="22"/>
      <c r="Y912" s="22"/>
      <c r="Z912" s="465"/>
      <c r="AA912" s="22"/>
      <c r="AB912" s="22"/>
      <c r="AC912" s="22"/>
      <c r="AD912" s="22"/>
    </row>
    <row r="913" ht="15.75" customHeight="1">
      <c r="A913" s="22"/>
      <c r="B913" s="22"/>
      <c r="C913" s="22"/>
      <c r="D913" s="22"/>
      <c r="E913" s="22"/>
      <c r="F913" s="22"/>
      <c r="G913" s="22"/>
      <c r="H913" s="22"/>
      <c r="I913" s="22"/>
      <c r="J913" s="22"/>
      <c r="K913" s="22"/>
      <c r="L913" s="468"/>
      <c r="M913" s="468"/>
      <c r="N913" s="22"/>
      <c r="O913" s="22"/>
      <c r="P913" s="22"/>
      <c r="Q913" s="22"/>
      <c r="R913" s="22"/>
      <c r="S913" s="22"/>
      <c r="T913" s="468"/>
      <c r="U913" s="22"/>
      <c r="V913" s="22"/>
      <c r="W913" s="22"/>
      <c r="X913" s="22"/>
      <c r="Y913" s="22"/>
      <c r="Z913" s="465"/>
      <c r="AA913" s="22"/>
      <c r="AB913" s="22"/>
      <c r="AC913" s="22"/>
      <c r="AD913" s="22"/>
    </row>
    <row r="914" ht="15.75" customHeight="1">
      <c r="A914" s="22"/>
      <c r="B914" s="22"/>
      <c r="C914" s="22"/>
      <c r="D914" s="22"/>
      <c r="E914" s="22"/>
      <c r="F914" s="22"/>
      <c r="G914" s="22"/>
      <c r="H914" s="22"/>
      <c r="I914" s="22"/>
      <c r="J914" s="22"/>
      <c r="K914" s="22"/>
      <c r="L914" s="468"/>
      <c r="M914" s="468"/>
      <c r="N914" s="22"/>
      <c r="O914" s="22"/>
      <c r="P914" s="22"/>
      <c r="Q914" s="22"/>
      <c r="R914" s="22"/>
      <c r="S914" s="22"/>
      <c r="T914" s="468"/>
      <c r="U914" s="22"/>
      <c r="V914" s="22"/>
      <c r="W914" s="22"/>
      <c r="X914" s="22"/>
      <c r="Y914" s="22"/>
      <c r="Z914" s="465"/>
      <c r="AA914" s="22"/>
      <c r="AB914" s="22"/>
      <c r="AC914" s="22"/>
      <c r="AD914" s="22"/>
    </row>
    <row r="915" ht="15.75" customHeight="1">
      <c r="A915" s="22"/>
      <c r="B915" s="22"/>
      <c r="C915" s="22"/>
      <c r="D915" s="22"/>
      <c r="E915" s="22"/>
      <c r="F915" s="22"/>
      <c r="G915" s="22"/>
      <c r="H915" s="22"/>
      <c r="I915" s="22"/>
      <c r="J915" s="22"/>
      <c r="K915" s="22"/>
      <c r="L915" s="468"/>
      <c r="M915" s="468"/>
      <c r="N915" s="22"/>
      <c r="O915" s="22"/>
      <c r="P915" s="22"/>
      <c r="Q915" s="22"/>
      <c r="R915" s="22"/>
      <c r="S915" s="22"/>
      <c r="T915" s="468"/>
      <c r="U915" s="22"/>
      <c r="V915" s="22"/>
      <c r="W915" s="22"/>
      <c r="X915" s="22"/>
      <c r="Y915" s="22"/>
      <c r="Z915" s="465"/>
      <c r="AA915" s="22"/>
      <c r="AB915" s="22"/>
      <c r="AC915" s="22"/>
      <c r="AD915" s="22"/>
    </row>
    <row r="916" ht="15.75" customHeight="1">
      <c r="A916" s="22"/>
      <c r="B916" s="22"/>
      <c r="C916" s="22"/>
      <c r="D916" s="22"/>
      <c r="E916" s="22"/>
      <c r="F916" s="22"/>
      <c r="G916" s="22"/>
      <c r="H916" s="22"/>
      <c r="I916" s="22"/>
      <c r="J916" s="22"/>
      <c r="K916" s="22"/>
      <c r="L916" s="468"/>
      <c r="M916" s="468"/>
      <c r="N916" s="22"/>
      <c r="O916" s="22"/>
      <c r="P916" s="22"/>
      <c r="Q916" s="22"/>
      <c r="R916" s="22"/>
      <c r="S916" s="22"/>
      <c r="T916" s="468"/>
      <c r="U916" s="22"/>
      <c r="V916" s="22"/>
      <c r="W916" s="22"/>
      <c r="X916" s="22"/>
      <c r="Y916" s="22"/>
      <c r="Z916" s="465"/>
      <c r="AA916" s="22"/>
      <c r="AB916" s="22"/>
      <c r="AC916" s="22"/>
      <c r="AD916" s="22"/>
    </row>
    <row r="917" ht="15.75" customHeight="1">
      <c r="A917" s="22"/>
      <c r="B917" s="22"/>
      <c r="C917" s="22"/>
      <c r="D917" s="22"/>
      <c r="E917" s="22"/>
      <c r="F917" s="22"/>
      <c r="G917" s="22"/>
      <c r="H917" s="22"/>
      <c r="I917" s="22"/>
      <c r="J917" s="22"/>
      <c r="K917" s="22"/>
      <c r="L917" s="468"/>
      <c r="M917" s="468"/>
      <c r="N917" s="22"/>
      <c r="O917" s="22"/>
      <c r="P917" s="22"/>
      <c r="Q917" s="22"/>
      <c r="R917" s="22"/>
      <c r="S917" s="22"/>
      <c r="T917" s="468"/>
      <c r="U917" s="22"/>
      <c r="V917" s="22"/>
      <c r="W917" s="22"/>
      <c r="X917" s="22"/>
      <c r="Y917" s="22"/>
      <c r="Z917" s="465"/>
      <c r="AA917" s="22"/>
      <c r="AB917" s="22"/>
      <c r="AC917" s="22"/>
      <c r="AD917" s="22"/>
    </row>
    <row r="918" ht="15.75" customHeight="1">
      <c r="A918" s="22"/>
      <c r="B918" s="22"/>
      <c r="C918" s="22"/>
      <c r="D918" s="22"/>
      <c r="E918" s="22"/>
      <c r="F918" s="22"/>
      <c r="G918" s="22"/>
      <c r="H918" s="22"/>
      <c r="I918" s="22"/>
      <c r="J918" s="22"/>
      <c r="K918" s="22"/>
      <c r="L918" s="468"/>
      <c r="M918" s="468"/>
      <c r="N918" s="22"/>
      <c r="O918" s="22"/>
      <c r="P918" s="22"/>
      <c r="Q918" s="22"/>
      <c r="R918" s="22"/>
      <c r="S918" s="22"/>
      <c r="T918" s="468"/>
      <c r="U918" s="22"/>
      <c r="V918" s="22"/>
      <c r="W918" s="22"/>
      <c r="X918" s="22"/>
      <c r="Y918" s="22"/>
      <c r="Z918" s="465"/>
      <c r="AA918" s="22"/>
      <c r="AB918" s="22"/>
      <c r="AC918" s="22"/>
      <c r="AD918" s="22"/>
    </row>
    <row r="919" ht="15.75" customHeight="1">
      <c r="A919" s="22"/>
      <c r="B919" s="22"/>
      <c r="C919" s="22"/>
      <c r="D919" s="22"/>
      <c r="E919" s="22"/>
      <c r="F919" s="22"/>
      <c r="G919" s="22"/>
      <c r="H919" s="22"/>
      <c r="I919" s="22"/>
      <c r="J919" s="22"/>
      <c r="K919" s="22"/>
      <c r="L919" s="468"/>
      <c r="M919" s="468"/>
      <c r="N919" s="22"/>
      <c r="O919" s="22"/>
      <c r="P919" s="22"/>
      <c r="Q919" s="22"/>
      <c r="R919" s="22"/>
      <c r="S919" s="22"/>
      <c r="T919" s="468"/>
      <c r="U919" s="22"/>
      <c r="V919" s="22"/>
      <c r="W919" s="22"/>
      <c r="X919" s="22"/>
      <c r="Y919" s="22"/>
      <c r="Z919" s="465"/>
      <c r="AA919" s="22"/>
      <c r="AB919" s="22"/>
      <c r="AC919" s="22"/>
      <c r="AD919" s="22"/>
    </row>
    <row r="920" ht="15.75" customHeight="1">
      <c r="A920" s="22"/>
      <c r="B920" s="22"/>
      <c r="C920" s="22"/>
      <c r="D920" s="22"/>
      <c r="E920" s="22"/>
      <c r="F920" s="22"/>
      <c r="G920" s="22"/>
      <c r="H920" s="22"/>
      <c r="I920" s="22"/>
      <c r="J920" s="22"/>
      <c r="K920" s="22"/>
      <c r="L920" s="468"/>
      <c r="M920" s="468"/>
      <c r="N920" s="22"/>
      <c r="O920" s="22"/>
      <c r="P920" s="22"/>
      <c r="Q920" s="22"/>
      <c r="R920" s="22"/>
      <c r="S920" s="22"/>
      <c r="T920" s="468"/>
      <c r="U920" s="22"/>
      <c r="V920" s="22"/>
      <c r="W920" s="22"/>
      <c r="X920" s="22"/>
      <c r="Y920" s="22"/>
      <c r="Z920" s="465"/>
      <c r="AA920" s="22"/>
      <c r="AB920" s="22"/>
      <c r="AC920" s="22"/>
      <c r="AD920" s="22"/>
    </row>
    <row r="921" ht="15.75" customHeight="1">
      <c r="A921" s="22"/>
      <c r="B921" s="22"/>
      <c r="C921" s="22"/>
      <c r="D921" s="22"/>
      <c r="E921" s="22"/>
      <c r="F921" s="22"/>
      <c r="G921" s="22"/>
      <c r="H921" s="22"/>
      <c r="I921" s="22"/>
      <c r="J921" s="22"/>
      <c r="K921" s="22"/>
      <c r="L921" s="468"/>
      <c r="M921" s="468"/>
      <c r="N921" s="22"/>
      <c r="O921" s="22"/>
      <c r="P921" s="22"/>
      <c r="Q921" s="22"/>
      <c r="R921" s="22"/>
      <c r="S921" s="22"/>
      <c r="T921" s="468"/>
      <c r="U921" s="22"/>
      <c r="V921" s="22"/>
      <c r="W921" s="22"/>
      <c r="X921" s="22"/>
      <c r="Y921" s="22"/>
      <c r="Z921" s="465"/>
      <c r="AA921" s="22"/>
      <c r="AB921" s="22"/>
      <c r="AC921" s="22"/>
      <c r="AD921" s="22"/>
    </row>
    <row r="922" ht="15.75" customHeight="1">
      <c r="A922" s="22"/>
      <c r="B922" s="22"/>
      <c r="C922" s="22"/>
      <c r="D922" s="22"/>
      <c r="E922" s="22"/>
      <c r="F922" s="22"/>
      <c r="G922" s="22"/>
      <c r="H922" s="22"/>
      <c r="I922" s="22"/>
      <c r="J922" s="22"/>
      <c r="K922" s="22"/>
      <c r="L922" s="468"/>
      <c r="M922" s="468"/>
      <c r="N922" s="22"/>
      <c r="O922" s="22"/>
      <c r="P922" s="22"/>
      <c r="Q922" s="22"/>
      <c r="R922" s="22"/>
      <c r="S922" s="22"/>
      <c r="T922" s="468"/>
      <c r="U922" s="22"/>
      <c r="V922" s="22"/>
      <c r="W922" s="22"/>
      <c r="X922" s="22"/>
      <c r="Y922" s="22"/>
      <c r="Z922" s="465"/>
      <c r="AA922" s="22"/>
      <c r="AB922" s="22"/>
      <c r="AC922" s="22"/>
      <c r="AD922" s="22"/>
    </row>
    <row r="923" ht="15.75" customHeight="1">
      <c r="A923" s="22"/>
      <c r="B923" s="22"/>
      <c r="C923" s="22"/>
      <c r="D923" s="22"/>
      <c r="E923" s="22"/>
      <c r="F923" s="22"/>
      <c r="G923" s="22"/>
      <c r="H923" s="22"/>
      <c r="I923" s="22"/>
      <c r="J923" s="22"/>
      <c r="K923" s="22"/>
      <c r="L923" s="468"/>
      <c r="M923" s="468"/>
      <c r="N923" s="22"/>
      <c r="O923" s="22"/>
      <c r="P923" s="22"/>
      <c r="Q923" s="22"/>
      <c r="R923" s="22"/>
      <c r="S923" s="22"/>
      <c r="T923" s="468"/>
      <c r="U923" s="22"/>
      <c r="V923" s="22"/>
      <c r="W923" s="22"/>
      <c r="X923" s="22"/>
      <c r="Y923" s="22"/>
      <c r="Z923" s="465"/>
      <c r="AA923" s="22"/>
      <c r="AB923" s="22"/>
      <c r="AC923" s="22"/>
      <c r="AD923" s="22"/>
    </row>
    <row r="924" ht="15.75" customHeight="1">
      <c r="A924" s="22"/>
      <c r="B924" s="22"/>
      <c r="C924" s="22"/>
      <c r="D924" s="22"/>
      <c r="E924" s="22"/>
      <c r="F924" s="22"/>
      <c r="G924" s="22"/>
      <c r="H924" s="22"/>
      <c r="I924" s="22"/>
      <c r="J924" s="22"/>
      <c r="K924" s="22"/>
      <c r="L924" s="468"/>
      <c r="M924" s="468"/>
      <c r="N924" s="22"/>
      <c r="O924" s="22"/>
      <c r="P924" s="22"/>
      <c r="Q924" s="22"/>
      <c r="R924" s="22"/>
      <c r="S924" s="22"/>
      <c r="T924" s="468"/>
      <c r="U924" s="22"/>
      <c r="V924" s="22"/>
      <c r="W924" s="22"/>
      <c r="X924" s="22"/>
      <c r="Y924" s="22"/>
      <c r="Z924" s="465"/>
      <c r="AA924" s="22"/>
      <c r="AB924" s="22"/>
      <c r="AC924" s="22"/>
      <c r="AD924" s="22"/>
    </row>
    <row r="925" ht="15.75" customHeight="1">
      <c r="A925" s="22"/>
      <c r="B925" s="22"/>
      <c r="C925" s="22"/>
      <c r="D925" s="22"/>
      <c r="E925" s="22"/>
      <c r="F925" s="22"/>
      <c r="G925" s="22"/>
      <c r="H925" s="22"/>
      <c r="I925" s="22"/>
      <c r="J925" s="22"/>
      <c r="K925" s="22"/>
      <c r="L925" s="468"/>
      <c r="M925" s="468"/>
      <c r="N925" s="22"/>
      <c r="O925" s="22"/>
      <c r="P925" s="22"/>
      <c r="Q925" s="22"/>
      <c r="R925" s="22"/>
      <c r="S925" s="22"/>
      <c r="T925" s="468"/>
      <c r="U925" s="22"/>
      <c r="V925" s="22"/>
      <c r="W925" s="22"/>
      <c r="X925" s="22"/>
      <c r="Y925" s="22"/>
      <c r="Z925" s="465"/>
      <c r="AA925" s="22"/>
      <c r="AB925" s="22"/>
      <c r="AC925" s="22"/>
      <c r="AD925" s="22"/>
    </row>
    <row r="926" ht="15.75" customHeight="1">
      <c r="A926" s="22"/>
      <c r="B926" s="22"/>
      <c r="C926" s="22"/>
      <c r="D926" s="22"/>
      <c r="E926" s="22"/>
      <c r="F926" s="22"/>
      <c r="G926" s="22"/>
      <c r="H926" s="22"/>
      <c r="I926" s="22"/>
      <c r="J926" s="22"/>
      <c r="K926" s="22"/>
      <c r="L926" s="468"/>
      <c r="M926" s="468"/>
      <c r="N926" s="22"/>
      <c r="O926" s="22"/>
      <c r="P926" s="22"/>
      <c r="Q926" s="22"/>
      <c r="R926" s="22"/>
      <c r="S926" s="22"/>
      <c r="T926" s="468"/>
      <c r="U926" s="22"/>
      <c r="V926" s="22"/>
      <c r="W926" s="22"/>
      <c r="X926" s="22"/>
      <c r="Y926" s="22"/>
      <c r="Z926" s="465"/>
      <c r="AA926" s="22"/>
      <c r="AB926" s="22"/>
      <c r="AC926" s="22"/>
      <c r="AD926" s="22"/>
    </row>
    <row r="927" ht="15.75" customHeight="1">
      <c r="A927" s="22"/>
      <c r="B927" s="22"/>
      <c r="C927" s="22"/>
      <c r="D927" s="22"/>
      <c r="E927" s="22"/>
      <c r="F927" s="22"/>
      <c r="G927" s="22"/>
      <c r="H927" s="22"/>
      <c r="I927" s="22"/>
      <c r="J927" s="22"/>
      <c r="K927" s="22"/>
      <c r="L927" s="468"/>
      <c r="M927" s="468"/>
      <c r="N927" s="22"/>
      <c r="O927" s="22"/>
      <c r="P927" s="22"/>
      <c r="Q927" s="22"/>
      <c r="R927" s="22"/>
      <c r="S927" s="22"/>
      <c r="T927" s="468"/>
      <c r="U927" s="22"/>
      <c r="V927" s="22"/>
      <c r="W927" s="22"/>
      <c r="X927" s="22"/>
      <c r="Y927" s="22"/>
      <c r="Z927" s="465"/>
      <c r="AA927" s="22"/>
      <c r="AB927" s="22"/>
      <c r="AC927" s="22"/>
      <c r="AD927" s="22"/>
    </row>
    <row r="928" ht="15.75" customHeight="1">
      <c r="A928" s="22"/>
      <c r="B928" s="22"/>
      <c r="C928" s="22"/>
      <c r="D928" s="22"/>
      <c r="E928" s="22"/>
      <c r="F928" s="22"/>
      <c r="G928" s="22"/>
      <c r="H928" s="22"/>
      <c r="I928" s="22"/>
      <c r="J928" s="22"/>
      <c r="K928" s="22"/>
      <c r="L928" s="468"/>
      <c r="M928" s="468"/>
      <c r="N928" s="22"/>
      <c r="O928" s="22"/>
      <c r="P928" s="22"/>
      <c r="Q928" s="22"/>
      <c r="R928" s="22"/>
      <c r="S928" s="22"/>
      <c r="T928" s="468"/>
      <c r="U928" s="22"/>
      <c r="V928" s="22"/>
      <c r="W928" s="22"/>
      <c r="X928" s="22"/>
      <c r="Y928" s="22"/>
      <c r="Z928" s="465"/>
      <c r="AA928" s="22"/>
      <c r="AB928" s="22"/>
      <c r="AC928" s="22"/>
      <c r="AD928" s="22"/>
    </row>
    <row r="929" ht="15.75" customHeight="1">
      <c r="A929" s="22"/>
      <c r="B929" s="22"/>
      <c r="C929" s="22"/>
      <c r="D929" s="22"/>
      <c r="E929" s="22"/>
      <c r="F929" s="22"/>
      <c r="G929" s="22"/>
      <c r="H929" s="22"/>
      <c r="I929" s="22"/>
      <c r="J929" s="22"/>
      <c r="K929" s="22"/>
      <c r="L929" s="468"/>
      <c r="M929" s="468"/>
      <c r="N929" s="22"/>
      <c r="O929" s="22"/>
      <c r="P929" s="22"/>
      <c r="Q929" s="22"/>
      <c r="R929" s="22"/>
      <c r="S929" s="22"/>
      <c r="T929" s="468"/>
      <c r="U929" s="22"/>
      <c r="V929" s="22"/>
      <c r="W929" s="22"/>
      <c r="X929" s="22"/>
      <c r="Y929" s="22"/>
      <c r="Z929" s="465"/>
      <c r="AA929" s="22"/>
      <c r="AB929" s="22"/>
      <c r="AC929" s="22"/>
      <c r="AD929" s="22"/>
    </row>
    <row r="930" ht="15.75" customHeight="1">
      <c r="A930" s="22"/>
      <c r="B930" s="22"/>
      <c r="C930" s="22"/>
      <c r="D930" s="22"/>
      <c r="E930" s="22"/>
      <c r="F930" s="22"/>
      <c r="G930" s="22"/>
      <c r="H930" s="22"/>
      <c r="I930" s="22"/>
      <c r="J930" s="22"/>
      <c r="K930" s="22"/>
      <c r="L930" s="468"/>
      <c r="M930" s="468"/>
      <c r="N930" s="22"/>
      <c r="O930" s="22"/>
      <c r="P930" s="22"/>
      <c r="Q930" s="22"/>
      <c r="R930" s="22"/>
      <c r="S930" s="22"/>
      <c r="T930" s="468"/>
      <c r="U930" s="22"/>
      <c r="V930" s="22"/>
      <c r="W930" s="22"/>
      <c r="X930" s="22"/>
      <c r="Y930" s="22"/>
      <c r="Z930" s="465"/>
      <c r="AA930" s="22"/>
      <c r="AB930" s="22"/>
      <c r="AC930" s="22"/>
      <c r="AD930" s="22"/>
    </row>
    <row r="931" ht="15.75" customHeight="1">
      <c r="A931" s="22"/>
      <c r="B931" s="22"/>
      <c r="C931" s="22"/>
      <c r="D931" s="22"/>
      <c r="E931" s="22"/>
      <c r="F931" s="22"/>
      <c r="G931" s="22"/>
      <c r="H931" s="22"/>
      <c r="I931" s="22"/>
      <c r="J931" s="22"/>
      <c r="K931" s="22"/>
      <c r="L931" s="468"/>
      <c r="M931" s="468"/>
      <c r="N931" s="22"/>
      <c r="O931" s="22"/>
      <c r="P931" s="22"/>
      <c r="Q931" s="22"/>
      <c r="R931" s="22"/>
      <c r="S931" s="22"/>
      <c r="T931" s="468"/>
      <c r="U931" s="22"/>
      <c r="V931" s="22"/>
      <c r="W931" s="22"/>
      <c r="X931" s="22"/>
      <c r="Y931" s="22"/>
      <c r="Z931" s="465"/>
      <c r="AA931" s="22"/>
      <c r="AB931" s="22"/>
      <c r="AC931" s="22"/>
      <c r="AD931" s="22"/>
    </row>
    <row r="932" ht="15.75" customHeight="1">
      <c r="A932" s="22"/>
      <c r="B932" s="22"/>
      <c r="C932" s="22"/>
      <c r="D932" s="22"/>
      <c r="E932" s="22"/>
      <c r="F932" s="22"/>
      <c r="G932" s="22"/>
      <c r="H932" s="22"/>
      <c r="I932" s="22"/>
      <c r="J932" s="22"/>
      <c r="K932" s="22"/>
      <c r="L932" s="468"/>
      <c r="M932" s="468"/>
      <c r="N932" s="22"/>
      <c r="O932" s="22"/>
      <c r="P932" s="22"/>
      <c r="Q932" s="22"/>
      <c r="R932" s="22"/>
      <c r="S932" s="22"/>
      <c r="T932" s="468"/>
      <c r="U932" s="22"/>
      <c r="V932" s="22"/>
      <c r="W932" s="22"/>
      <c r="X932" s="22"/>
      <c r="Y932" s="22"/>
      <c r="Z932" s="465"/>
      <c r="AA932" s="22"/>
      <c r="AB932" s="22"/>
      <c r="AC932" s="22"/>
      <c r="AD932" s="22"/>
    </row>
    <row r="933" ht="15.75" customHeight="1">
      <c r="A933" s="22"/>
      <c r="B933" s="22"/>
      <c r="C933" s="22"/>
      <c r="D933" s="22"/>
      <c r="E933" s="22"/>
      <c r="F933" s="22"/>
      <c r="G933" s="22"/>
      <c r="H933" s="22"/>
      <c r="I933" s="22"/>
      <c r="J933" s="22"/>
      <c r="K933" s="22"/>
      <c r="L933" s="468"/>
      <c r="M933" s="468"/>
      <c r="N933" s="22"/>
      <c r="O933" s="22"/>
      <c r="P933" s="22"/>
      <c r="Q933" s="22"/>
      <c r="R933" s="22"/>
      <c r="S933" s="22"/>
      <c r="T933" s="468"/>
      <c r="U933" s="22"/>
      <c r="V933" s="22"/>
      <c r="W933" s="22"/>
      <c r="X933" s="22"/>
      <c r="Y933" s="22"/>
      <c r="Z933" s="465"/>
      <c r="AA933" s="22"/>
      <c r="AB933" s="22"/>
      <c r="AC933" s="22"/>
      <c r="AD933" s="22"/>
    </row>
    <row r="934" ht="15.75" customHeight="1">
      <c r="A934" s="22"/>
      <c r="B934" s="22"/>
      <c r="C934" s="22"/>
      <c r="D934" s="22"/>
      <c r="E934" s="22"/>
      <c r="F934" s="22"/>
      <c r="G934" s="22"/>
      <c r="H934" s="22"/>
      <c r="I934" s="22"/>
      <c r="J934" s="22"/>
      <c r="K934" s="22"/>
      <c r="L934" s="468"/>
      <c r="M934" s="468"/>
      <c r="N934" s="22"/>
      <c r="O934" s="22"/>
      <c r="P934" s="22"/>
      <c r="Q934" s="22"/>
      <c r="R934" s="22"/>
      <c r="S934" s="22"/>
      <c r="T934" s="468"/>
      <c r="U934" s="22"/>
      <c r="V934" s="22"/>
      <c r="W934" s="22"/>
      <c r="X934" s="22"/>
      <c r="Y934" s="22"/>
      <c r="Z934" s="465"/>
      <c r="AA934" s="22"/>
      <c r="AB934" s="22"/>
      <c r="AC934" s="22"/>
      <c r="AD934" s="22"/>
    </row>
    <row r="935" ht="15.75" customHeight="1">
      <c r="A935" s="22"/>
      <c r="B935" s="22"/>
      <c r="C935" s="22"/>
      <c r="D935" s="22"/>
      <c r="E935" s="22"/>
      <c r="F935" s="22"/>
      <c r="G935" s="22"/>
      <c r="H935" s="22"/>
      <c r="I935" s="22"/>
      <c r="J935" s="22"/>
      <c r="K935" s="22"/>
      <c r="L935" s="468"/>
      <c r="M935" s="468"/>
      <c r="N935" s="22"/>
      <c r="O935" s="22"/>
      <c r="P935" s="22"/>
      <c r="Q935" s="22"/>
      <c r="R935" s="22"/>
      <c r="S935" s="22"/>
      <c r="T935" s="468"/>
      <c r="U935" s="22"/>
      <c r="V935" s="22"/>
      <c r="W935" s="22"/>
      <c r="X935" s="22"/>
      <c r="Y935" s="22"/>
      <c r="Z935" s="465"/>
      <c r="AA935" s="22"/>
      <c r="AB935" s="22"/>
      <c r="AC935" s="22"/>
      <c r="AD935" s="22"/>
    </row>
    <row r="936" ht="15.75" customHeight="1">
      <c r="A936" s="22"/>
      <c r="B936" s="22"/>
      <c r="C936" s="22"/>
      <c r="D936" s="22"/>
      <c r="E936" s="22"/>
      <c r="F936" s="22"/>
      <c r="G936" s="22"/>
      <c r="H936" s="22"/>
      <c r="I936" s="22"/>
      <c r="J936" s="22"/>
      <c r="K936" s="22"/>
      <c r="L936" s="468"/>
      <c r="M936" s="468"/>
      <c r="N936" s="22"/>
      <c r="O936" s="22"/>
      <c r="P936" s="22"/>
      <c r="Q936" s="22"/>
      <c r="R936" s="22"/>
      <c r="S936" s="22"/>
      <c r="T936" s="468"/>
      <c r="U936" s="22"/>
      <c r="V936" s="22"/>
      <c r="W936" s="22"/>
      <c r="X936" s="22"/>
      <c r="Y936" s="22"/>
      <c r="Z936" s="465"/>
      <c r="AA936" s="22"/>
      <c r="AB936" s="22"/>
      <c r="AC936" s="22"/>
      <c r="AD936" s="22"/>
    </row>
    <row r="937" ht="15.75" customHeight="1">
      <c r="A937" s="22"/>
      <c r="B937" s="22"/>
      <c r="C937" s="22"/>
      <c r="D937" s="22"/>
      <c r="E937" s="22"/>
      <c r="F937" s="22"/>
      <c r="G937" s="22"/>
      <c r="H937" s="22"/>
      <c r="I937" s="22"/>
      <c r="J937" s="22"/>
      <c r="K937" s="22"/>
      <c r="L937" s="468"/>
      <c r="M937" s="468"/>
      <c r="N937" s="22"/>
      <c r="O937" s="22"/>
      <c r="P937" s="22"/>
      <c r="Q937" s="22"/>
      <c r="R937" s="22"/>
      <c r="S937" s="22"/>
      <c r="T937" s="468"/>
      <c r="U937" s="22"/>
      <c r="V937" s="22"/>
      <c r="W937" s="22"/>
      <c r="X937" s="22"/>
      <c r="Y937" s="22"/>
      <c r="Z937" s="465"/>
      <c r="AA937" s="22"/>
      <c r="AB937" s="22"/>
      <c r="AC937" s="22"/>
      <c r="AD937" s="22"/>
    </row>
    <row r="938" ht="15.75" customHeight="1">
      <c r="A938" s="22"/>
      <c r="B938" s="22"/>
      <c r="C938" s="22"/>
      <c r="D938" s="22"/>
      <c r="E938" s="22"/>
      <c r="F938" s="22"/>
      <c r="G938" s="22"/>
      <c r="H938" s="22"/>
      <c r="I938" s="22"/>
      <c r="J938" s="22"/>
      <c r="K938" s="22"/>
      <c r="L938" s="468"/>
      <c r="M938" s="468"/>
      <c r="N938" s="22"/>
      <c r="O938" s="22"/>
      <c r="P938" s="22"/>
      <c r="Q938" s="22"/>
      <c r="R938" s="22"/>
      <c r="S938" s="22"/>
      <c r="T938" s="468"/>
      <c r="U938" s="22"/>
      <c r="V938" s="22"/>
      <c r="W938" s="22"/>
      <c r="X938" s="22"/>
      <c r="Y938" s="22"/>
      <c r="Z938" s="465"/>
      <c r="AA938" s="22"/>
      <c r="AB938" s="22"/>
      <c r="AC938" s="22"/>
      <c r="AD938" s="22"/>
    </row>
    <row r="939" ht="15.75" customHeight="1">
      <c r="A939" s="22"/>
      <c r="B939" s="22"/>
      <c r="C939" s="22"/>
      <c r="D939" s="22"/>
      <c r="E939" s="22"/>
      <c r="F939" s="22"/>
      <c r="G939" s="22"/>
      <c r="H939" s="22"/>
      <c r="I939" s="22"/>
      <c r="J939" s="22"/>
      <c r="K939" s="22"/>
      <c r="L939" s="468"/>
      <c r="M939" s="468"/>
      <c r="N939" s="22"/>
      <c r="O939" s="22"/>
      <c r="P939" s="22"/>
      <c r="Q939" s="22"/>
      <c r="R939" s="22"/>
      <c r="S939" s="22"/>
      <c r="T939" s="468"/>
      <c r="U939" s="22"/>
      <c r="V939" s="22"/>
      <c r="W939" s="22"/>
      <c r="X939" s="22"/>
      <c r="Y939" s="22"/>
      <c r="Z939" s="465"/>
      <c r="AA939" s="22"/>
      <c r="AB939" s="22"/>
      <c r="AC939" s="22"/>
      <c r="AD939" s="22"/>
    </row>
    <row r="940" ht="15.75" customHeight="1">
      <c r="A940" s="22"/>
      <c r="B940" s="22"/>
      <c r="C940" s="22"/>
      <c r="D940" s="22"/>
      <c r="E940" s="22"/>
      <c r="F940" s="22"/>
      <c r="G940" s="22"/>
      <c r="H940" s="22"/>
      <c r="I940" s="22"/>
      <c r="J940" s="22"/>
      <c r="K940" s="22"/>
      <c r="L940" s="468"/>
      <c r="M940" s="468"/>
      <c r="N940" s="22"/>
      <c r="O940" s="22"/>
      <c r="P940" s="22"/>
      <c r="Q940" s="22"/>
      <c r="R940" s="22"/>
      <c r="S940" s="22"/>
      <c r="T940" s="468"/>
      <c r="U940" s="22"/>
      <c r="V940" s="22"/>
      <c r="W940" s="22"/>
      <c r="X940" s="22"/>
      <c r="Y940" s="22"/>
      <c r="Z940" s="465"/>
      <c r="AA940" s="22"/>
      <c r="AB940" s="22"/>
      <c r="AC940" s="22"/>
      <c r="AD940" s="22"/>
    </row>
    <row r="941" ht="15.75" customHeight="1">
      <c r="A941" s="22"/>
      <c r="B941" s="22"/>
      <c r="C941" s="22"/>
      <c r="D941" s="22"/>
      <c r="E941" s="22"/>
      <c r="F941" s="22"/>
      <c r="G941" s="22"/>
      <c r="H941" s="22"/>
      <c r="I941" s="22"/>
      <c r="J941" s="22"/>
      <c r="K941" s="22"/>
      <c r="L941" s="468"/>
      <c r="M941" s="468"/>
      <c r="N941" s="22"/>
      <c r="O941" s="22"/>
      <c r="P941" s="22"/>
      <c r="Q941" s="22"/>
      <c r="R941" s="22"/>
      <c r="S941" s="22"/>
      <c r="T941" s="468"/>
      <c r="U941" s="22"/>
      <c r="V941" s="22"/>
      <c r="W941" s="22"/>
      <c r="X941" s="22"/>
      <c r="Y941" s="22"/>
      <c r="Z941" s="465"/>
      <c r="AA941" s="22"/>
      <c r="AB941" s="22"/>
      <c r="AC941" s="22"/>
      <c r="AD941" s="22"/>
    </row>
    <row r="942" ht="15.75" customHeight="1">
      <c r="A942" s="22"/>
      <c r="B942" s="22"/>
      <c r="C942" s="22"/>
      <c r="D942" s="22"/>
      <c r="E942" s="22"/>
      <c r="F942" s="22"/>
      <c r="G942" s="22"/>
      <c r="H942" s="22"/>
      <c r="I942" s="22"/>
      <c r="J942" s="22"/>
      <c r="K942" s="22"/>
      <c r="L942" s="468"/>
      <c r="M942" s="468"/>
      <c r="N942" s="22"/>
      <c r="O942" s="22"/>
      <c r="P942" s="22"/>
      <c r="Q942" s="22"/>
      <c r="R942" s="22"/>
      <c r="S942" s="22"/>
      <c r="T942" s="468"/>
      <c r="U942" s="22"/>
      <c r="V942" s="22"/>
      <c r="W942" s="22"/>
      <c r="X942" s="22"/>
      <c r="Y942" s="22"/>
      <c r="Z942" s="465"/>
      <c r="AA942" s="22"/>
      <c r="AB942" s="22"/>
      <c r="AC942" s="22"/>
      <c r="AD942" s="22"/>
    </row>
    <row r="943" ht="15.75" customHeight="1">
      <c r="A943" s="22"/>
      <c r="B943" s="22"/>
      <c r="C943" s="22"/>
      <c r="D943" s="22"/>
      <c r="E943" s="22"/>
      <c r="F943" s="22"/>
      <c r="G943" s="22"/>
      <c r="H943" s="22"/>
      <c r="I943" s="22"/>
      <c r="J943" s="22"/>
      <c r="K943" s="22"/>
      <c r="L943" s="468"/>
      <c r="M943" s="468"/>
      <c r="N943" s="22"/>
      <c r="O943" s="22"/>
      <c r="P943" s="22"/>
      <c r="Q943" s="22"/>
      <c r="R943" s="22"/>
      <c r="S943" s="22"/>
      <c r="T943" s="468"/>
      <c r="U943" s="22"/>
      <c r="V943" s="22"/>
      <c r="W943" s="22"/>
      <c r="X943" s="22"/>
      <c r="Y943" s="22"/>
      <c r="Z943" s="465"/>
      <c r="AA943" s="22"/>
      <c r="AB943" s="22"/>
      <c r="AC943" s="22"/>
      <c r="AD943" s="22"/>
    </row>
    <row r="944" ht="15.75" customHeight="1">
      <c r="A944" s="22"/>
      <c r="B944" s="22"/>
      <c r="C944" s="22"/>
      <c r="D944" s="22"/>
      <c r="E944" s="22"/>
      <c r="F944" s="22"/>
      <c r="G944" s="22"/>
      <c r="H944" s="22"/>
      <c r="I944" s="22"/>
      <c r="J944" s="22"/>
      <c r="K944" s="22"/>
      <c r="L944" s="468"/>
      <c r="M944" s="468"/>
      <c r="N944" s="22"/>
      <c r="O944" s="22"/>
      <c r="P944" s="22"/>
      <c r="Q944" s="22"/>
      <c r="R944" s="22"/>
      <c r="S944" s="22"/>
      <c r="T944" s="468"/>
      <c r="U944" s="22"/>
      <c r="V944" s="22"/>
      <c r="W944" s="22"/>
      <c r="X944" s="22"/>
      <c r="Y944" s="22"/>
      <c r="Z944" s="465"/>
      <c r="AA944" s="22"/>
      <c r="AB944" s="22"/>
      <c r="AC944" s="22"/>
      <c r="AD944" s="22"/>
    </row>
    <row r="945" ht="15.75" customHeight="1">
      <c r="A945" s="22"/>
      <c r="B945" s="22"/>
      <c r="C945" s="22"/>
      <c r="D945" s="22"/>
      <c r="E945" s="22"/>
      <c r="F945" s="22"/>
      <c r="G945" s="22"/>
      <c r="H945" s="22"/>
      <c r="I945" s="22"/>
      <c r="J945" s="22"/>
      <c r="K945" s="22"/>
      <c r="L945" s="468"/>
      <c r="M945" s="468"/>
      <c r="N945" s="22"/>
      <c r="O945" s="22"/>
      <c r="P945" s="22"/>
      <c r="Q945" s="22"/>
      <c r="R945" s="22"/>
      <c r="S945" s="22"/>
      <c r="T945" s="468"/>
      <c r="U945" s="22"/>
      <c r="V945" s="22"/>
      <c r="W945" s="22"/>
      <c r="X945" s="22"/>
      <c r="Y945" s="22"/>
      <c r="Z945" s="465"/>
      <c r="AA945" s="22"/>
      <c r="AB945" s="22"/>
      <c r="AC945" s="22"/>
      <c r="AD945" s="22"/>
    </row>
    <row r="946" ht="15.75" customHeight="1">
      <c r="A946" s="22"/>
      <c r="B946" s="22"/>
      <c r="C946" s="22"/>
      <c r="D946" s="22"/>
      <c r="E946" s="22"/>
      <c r="F946" s="22"/>
      <c r="G946" s="22"/>
      <c r="H946" s="22"/>
      <c r="I946" s="22"/>
      <c r="J946" s="22"/>
      <c r="K946" s="22"/>
      <c r="L946" s="468"/>
      <c r="M946" s="468"/>
      <c r="N946" s="22"/>
      <c r="O946" s="22"/>
      <c r="P946" s="22"/>
      <c r="Q946" s="22"/>
      <c r="R946" s="22"/>
      <c r="S946" s="22"/>
      <c r="T946" s="468"/>
      <c r="U946" s="22"/>
      <c r="V946" s="22"/>
      <c r="W946" s="22"/>
      <c r="X946" s="22"/>
      <c r="Y946" s="22"/>
      <c r="Z946" s="465"/>
      <c r="AA946" s="22"/>
      <c r="AB946" s="22"/>
      <c r="AC946" s="22"/>
      <c r="AD946" s="22"/>
    </row>
    <row r="947" ht="15.75" customHeight="1">
      <c r="A947" s="22"/>
      <c r="B947" s="22"/>
      <c r="C947" s="22"/>
      <c r="D947" s="22"/>
      <c r="E947" s="22"/>
      <c r="F947" s="22"/>
      <c r="G947" s="22"/>
      <c r="H947" s="22"/>
      <c r="I947" s="22"/>
      <c r="J947" s="22"/>
      <c r="K947" s="22"/>
      <c r="L947" s="468"/>
      <c r="M947" s="468"/>
      <c r="N947" s="22"/>
      <c r="O947" s="22"/>
      <c r="P947" s="22"/>
      <c r="Q947" s="22"/>
      <c r="R947" s="22"/>
      <c r="S947" s="22"/>
      <c r="T947" s="468"/>
      <c r="U947" s="22"/>
      <c r="V947" s="22"/>
      <c r="W947" s="22"/>
      <c r="X947" s="22"/>
      <c r="Y947" s="22"/>
      <c r="Z947" s="465"/>
      <c r="AA947" s="22"/>
      <c r="AB947" s="22"/>
      <c r="AC947" s="22"/>
      <c r="AD947" s="22"/>
    </row>
    <row r="948" ht="15.75" customHeight="1">
      <c r="A948" s="22"/>
      <c r="B948" s="22"/>
      <c r="C948" s="22"/>
      <c r="D948" s="22"/>
      <c r="E948" s="22"/>
      <c r="F948" s="22"/>
      <c r="G948" s="22"/>
      <c r="H948" s="22"/>
      <c r="I948" s="22"/>
      <c r="J948" s="22"/>
      <c r="K948" s="22"/>
      <c r="L948" s="468"/>
      <c r="M948" s="468"/>
      <c r="N948" s="22"/>
      <c r="O948" s="22"/>
      <c r="P948" s="22"/>
      <c r="Q948" s="22"/>
      <c r="R948" s="22"/>
      <c r="S948" s="22"/>
      <c r="T948" s="468"/>
      <c r="U948" s="22"/>
      <c r="V948" s="22"/>
      <c r="W948" s="22"/>
      <c r="X948" s="22"/>
      <c r="Y948" s="22"/>
      <c r="Z948" s="465"/>
      <c r="AA948" s="22"/>
      <c r="AB948" s="22"/>
      <c r="AC948" s="22"/>
      <c r="AD948" s="22"/>
    </row>
    <row r="949" ht="15.75" customHeight="1">
      <c r="A949" s="22"/>
      <c r="B949" s="22"/>
      <c r="C949" s="22"/>
      <c r="D949" s="22"/>
      <c r="E949" s="22"/>
      <c r="F949" s="22"/>
      <c r="G949" s="22"/>
      <c r="H949" s="22"/>
      <c r="I949" s="22"/>
      <c r="J949" s="22"/>
      <c r="K949" s="22"/>
      <c r="L949" s="468"/>
      <c r="M949" s="468"/>
      <c r="N949" s="22"/>
      <c r="O949" s="22"/>
      <c r="P949" s="22"/>
      <c r="Q949" s="22"/>
      <c r="R949" s="22"/>
      <c r="S949" s="22"/>
      <c r="T949" s="468"/>
      <c r="U949" s="22"/>
      <c r="V949" s="22"/>
      <c r="W949" s="22"/>
      <c r="X949" s="22"/>
      <c r="Y949" s="22"/>
      <c r="Z949" s="465"/>
      <c r="AA949" s="22"/>
      <c r="AB949" s="22"/>
      <c r="AC949" s="22"/>
      <c r="AD949" s="22"/>
    </row>
    <row r="950" ht="15.75" customHeight="1">
      <c r="A950" s="22"/>
      <c r="B950" s="22"/>
      <c r="C950" s="22"/>
      <c r="D950" s="22"/>
      <c r="E950" s="22"/>
      <c r="F950" s="22"/>
      <c r="G950" s="22"/>
      <c r="H950" s="22"/>
      <c r="I950" s="22"/>
      <c r="J950" s="22"/>
      <c r="K950" s="22"/>
      <c r="L950" s="468"/>
      <c r="M950" s="468"/>
      <c r="N950" s="22"/>
      <c r="O950" s="22"/>
      <c r="P950" s="22"/>
      <c r="Q950" s="22"/>
      <c r="R950" s="22"/>
      <c r="S950" s="22"/>
      <c r="T950" s="468"/>
      <c r="U950" s="22"/>
      <c r="V950" s="22"/>
      <c r="W950" s="22"/>
      <c r="X950" s="22"/>
      <c r="Y950" s="22"/>
      <c r="Z950" s="465"/>
      <c r="AA950" s="22"/>
      <c r="AB950" s="22"/>
      <c r="AC950" s="22"/>
      <c r="AD950" s="22"/>
    </row>
    <row r="951" ht="15.75" customHeight="1">
      <c r="A951" s="22"/>
      <c r="B951" s="22"/>
      <c r="C951" s="22"/>
      <c r="D951" s="22"/>
      <c r="E951" s="22"/>
      <c r="F951" s="22"/>
      <c r="G951" s="22"/>
      <c r="H951" s="22"/>
      <c r="I951" s="22"/>
      <c r="J951" s="22"/>
      <c r="K951" s="22"/>
      <c r="L951" s="468"/>
      <c r="M951" s="468"/>
      <c r="N951" s="22"/>
      <c r="O951" s="22"/>
      <c r="P951" s="22"/>
      <c r="Q951" s="22"/>
      <c r="R951" s="22"/>
      <c r="S951" s="22"/>
      <c r="T951" s="468"/>
      <c r="U951" s="22"/>
      <c r="V951" s="22"/>
      <c r="W951" s="22"/>
      <c r="X951" s="22"/>
      <c r="Y951" s="22"/>
      <c r="Z951" s="465"/>
      <c r="AA951" s="22"/>
      <c r="AB951" s="22"/>
      <c r="AC951" s="22"/>
      <c r="AD951" s="22"/>
    </row>
    <row r="952" ht="15.75" customHeight="1">
      <c r="A952" s="22"/>
      <c r="B952" s="22"/>
      <c r="C952" s="22"/>
      <c r="D952" s="22"/>
      <c r="E952" s="22"/>
      <c r="F952" s="22"/>
      <c r="G952" s="22"/>
      <c r="H952" s="22"/>
      <c r="I952" s="22"/>
      <c r="J952" s="22"/>
      <c r="K952" s="22"/>
      <c r="L952" s="468"/>
      <c r="M952" s="468"/>
      <c r="N952" s="22"/>
      <c r="O952" s="22"/>
      <c r="P952" s="22"/>
      <c r="Q952" s="22"/>
      <c r="R952" s="22"/>
      <c r="S952" s="22"/>
      <c r="T952" s="468"/>
      <c r="U952" s="22"/>
      <c r="V952" s="22"/>
      <c r="W952" s="22"/>
      <c r="X952" s="22"/>
      <c r="Y952" s="22"/>
      <c r="Z952" s="465"/>
      <c r="AA952" s="22"/>
      <c r="AB952" s="22"/>
      <c r="AC952" s="22"/>
      <c r="AD952" s="22"/>
    </row>
    <row r="953" ht="15.75" customHeight="1">
      <c r="A953" s="22"/>
      <c r="B953" s="22"/>
      <c r="C953" s="22"/>
      <c r="D953" s="22"/>
      <c r="E953" s="22"/>
      <c r="F953" s="22"/>
      <c r="G953" s="22"/>
      <c r="H953" s="22"/>
      <c r="I953" s="22"/>
      <c r="J953" s="22"/>
      <c r="K953" s="22"/>
      <c r="L953" s="468"/>
      <c r="M953" s="468"/>
      <c r="N953" s="22"/>
      <c r="O953" s="22"/>
      <c r="P953" s="22"/>
      <c r="Q953" s="22"/>
      <c r="R953" s="22"/>
      <c r="S953" s="22"/>
      <c r="T953" s="468"/>
      <c r="U953" s="22"/>
      <c r="V953" s="22"/>
      <c r="W953" s="22"/>
      <c r="X953" s="22"/>
      <c r="Y953" s="22"/>
      <c r="Z953" s="465"/>
      <c r="AA953" s="22"/>
      <c r="AB953" s="22"/>
      <c r="AC953" s="22"/>
      <c r="AD953" s="22"/>
    </row>
    <row r="954" ht="15.75" customHeight="1">
      <c r="A954" s="22"/>
      <c r="B954" s="22"/>
      <c r="C954" s="22"/>
      <c r="D954" s="22"/>
      <c r="E954" s="22"/>
      <c r="F954" s="22"/>
      <c r="G954" s="22"/>
      <c r="H954" s="22"/>
      <c r="I954" s="22"/>
      <c r="J954" s="22"/>
      <c r="K954" s="22"/>
      <c r="L954" s="468"/>
      <c r="M954" s="468"/>
      <c r="N954" s="22"/>
      <c r="O954" s="22"/>
      <c r="P954" s="22"/>
      <c r="Q954" s="22"/>
      <c r="R954" s="22"/>
      <c r="S954" s="22"/>
      <c r="T954" s="468"/>
      <c r="U954" s="22"/>
      <c r="V954" s="22"/>
      <c r="W954" s="22"/>
      <c r="X954" s="22"/>
      <c r="Y954" s="22"/>
      <c r="Z954" s="465"/>
      <c r="AA954" s="22"/>
      <c r="AB954" s="22"/>
      <c r="AC954" s="22"/>
      <c r="AD954" s="22"/>
    </row>
    <row r="955" ht="15.75" customHeight="1">
      <c r="A955" s="22"/>
      <c r="B955" s="22"/>
      <c r="C955" s="22"/>
      <c r="D955" s="22"/>
      <c r="E955" s="22"/>
      <c r="F955" s="22"/>
      <c r="G955" s="22"/>
      <c r="H955" s="22"/>
      <c r="I955" s="22"/>
      <c r="J955" s="22"/>
      <c r="K955" s="22"/>
      <c r="L955" s="468"/>
      <c r="M955" s="468"/>
      <c r="N955" s="22"/>
      <c r="O955" s="22"/>
      <c r="P955" s="22"/>
      <c r="Q955" s="22"/>
      <c r="R955" s="22"/>
      <c r="S955" s="22"/>
      <c r="T955" s="468"/>
      <c r="U955" s="22"/>
      <c r="V955" s="22"/>
      <c r="W955" s="22"/>
      <c r="X955" s="22"/>
      <c r="Y955" s="22"/>
      <c r="Z955" s="465"/>
      <c r="AA955" s="22"/>
      <c r="AB955" s="22"/>
      <c r="AC955" s="22"/>
      <c r="AD955" s="22"/>
    </row>
    <row r="956" ht="15.75" customHeight="1">
      <c r="A956" s="22"/>
      <c r="B956" s="22"/>
      <c r="C956" s="22"/>
      <c r="D956" s="22"/>
      <c r="E956" s="22"/>
      <c r="F956" s="22"/>
      <c r="G956" s="22"/>
      <c r="H956" s="22"/>
      <c r="I956" s="22"/>
      <c r="J956" s="22"/>
      <c r="K956" s="22"/>
      <c r="L956" s="468"/>
      <c r="M956" s="468"/>
      <c r="N956" s="22"/>
      <c r="O956" s="22"/>
      <c r="P956" s="22"/>
      <c r="Q956" s="22"/>
      <c r="R956" s="22"/>
      <c r="S956" s="22"/>
      <c r="T956" s="468"/>
      <c r="U956" s="22"/>
      <c r="V956" s="22"/>
      <c r="W956" s="22"/>
      <c r="X956" s="22"/>
      <c r="Y956" s="22"/>
      <c r="Z956" s="465"/>
      <c r="AA956" s="22"/>
      <c r="AB956" s="22"/>
      <c r="AC956" s="22"/>
      <c r="AD956" s="22"/>
    </row>
    <row r="957" ht="15.75" customHeight="1">
      <c r="A957" s="22"/>
      <c r="B957" s="22"/>
      <c r="C957" s="22"/>
      <c r="D957" s="22"/>
      <c r="E957" s="22"/>
      <c r="F957" s="22"/>
      <c r="G957" s="22"/>
      <c r="H957" s="22"/>
      <c r="I957" s="22"/>
      <c r="J957" s="22"/>
      <c r="K957" s="22"/>
      <c r="L957" s="468"/>
      <c r="M957" s="468"/>
      <c r="N957" s="22"/>
      <c r="O957" s="22"/>
      <c r="P957" s="22"/>
      <c r="Q957" s="22"/>
      <c r="R957" s="22"/>
      <c r="S957" s="22"/>
      <c r="T957" s="468"/>
      <c r="U957" s="22"/>
      <c r="V957" s="22"/>
      <c r="W957" s="22"/>
      <c r="X957" s="22"/>
      <c r="Y957" s="22"/>
      <c r="Z957" s="465"/>
      <c r="AA957" s="22"/>
      <c r="AB957" s="22"/>
      <c r="AC957" s="22"/>
      <c r="AD957" s="22"/>
    </row>
    <row r="958" ht="15.75" customHeight="1">
      <c r="A958" s="22"/>
      <c r="B958" s="22"/>
      <c r="C958" s="22"/>
      <c r="D958" s="22"/>
      <c r="E958" s="22"/>
      <c r="F958" s="22"/>
      <c r="G958" s="22"/>
      <c r="H958" s="22"/>
      <c r="I958" s="22"/>
      <c r="J958" s="22"/>
      <c r="K958" s="22"/>
      <c r="L958" s="468"/>
      <c r="M958" s="468"/>
      <c r="N958" s="22"/>
      <c r="O958" s="22"/>
      <c r="P958" s="22"/>
      <c r="Q958" s="22"/>
      <c r="R958" s="22"/>
      <c r="S958" s="22"/>
      <c r="T958" s="468"/>
      <c r="U958" s="22"/>
      <c r="V958" s="22"/>
      <c r="W958" s="22"/>
      <c r="X958" s="22"/>
      <c r="Y958" s="22"/>
      <c r="Z958" s="465"/>
      <c r="AA958" s="22"/>
      <c r="AB958" s="22"/>
      <c r="AC958" s="22"/>
      <c r="AD958" s="22"/>
    </row>
    <row r="959" ht="15.75" customHeight="1">
      <c r="A959" s="22"/>
      <c r="B959" s="22"/>
      <c r="C959" s="22"/>
      <c r="D959" s="22"/>
      <c r="E959" s="22"/>
      <c r="F959" s="22"/>
      <c r="G959" s="22"/>
      <c r="H959" s="22"/>
      <c r="I959" s="22"/>
      <c r="J959" s="22"/>
      <c r="K959" s="22"/>
      <c r="L959" s="468"/>
      <c r="M959" s="468"/>
      <c r="N959" s="22"/>
      <c r="O959" s="22"/>
      <c r="P959" s="22"/>
      <c r="Q959" s="22"/>
      <c r="R959" s="22"/>
      <c r="S959" s="22"/>
      <c r="T959" s="468"/>
      <c r="U959" s="22"/>
      <c r="V959" s="22"/>
      <c r="W959" s="22"/>
      <c r="X959" s="22"/>
      <c r="Y959" s="22"/>
      <c r="Z959" s="465"/>
      <c r="AA959" s="22"/>
      <c r="AB959" s="22"/>
      <c r="AC959" s="22"/>
      <c r="AD959" s="22"/>
    </row>
    <row r="960" ht="15.75" customHeight="1">
      <c r="A960" s="22"/>
      <c r="B960" s="22"/>
      <c r="C960" s="22"/>
      <c r="D960" s="22"/>
      <c r="E960" s="22"/>
      <c r="F960" s="22"/>
      <c r="G960" s="22"/>
      <c r="H960" s="22"/>
      <c r="I960" s="22"/>
      <c r="J960" s="22"/>
      <c r="K960" s="22"/>
      <c r="L960" s="468"/>
      <c r="M960" s="468"/>
      <c r="N960" s="22"/>
      <c r="O960" s="22"/>
      <c r="P960" s="22"/>
      <c r="Q960" s="22"/>
      <c r="R960" s="22"/>
      <c r="S960" s="22"/>
      <c r="T960" s="468"/>
      <c r="U960" s="22"/>
      <c r="V960" s="22"/>
      <c r="W960" s="22"/>
      <c r="X960" s="22"/>
      <c r="Y960" s="22"/>
      <c r="Z960" s="465"/>
      <c r="AA960" s="22"/>
      <c r="AB960" s="22"/>
      <c r="AC960" s="22"/>
      <c r="AD960" s="22"/>
    </row>
    <row r="961" ht="15.75" customHeight="1">
      <c r="A961" s="22"/>
      <c r="B961" s="22"/>
      <c r="C961" s="22"/>
      <c r="D961" s="22"/>
      <c r="E961" s="22"/>
      <c r="F961" s="22"/>
      <c r="G961" s="22"/>
      <c r="H961" s="22"/>
      <c r="I961" s="22"/>
      <c r="J961" s="22"/>
      <c r="K961" s="22"/>
      <c r="L961" s="468"/>
      <c r="M961" s="468"/>
      <c r="N961" s="22"/>
      <c r="O961" s="22"/>
      <c r="P961" s="22"/>
      <c r="Q961" s="22"/>
      <c r="R961" s="22"/>
      <c r="S961" s="22"/>
      <c r="T961" s="468"/>
      <c r="U961" s="22"/>
      <c r="V961" s="22"/>
      <c r="W961" s="22"/>
      <c r="X961" s="22"/>
      <c r="Y961" s="22"/>
      <c r="Z961" s="465"/>
      <c r="AA961" s="22"/>
      <c r="AB961" s="22"/>
      <c r="AC961" s="22"/>
      <c r="AD961" s="22"/>
    </row>
    <row r="962" ht="15.75" customHeight="1">
      <c r="A962" s="22"/>
      <c r="B962" s="22"/>
      <c r="C962" s="22"/>
      <c r="D962" s="22"/>
      <c r="E962" s="22"/>
      <c r="F962" s="22"/>
      <c r="G962" s="22"/>
      <c r="H962" s="22"/>
      <c r="I962" s="22"/>
      <c r="J962" s="22"/>
      <c r="K962" s="22"/>
      <c r="L962" s="468"/>
      <c r="M962" s="468"/>
      <c r="N962" s="22"/>
      <c r="O962" s="22"/>
      <c r="P962" s="22"/>
      <c r="Q962" s="22"/>
      <c r="R962" s="22"/>
      <c r="S962" s="22"/>
      <c r="T962" s="468"/>
      <c r="U962" s="22"/>
      <c r="V962" s="22"/>
      <c r="W962" s="22"/>
      <c r="X962" s="22"/>
      <c r="Y962" s="22"/>
      <c r="Z962" s="465"/>
      <c r="AA962" s="22"/>
      <c r="AB962" s="22"/>
      <c r="AC962" s="22"/>
      <c r="AD962" s="22"/>
    </row>
    <row r="963" ht="15.75" customHeight="1">
      <c r="A963" s="22"/>
      <c r="B963" s="22"/>
      <c r="C963" s="22"/>
      <c r="D963" s="22"/>
      <c r="E963" s="22"/>
      <c r="F963" s="22"/>
      <c r="G963" s="22"/>
      <c r="H963" s="22"/>
      <c r="I963" s="22"/>
      <c r="J963" s="22"/>
      <c r="K963" s="22"/>
      <c r="L963" s="468"/>
      <c r="M963" s="468"/>
      <c r="N963" s="22"/>
      <c r="O963" s="22"/>
      <c r="P963" s="22"/>
      <c r="Q963" s="22"/>
      <c r="R963" s="22"/>
      <c r="S963" s="22"/>
      <c r="T963" s="468"/>
      <c r="U963" s="22"/>
      <c r="V963" s="22"/>
      <c r="W963" s="22"/>
      <c r="X963" s="22"/>
      <c r="Y963" s="22"/>
      <c r="Z963" s="465"/>
      <c r="AA963" s="22"/>
      <c r="AB963" s="22"/>
      <c r="AC963" s="22"/>
      <c r="AD963" s="22"/>
    </row>
    <row r="964" ht="15.75" customHeight="1">
      <c r="A964" s="22"/>
      <c r="B964" s="22"/>
      <c r="C964" s="22"/>
      <c r="D964" s="22"/>
      <c r="E964" s="22"/>
      <c r="F964" s="22"/>
      <c r="G964" s="22"/>
      <c r="H964" s="22"/>
      <c r="I964" s="22"/>
      <c r="J964" s="22"/>
      <c r="K964" s="22"/>
      <c r="L964" s="468"/>
      <c r="M964" s="468"/>
      <c r="N964" s="22"/>
      <c r="O964" s="22"/>
      <c r="P964" s="22"/>
      <c r="Q964" s="22"/>
      <c r="R964" s="22"/>
      <c r="S964" s="22"/>
      <c r="T964" s="468"/>
      <c r="U964" s="22"/>
      <c r="V964" s="22"/>
      <c r="W964" s="22"/>
      <c r="X964" s="22"/>
      <c r="Y964" s="22"/>
      <c r="Z964" s="465"/>
      <c r="AA964" s="22"/>
      <c r="AB964" s="22"/>
      <c r="AC964" s="22"/>
      <c r="AD964" s="22"/>
    </row>
    <row r="965" ht="15.75" customHeight="1">
      <c r="A965" s="22"/>
      <c r="B965" s="22"/>
      <c r="C965" s="22"/>
      <c r="D965" s="22"/>
      <c r="E965" s="22"/>
      <c r="F965" s="22"/>
      <c r="G965" s="22"/>
      <c r="H965" s="22"/>
      <c r="I965" s="22"/>
      <c r="J965" s="22"/>
      <c r="K965" s="22"/>
      <c r="L965" s="468"/>
      <c r="M965" s="468"/>
      <c r="N965" s="22"/>
      <c r="O965" s="22"/>
      <c r="P965" s="22"/>
      <c r="Q965" s="22"/>
      <c r="R965" s="22"/>
      <c r="S965" s="22"/>
      <c r="T965" s="468"/>
      <c r="U965" s="22"/>
      <c r="V965" s="22"/>
      <c r="W965" s="22"/>
      <c r="X965" s="22"/>
      <c r="Y965" s="22"/>
      <c r="Z965" s="465"/>
      <c r="AA965" s="22"/>
      <c r="AB965" s="22"/>
      <c r="AC965" s="22"/>
      <c r="AD965" s="22"/>
    </row>
    <row r="966" ht="15.75" customHeight="1">
      <c r="A966" s="22"/>
      <c r="B966" s="22"/>
      <c r="C966" s="22"/>
      <c r="D966" s="22"/>
      <c r="E966" s="22"/>
      <c r="F966" s="22"/>
      <c r="G966" s="22"/>
      <c r="H966" s="22"/>
      <c r="I966" s="22"/>
      <c r="J966" s="22"/>
      <c r="K966" s="22"/>
      <c r="L966" s="468"/>
      <c r="M966" s="468"/>
      <c r="N966" s="22"/>
      <c r="O966" s="22"/>
      <c r="P966" s="22"/>
      <c r="Q966" s="22"/>
      <c r="R966" s="22"/>
      <c r="S966" s="22"/>
      <c r="T966" s="468"/>
      <c r="U966" s="22"/>
      <c r="V966" s="22"/>
      <c r="W966" s="22"/>
      <c r="X966" s="22"/>
      <c r="Y966" s="22"/>
      <c r="Z966" s="465"/>
      <c r="AA966" s="22"/>
      <c r="AB966" s="22"/>
      <c r="AC966" s="22"/>
      <c r="AD966" s="22"/>
    </row>
    <row r="967" ht="15.75" customHeight="1">
      <c r="A967" s="22"/>
      <c r="B967" s="22"/>
      <c r="C967" s="22"/>
      <c r="D967" s="22"/>
      <c r="E967" s="22"/>
      <c r="F967" s="22"/>
      <c r="G967" s="22"/>
      <c r="H967" s="22"/>
      <c r="I967" s="22"/>
      <c r="J967" s="22"/>
      <c r="K967" s="22"/>
      <c r="L967" s="468"/>
      <c r="M967" s="468"/>
      <c r="N967" s="22"/>
      <c r="O967" s="22"/>
      <c r="P967" s="22"/>
      <c r="Q967" s="22"/>
      <c r="R967" s="22"/>
      <c r="S967" s="22"/>
      <c r="T967" s="468"/>
      <c r="U967" s="22"/>
      <c r="V967" s="22"/>
      <c r="W967" s="22"/>
      <c r="X967" s="22"/>
      <c r="Y967" s="22"/>
      <c r="Z967" s="465"/>
      <c r="AA967" s="22"/>
      <c r="AB967" s="22"/>
      <c r="AC967" s="22"/>
      <c r="AD967" s="22"/>
    </row>
    <row r="968" ht="15.75" customHeight="1">
      <c r="A968" s="22"/>
      <c r="B968" s="22"/>
      <c r="C968" s="22"/>
      <c r="D968" s="22"/>
      <c r="E968" s="22"/>
      <c r="F968" s="22"/>
      <c r="G968" s="22"/>
      <c r="H968" s="22"/>
      <c r="I968" s="22"/>
      <c r="J968" s="22"/>
      <c r="K968" s="22"/>
      <c r="L968" s="468"/>
      <c r="M968" s="468"/>
      <c r="N968" s="22"/>
      <c r="O968" s="22"/>
      <c r="P968" s="22"/>
      <c r="Q968" s="22"/>
      <c r="R968" s="22"/>
      <c r="S968" s="22"/>
      <c r="T968" s="468"/>
      <c r="U968" s="22"/>
      <c r="V968" s="22"/>
      <c r="W968" s="22"/>
      <c r="X968" s="22"/>
      <c r="Y968" s="22"/>
      <c r="Z968" s="465"/>
      <c r="AA968" s="22"/>
      <c r="AB968" s="22"/>
      <c r="AC968" s="22"/>
      <c r="AD968" s="22"/>
    </row>
    <row r="969" ht="15.75" customHeight="1">
      <c r="A969" s="22"/>
      <c r="B969" s="22"/>
      <c r="C969" s="22"/>
      <c r="D969" s="22"/>
      <c r="E969" s="22"/>
      <c r="F969" s="22"/>
      <c r="G969" s="22"/>
      <c r="H969" s="22"/>
      <c r="I969" s="22"/>
      <c r="J969" s="22"/>
      <c r="K969" s="22"/>
      <c r="L969" s="468"/>
      <c r="M969" s="468"/>
      <c r="N969" s="22"/>
      <c r="O969" s="22"/>
      <c r="P969" s="22"/>
      <c r="Q969" s="22"/>
      <c r="R969" s="22"/>
      <c r="S969" s="22"/>
      <c r="T969" s="468"/>
      <c r="U969" s="22"/>
      <c r="V969" s="22"/>
      <c r="W969" s="22"/>
      <c r="X969" s="22"/>
      <c r="Y969" s="22"/>
      <c r="Z969" s="465"/>
      <c r="AA969" s="22"/>
      <c r="AB969" s="22"/>
      <c r="AC969" s="22"/>
      <c r="AD969" s="22"/>
    </row>
    <row r="970" ht="15.75" customHeight="1">
      <c r="A970" s="22"/>
      <c r="B970" s="22"/>
      <c r="C970" s="22"/>
      <c r="D970" s="22"/>
      <c r="E970" s="22"/>
      <c r="F970" s="22"/>
      <c r="G970" s="22"/>
      <c r="H970" s="22"/>
      <c r="I970" s="22"/>
      <c r="J970" s="22"/>
      <c r="K970" s="22"/>
      <c r="L970" s="468"/>
      <c r="M970" s="468"/>
      <c r="N970" s="22"/>
      <c r="O970" s="22"/>
      <c r="P970" s="22"/>
      <c r="Q970" s="22"/>
      <c r="R970" s="22"/>
      <c r="S970" s="22"/>
      <c r="T970" s="468"/>
      <c r="U970" s="22"/>
      <c r="V970" s="22"/>
      <c r="W970" s="22"/>
      <c r="X970" s="22"/>
      <c r="Y970" s="22"/>
      <c r="Z970" s="465"/>
      <c r="AA970" s="22"/>
      <c r="AB970" s="22"/>
      <c r="AC970" s="22"/>
      <c r="AD970" s="22"/>
    </row>
    <row r="971" ht="15.75" customHeight="1">
      <c r="A971" s="22"/>
      <c r="B971" s="22"/>
      <c r="C971" s="22"/>
      <c r="D971" s="22"/>
      <c r="E971" s="22"/>
      <c r="F971" s="22"/>
      <c r="G971" s="22"/>
      <c r="H971" s="22"/>
      <c r="I971" s="22"/>
      <c r="J971" s="22"/>
      <c r="K971" s="22"/>
      <c r="L971" s="468"/>
      <c r="M971" s="468"/>
      <c r="N971" s="22"/>
      <c r="O971" s="22"/>
      <c r="P971" s="22"/>
      <c r="Q971" s="22"/>
      <c r="R971" s="22"/>
      <c r="S971" s="22"/>
      <c r="T971" s="468"/>
      <c r="U971" s="22"/>
      <c r="V971" s="22"/>
      <c r="W971" s="22"/>
      <c r="X971" s="22"/>
      <c r="Y971" s="22"/>
      <c r="Z971" s="465"/>
      <c r="AA971" s="22"/>
      <c r="AB971" s="22"/>
      <c r="AC971" s="22"/>
      <c r="AD971" s="22"/>
    </row>
    <row r="972" ht="15.75" customHeight="1">
      <c r="A972" s="22"/>
      <c r="B972" s="22"/>
      <c r="C972" s="22"/>
      <c r="D972" s="22"/>
      <c r="E972" s="22"/>
      <c r="F972" s="22"/>
      <c r="G972" s="22"/>
      <c r="H972" s="22"/>
      <c r="I972" s="22"/>
      <c r="J972" s="22"/>
      <c r="K972" s="22"/>
      <c r="L972" s="468"/>
      <c r="M972" s="468"/>
      <c r="N972" s="22"/>
      <c r="O972" s="22"/>
      <c r="P972" s="22"/>
      <c r="Q972" s="22"/>
      <c r="R972" s="22"/>
      <c r="S972" s="22"/>
      <c r="T972" s="468"/>
      <c r="U972" s="22"/>
      <c r="V972" s="22"/>
      <c r="W972" s="22"/>
      <c r="X972" s="22"/>
      <c r="Y972" s="22"/>
      <c r="Z972" s="465"/>
      <c r="AA972" s="22"/>
      <c r="AB972" s="22"/>
      <c r="AC972" s="22"/>
      <c r="AD972" s="22"/>
    </row>
    <row r="973" ht="15.75" customHeight="1">
      <c r="A973" s="22"/>
      <c r="B973" s="22"/>
      <c r="C973" s="22"/>
      <c r="D973" s="22"/>
      <c r="E973" s="22"/>
      <c r="F973" s="22"/>
      <c r="G973" s="22"/>
      <c r="H973" s="22"/>
      <c r="I973" s="22"/>
      <c r="J973" s="22"/>
      <c r="K973" s="22"/>
      <c r="L973" s="468"/>
      <c r="M973" s="468"/>
      <c r="N973" s="22"/>
      <c r="O973" s="22"/>
      <c r="P973" s="22"/>
      <c r="Q973" s="22"/>
      <c r="R973" s="22"/>
      <c r="S973" s="22"/>
      <c r="T973" s="468"/>
      <c r="U973" s="22"/>
      <c r="V973" s="22"/>
      <c r="W973" s="22"/>
      <c r="X973" s="22"/>
      <c r="Y973" s="22"/>
      <c r="Z973" s="465"/>
      <c r="AA973" s="22"/>
      <c r="AB973" s="22"/>
      <c r="AC973" s="22"/>
      <c r="AD973" s="22"/>
    </row>
    <row r="974" ht="15.75" customHeight="1">
      <c r="A974" s="22"/>
      <c r="B974" s="22"/>
      <c r="C974" s="22"/>
      <c r="D974" s="22"/>
      <c r="E974" s="22"/>
      <c r="F974" s="22"/>
      <c r="G974" s="22"/>
      <c r="H974" s="22"/>
      <c r="I974" s="22"/>
      <c r="J974" s="22"/>
      <c r="K974" s="22"/>
      <c r="L974" s="468"/>
      <c r="M974" s="468"/>
      <c r="N974" s="22"/>
      <c r="O974" s="22"/>
      <c r="P974" s="22"/>
      <c r="Q974" s="22"/>
      <c r="R974" s="22"/>
      <c r="S974" s="22"/>
      <c r="T974" s="468"/>
      <c r="U974" s="22"/>
      <c r="V974" s="22"/>
      <c r="W974" s="22"/>
      <c r="X974" s="22"/>
      <c r="Y974" s="22"/>
      <c r="Z974" s="465"/>
      <c r="AA974" s="22"/>
      <c r="AB974" s="22"/>
      <c r="AC974" s="22"/>
      <c r="AD974" s="22"/>
    </row>
    <row r="975" ht="15.75" customHeight="1">
      <c r="A975" s="22"/>
      <c r="B975" s="22"/>
      <c r="C975" s="22"/>
      <c r="D975" s="22"/>
      <c r="E975" s="22"/>
      <c r="F975" s="22"/>
      <c r="G975" s="22"/>
      <c r="H975" s="22"/>
      <c r="I975" s="22"/>
      <c r="J975" s="22"/>
      <c r="K975" s="22"/>
      <c r="L975" s="468"/>
      <c r="M975" s="468"/>
      <c r="N975" s="22"/>
      <c r="O975" s="22"/>
      <c r="P975" s="22"/>
      <c r="Q975" s="22"/>
      <c r="R975" s="22"/>
      <c r="S975" s="22"/>
      <c r="T975" s="468"/>
      <c r="U975" s="22"/>
      <c r="V975" s="22"/>
      <c r="W975" s="22"/>
      <c r="X975" s="22"/>
      <c r="Y975" s="22"/>
      <c r="Z975" s="465"/>
      <c r="AA975" s="22"/>
      <c r="AB975" s="22"/>
      <c r="AC975" s="22"/>
      <c r="AD975" s="22"/>
    </row>
    <row r="976" ht="15.75" customHeight="1">
      <c r="A976" s="22"/>
      <c r="B976" s="22"/>
      <c r="C976" s="22"/>
      <c r="D976" s="22"/>
      <c r="E976" s="22"/>
      <c r="F976" s="22"/>
      <c r="G976" s="22"/>
      <c r="H976" s="22"/>
      <c r="I976" s="22"/>
      <c r="J976" s="22"/>
      <c r="K976" s="22"/>
      <c r="L976" s="468"/>
      <c r="M976" s="468"/>
      <c r="N976" s="22"/>
      <c r="O976" s="22"/>
      <c r="P976" s="22"/>
      <c r="Q976" s="22"/>
      <c r="R976" s="22"/>
      <c r="S976" s="22"/>
      <c r="T976" s="468"/>
      <c r="U976" s="22"/>
      <c r="V976" s="22"/>
      <c r="W976" s="22"/>
      <c r="X976" s="22"/>
      <c r="Y976" s="22"/>
      <c r="Z976" s="465"/>
      <c r="AA976" s="22"/>
      <c r="AB976" s="22"/>
      <c r="AC976" s="22"/>
      <c r="AD976" s="22"/>
    </row>
    <row r="977" ht="15.75" customHeight="1">
      <c r="A977" s="22"/>
      <c r="B977" s="22"/>
      <c r="C977" s="22"/>
      <c r="D977" s="22"/>
      <c r="E977" s="22"/>
      <c r="F977" s="22"/>
      <c r="G977" s="22"/>
      <c r="H977" s="22"/>
      <c r="I977" s="22"/>
      <c r="J977" s="22"/>
      <c r="K977" s="22"/>
      <c r="L977" s="468"/>
      <c r="M977" s="468"/>
      <c r="N977" s="22"/>
      <c r="O977" s="22"/>
      <c r="P977" s="22"/>
      <c r="Q977" s="22"/>
      <c r="R977" s="22"/>
      <c r="S977" s="22"/>
      <c r="T977" s="468"/>
      <c r="U977" s="22"/>
      <c r="V977" s="22"/>
      <c r="W977" s="22"/>
      <c r="X977" s="22"/>
      <c r="Y977" s="22"/>
      <c r="Z977" s="465"/>
      <c r="AA977" s="22"/>
      <c r="AB977" s="22"/>
      <c r="AC977" s="22"/>
      <c r="AD977" s="22"/>
    </row>
    <row r="978" ht="15.75" customHeight="1">
      <c r="A978" s="22"/>
      <c r="B978" s="22"/>
      <c r="C978" s="22"/>
      <c r="D978" s="22"/>
      <c r="E978" s="22"/>
      <c r="F978" s="22"/>
      <c r="G978" s="22"/>
      <c r="H978" s="22"/>
      <c r="I978" s="22"/>
      <c r="J978" s="22"/>
      <c r="K978" s="22"/>
      <c r="L978" s="468"/>
      <c r="M978" s="468"/>
      <c r="N978" s="22"/>
      <c r="O978" s="22"/>
      <c r="P978" s="22"/>
      <c r="Q978" s="22"/>
      <c r="R978" s="22"/>
      <c r="S978" s="22"/>
      <c r="T978" s="468"/>
      <c r="U978" s="22"/>
      <c r="V978" s="22"/>
      <c r="W978" s="22"/>
      <c r="X978" s="22"/>
      <c r="Y978" s="22"/>
      <c r="Z978" s="465"/>
      <c r="AA978" s="22"/>
      <c r="AB978" s="22"/>
      <c r="AC978" s="22"/>
      <c r="AD978" s="22"/>
    </row>
    <row r="979" ht="15.75" customHeight="1">
      <c r="A979" s="22"/>
      <c r="B979" s="22"/>
      <c r="C979" s="22"/>
      <c r="D979" s="22"/>
      <c r="E979" s="22"/>
      <c r="F979" s="22"/>
      <c r="G979" s="22"/>
      <c r="H979" s="22"/>
      <c r="I979" s="22"/>
      <c r="J979" s="22"/>
      <c r="K979" s="22"/>
      <c r="L979" s="468"/>
      <c r="M979" s="468"/>
      <c r="N979" s="22"/>
      <c r="O979" s="22"/>
      <c r="P979" s="22"/>
      <c r="Q979" s="22"/>
      <c r="R979" s="22"/>
      <c r="S979" s="22"/>
      <c r="T979" s="468"/>
      <c r="U979" s="22"/>
      <c r="V979" s="22"/>
      <c r="W979" s="22"/>
      <c r="X979" s="22"/>
      <c r="Y979" s="22"/>
      <c r="Z979" s="465"/>
      <c r="AA979" s="22"/>
      <c r="AB979" s="22"/>
      <c r="AC979" s="22"/>
      <c r="AD979" s="22"/>
    </row>
    <row r="980" ht="15.75" customHeight="1">
      <c r="A980" s="22"/>
      <c r="B980" s="22"/>
      <c r="C980" s="22"/>
      <c r="D980" s="22"/>
      <c r="E980" s="22"/>
      <c r="F980" s="22"/>
      <c r="G980" s="22"/>
      <c r="H980" s="22"/>
      <c r="I980" s="22"/>
      <c r="J980" s="22"/>
      <c r="K980" s="22"/>
      <c r="L980" s="468"/>
      <c r="M980" s="468"/>
      <c r="N980" s="22"/>
      <c r="O980" s="22"/>
      <c r="P980" s="22"/>
      <c r="Q980" s="22"/>
      <c r="R980" s="22"/>
      <c r="S980" s="22"/>
      <c r="T980" s="468"/>
      <c r="U980" s="22"/>
      <c r="V980" s="22"/>
      <c r="W980" s="22"/>
      <c r="X980" s="22"/>
      <c r="Y980" s="22"/>
      <c r="Z980" s="465"/>
      <c r="AA980" s="22"/>
      <c r="AB980" s="22"/>
      <c r="AC980" s="22"/>
      <c r="AD980" s="22"/>
    </row>
    <row r="981" ht="15.75" customHeight="1">
      <c r="A981" s="22"/>
      <c r="B981" s="22"/>
      <c r="C981" s="22"/>
      <c r="D981" s="22"/>
      <c r="E981" s="22"/>
      <c r="F981" s="22"/>
      <c r="G981" s="22"/>
      <c r="H981" s="22"/>
      <c r="I981" s="22"/>
      <c r="J981" s="22"/>
      <c r="K981" s="22"/>
      <c r="L981" s="468"/>
      <c r="M981" s="468"/>
      <c r="N981" s="22"/>
      <c r="O981" s="22"/>
      <c r="P981" s="22"/>
      <c r="Q981" s="22"/>
      <c r="R981" s="22"/>
      <c r="S981" s="22"/>
      <c r="T981" s="468"/>
      <c r="U981" s="22"/>
      <c r="V981" s="22"/>
      <c r="W981" s="22"/>
      <c r="X981" s="22"/>
      <c r="Y981" s="22"/>
      <c r="Z981" s="465"/>
      <c r="AA981" s="22"/>
      <c r="AB981" s="22"/>
      <c r="AC981" s="22"/>
      <c r="AD981" s="22"/>
    </row>
    <row r="982" ht="15.75" customHeight="1">
      <c r="A982" s="22"/>
      <c r="B982" s="22"/>
      <c r="C982" s="22"/>
      <c r="D982" s="22"/>
      <c r="E982" s="22"/>
      <c r="F982" s="22"/>
      <c r="G982" s="22"/>
      <c r="H982" s="22"/>
      <c r="I982" s="22"/>
      <c r="J982" s="22"/>
      <c r="K982" s="22"/>
      <c r="L982" s="468"/>
      <c r="M982" s="468"/>
      <c r="N982" s="22"/>
      <c r="O982" s="22"/>
      <c r="P982" s="22"/>
      <c r="Q982" s="22"/>
      <c r="R982" s="22"/>
      <c r="S982" s="22"/>
      <c r="T982" s="468"/>
      <c r="U982" s="22"/>
      <c r="V982" s="22"/>
      <c r="W982" s="22"/>
      <c r="X982" s="22"/>
      <c r="Y982" s="22"/>
      <c r="Z982" s="465"/>
      <c r="AA982" s="22"/>
      <c r="AB982" s="22"/>
      <c r="AC982" s="22"/>
      <c r="AD982" s="22"/>
    </row>
    <row r="983" ht="15.75" customHeight="1">
      <c r="A983" s="22"/>
      <c r="B983" s="22"/>
      <c r="C983" s="22"/>
      <c r="D983" s="22"/>
      <c r="E983" s="22"/>
      <c r="F983" s="22"/>
      <c r="G983" s="22"/>
      <c r="H983" s="22"/>
      <c r="I983" s="22"/>
      <c r="J983" s="22"/>
      <c r="K983" s="22"/>
      <c r="L983" s="468"/>
      <c r="M983" s="468"/>
      <c r="N983" s="22"/>
      <c r="O983" s="22"/>
      <c r="P983" s="22"/>
      <c r="Q983" s="22"/>
      <c r="R983" s="22"/>
      <c r="S983" s="22"/>
      <c r="T983" s="468"/>
      <c r="U983" s="22"/>
      <c r="V983" s="22"/>
      <c r="W983" s="22"/>
      <c r="X983" s="22"/>
      <c r="Y983" s="22"/>
      <c r="Z983" s="465"/>
      <c r="AA983" s="22"/>
      <c r="AB983" s="22"/>
      <c r="AC983" s="22"/>
      <c r="AD983" s="22"/>
    </row>
    <row r="984" ht="15.75" customHeight="1">
      <c r="A984" s="22"/>
      <c r="B984" s="22"/>
      <c r="C984" s="22"/>
      <c r="D984" s="22"/>
      <c r="E984" s="22"/>
      <c r="F984" s="22"/>
      <c r="G984" s="22"/>
      <c r="H984" s="22"/>
      <c r="I984" s="22"/>
      <c r="J984" s="22"/>
      <c r="K984" s="22"/>
      <c r="L984" s="468"/>
      <c r="M984" s="468"/>
      <c r="N984" s="22"/>
      <c r="O984" s="22"/>
      <c r="P984" s="22"/>
      <c r="Q984" s="22"/>
      <c r="R984" s="22"/>
      <c r="S984" s="22"/>
      <c r="T984" s="468"/>
      <c r="U984" s="22"/>
      <c r="V984" s="22"/>
      <c r="W984" s="22"/>
      <c r="X984" s="22"/>
      <c r="Y984" s="22"/>
      <c r="Z984" s="465"/>
      <c r="AA984" s="22"/>
      <c r="AB984" s="22"/>
      <c r="AC984" s="22"/>
      <c r="AD984" s="22"/>
    </row>
    <row r="985" ht="15.75" customHeight="1">
      <c r="A985" s="22"/>
      <c r="B985" s="22"/>
      <c r="C985" s="22"/>
      <c r="D985" s="22"/>
      <c r="E985" s="22"/>
      <c r="F985" s="22"/>
      <c r="G985" s="22"/>
      <c r="H985" s="22"/>
      <c r="I985" s="22"/>
      <c r="J985" s="22"/>
      <c r="K985" s="22"/>
      <c r="L985" s="468"/>
      <c r="M985" s="468"/>
      <c r="N985" s="22"/>
      <c r="O985" s="22"/>
      <c r="P985" s="22"/>
      <c r="Q985" s="22"/>
      <c r="R985" s="22"/>
      <c r="S985" s="22"/>
      <c r="T985" s="468"/>
      <c r="U985" s="22"/>
      <c r="V985" s="22"/>
      <c r="W985" s="22"/>
      <c r="X985" s="22"/>
      <c r="Y985" s="22"/>
      <c r="Z985" s="465"/>
      <c r="AA985" s="22"/>
      <c r="AB985" s="22"/>
      <c r="AC985" s="22"/>
      <c r="AD985" s="22"/>
    </row>
    <row r="986" ht="15.75" customHeight="1">
      <c r="A986" s="22"/>
      <c r="B986" s="22"/>
      <c r="C986" s="22"/>
      <c r="D986" s="22"/>
      <c r="E986" s="22"/>
      <c r="F986" s="22"/>
      <c r="G986" s="22"/>
      <c r="H986" s="22"/>
      <c r="I986" s="22"/>
      <c r="J986" s="22"/>
      <c r="K986" s="22"/>
      <c r="L986" s="468"/>
      <c r="M986" s="468"/>
      <c r="N986" s="22"/>
      <c r="O986" s="22"/>
      <c r="P986" s="22"/>
      <c r="Q986" s="22"/>
      <c r="R986" s="22"/>
      <c r="S986" s="22"/>
      <c r="T986" s="468"/>
      <c r="U986" s="22"/>
      <c r="V986" s="22"/>
      <c r="W986" s="22"/>
      <c r="X986" s="22"/>
      <c r="Y986" s="22"/>
      <c r="Z986" s="465"/>
      <c r="AA986" s="22"/>
      <c r="AB986" s="22"/>
      <c r="AC986" s="22"/>
      <c r="AD986" s="22"/>
    </row>
    <row r="987" ht="15.75" customHeight="1">
      <c r="A987" s="22"/>
      <c r="B987" s="22"/>
      <c r="C987" s="22"/>
      <c r="D987" s="22"/>
      <c r="E987" s="22"/>
      <c r="F987" s="22"/>
      <c r="G987" s="22"/>
      <c r="H987" s="22"/>
      <c r="I987" s="22"/>
      <c r="J987" s="22"/>
      <c r="K987" s="22"/>
      <c r="L987" s="468"/>
      <c r="M987" s="468"/>
      <c r="N987" s="22"/>
      <c r="O987" s="22"/>
      <c r="P987" s="22"/>
      <c r="Q987" s="22"/>
      <c r="R987" s="22"/>
      <c r="S987" s="22"/>
      <c r="T987" s="468"/>
      <c r="U987" s="22"/>
      <c r="V987" s="22"/>
      <c r="W987" s="22"/>
      <c r="X987" s="22"/>
      <c r="Y987" s="22"/>
      <c r="Z987" s="465"/>
      <c r="AA987" s="22"/>
      <c r="AB987" s="22"/>
      <c r="AC987" s="22"/>
      <c r="AD987" s="22"/>
    </row>
    <row r="988" ht="15.75" customHeight="1">
      <c r="A988" s="22"/>
      <c r="B988" s="22"/>
      <c r="C988" s="22"/>
      <c r="D988" s="22"/>
      <c r="E988" s="22"/>
      <c r="F988" s="22"/>
      <c r="G988" s="22"/>
      <c r="H988" s="22"/>
      <c r="I988" s="22"/>
      <c r="J988" s="22"/>
      <c r="K988" s="22"/>
      <c r="L988" s="468"/>
      <c r="M988" s="468"/>
      <c r="N988" s="22"/>
      <c r="O988" s="22"/>
      <c r="P988" s="22"/>
      <c r="Q988" s="22"/>
      <c r="R988" s="22"/>
      <c r="S988" s="22"/>
      <c r="T988" s="468"/>
      <c r="U988" s="22"/>
      <c r="V988" s="22"/>
      <c r="W988" s="22"/>
      <c r="X988" s="22"/>
      <c r="Y988" s="22"/>
      <c r="Z988" s="465"/>
      <c r="AA988" s="22"/>
      <c r="AB988" s="22"/>
      <c r="AC988" s="22"/>
      <c r="AD988" s="22"/>
    </row>
    <row r="989" ht="15.75" customHeight="1">
      <c r="A989" s="22"/>
      <c r="B989" s="22"/>
      <c r="C989" s="22"/>
      <c r="D989" s="22"/>
      <c r="E989" s="22"/>
      <c r="F989" s="22"/>
      <c r="G989" s="22"/>
      <c r="H989" s="22"/>
      <c r="I989" s="22"/>
      <c r="J989" s="22"/>
      <c r="K989" s="22"/>
      <c r="L989" s="468"/>
      <c r="M989" s="468"/>
      <c r="N989" s="22"/>
      <c r="O989" s="22"/>
      <c r="P989" s="22"/>
      <c r="Q989" s="22"/>
      <c r="R989" s="22"/>
      <c r="S989" s="22"/>
      <c r="T989" s="468"/>
      <c r="U989" s="22"/>
      <c r="V989" s="22"/>
      <c r="W989" s="22"/>
      <c r="X989" s="22"/>
      <c r="Y989" s="22"/>
      <c r="Z989" s="465"/>
      <c r="AA989" s="22"/>
      <c r="AB989" s="22"/>
      <c r="AC989" s="22"/>
      <c r="AD989" s="22"/>
    </row>
    <row r="990" ht="15.75" customHeight="1">
      <c r="A990" s="22"/>
      <c r="B990" s="22"/>
      <c r="C990" s="22"/>
      <c r="D990" s="22"/>
      <c r="E990" s="22"/>
      <c r="F990" s="22"/>
      <c r="G990" s="22"/>
      <c r="H990" s="22"/>
      <c r="I990" s="22"/>
      <c r="J990" s="22"/>
      <c r="K990" s="22"/>
      <c r="L990" s="468"/>
      <c r="M990" s="468"/>
      <c r="N990" s="22"/>
      <c r="O990" s="22"/>
      <c r="P990" s="22"/>
      <c r="Q990" s="22"/>
      <c r="R990" s="22"/>
      <c r="S990" s="22"/>
      <c r="T990" s="468"/>
      <c r="U990" s="22"/>
      <c r="V990" s="22"/>
      <c r="W990" s="22"/>
      <c r="X990" s="22"/>
      <c r="Y990" s="22"/>
      <c r="Z990" s="465"/>
      <c r="AA990" s="22"/>
      <c r="AB990" s="22"/>
      <c r="AC990" s="22"/>
      <c r="AD990" s="22"/>
    </row>
    <row r="991" ht="15.75" customHeight="1">
      <c r="A991" s="22"/>
      <c r="B991" s="22"/>
      <c r="C991" s="22"/>
      <c r="D991" s="22"/>
      <c r="E991" s="22"/>
      <c r="F991" s="22"/>
      <c r="G991" s="22"/>
      <c r="H991" s="22"/>
      <c r="I991" s="22"/>
      <c r="J991" s="22"/>
      <c r="K991" s="22"/>
      <c r="L991" s="468"/>
      <c r="M991" s="468"/>
      <c r="N991" s="22"/>
      <c r="O991" s="22"/>
      <c r="P991" s="22"/>
      <c r="Q991" s="22"/>
      <c r="R991" s="22"/>
      <c r="S991" s="22"/>
      <c r="T991" s="468"/>
      <c r="U991" s="22"/>
      <c r="V991" s="22"/>
      <c r="W991" s="22"/>
      <c r="X991" s="22"/>
      <c r="Y991" s="22"/>
      <c r="Z991" s="465"/>
      <c r="AA991" s="22"/>
      <c r="AB991" s="22"/>
      <c r="AC991" s="22"/>
      <c r="AD991" s="22"/>
    </row>
    <row r="992" ht="15.75" customHeight="1">
      <c r="A992" s="22"/>
      <c r="B992" s="22"/>
      <c r="C992" s="22"/>
      <c r="D992" s="22"/>
      <c r="E992" s="22"/>
      <c r="F992" s="22"/>
      <c r="G992" s="22"/>
      <c r="H992" s="22"/>
      <c r="I992" s="22"/>
      <c r="J992" s="22"/>
      <c r="K992" s="22"/>
      <c r="L992" s="468"/>
      <c r="M992" s="468"/>
      <c r="N992" s="22"/>
      <c r="O992" s="22"/>
      <c r="P992" s="22"/>
      <c r="Q992" s="22"/>
      <c r="R992" s="22"/>
      <c r="S992" s="22"/>
      <c r="T992" s="468"/>
      <c r="U992" s="22"/>
      <c r="V992" s="22"/>
      <c r="W992" s="22"/>
      <c r="X992" s="22"/>
      <c r="Y992" s="22"/>
      <c r="Z992" s="465"/>
      <c r="AA992" s="22"/>
      <c r="AB992" s="22"/>
      <c r="AC992" s="22"/>
      <c r="AD992" s="22"/>
    </row>
    <row r="993" ht="15.75" customHeight="1">
      <c r="A993" s="22"/>
      <c r="B993" s="22"/>
      <c r="C993" s="22"/>
      <c r="D993" s="22"/>
      <c r="E993" s="22"/>
      <c r="F993" s="22"/>
      <c r="G993" s="22"/>
      <c r="H993" s="22"/>
      <c r="I993" s="22"/>
      <c r="J993" s="22"/>
      <c r="K993" s="22"/>
      <c r="L993" s="468"/>
      <c r="M993" s="468"/>
      <c r="N993" s="22"/>
      <c r="O993" s="22"/>
      <c r="P993" s="22"/>
      <c r="Q993" s="22"/>
      <c r="R993" s="22"/>
      <c r="S993" s="22"/>
      <c r="T993" s="468"/>
      <c r="U993" s="22"/>
      <c r="V993" s="22"/>
      <c r="W993" s="22"/>
      <c r="X993" s="22"/>
      <c r="Y993" s="22"/>
      <c r="Z993" s="465"/>
      <c r="AA993" s="22"/>
      <c r="AB993" s="22"/>
      <c r="AC993" s="22"/>
      <c r="AD993" s="22"/>
    </row>
    <row r="994" ht="15.75" customHeight="1">
      <c r="A994" s="22"/>
      <c r="B994" s="22"/>
      <c r="C994" s="22"/>
      <c r="D994" s="22"/>
      <c r="E994" s="22"/>
      <c r="F994" s="22"/>
      <c r="G994" s="22"/>
      <c r="H994" s="22"/>
      <c r="I994" s="22"/>
      <c r="J994" s="22"/>
      <c r="K994" s="22"/>
      <c r="L994" s="468"/>
      <c r="M994" s="468"/>
      <c r="N994" s="22"/>
      <c r="O994" s="22"/>
      <c r="P994" s="22"/>
      <c r="Q994" s="22"/>
      <c r="R994" s="22"/>
      <c r="S994" s="22"/>
      <c r="T994" s="468"/>
      <c r="U994" s="22"/>
      <c r="V994" s="22"/>
      <c r="W994" s="22"/>
      <c r="X994" s="22"/>
      <c r="Y994" s="22"/>
      <c r="Z994" s="465"/>
      <c r="AA994" s="22"/>
      <c r="AB994" s="22"/>
      <c r="AC994" s="22"/>
      <c r="AD994" s="22"/>
    </row>
    <row r="995" ht="15.75" customHeight="1">
      <c r="A995" s="22"/>
      <c r="B995" s="22"/>
      <c r="C995" s="22"/>
      <c r="D995" s="22"/>
      <c r="E995" s="22"/>
      <c r="F995" s="22"/>
      <c r="G995" s="22"/>
      <c r="H995" s="22"/>
      <c r="I995" s="22"/>
      <c r="J995" s="22"/>
      <c r="K995" s="22"/>
      <c r="L995" s="468"/>
      <c r="M995" s="468"/>
      <c r="N995" s="22"/>
      <c r="O995" s="22"/>
      <c r="P995" s="22"/>
      <c r="Q995" s="22"/>
      <c r="R995" s="22"/>
      <c r="S995" s="22"/>
      <c r="T995" s="468"/>
      <c r="U995" s="22"/>
      <c r="V995" s="22"/>
      <c r="W995" s="22"/>
      <c r="X995" s="22"/>
      <c r="Y995" s="22"/>
      <c r="Z995" s="465"/>
      <c r="AA995" s="22"/>
      <c r="AB995" s="22"/>
      <c r="AC995" s="22"/>
      <c r="AD995" s="22"/>
    </row>
    <row r="996" ht="15.75" customHeight="1">
      <c r="A996" s="22"/>
      <c r="B996" s="22"/>
      <c r="C996" s="22"/>
      <c r="D996" s="22"/>
      <c r="E996" s="22"/>
      <c r="F996" s="22"/>
      <c r="G996" s="22"/>
      <c r="H996" s="22"/>
      <c r="I996" s="22"/>
      <c r="J996" s="22"/>
      <c r="K996" s="22"/>
      <c r="L996" s="468"/>
      <c r="M996" s="468"/>
      <c r="N996" s="22"/>
      <c r="O996" s="22"/>
      <c r="P996" s="22"/>
      <c r="Q996" s="22"/>
      <c r="R996" s="22"/>
      <c r="S996" s="22"/>
      <c r="T996" s="468"/>
      <c r="U996" s="22"/>
      <c r="V996" s="22"/>
      <c r="W996" s="22"/>
      <c r="X996" s="22"/>
      <c r="Y996" s="22"/>
      <c r="Z996" s="465"/>
      <c r="AA996" s="22"/>
      <c r="AB996" s="22"/>
      <c r="AC996" s="22"/>
      <c r="AD996" s="22"/>
    </row>
    <row r="997" ht="15.75" customHeight="1">
      <c r="A997" s="22"/>
      <c r="B997" s="22"/>
      <c r="C997" s="22"/>
      <c r="D997" s="22"/>
      <c r="E997" s="22"/>
      <c r="F997" s="22"/>
      <c r="G997" s="22"/>
      <c r="H997" s="22"/>
      <c r="I997" s="22"/>
      <c r="J997" s="22"/>
      <c r="K997" s="22"/>
      <c r="L997" s="468"/>
      <c r="M997" s="468"/>
      <c r="N997" s="22"/>
      <c r="O997" s="22"/>
      <c r="P997" s="22"/>
      <c r="Q997" s="22"/>
      <c r="R997" s="22"/>
      <c r="S997" s="22"/>
      <c r="T997" s="468"/>
      <c r="U997" s="22"/>
      <c r="V997" s="22"/>
      <c r="W997" s="22"/>
      <c r="X997" s="22"/>
      <c r="Y997" s="22"/>
      <c r="Z997" s="465"/>
      <c r="AA997" s="22"/>
      <c r="AB997" s="22"/>
      <c r="AC997" s="22"/>
      <c r="AD997" s="22"/>
    </row>
    <row r="998" ht="15.75" customHeight="1">
      <c r="A998" s="22"/>
      <c r="B998" s="22"/>
      <c r="C998" s="22"/>
      <c r="D998" s="22"/>
      <c r="E998" s="22"/>
      <c r="F998" s="22"/>
      <c r="G998" s="22"/>
      <c r="H998" s="22"/>
      <c r="I998" s="22"/>
      <c r="J998" s="22"/>
      <c r="K998" s="22"/>
      <c r="L998" s="468"/>
      <c r="M998" s="468"/>
      <c r="N998" s="22"/>
      <c r="O998" s="22"/>
      <c r="P998" s="22"/>
      <c r="Q998" s="22"/>
      <c r="R998" s="22"/>
      <c r="S998" s="22"/>
      <c r="T998" s="468"/>
      <c r="U998" s="22"/>
      <c r="V998" s="22"/>
      <c r="W998" s="22"/>
      <c r="X998" s="22"/>
      <c r="Y998" s="22"/>
      <c r="Z998" s="465"/>
      <c r="AA998" s="22"/>
      <c r="AB998" s="22"/>
      <c r="AC998" s="22"/>
      <c r="AD998" s="22"/>
    </row>
    <row r="999" ht="15.75" customHeight="1">
      <c r="A999" s="22"/>
      <c r="B999" s="22"/>
      <c r="C999" s="22"/>
      <c r="D999" s="22"/>
      <c r="E999" s="22"/>
      <c r="F999" s="22"/>
      <c r="G999" s="22"/>
      <c r="H999" s="22"/>
      <c r="I999" s="22"/>
      <c r="J999" s="22"/>
      <c r="K999" s="22"/>
      <c r="L999" s="468"/>
      <c r="M999" s="468"/>
      <c r="N999" s="22"/>
      <c r="O999" s="22"/>
      <c r="P999" s="22"/>
      <c r="Q999" s="22"/>
      <c r="R999" s="22"/>
      <c r="S999" s="22"/>
      <c r="T999" s="468"/>
      <c r="U999" s="22"/>
      <c r="V999" s="22"/>
      <c r="W999" s="22"/>
      <c r="X999" s="22"/>
      <c r="Y999" s="22"/>
      <c r="Z999" s="465"/>
      <c r="AA999" s="22"/>
      <c r="AB999" s="22"/>
      <c r="AC999" s="22"/>
      <c r="AD999" s="22"/>
    </row>
    <row r="1000" ht="15.75" customHeight="1">
      <c r="A1000" s="22"/>
      <c r="B1000" s="22"/>
      <c r="C1000" s="22"/>
      <c r="D1000" s="22"/>
      <c r="E1000" s="22"/>
      <c r="F1000" s="22"/>
      <c r="G1000" s="22"/>
      <c r="H1000" s="22"/>
      <c r="I1000" s="22"/>
      <c r="J1000" s="22"/>
      <c r="K1000" s="22"/>
      <c r="L1000" s="468"/>
      <c r="M1000" s="468"/>
      <c r="N1000" s="22"/>
      <c r="O1000" s="22"/>
      <c r="P1000" s="22"/>
      <c r="Q1000" s="22"/>
      <c r="R1000" s="22"/>
      <c r="S1000" s="22"/>
      <c r="T1000" s="468"/>
      <c r="U1000" s="22"/>
      <c r="V1000" s="22"/>
      <c r="W1000" s="22"/>
      <c r="X1000" s="22"/>
      <c r="Y1000" s="22"/>
      <c r="Z1000" s="465"/>
      <c r="AA1000" s="22"/>
      <c r="AB1000" s="22"/>
      <c r="AC1000" s="22"/>
      <c r="AD1000" s="22"/>
    </row>
    <row r="1001" ht="15.75" customHeight="1">
      <c r="A1001" s="22"/>
      <c r="B1001" s="22"/>
      <c r="C1001" s="22"/>
      <c r="D1001" s="22"/>
      <c r="E1001" s="22"/>
      <c r="F1001" s="22"/>
      <c r="G1001" s="22"/>
      <c r="H1001" s="22"/>
      <c r="I1001" s="22"/>
      <c r="J1001" s="22"/>
      <c r="K1001" s="22"/>
      <c r="L1001" s="468"/>
      <c r="M1001" s="468"/>
      <c r="N1001" s="22"/>
      <c r="O1001" s="22"/>
      <c r="P1001" s="22"/>
      <c r="Q1001" s="22"/>
      <c r="R1001" s="22"/>
      <c r="S1001" s="22"/>
      <c r="T1001" s="468"/>
      <c r="U1001" s="22"/>
      <c r="V1001" s="22"/>
      <c r="W1001" s="22"/>
      <c r="X1001" s="22"/>
      <c r="Y1001" s="22"/>
      <c r="Z1001" s="465"/>
      <c r="AA1001" s="22"/>
      <c r="AB1001" s="22"/>
      <c r="AC1001" s="22"/>
      <c r="AD1001" s="22"/>
    </row>
    <row r="1002" ht="15.75" customHeight="1">
      <c r="A1002" s="22"/>
      <c r="B1002" s="22"/>
      <c r="C1002" s="22"/>
      <c r="D1002" s="22"/>
      <c r="E1002" s="22"/>
      <c r="F1002" s="22"/>
      <c r="G1002" s="22"/>
      <c r="H1002" s="22"/>
      <c r="I1002" s="22"/>
      <c r="J1002" s="22"/>
      <c r="K1002" s="22"/>
      <c r="L1002" s="468"/>
      <c r="M1002" s="468"/>
      <c r="N1002" s="22"/>
      <c r="O1002" s="22"/>
      <c r="P1002" s="22"/>
      <c r="Q1002" s="22"/>
      <c r="R1002" s="22"/>
      <c r="S1002" s="22"/>
      <c r="T1002" s="468"/>
      <c r="U1002" s="22"/>
      <c r="V1002" s="22"/>
      <c r="W1002" s="22"/>
      <c r="X1002" s="22"/>
      <c r="Y1002" s="22"/>
      <c r="Z1002" s="465"/>
      <c r="AA1002" s="22"/>
      <c r="AB1002" s="22"/>
      <c r="AC1002" s="22"/>
      <c r="AD1002" s="22"/>
    </row>
    <row r="1003" ht="15.75" customHeight="1">
      <c r="A1003" s="22"/>
      <c r="B1003" s="22"/>
      <c r="C1003" s="22"/>
      <c r="D1003" s="22"/>
      <c r="E1003" s="22"/>
      <c r="F1003" s="22"/>
      <c r="G1003" s="22"/>
      <c r="H1003" s="22"/>
      <c r="I1003" s="22"/>
      <c r="J1003" s="22"/>
      <c r="K1003" s="22"/>
      <c r="L1003" s="468"/>
      <c r="M1003" s="468"/>
      <c r="N1003" s="22"/>
      <c r="O1003" s="22"/>
      <c r="P1003" s="22"/>
      <c r="Q1003" s="22"/>
      <c r="R1003" s="22"/>
      <c r="S1003" s="22"/>
      <c r="T1003" s="468"/>
      <c r="U1003" s="22"/>
      <c r="V1003" s="22"/>
      <c r="W1003" s="22"/>
      <c r="X1003" s="22"/>
      <c r="Y1003" s="22"/>
      <c r="Z1003" s="465"/>
      <c r="AA1003" s="22"/>
      <c r="AB1003" s="22"/>
      <c r="AC1003" s="22"/>
      <c r="AD1003" s="22"/>
    </row>
    <row r="1004" ht="15.75" customHeight="1">
      <c r="A1004" s="22"/>
      <c r="B1004" s="22"/>
      <c r="C1004" s="22"/>
      <c r="D1004" s="22"/>
      <c r="E1004" s="22"/>
      <c r="F1004" s="22"/>
      <c r="G1004" s="22"/>
      <c r="H1004" s="22"/>
      <c r="I1004" s="22"/>
      <c r="J1004" s="22"/>
      <c r="K1004" s="22"/>
      <c r="L1004" s="468"/>
      <c r="M1004" s="468"/>
      <c r="N1004" s="22"/>
      <c r="O1004" s="22"/>
      <c r="P1004" s="22"/>
      <c r="Q1004" s="22"/>
      <c r="R1004" s="22"/>
      <c r="S1004" s="22"/>
      <c r="T1004" s="468"/>
      <c r="U1004" s="22"/>
      <c r="V1004" s="22"/>
      <c r="W1004" s="22"/>
      <c r="X1004" s="22"/>
      <c r="Y1004" s="22"/>
      <c r="Z1004" s="465"/>
      <c r="AA1004" s="22"/>
      <c r="AB1004" s="22"/>
      <c r="AC1004" s="22"/>
      <c r="AD1004" s="22"/>
    </row>
    <row r="1005" ht="15.75" customHeight="1">
      <c r="A1005" s="22"/>
      <c r="B1005" s="22"/>
      <c r="C1005" s="22"/>
      <c r="D1005" s="22"/>
      <c r="E1005" s="22"/>
      <c r="F1005" s="22"/>
      <c r="G1005" s="22"/>
      <c r="H1005" s="22"/>
      <c r="I1005" s="22"/>
      <c r="J1005" s="22"/>
      <c r="K1005" s="22"/>
      <c r="L1005" s="468"/>
      <c r="M1005" s="468"/>
      <c r="N1005" s="22"/>
      <c r="O1005" s="22"/>
      <c r="P1005" s="22"/>
      <c r="Q1005" s="22"/>
      <c r="R1005" s="22"/>
      <c r="S1005" s="22"/>
      <c r="T1005" s="468"/>
      <c r="U1005" s="22"/>
      <c r="V1005" s="22"/>
      <c r="W1005" s="22"/>
      <c r="X1005" s="22"/>
      <c r="Y1005" s="22"/>
      <c r="Z1005" s="465"/>
      <c r="AA1005" s="22"/>
      <c r="AB1005" s="22"/>
      <c r="AC1005" s="22"/>
      <c r="AD1005" s="22"/>
    </row>
    <row r="1006" ht="15.75" customHeight="1">
      <c r="A1006" s="22"/>
      <c r="B1006" s="22"/>
      <c r="C1006" s="22"/>
      <c r="D1006" s="22"/>
      <c r="E1006" s="22"/>
      <c r="F1006" s="22"/>
      <c r="G1006" s="22"/>
      <c r="H1006" s="22"/>
      <c r="I1006" s="22"/>
      <c r="J1006" s="22"/>
      <c r="K1006" s="22"/>
      <c r="L1006" s="468"/>
      <c r="M1006" s="468"/>
      <c r="N1006" s="22"/>
      <c r="O1006" s="22"/>
      <c r="P1006" s="22"/>
      <c r="Q1006" s="22"/>
      <c r="R1006" s="22"/>
      <c r="S1006" s="22"/>
      <c r="T1006" s="468"/>
      <c r="U1006" s="22"/>
      <c r="V1006" s="22"/>
      <c r="W1006" s="22"/>
      <c r="X1006" s="22"/>
      <c r="Y1006" s="22"/>
      <c r="Z1006" s="465"/>
      <c r="AA1006" s="22"/>
      <c r="AB1006" s="22"/>
      <c r="AC1006" s="22"/>
      <c r="AD1006" s="22"/>
    </row>
    <row r="1007" ht="15.75" customHeight="1">
      <c r="A1007" s="22"/>
      <c r="B1007" s="22"/>
      <c r="C1007" s="22"/>
      <c r="D1007" s="22"/>
      <c r="E1007" s="22"/>
      <c r="F1007" s="22"/>
      <c r="G1007" s="22"/>
      <c r="H1007" s="22"/>
      <c r="I1007" s="22"/>
      <c r="J1007" s="22"/>
      <c r="K1007" s="22"/>
      <c r="L1007" s="468"/>
      <c r="M1007" s="468"/>
      <c r="N1007" s="22"/>
      <c r="O1007" s="22"/>
      <c r="P1007" s="22"/>
      <c r="Q1007" s="22"/>
      <c r="R1007" s="22"/>
      <c r="S1007" s="22"/>
      <c r="T1007" s="468"/>
      <c r="U1007" s="22"/>
      <c r="V1007" s="22"/>
      <c r="W1007" s="22"/>
      <c r="X1007" s="22"/>
      <c r="Y1007" s="22"/>
      <c r="Z1007" s="465"/>
      <c r="AA1007" s="22"/>
      <c r="AB1007" s="22"/>
      <c r="AC1007" s="22"/>
      <c r="AD1007" s="22"/>
    </row>
    <row r="1008" ht="15.75" customHeight="1">
      <c r="A1008" s="22"/>
      <c r="B1008" s="22"/>
      <c r="C1008" s="22"/>
      <c r="D1008" s="22"/>
      <c r="E1008" s="22"/>
      <c r="F1008" s="22"/>
      <c r="G1008" s="22"/>
      <c r="H1008" s="22"/>
      <c r="I1008" s="22"/>
      <c r="J1008" s="22"/>
      <c r="K1008" s="22"/>
      <c r="L1008" s="468"/>
      <c r="M1008" s="468"/>
      <c r="N1008" s="22"/>
      <c r="O1008" s="22"/>
      <c r="P1008" s="22"/>
      <c r="Q1008" s="22"/>
      <c r="R1008" s="22"/>
      <c r="S1008" s="22"/>
      <c r="T1008" s="468"/>
      <c r="U1008" s="22"/>
      <c r="V1008" s="22"/>
      <c r="W1008" s="22"/>
      <c r="X1008" s="22"/>
      <c r="Y1008" s="22"/>
      <c r="Z1008" s="465"/>
      <c r="AA1008" s="22"/>
      <c r="AB1008" s="22"/>
      <c r="AC1008" s="22"/>
      <c r="AD1008" s="22"/>
    </row>
    <row r="1009" ht="15.75" customHeight="1">
      <c r="A1009" s="22"/>
      <c r="B1009" s="22"/>
      <c r="C1009" s="22"/>
      <c r="D1009" s="22"/>
      <c r="E1009" s="22"/>
      <c r="F1009" s="22"/>
      <c r="G1009" s="22"/>
      <c r="H1009" s="22"/>
      <c r="I1009" s="22"/>
      <c r="J1009" s="22"/>
      <c r="K1009" s="22"/>
      <c r="L1009" s="468"/>
      <c r="M1009" s="468"/>
      <c r="N1009" s="22"/>
      <c r="O1009" s="22"/>
      <c r="P1009" s="22"/>
      <c r="Q1009" s="22"/>
      <c r="R1009" s="22"/>
      <c r="S1009" s="22"/>
      <c r="T1009" s="468"/>
      <c r="U1009" s="22"/>
      <c r="V1009" s="22"/>
      <c r="W1009" s="22"/>
      <c r="X1009" s="22"/>
      <c r="Y1009" s="22"/>
      <c r="Z1009" s="465"/>
      <c r="AA1009" s="22"/>
      <c r="AB1009" s="22"/>
      <c r="AC1009" s="22"/>
      <c r="AD1009" s="22"/>
    </row>
    <row r="1010" ht="15.75" customHeight="1">
      <c r="A1010" s="22"/>
      <c r="B1010" s="22"/>
      <c r="C1010" s="22"/>
      <c r="D1010" s="22"/>
      <c r="E1010" s="22"/>
      <c r="F1010" s="22"/>
      <c r="G1010" s="22"/>
      <c r="H1010" s="22"/>
      <c r="I1010" s="22"/>
      <c r="J1010" s="22"/>
      <c r="K1010" s="22"/>
      <c r="L1010" s="468"/>
      <c r="M1010" s="468"/>
      <c r="N1010" s="22"/>
      <c r="O1010" s="22"/>
      <c r="P1010" s="22"/>
      <c r="Q1010" s="22"/>
      <c r="R1010" s="22"/>
      <c r="S1010" s="22"/>
      <c r="T1010" s="468"/>
      <c r="U1010" s="22"/>
      <c r="V1010" s="22"/>
      <c r="W1010" s="22"/>
      <c r="X1010" s="22"/>
      <c r="Y1010" s="22"/>
      <c r="Z1010" s="465"/>
      <c r="AA1010" s="22"/>
      <c r="AB1010" s="22"/>
      <c r="AC1010" s="22"/>
      <c r="AD1010" s="22"/>
    </row>
    <row r="1011" ht="15.75" customHeight="1">
      <c r="A1011" s="22"/>
      <c r="B1011" s="22"/>
      <c r="C1011" s="22"/>
      <c r="D1011" s="22"/>
      <c r="E1011" s="22"/>
      <c r="F1011" s="22"/>
      <c r="G1011" s="22"/>
      <c r="H1011" s="22"/>
      <c r="I1011" s="22"/>
      <c r="J1011" s="22"/>
      <c r="K1011" s="22"/>
      <c r="L1011" s="468"/>
      <c r="M1011" s="468"/>
      <c r="N1011" s="22"/>
      <c r="O1011" s="22"/>
      <c r="P1011" s="22"/>
      <c r="Q1011" s="22"/>
      <c r="R1011" s="22"/>
      <c r="S1011" s="22"/>
      <c r="T1011" s="468"/>
      <c r="U1011" s="22"/>
      <c r="V1011" s="22"/>
      <c r="W1011" s="22"/>
      <c r="X1011" s="22"/>
      <c r="Y1011" s="22"/>
      <c r="Z1011" s="465"/>
      <c r="AA1011" s="22"/>
      <c r="AB1011" s="22"/>
      <c r="AC1011" s="22"/>
      <c r="AD1011" s="22"/>
    </row>
    <row r="1012" ht="15.75" customHeight="1">
      <c r="A1012" s="22"/>
      <c r="B1012" s="22"/>
      <c r="C1012" s="22"/>
      <c r="D1012" s="22"/>
      <c r="E1012" s="22"/>
      <c r="F1012" s="22"/>
      <c r="G1012" s="22"/>
      <c r="H1012" s="22"/>
      <c r="I1012" s="22"/>
      <c r="J1012" s="22"/>
      <c r="K1012" s="22"/>
      <c r="L1012" s="468"/>
      <c r="M1012" s="468"/>
      <c r="N1012" s="22"/>
      <c r="O1012" s="22"/>
      <c r="P1012" s="22"/>
      <c r="Q1012" s="22"/>
      <c r="R1012" s="22"/>
      <c r="S1012" s="22"/>
      <c r="T1012" s="468"/>
      <c r="U1012" s="22"/>
      <c r="V1012" s="22"/>
      <c r="W1012" s="22"/>
      <c r="X1012" s="22"/>
      <c r="Y1012" s="22"/>
      <c r="Z1012" s="465"/>
      <c r="AA1012" s="22"/>
      <c r="AB1012" s="22"/>
      <c r="AC1012" s="22"/>
      <c r="AD1012" s="22"/>
    </row>
    <row r="1013" ht="15.75" customHeight="1">
      <c r="A1013" s="22"/>
      <c r="B1013" s="22"/>
      <c r="C1013" s="22"/>
      <c r="D1013" s="22"/>
      <c r="E1013" s="22"/>
      <c r="F1013" s="22"/>
      <c r="G1013" s="22"/>
      <c r="H1013" s="22"/>
      <c r="I1013" s="22"/>
      <c r="J1013" s="22"/>
      <c r="K1013" s="22"/>
      <c r="L1013" s="468"/>
      <c r="M1013" s="468"/>
      <c r="N1013" s="22"/>
      <c r="O1013" s="22"/>
      <c r="P1013" s="22"/>
      <c r="Q1013" s="22"/>
      <c r="R1013" s="22"/>
      <c r="S1013" s="22"/>
      <c r="T1013" s="468"/>
      <c r="U1013" s="22"/>
      <c r="V1013" s="22"/>
      <c r="W1013" s="22"/>
      <c r="X1013" s="22"/>
      <c r="Y1013" s="22"/>
      <c r="Z1013" s="465"/>
      <c r="AA1013" s="22"/>
      <c r="AB1013" s="22"/>
      <c r="AC1013" s="22"/>
      <c r="AD1013" s="22"/>
    </row>
    <row r="1014" ht="15.75" customHeight="1">
      <c r="A1014" s="22"/>
      <c r="B1014" s="22"/>
      <c r="C1014" s="22"/>
      <c r="D1014" s="22"/>
      <c r="E1014" s="22"/>
      <c r="F1014" s="22"/>
      <c r="G1014" s="22"/>
      <c r="H1014" s="22"/>
      <c r="I1014" s="22"/>
      <c r="J1014" s="22"/>
      <c r="K1014" s="22"/>
      <c r="L1014" s="468"/>
      <c r="M1014" s="468"/>
      <c r="N1014" s="22"/>
      <c r="O1014" s="22"/>
      <c r="P1014" s="22"/>
      <c r="Q1014" s="22"/>
      <c r="R1014" s="22"/>
      <c r="S1014" s="22"/>
      <c r="T1014" s="468"/>
      <c r="U1014" s="22"/>
      <c r="V1014" s="22"/>
      <c r="W1014" s="22"/>
      <c r="X1014" s="22"/>
      <c r="Y1014" s="22"/>
      <c r="Z1014" s="465"/>
      <c r="AA1014" s="22"/>
      <c r="AB1014" s="22"/>
      <c r="AC1014" s="22"/>
      <c r="AD1014" s="22"/>
    </row>
    <row r="1015" ht="15.75" customHeight="1">
      <c r="A1015" s="22"/>
      <c r="B1015" s="22"/>
      <c r="C1015" s="22"/>
      <c r="D1015" s="22"/>
      <c r="E1015" s="22"/>
      <c r="F1015" s="22"/>
      <c r="G1015" s="22"/>
      <c r="H1015" s="22"/>
      <c r="I1015" s="22"/>
      <c r="J1015" s="22"/>
      <c r="K1015" s="22"/>
      <c r="L1015" s="468"/>
      <c r="M1015" s="468"/>
      <c r="N1015" s="22"/>
      <c r="O1015" s="22"/>
      <c r="P1015" s="22"/>
      <c r="Q1015" s="22"/>
      <c r="R1015" s="22"/>
      <c r="S1015" s="22"/>
      <c r="T1015" s="468"/>
      <c r="U1015" s="22"/>
      <c r="V1015" s="22"/>
      <c r="W1015" s="22"/>
      <c r="X1015" s="22"/>
      <c r="Y1015" s="22"/>
      <c r="Z1015" s="465"/>
      <c r="AA1015" s="22"/>
      <c r="AB1015" s="22"/>
      <c r="AC1015" s="22"/>
      <c r="AD1015" s="22"/>
    </row>
    <row r="1016" ht="15.75" customHeight="1">
      <c r="A1016" s="22"/>
      <c r="B1016" s="22"/>
      <c r="C1016" s="22"/>
      <c r="D1016" s="22"/>
      <c r="E1016" s="22"/>
      <c r="F1016" s="22"/>
      <c r="G1016" s="22"/>
      <c r="H1016" s="22"/>
      <c r="I1016" s="22"/>
      <c r="J1016" s="22"/>
      <c r="K1016" s="22"/>
      <c r="L1016" s="468"/>
      <c r="M1016" s="468"/>
      <c r="N1016" s="22"/>
      <c r="O1016" s="22"/>
      <c r="P1016" s="22"/>
      <c r="Q1016" s="22"/>
      <c r="R1016" s="22"/>
      <c r="S1016" s="22"/>
      <c r="T1016" s="468"/>
      <c r="U1016" s="22"/>
      <c r="V1016" s="22"/>
      <c r="W1016" s="22"/>
      <c r="X1016" s="22"/>
      <c r="Y1016" s="22"/>
      <c r="Z1016" s="465"/>
      <c r="AA1016" s="22"/>
      <c r="AB1016" s="22"/>
      <c r="AC1016" s="22"/>
      <c r="AD1016" s="22"/>
    </row>
    <row r="1017" ht="15.75" customHeight="1">
      <c r="A1017" s="22"/>
      <c r="B1017" s="22"/>
      <c r="C1017" s="22"/>
      <c r="D1017" s="22"/>
      <c r="E1017" s="22"/>
      <c r="F1017" s="22"/>
      <c r="G1017" s="22"/>
      <c r="H1017" s="22"/>
      <c r="I1017" s="22"/>
      <c r="J1017" s="22"/>
      <c r="K1017" s="22"/>
      <c r="L1017" s="468"/>
      <c r="M1017" s="468"/>
      <c r="N1017" s="22"/>
      <c r="O1017" s="22"/>
      <c r="P1017" s="22"/>
      <c r="Q1017" s="22"/>
      <c r="R1017" s="22"/>
      <c r="S1017" s="22"/>
      <c r="T1017" s="468"/>
      <c r="U1017" s="22"/>
      <c r="V1017" s="22"/>
      <c r="W1017" s="22"/>
      <c r="X1017" s="22"/>
      <c r="Y1017" s="22"/>
      <c r="Z1017" s="465"/>
      <c r="AA1017" s="22"/>
      <c r="AB1017" s="22"/>
      <c r="AC1017" s="22"/>
      <c r="AD1017" s="22"/>
    </row>
    <row r="1018" ht="15.75" customHeight="1">
      <c r="A1018" s="22"/>
      <c r="B1018" s="22"/>
      <c r="C1018" s="22"/>
      <c r="D1018" s="22"/>
      <c r="E1018" s="22"/>
      <c r="F1018" s="22"/>
      <c r="G1018" s="22"/>
      <c r="H1018" s="22"/>
      <c r="I1018" s="22"/>
      <c r="J1018" s="22"/>
      <c r="K1018" s="22"/>
      <c r="L1018" s="468"/>
      <c r="M1018" s="468"/>
      <c r="N1018" s="22"/>
      <c r="O1018" s="22"/>
      <c r="P1018" s="22"/>
      <c r="Q1018" s="22"/>
      <c r="R1018" s="22"/>
      <c r="S1018" s="22"/>
      <c r="T1018" s="468"/>
      <c r="U1018" s="22"/>
      <c r="V1018" s="22"/>
      <c r="W1018" s="22"/>
      <c r="X1018" s="22"/>
      <c r="Y1018" s="22"/>
      <c r="Z1018" s="465"/>
      <c r="AA1018" s="22"/>
      <c r="AB1018" s="22"/>
      <c r="AC1018" s="22"/>
      <c r="AD1018" s="22"/>
    </row>
    <row r="1019" ht="15.75" customHeight="1">
      <c r="A1019" s="22"/>
      <c r="B1019" s="22"/>
      <c r="C1019" s="22"/>
      <c r="D1019" s="22"/>
      <c r="E1019" s="22"/>
      <c r="F1019" s="22"/>
      <c r="G1019" s="22"/>
      <c r="H1019" s="22"/>
      <c r="I1019" s="22"/>
      <c r="J1019" s="22"/>
      <c r="K1019" s="22"/>
      <c r="L1019" s="468"/>
      <c r="M1019" s="468"/>
      <c r="N1019" s="22"/>
      <c r="O1019" s="22"/>
      <c r="P1019" s="22"/>
      <c r="Q1019" s="22"/>
      <c r="R1019" s="22"/>
      <c r="S1019" s="22"/>
      <c r="T1019" s="468"/>
      <c r="U1019" s="22"/>
      <c r="V1019" s="22"/>
      <c r="W1019" s="22"/>
      <c r="X1019" s="22"/>
      <c r="Y1019" s="22"/>
      <c r="Z1019" s="465"/>
      <c r="AA1019" s="22"/>
      <c r="AB1019" s="22"/>
      <c r="AC1019" s="22"/>
      <c r="AD1019" s="22"/>
    </row>
    <row r="1020" ht="15.75" customHeight="1">
      <c r="A1020" s="22"/>
      <c r="B1020" s="22"/>
      <c r="C1020" s="22"/>
      <c r="D1020" s="22"/>
      <c r="E1020" s="22"/>
      <c r="F1020" s="22"/>
      <c r="G1020" s="22"/>
      <c r="H1020" s="22"/>
      <c r="I1020" s="22"/>
      <c r="J1020" s="22"/>
      <c r="K1020" s="22"/>
      <c r="L1020" s="468"/>
      <c r="M1020" s="468"/>
      <c r="N1020" s="22"/>
      <c r="O1020" s="22"/>
      <c r="P1020" s="22"/>
      <c r="Q1020" s="22"/>
      <c r="R1020" s="22"/>
      <c r="S1020" s="22"/>
      <c r="T1020" s="468"/>
      <c r="U1020" s="22"/>
      <c r="V1020" s="22"/>
      <c r="W1020" s="22"/>
      <c r="X1020" s="22"/>
      <c r="Y1020" s="22"/>
      <c r="Z1020" s="465"/>
      <c r="AA1020" s="22"/>
      <c r="AB1020" s="22"/>
      <c r="AC1020" s="22"/>
      <c r="AD1020" s="22"/>
    </row>
    <row r="1021" ht="15.75" customHeight="1">
      <c r="A1021" s="22"/>
      <c r="B1021" s="22"/>
      <c r="C1021" s="22"/>
      <c r="D1021" s="22"/>
      <c r="E1021" s="22"/>
      <c r="F1021" s="22"/>
      <c r="G1021" s="22"/>
      <c r="H1021" s="22"/>
      <c r="I1021" s="22"/>
      <c r="J1021" s="22"/>
      <c r="K1021" s="22"/>
      <c r="L1021" s="468"/>
      <c r="M1021" s="468"/>
      <c r="N1021" s="22"/>
      <c r="O1021" s="22"/>
      <c r="P1021" s="22"/>
      <c r="Q1021" s="22"/>
      <c r="R1021" s="22"/>
      <c r="S1021" s="22"/>
      <c r="T1021" s="468"/>
      <c r="U1021" s="22"/>
      <c r="V1021" s="22"/>
      <c r="W1021" s="22"/>
      <c r="X1021" s="22"/>
      <c r="Y1021" s="22"/>
      <c r="Z1021" s="465"/>
      <c r="AA1021" s="22"/>
      <c r="AB1021" s="22"/>
      <c r="AC1021" s="22"/>
      <c r="AD1021" s="22"/>
    </row>
    <row r="1022" ht="15.75" customHeight="1">
      <c r="A1022" s="22"/>
      <c r="B1022" s="22"/>
      <c r="C1022" s="22"/>
      <c r="D1022" s="22"/>
      <c r="E1022" s="22"/>
      <c r="F1022" s="22"/>
      <c r="G1022" s="22"/>
      <c r="H1022" s="22"/>
      <c r="I1022" s="22"/>
      <c r="J1022" s="22"/>
      <c r="K1022" s="22"/>
      <c r="L1022" s="468"/>
      <c r="M1022" s="468"/>
      <c r="N1022" s="22"/>
      <c r="O1022" s="22"/>
      <c r="P1022" s="22"/>
      <c r="Q1022" s="22"/>
      <c r="R1022" s="22"/>
      <c r="S1022" s="22"/>
      <c r="T1022" s="468"/>
      <c r="U1022" s="22"/>
      <c r="V1022" s="22"/>
      <c r="W1022" s="22"/>
      <c r="X1022" s="22"/>
      <c r="Y1022" s="22"/>
      <c r="Z1022" s="465"/>
      <c r="AA1022" s="22"/>
      <c r="AB1022" s="22"/>
      <c r="AC1022" s="22"/>
      <c r="AD1022" s="22"/>
    </row>
    <row r="1023" ht="15.75" customHeight="1">
      <c r="A1023" s="22"/>
      <c r="B1023" s="22"/>
      <c r="C1023" s="22"/>
      <c r="D1023" s="22"/>
      <c r="E1023" s="22"/>
      <c r="F1023" s="22"/>
      <c r="G1023" s="22"/>
      <c r="H1023" s="22"/>
      <c r="I1023" s="22"/>
      <c r="J1023" s="22"/>
      <c r="K1023" s="22"/>
      <c r="L1023" s="468"/>
      <c r="M1023" s="468"/>
      <c r="N1023" s="22"/>
      <c r="O1023" s="22"/>
      <c r="P1023" s="22"/>
      <c r="Q1023" s="22"/>
      <c r="R1023" s="22"/>
      <c r="S1023" s="22"/>
      <c r="T1023" s="468"/>
      <c r="U1023" s="22"/>
      <c r="V1023" s="22"/>
      <c r="W1023" s="22"/>
      <c r="X1023" s="22"/>
      <c r="Y1023" s="22"/>
      <c r="Z1023" s="465"/>
      <c r="AA1023" s="22"/>
      <c r="AB1023" s="22"/>
      <c r="AC1023" s="22"/>
      <c r="AD1023" s="22"/>
    </row>
    <row r="1024" ht="15.75" customHeight="1">
      <c r="A1024" s="22"/>
      <c r="B1024" s="22"/>
      <c r="C1024" s="22"/>
      <c r="D1024" s="22"/>
      <c r="E1024" s="22"/>
      <c r="F1024" s="22"/>
      <c r="G1024" s="22"/>
      <c r="H1024" s="22"/>
      <c r="I1024" s="22"/>
      <c r="J1024" s="22"/>
      <c r="K1024" s="22"/>
      <c r="L1024" s="468"/>
      <c r="M1024" s="468"/>
      <c r="N1024" s="22"/>
      <c r="O1024" s="22"/>
      <c r="P1024" s="22"/>
      <c r="Q1024" s="22"/>
      <c r="R1024" s="22"/>
      <c r="S1024" s="22"/>
      <c r="T1024" s="468"/>
      <c r="U1024" s="22"/>
      <c r="V1024" s="22"/>
      <c r="W1024" s="22"/>
      <c r="X1024" s="22"/>
      <c r="Y1024" s="22"/>
      <c r="Z1024" s="465"/>
      <c r="AA1024" s="22"/>
      <c r="AB1024" s="22"/>
      <c r="AC1024" s="22"/>
      <c r="AD1024" s="22"/>
    </row>
    <row r="1025" ht="15.75" customHeight="1">
      <c r="A1025" s="22"/>
      <c r="B1025" s="22"/>
      <c r="C1025" s="22"/>
      <c r="D1025" s="22"/>
      <c r="E1025" s="22"/>
      <c r="F1025" s="22"/>
      <c r="G1025" s="22"/>
      <c r="H1025" s="22"/>
      <c r="I1025" s="22"/>
      <c r="J1025" s="22"/>
      <c r="K1025" s="22"/>
      <c r="L1025" s="468"/>
      <c r="M1025" s="468"/>
      <c r="N1025" s="22"/>
      <c r="O1025" s="22"/>
      <c r="P1025" s="22"/>
      <c r="Q1025" s="22"/>
      <c r="R1025" s="22"/>
      <c r="S1025" s="22"/>
      <c r="T1025" s="468"/>
      <c r="U1025" s="22"/>
      <c r="V1025" s="22"/>
      <c r="W1025" s="22"/>
      <c r="X1025" s="22"/>
      <c r="Y1025" s="22"/>
      <c r="Z1025" s="465"/>
      <c r="AA1025" s="22"/>
      <c r="AB1025" s="22"/>
      <c r="AC1025" s="22"/>
      <c r="AD1025" s="22"/>
    </row>
    <row r="1026" ht="15.75" customHeight="1">
      <c r="A1026" s="22"/>
      <c r="B1026" s="22"/>
      <c r="C1026" s="22"/>
      <c r="D1026" s="22"/>
      <c r="E1026" s="22"/>
      <c r="F1026" s="22"/>
      <c r="G1026" s="22"/>
      <c r="H1026" s="22"/>
      <c r="I1026" s="22"/>
      <c r="J1026" s="22"/>
      <c r="K1026" s="22"/>
      <c r="L1026" s="468"/>
      <c r="M1026" s="468"/>
      <c r="N1026" s="22"/>
      <c r="O1026" s="22"/>
      <c r="P1026" s="22"/>
      <c r="Q1026" s="22"/>
      <c r="R1026" s="22"/>
      <c r="S1026" s="22"/>
      <c r="T1026" s="468"/>
      <c r="U1026" s="22"/>
      <c r="V1026" s="22"/>
      <c r="W1026" s="22"/>
      <c r="X1026" s="22"/>
      <c r="Y1026" s="22"/>
      <c r="Z1026" s="465"/>
      <c r="AA1026" s="22"/>
      <c r="AB1026" s="22"/>
      <c r="AC1026" s="22"/>
      <c r="AD1026" s="22"/>
    </row>
    <row r="1027" ht="15.75" customHeight="1">
      <c r="A1027" s="22"/>
      <c r="B1027" s="22"/>
      <c r="C1027" s="22"/>
      <c r="D1027" s="22"/>
      <c r="E1027" s="22"/>
      <c r="F1027" s="22"/>
      <c r="G1027" s="22"/>
      <c r="H1027" s="22"/>
      <c r="I1027" s="22"/>
      <c r="J1027" s="22"/>
      <c r="K1027" s="22"/>
      <c r="L1027" s="468"/>
      <c r="M1027" s="468"/>
      <c r="N1027" s="22"/>
      <c r="O1027" s="22"/>
      <c r="P1027" s="22"/>
      <c r="Q1027" s="22"/>
      <c r="R1027" s="22"/>
      <c r="S1027" s="22"/>
      <c r="T1027" s="468"/>
      <c r="U1027" s="22"/>
      <c r="V1027" s="22"/>
      <c r="W1027" s="22"/>
      <c r="X1027" s="22"/>
      <c r="Y1027" s="22"/>
      <c r="Z1027" s="465"/>
      <c r="AA1027" s="22"/>
      <c r="AB1027" s="22"/>
      <c r="AC1027" s="22"/>
      <c r="AD1027" s="22"/>
    </row>
    <row r="1028" ht="15.75" customHeight="1">
      <c r="A1028" s="22"/>
      <c r="B1028" s="22"/>
      <c r="C1028" s="22"/>
      <c r="D1028" s="22"/>
      <c r="E1028" s="22"/>
      <c r="F1028" s="22"/>
      <c r="G1028" s="22"/>
      <c r="H1028" s="22"/>
      <c r="I1028" s="22"/>
      <c r="J1028" s="22"/>
      <c r="K1028" s="22"/>
      <c r="L1028" s="468"/>
      <c r="M1028" s="468"/>
      <c r="N1028" s="22"/>
      <c r="O1028" s="22"/>
      <c r="P1028" s="22"/>
      <c r="Q1028" s="22"/>
      <c r="R1028" s="22"/>
      <c r="S1028" s="22"/>
      <c r="T1028" s="468"/>
      <c r="U1028" s="22"/>
      <c r="V1028" s="22"/>
      <c r="W1028" s="22"/>
      <c r="X1028" s="22"/>
      <c r="Y1028" s="22"/>
      <c r="Z1028" s="465"/>
      <c r="AA1028" s="22"/>
      <c r="AB1028" s="22"/>
      <c r="AC1028" s="22"/>
      <c r="AD1028" s="22"/>
    </row>
    <row r="1029" ht="15.75" customHeight="1">
      <c r="A1029" s="22"/>
      <c r="B1029" s="22"/>
      <c r="C1029" s="22"/>
      <c r="D1029" s="22"/>
      <c r="E1029" s="22"/>
      <c r="F1029" s="22"/>
      <c r="G1029" s="22"/>
      <c r="H1029" s="22"/>
      <c r="I1029" s="22"/>
      <c r="J1029" s="22"/>
      <c r="K1029" s="22"/>
      <c r="L1029" s="468"/>
      <c r="M1029" s="468"/>
      <c r="N1029" s="22"/>
      <c r="O1029" s="22"/>
      <c r="P1029" s="22"/>
      <c r="Q1029" s="22"/>
      <c r="R1029" s="22"/>
      <c r="S1029" s="22"/>
      <c r="T1029" s="468"/>
      <c r="U1029" s="22"/>
      <c r="V1029" s="22"/>
      <c r="W1029" s="22"/>
      <c r="X1029" s="22"/>
      <c r="Y1029" s="22"/>
      <c r="Z1029" s="465"/>
      <c r="AA1029" s="22"/>
      <c r="AB1029" s="22"/>
      <c r="AC1029" s="22"/>
      <c r="AD1029" s="22"/>
    </row>
    <row r="1030" ht="15.75" customHeight="1">
      <c r="A1030" s="22"/>
      <c r="B1030" s="22"/>
      <c r="C1030" s="22"/>
      <c r="D1030" s="22"/>
      <c r="E1030" s="22"/>
      <c r="F1030" s="22"/>
      <c r="G1030" s="22"/>
      <c r="H1030" s="22"/>
      <c r="I1030" s="22"/>
      <c r="J1030" s="22"/>
      <c r="K1030" s="22"/>
      <c r="L1030" s="468"/>
      <c r="M1030" s="468"/>
      <c r="N1030" s="22"/>
      <c r="O1030" s="22"/>
      <c r="P1030" s="22"/>
      <c r="Q1030" s="22"/>
      <c r="R1030" s="22"/>
      <c r="S1030" s="22"/>
      <c r="T1030" s="468"/>
      <c r="U1030" s="22"/>
      <c r="V1030" s="22"/>
      <c r="W1030" s="22"/>
      <c r="X1030" s="22"/>
      <c r="Y1030" s="22"/>
      <c r="Z1030" s="465"/>
      <c r="AA1030" s="22"/>
      <c r="AB1030" s="22"/>
      <c r="AC1030" s="22"/>
      <c r="AD1030" s="22"/>
    </row>
    <row r="1031" ht="15.75" customHeight="1">
      <c r="A1031" s="22"/>
      <c r="B1031" s="22"/>
      <c r="C1031" s="22"/>
      <c r="D1031" s="22"/>
      <c r="E1031" s="22"/>
      <c r="F1031" s="22"/>
      <c r="G1031" s="22"/>
      <c r="H1031" s="22"/>
      <c r="I1031" s="22"/>
      <c r="J1031" s="22"/>
      <c r="K1031" s="22"/>
      <c r="L1031" s="468"/>
      <c r="M1031" s="468"/>
      <c r="N1031" s="22"/>
      <c r="O1031" s="22"/>
      <c r="P1031" s="22"/>
      <c r="Q1031" s="22"/>
      <c r="R1031" s="22"/>
      <c r="S1031" s="22"/>
      <c r="T1031" s="468"/>
      <c r="U1031" s="22"/>
      <c r="V1031" s="22"/>
      <c r="W1031" s="22"/>
      <c r="X1031" s="22"/>
      <c r="Y1031" s="22"/>
      <c r="Z1031" s="465"/>
      <c r="AA1031" s="22"/>
      <c r="AB1031" s="22"/>
      <c r="AC1031" s="22"/>
      <c r="AD1031" s="22"/>
    </row>
    <row r="1032" ht="15.75" customHeight="1">
      <c r="A1032" s="22"/>
      <c r="B1032" s="22"/>
      <c r="C1032" s="22"/>
      <c r="D1032" s="22"/>
      <c r="E1032" s="22"/>
      <c r="F1032" s="22"/>
      <c r="G1032" s="22"/>
      <c r="H1032" s="22"/>
      <c r="I1032" s="22"/>
      <c r="J1032" s="22"/>
      <c r="K1032" s="22"/>
      <c r="L1032" s="468"/>
      <c r="M1032" s="468"/>
      <c r="N1032" s="22"/>
      <c r="O1032" s="22"/>
      <c r="P1032" s="22"/>
      <c r="Q1032" s="22"/>
      <c r="R1032" s="22"/>
      <c r="S1032" s="22"/>
      <c r="T1032" s="468"/>
      <c r="U1032" s="22"/>
      <c r="V1032" s="22"/>
      <c r="W1032" s="22"/>
      <c r="X1032" s="22"/>
      <c r="Y1032" s="22"/>
      <c r="Z1032" s="465"/>
      <c r="AA1032" s="22"/>
      <c r="AB1032" s="22"/>
      <c r="AC1032" s="22"/>
      <c r="AD1032" s="22"/>
    </row>
    <row r="1033" ht="15.75" customHeight="1">
      <c r="A1033" s="22"/>
      <c r="B1033" s="22"/>
      <c r="C1033" s="22"/>
      <c r="D1033" s="22"/>
      <c r="E1033" s="22"/>
      <c r="F1033" s="22"/>
      <c r="G1033" s="22"/>
      <c r="H1033" s="22"/>
      <c r="I1033" s="22"/>
      <c r="J1033" s="22"/>
      <c r="K1033" s="22"/>
      <c r="L1033" s="468"/>
      <c r="M1033" s="468"/>
      <c r="N1033" s="22"/>
      <c r="O1033" s="22"/>
      <c r="P1033" s="22"/>
      <c r="Q1033" s="22"/>
      <c r="R1033" s="22"/>
      <c r="S1033" s="22"/>
      <c r="T1033" s="468"/>
      <c r="U1033" s="22"/>
      <c r="V1033" s="22"/>
      <c r="W1033" s="22"/>
      <c r="X1033" s="22"/>
      <c r="Y1033" s="22"/>
      <c r="Z1033" s="465"/>
      <c r="AA1033" s="22"/>
      <c r="AB1033" s="22"/>
      <c r="AC1033" s="22"/>
      <c r="AD1033" s="22"/>
    </row>
    <row r="1034" ht="15.75" customHeight="1">
      <c r="A1034" s="22"/>
      <c r="B1034" s="22"/>
      <c r="C1034" s="22"/>
      <c r="D1034" s="22"/>
      <c r="E1034" s="22"/>
      <c r="F1034" s="22"/>
      <c r="G1034" s="22"/>
      <c r="H1034" s="22"/>
      <c r="I1034" s="22"/>
      <c r="J1034" s="22"/>
      <c r="K1034" s="22"/>
      <c r="L1034" s="468"/>
      <c r="M1034" s="468"/>
      <c r="N1034" s="22"/>
      <c r="O1034" s="22"/>
      <c r="P1034" s="22"/>
      <c r="Q1034" s="22"/>
      <c r="R1034" s="22"/>
      <c r="S1034" s="22"/>
      <c r="T1034" s="468"/>
      <c r="U1034" s="22"/>
      <c r="V1034" s="22"/>
      <c r="W1034" s="22"/>
      <c r="X1034" s="22"/>
      <c r="Y1034" s="22"/>
      <c r="Z1034" s="465"/>
      <c r="AA1034" s="22"/>
      <c r="AB1034" s="22"/>
      <c r="AC1034" s="22"/>
      <c r="AD1034" s="22"/>
    </row>
    <row r="1035" ht="15.75" customHeight="1">
      <c r="A1035" s="22"/>
      <c r="B1035" s="22"/>
      <c r="C1035" s="22"/>
      <c r="D1035" s="22"/>
      <c r="E1035" s="22"/>
      <c r="F1035" s="22"/>
      <c r="G1035" s="22"/>
      <c r="H1035" s="22"/>
      <c r="I1035" s="22"/>
      <c r="J1035" s="22"/>
      <c r="K1035" s="22"/>
      <c r="L1035" s="468"/>
      <c r="M1035" s="468"/>
      <c r="N1035" s="22"/>
      <c r="O1035" s="22"/>
      <c r="P1035" s="22"/>
      <c r="Q1035" s="22"/>
      <c r="R1035" s="22"/>
      <c r="S1035" s="22"/>
      <c r="T1035" s="468"/>
      <c r="U1035" s="22"/>
      <c r="V1035" s="22"/>
      <c r="W1035" s="22"/>
      <c r="X1035" s="22"/>
      <c r="Y1035" s="22"/>
      <c r="Z1035" s="465"/>
      <c r="AA1035" s="22"/>
      <c r="AB1035" s="22"/>
      <c r="AC1035" s="22"/>
      <c r="AD1035" s="22"/>
    </row>
    <row r="1036" ht="15.75" customHeight="1">
      <c r="A1036" s="22"/>
      <c r="B1036" s="22"/>
      <c r="C1036" s="22"/>
      <c r="D1036" s="22"/>
      <c r="E1036" s="22"/>
      <c r="F1036" s="22"/>
      <c r="G1036" s="22"/>
      <c r="H1036" s="22"/>
      <c r="I1036" s="22"/>
      <c r="J1036" s="22"/>
      <c r="K1036" s="22"/>
      <c r="L1036" s="468"/>
      <c r="M1036" s="468"/>
      <c r="N1036" s="22"/>
      <c r="O1036" s="22"/>
      <c r="P1036" s="22"/>
      <c r="Q1036" s="22"/>
      <c r="R1036" s="22"/>
      <c r="S1036" s="22"/>
      <c r="T1036" s="468"/>
      <c r="U1036" s="22"/>
      <c r="V1036" s="22"/>
      <c r="W1036" s="22"/>
      <c r="X1036" s="22"/>
      <c r="Y1036" s="22"/>
      <c r="Z1036" s="465"/>
      <c r="AA1036" s="22"/>
      <c r="AB1036" s="22"/>
      <c r="AC1036" s="22"/>
      <c r="AD1036" s="22"/>
    </row>
    <row r="1037" ht="15.75" customHeight="1">
      <c r="A1037" s="22"/>
      <c r="B1037" s="22"/>
      <c r="C1037" s="22"/>
      <c r="D1037" s="22"/>
      <c r="E1037" s="22"/>
      <c r="F1037" s="22"/>
      <c r="G1037" s="22"/>
      <c r="H1037" s="22"/>
      <c r="I1037" s="22"/>
      <c r="J1037" s="22"/>
      <c r="K1037" s="22"/>
      <c r="L1037" s="468"/>
      <c r="M1037" s="468"/>
      <c r="N1037" s="22"/>
      <c r="O1037" s="22"/>
      <c r="P1037" s="22"/>
      <c r="Q1037" s="22"/>
      <c r="R1037" s="22"/>
      <c r="S1037" s="22"/>
      <c r="T1037" s="468"/>
      <c r="U1037" s="22"/>
      <c r="V1037" s="22"/>
      <c r="W1037" s="22"/>
      <c r="X1037" s="22"/>
      <c r="Y1037" s="22"/>
      <c r="Z1037" s="465"/>
      <c r="AA1037" s="22"/>
      <c r="AB1037" s="22"/>
      <c r="AC1037" s="22"/>
      <c r="AD1037" s="22"/>
    </row>
    <row r="1038" ht="15.75" customHeight="1">
      <c r="A1038" s="22"/>
      <c r="B1038" s="22"/>
      <c r="C1038" s="22"/>
      <c r="D1038" s="22"/>
      <c r="E1038" s="22"/>
      <c r="F1038" s="22"/>
      <c r="G1038" s="22"/>
      <c r="H1038" s="22"/>
      <c r="I1038" s="22"/>
      <c r="J1038" s="22"/>
      <c r="K1038" s="22"/>
      <c r="L1038" s="468"/>
      <c r="M1038" s="468"/>
      <c r="N1038" s="22"/>
      <c r="O1038" s="22"/>
      <c r="P1038" s="22"/>
      <c r="Q1038" s="22"/>
      <c r="R1038" s="22"/>
      <c r="S1038" s="22"/>
      <c r="T1038" s="468"/>
      <c r="U1038" s="22"/>
      <c r="V1038" s="22"/>
      <c r="W1038" s="22"/>
      <c r="X1038" s="22"/>
      <c r="Y1038" s="22"/>
      <c r="Z1038" s="465"/>
      <c r="AA1038" s="22"/>
      <c r="AB1038" s="22"/>
      <c r="AC1038" s="22"/>
      <c r="AD1038" s="22"/>
    </row>
    <row r="1039" ht="15.75" customHeight="1">
      <c r="A1039" s="22"/>
      <c r="B1039" s="22"/>
      <c r="C1039" s="22"/>
      <c r="D1039" s="22"/>
      <c r="E1039" s="22"/>
      <c r="F1039" s="22"/>
      <c r="G1039" s="22"/>
      <c r="H1039" s="22"/>
      <c r="I1039" s="22"/>
      <c r="J1039" s="22"/>
      <c r="K1039" s="22"/>
      <c r="L1039" s="468"/>
      <c r="M1039" s="468"/>
      <c r="N1039" s="22"/>
      <c r="O1039" s="22"/>
      <c r="P1039" s="22"/>
      <c r="Q1039" s="22"/>
      <c r="R1039" s="22"/>
      <c r="S1039" s="22"/>
      <c r="T1039" s="468"/>
      <c r="U1039" s="22"/>
      <c r="V1039" s="22"/>
      <c r="W1039" s="22"/>
      <c r="X1039" s="22"/>
      <c r="Y1039" s="22"/>
      <c r="Z1039" s="465"/>
      <c r="AA1039" s="22"/>
      <c r="AB1039" s="22"/>
      <c r="AC1039" s="22"/>
      <c r="AD1039" s="22"/>
    </row>
    <row r="1040" ht="15.75" customHeight="1">
      <c r="A1040" s="22"/>
      <c r="B1040" s="22"/>
      <c r="C1040" s="22"/>
      <c r="D1040" s="22"/>
      <c r="E1040" s="22"/>
      <c r="F1040" s="22"/>
      <c r="G1040" s="22"/>
      <c r="H1040" s="22"/>
      <c r="I1040" s="22"/>
      <c r="J1040" s="22"/>
      <c r="K1040" s="22"/>
      <c r="L1040" s="468"/>
      <c r="M1040" s="468"/>
      <c r="N1040" s="22"/>
      <c r="O1040" s="22"/>
      <c r="P1040" s="22"/>
      <c r="Q1040" s="22"/>
      <c r="R1040" s="22"/>
      <c r="S1040" s="22"/>
      <c r="T1040" s="468"/>
      <c r="U1040" s="22"/>
      <c r="V1040" s="22"/>
      <c r="W1040" s="22"/>
      <c r="X1040" s="22"/>
      <c r="Y1040" s="22"/>
      <c r="Z1040" s="465"/>
      <c r="AA1040" s="22"/>
      <c r="AB1040" s="22"/>
      <c r="AC1040" s="22"/>
      <c r="AD1040" s="22"/>
    </row>
    <row r="1041" ht="15.75" customHeight="1">
      <c r="A1041" s="22"/>
      <c r="B1041" s="22"/>
      <c r="C1041" s="22"/>
      <c r="D1041" s="22"/>
      <c r="E1041" s="22"/>
      <c r="F1041" s="22"/>
      <c r="G1041" s="22"/>
      <c r="H1041" s="22"/>
      <c r="I1041" s="22"/>
      <c r="J1041" s="22"/>
      <c r="K1041" s="22"/>
      <c r="L1041" s="468"/>
      <c r="M1041" s="468"/>
      <c r="N1041" s="22"/>
      <c r="O1041" s="22"/>
      <c r="P1041" s="22"/>
      <c r="Q1041" s="22"/>
      <c r="R1041" s="22"/>
      <c r="S1041" s="22"/>
      <c r="T1041" s="468"/>
      <c r="U1041" s="22"/>
      <c r="V1041" s="22"/>
      <c r="W1041" s="22"/>
      <c r="X1041" s="22"/>
      <c r="Y1041" s="22"/>
      <c r="Z1041" s="465"/>
      <c r="AA1041" s="22"/>
      <c r="AB1041" s="22"/>
      <c r="AC1041" s="22"/>
      <c r="AD1041" s="22"/>
    </row>
    <row r="1042" ht="15.75" customHeight="1">
      <c r="A1042" s="22"/>
      <c r="B1042" s="22"/>
      <c r="C1042" s="22"/>
      <c r="D1042" s="22"/>
      <c r="E1042" s="22"/>
      <c r="F1042" s="22"/>
      <c r="G1042" s="22"/>
      <c r="H1042" s="22"/>
      <c r="I1042" s="22"/>
      <c r="J1042" s="22"/>
      <c r="K1042" s="22"/>
      <c r="L1042" s="468"/>
      <c r="M1042" s="468"/>
      <c r="N1042" s="22"/>
      <c r="O1042" s="22"/>
      <c r="P1042" s="22"/>
      <c r="Q1042" s="22"/>
      <c r="R1042" s="22"/>
      <c r="S1042" s="22"/>
      <c r="T1042" s="468"/>
      <c r="U1042" s="22"/>
      <c r="V1042" s="22"/>
      <c r="W1042" s="22"/>
      <c r="X1042" s="22"/>
      <c r="Y1042" s="22"/>
      <c r="Z1042" s="465"/>
      <c r="AA1042" s="22"/>
      <c r="AB1042" s="22"/>
      <c r="AC1042" s="22"/>
      <c r="AD1042" s="22"/>
    </row>
    <row r="1043" ht="15.75" customHeight="1">
      <c r="A1043" s="22"/>
      <c r="B1043" s="22"/>
      <c r="C1043" s="22"/>
      <c r="D1043" s="22"/>
      <c r="E1043" s="22"/>
      <c r="F1043" s="22"/>
      <c r="G1043" s="22"/>
      <c r="H1043" s="22"/>
      <c r="I1043" s="22"/>
      <c r="J1043" s="22"/>
      <c r="K1043" s="22"/>
      <c r="L1043" s="468"/>
      <c r="M1043" s="468"/>
      <c r="N1043" s="22"/>
      <c r="O1043" s="22"/>
      <c r="P1043" s="22"/>
      <c r="Q1043" s="22"/>
      <c r="R1043" s="22"/>
      <c r="S1043" s="22"/>
      <c r="T1043" s="468"/>
      <c r="U1043" s="22"/>
      <c r="V1043" s="22"/>
      <c r="W1043" s="22"/>
      <c r="X1043" s="22"/>
      <c r="Y1043" s="22"/>
      <c r="Z1043" s="465"/>
      <c r="AA1043" s="22"/>
      <c r="AB1043" s="22"/>
      <c r="AC1043" s="22"/>
      <c r="AD1043" s="22"/>
    </row>
    <row r="1044" ht="15.75" customHeight="1">
      <c r="A1044" s="22"/>
      <c r="B1044" s="22"/>
      <c r="C1044" s="22"/>
      <c r="D1044" s="22"/>
      <c r="E1044" s="22"/>
      <c r="F1044" s="22"/>
      <c r="G1044" s="22"/>
      <c r="H1044" s="22"/>
      <c r="I1044" s="22"/>
      <c r="J1044" s="22"/>
      <c r="K1044" s="22"/>
      <c r="L1044" s="468"/>
      <c r="M1044" s="468"/>
      <c r="N1044" s="22"/>
      <c r="O1044" s="22"/>
      <c r="P1044" s="22"/>
      <c r="Q1044" s="22"/>
      <c r="R1044" s="22"/>
      <c r="S1044" s="22"/>
      <c r="T1044" s="468"/>
      <c r="U1044" s="22"/>
      <c r="V1044" s="22"/>
      <c r="W1044" s="22"/>
      <c r="X1044" s="22"/>
      <c r="Y1044" s="22"/>
      <c r="Z1044" s="465"/>
      <c r="AA1044" s="22"/>
      <c r="AB1044" s="22"/>
      <c r="AC1044" s="22"/>
      <c r="AD1044" s="22"/>
    </row>
    <row r="1045" ht="15.75" customHeight="1">
      <c r="A1045" s="22"/>
      <c r="B1045" s="22"/>
      <c r="C1045" s="22"/>
      <c r="D1045" s="22"/>
      <c r="E1045" s="22"/>
      <c r="F1045" s="22"/>
      <c r="G1045" s="22"/>
      <c r="H1045" s="22"/>
      <c r="I1045" s="22"/>
      <c r="J1045" s="22"/>
      <c r="K1045" s="22"/>
      <c r="L1045" s="468"/>
      <c r="M1045" s="468"/>
      <c r="N1045" s="22"/>
      <c r="O1045" s="22"/>
      <c r="P1045" s="22"/>
      <c r="Q1045" s="22"/>
      <c r="R1045" s="22"/>
      <c r="S1045" s="22"/>
      <c r="T1045" s="468"/>
      <c r="U1045" s="22"/>
      <c r="V1045" s="22"/>
      <c r="W1045" s="22"/>
      <c r="X1045" s="22"/>
      <c r="Y1045" s="22"/>
      <c r="Z1045" s="465"/>
      <c r="AA1045" s="22"/>
      <c r="AB1045" s="22"/>
      <c r="AC1045" s="22"/>
      <c r="AD1045" s="22"/>
    </row>
    <row r="1046" ht="15.75" customHeight="1">
      <c r="A1046" s="22"/>
      <c r="B1046" s="22"/>
      <c r="C1046" s="22"/>
      <c r="D1046" s="22"/>
      <c r="E1046" s="22"/>
      <c r="F1046" s="22"/>
      <c r="G1046" s="22"/>
      <c r="H1046" s="22"/>
      <c r="I1046" s="22"/>
      <c r="J1046" s="22"/>
      <c r="K1046" s="22"/>
      <c r="L1046" s="468"/>
      <c r="M1046" s="468"/>
      <c r="N1046" s="22"/>
      <c r="O1046" s="22"/>
      <c r="P1046" s="22"/>
      <c r="Q1046" s="22"/>
      <c r="R1046" s="22"/>
      <c r="S1046" s="22"/>
      <c r="T1046" s="468"/>
      <c r="U1046" s="22"/>
      <c r="V1046" s="22"/>
      <c r="W1046" s="22"/>
      <c r="X1046" s="22"/>
      <c r="Y1046" s="22"/>
      <c r="Z1046" s="465"/>
      <c r="AA1046" s="22"/>
      <c r="AB1046" s="22"/>
      <c r="AC1046" s="22"/>
      <c r="AD1046" s="22"/>
    </row>
    <row r="1047" ht="15.75" customHeight="1">
      <c r="A1047" s="22"/>
      <c r="B1047" s="22"/>
      <c r="C1047" s="22"/>
      <c r="D1047" s="22"/>
      <c r="E1047" s="22"/>
      <c r="F1047" s="22"/>
      <c r="G1047" s="22"/>
      <c r="H1047" s="22"/>
      <c r="I1047" s="22"/>
      <c r="J1047" s="22"/>
      <c r="K1047" s="22"/>
      <c r="L1047" s="468"/>
      <c r="M1047" s="468"/>
      <c r="N1047" s="22"/>
      <c r="O1047" s="22"/>
      <c r="P1047" s="22"/>
      <c r="Q1047" s="22"/>
      <c r="R1047" s="22"/>
      <c r="S1047" s="22"/>
      <c r="T1047" s="468"/>
      <c r="U1047" s="22"/>
      <c r="V1047" s="22"/>
      <c r="W1047" s="22"/>
      <c r="X1047" s="22"/>
      <c r="Y1047" s="22"/>
      <c r="Z1047" s="465"/>
      <c r="AA1047" s="22"/>
      <c r="AB1047" s="22"/>
      <c r="AC1047" s="22"/>
      <c r="AD1047" s="22"/>
    </row>
    <row r="1048" ht="15.75" customHeight="1">
      <c r="A1048" s="22"/>
      <c r="B1048" s="22"/>
      <c r="C1048" s="22"/>
      <c r="D1048" s="22"/>
      <c r="E1048" s="22"/>
      <c r="F1048" s="22"/>
      <c r="G1048" s="22"/>
      <c r="H1048" s="22"/>
      <c r="I1048" s="22"/>
      <c r="J1048" s="22"/>
      <c r="K1048" s="22"/>
      <c r="L1048" s="468"/>
      <c r="M1048" s="468"/>
      <c r="N1048" s="22"/>
      <c r="O1048" s="22"/>
      <c r="P1048" s="22"/>
      <c r="Q1048" s="22"/>
      <c r="R1048" s="22"/>
      <c r="S1048" s="22"/>
      <c r="T1048" s="468"/>
      <c r="U1048" s="22"/>
      <c r="V1048" s="22"/>
      <c r="W1048" s="22"/>
      <c r="X1048" s="22"/>
      <c r="Y1048" s="22"/>
      <c r="Z1048" s="465"/>
      <c r="AA1048" s="22"/>
      <c r="AB1048" s="22"/>
      <c r="AC1048" s="22"/>
      <c r="AD1048" s="22"/>
    </row>
    <row r="1049" ht="15.75" customHeight="1">
      <c r="A1049" s="22"/>
      <c r="B1049" s="22"/>
      <c r="C1049" s="22"/>
      <c r="D1049" s="22"/>
      <c r="E1049" s="22"/>
      <c r="F1049" s="22"/>
      <c r="G1049" s="22"/>
      <c r="H1049" s="22"/>
      <c r="I1049" s="22"/>
      <c r="J1049" s="22"/>
      <c r="K1049" s="22"/>
      <c r="L1049" s="468"/>
      <c r="M1049" s="468"/>
      <c r="N1049" s="22"/>
      <c r="O1049" s="22"/>
      <c r="P1049" s="22"/>
      <c r="Q1049" s="22"/>
      <c r="R1049" s="22"/>
      <c r="S1049" s="22"/>
      <c r="T1049" s="468"/>
      <c r="U1049" s="22"/>
      <c r="V1049" s="22"/>
      <c r="W1049" s="22"/>
      <c r="X1049" s="22"/>
      <c r="Y1049" s="22"/>
      <c r="Z1049" s="465"/>
      <c r="AA1049" s="22"/>
      <c r="AB1049" s="22"/>
      <c r="AC1049" s="22"/>
      <c r="AD1049" s="22"/>
    </row>
    <row r="1050" ht="15.75" customHeight="1">
      <c r="A1050" s="22"/>
      <c r="B1050" s="22"/>
      <c r="C1050" s="22"/>
      <c r="D1050" s="22"/>
      <c r="E1050" s="22"/>
      <c r="F1050" s="22"/>
      <c r="G1050" s="22"/>
      <c r="H1050" s="22"/>
      <c r="I1050" s="22"/>
      <c r="J1050" s="22"/>
      <c r="K1050" s="22"/>
      <c r="L1050" s="468"/>
      <c r="M1050" s="468"/>
      <c r="N1050" s="22"/>
      <c r="O1050" s="22"/>
      <c r="P1050" s="22"/>
      <c r="Q1050" s="22"/>
      <c r="R1050" s="22"/>
      <c r="S1050" s="22"/>
      <c r="T1050" s="468"/>
      <c r="U1050" s="22"/>
      <c r="V1050" s="22"/>
      <c r="W1050" s="22"/>
      <c r="X1050" s="22"/>
      <c r="Y1050" s="22"/>
      <c r="Z1050" s="465"/>
      <c r="AA1050" s="22"/>
      <c r="AB1050" s="22"/>
      <c r="AC1050" s="22"/>
      <c r="AD1050" s="22"/>
    </row>
    <row r="1051" ht="15.75" customHeight="1">
      <c r="A1051" s="22"/>
      <c r="B1051" s="22"/>
      <c r="C1051" s="22"/>
      <c r="D1051" s="22"/>
      <c r="E1051" s="22"/>
      <c r="F1051" s="22"/>
      <c r="G1051" s="22"/>
      <c r="H1051" s="22"/>
      <c r="I1051" s="22"/>
      <c r="J1051" s="22"/>
      <c r="K1051" s="22"/>
      <c r="L1051" s="468"/>
      <c r="M1051" s="468"/>
      <c r="N1051" s="22"/>
      <c r="O1051" s="22"/>
      <c r="P1051" s="22"/>
      <c r="Q1051" s="22"/>
      <c r="R1051" s="22"/>
      <c r="S1051" s="22"/>
      <c r="T1051" s="468"/>
      <c r="U1051" s="22"/>
      <c r="V1051" s="22"/>
      <c r="W1051" s="22"/>
      <c r="X1051" s="22"/>
      <c r="Y1051" s="22"/>
      <c r="Z1051" s="465"/>
      <c r="AA1051" s="22"/>
      <c r="AB1051" s="22"/>
      <c r="AC1051" s="22"/>
      <c r="AD1051" s="22"/>
    </row>
    <row r="1052" ht="15.75" customHeight="1">
      <c r="A1052" s="22"/>
      <c r="B1052" s="22"/>
      <c r="C1052" s="22"/>
      <c r="D1052" s="22"/>
      <c r="E1052" s="22"/>
      <c r="F1052" s="22"/>
      <c r="G1052" s="22"/>
      <c r="H1052" s="22"/>
      <c r="I1052" s="22"/>
      <c r="J1052" s="22"/>
      <c r="K1052" s="22"/>
      <c r="L1052" s="468"/>
      <c r="M1052" s="468"/>
      <c r="N1052" s="22"/>
      <c r="O1052" s="22"/>
      <c r="P1052" s="22"/>
      <c r="Q1052" s="22"/>
      <c r="R1052" s="22"/>
      <c r="S1052" s="22"/>
      <c r="T1052" s="468"/>
      <c r="U1052" s="22"/>
      <c r="V1052" s="22"/>
      <c r="W1052" s="22"/>
      <c r="X1052" s="22"/>
      <c r="Y1052" s="22"/>
      <c r="Z1052" s="465"/>
      <c r="AA1052" s="22"/>
      <c r="AB1052" s="22"/>
      <c r="AC1052" s="22"/>
      <c r="AD1052" s="22"/>
    </row>
    <row r="1053" ht="15.75" customHeight="1">
      <c r="A1053" s="22"/>
      <c r="B1053" s="22"/>
      <c r="C1053" s="22"/>
      <c r="D1053" s="22"/>
      <c r="E1053" s="22"/>
      <c r="F1053" s="22"/>
      <c r="G1053" s="22"/>
      <c r="H1053" s="22"/>
      <c r="I1053" s="22"/>
      <c r="J1053" s="22"/>
      <c r="K1053" s="22"/>
      <c r="L1053" s="468"/>
      <c r="M1053" s="468"/>
      <c r="N1053" s="22"/>
      <c r="O1053" s="22"/>
      <c r="P1053" s="22"/>
      <c r="Q1053" s="22"/>
      <c r="R1053" s="22"/>
      <c r="S1053" s="22"/>
      <c r="T1053" s="468"/>
      <c r="U1053" s="22"/>
      <c r="V1053" s="22"/>
      <c r="W1053" s="22"/>
      <c r="X1053" s="22"/>
      <c r="Y1053" s="22"/>
      <c r="Z1053" s="465"/>
      <c r="AA1053" s="22"/>
      <c r="AB1053" s="22"/>
      <c r="AC1053" s="22"/>
      <c r="AD1053" s="22"/>
    </row>
    <row r="1054" ht="15.75" customHeight="1">
      <c r="A1054" s="22"/>
      <c r="B1054" s="22"/>
      <c r="C1054" s="22"/>
      <c r="D1054" s="22"/>
      <c r="E1054" s="22"/>
      <c r="F1054" s="22"/>
      <c r="G1054" s="22"/>
      <c r="H1054" s="22"/>
      <c r="I1054" s="22"/>
      <c r="J1054" s="22"/>
      <c r="K1054" s="22"/>
      <c r="L1054" s="468"/>
      <c r="M1054" s="468"/>
      <c r="N1054" s="22"/>
      <c r="O1054" s="22"/>
      <c r="P1054" s="22"/>
      <c r="Q1054" s="22"/>
      <c r="R1054" s="22"/>
      <c r="S1054" s="22"/>
      <c r="T1054" s="468"/>
      <c r="U1054" s="22"/>
      <c r="V1054" s="22"/>
      <c r="W1054" s="22"/>
      <c r="X1054" s="22"/>
      <c r="Y1054" s="22"/>
      <c r="Z1054" s="465"/>
      <c r="AA1054" s="22"/>
      <c r="AB1054" s="22"/>
      <c r="AC1054" s="22"/>
      <c r="AD1054" s="22"/>
    </row>
    <row r="1055" ht="15.75" customHeight="1">
      <c r="A1055" s="22"/>
      <c r="B1055" s="22"/>
      <c r="C1055" s="22"/>
      <c r="D1055" s="22"/>
      <c r="E1055" s="22"/>
      <c r="F1055" s="22"/>
      <c r="G1055" s="22"/>
      <c r="H1055" s="22"/>
      <c r="I1055" s="22"/>
      <c r="J1055" s="22"/>
      <c r="K1055" s="22"/>
      <c r="L1055" s="468"/>
      <c r="M1055" s="468"/>
      <c r="N1055" s="22"/>
      <c r="O1055" s="22"/>
      <c r="P1055" s="22"/>
      <c r="Q1055" s="22"/>
      <c r="R1055" s="22"/>
      <c r="S1055" s="22"/>
      <c r="T1055" s="468"/>
      <c r="U1055" s="22"/>
      <c r="V1055" s="22"/>
      <c r="W1055" s="22"/>
      <c r="X1055" s="22"/>
      <c r="Y1055" s="22"/>
      <c r="Z1055" s="465"/>
      <c r="AA1055" s="22"/>
      <c r="AB1055" s="22"/>
      <c r="AC1055" s="22"/>
      <c r="AD1055" s="22"/>
    </row>
    <row r="1056" ht="15.75" customHeight="1">
      <c r="A1056" s="22"/>
      <c r="B1056" s="22"/>
      <c r="C1056" s="22"/>
      <c r="D1056" s="22"/>
      <c r="E1056" s="22"/>
      <c r="F1056" s="22"/>
      <c r="G1056" s="22"/>
      <c r="H1056" s="22"/>
      <c r="I1056" s="22"/>
      <c r="J1056" s="22"/>
      <c r="K1056" s="22"/>
      <c r="L1056" s="468"/>
      <c r="M1056" s="468"/>
      <c r="N1056" s="22"/>
      <c r="O1056" s="22"/>
      <c r="P1056" s="22"/>
      <c r="Q1056" s="22"/>
      <c r="R1056" s="22"/>
      <c r="S1056" s="22"/>
      <c r="T1056" s="468"/>
      <c r="U1056" s="22"/>
      <c r="V1056" s="22"/>
      <c r="W1056" s="22"/>
      <c r="X1056" s="22"/>
      <c r="Y1056" s="22"/>
      <c r="Z1056" s="465"/>
      <c r="AA1056" s="22"/>
      <c r="AB1056" s="22"/>
      <c r="AC1056" s="22"/>
      <c r="AD1056" s="22"/>
    </row>
    <row r="1057" ht="15.75" customHeight="1">
      <c r="A1057" s="22"/>
      <c r="B1057" s="22"/>
      <c r="C1057" s="22"/>
      <c r="D1057" s="22"/>
      <c r="E1057" s="22"/>
      <c r="F1057" s="22"/>
      <c r="G1057" s="22"/>
      <c r="H1057" s="22"/>
      <c r="I1057" s="22"/>
      <c r="J1057" s="22"/>
      <c r="K1057" s="22"/>
      <c r="L1057" s="468"/>
      <c r="M1057" s="468"/>
      <c r="N1057" s="22"/>
      <c r="O1057" s="22"/>
      <c r="P1057" s="22"/>
      <c r="Q1057" s="22"/>
      <c r="R1057" s="22"/>
      <c r="S1057" s="22"/>
      <c r="T1057" s="468"/>
      <c r="U1057" s="22"/>
      <c r="V1057" s="22"/>
      <c r="W1057" s="22"/>
      <c r="X1057" s="22"/>
      <c r="Y1057" s="22"/>
      <c r="Z1057" s="465"/>
      <c r="AA1057" s="22"/>
      <c r="AB1057" s="22"/>
      <c r="AC1057" s="22"/>
      <c r="AD1057" s="22"/>
    </row>
    <row r="1058" ht="15.75" customHeight="1">
      <c r="A1058" s="22"/>
      <c r="B1058" s="22"/>
      <c r="C1058" s="22"/>
      <c r="D1058" s="22"/>
      <c r="E1058" s="22"/>
      <c r="F1058" s="22"/>
      <c r="G1058" s="22"/>
      <c r="H1058" s="22"/>
      <c r="I1058" s="22"/>
      <c r="J1058" s="22"/>
      <c r="K1058" s="22"/>
      <c r="L1058" s="468"/>
      <c r="M1058" s="468"/>
      <c r="N1058" s="22"/>
      <c r="O1058" s="22"/>
      <c r="P1058" s="22"/>
      <c r="Q1058" s="22"/>
      <c r="R1058" s="22"/>
      <c r="S1058" s="22"/>
      <c r="T1058" s="468"/>
      <c r="U1058" s="22"/>
      <c r="V1058" s="22"/>
      <c r="W1058" s="22"/>
      <c r="X1058" s="22"/>
      <c r="Y1058" s="22"/>
      <c r="Z1058" s="465"/>
      <c r="AA1058" s="22"/>
      <c r="AB1058" s="22"/>
      <c r="AC1058" s="22"/>
      <c r="AD1058" s="22"/>
    </row>
    <row r="1059" ht="15.75" customHeight="1">
      <c r="A1059" s="22"/>
      <c r="B1059" s="22"/>
      <c r="C1059" s="22"/>
      <c r="D1059" s="22"/>
      <c r="E1059" s="22"/>
      <c r="F1059" s="22"/>
      <c r="G1059" s="22"/>
      <c r="H1059" s="22"/>
      <c r="I1059" s="22"/>
      <c r="J1059" s="22"/>
      <c r="K1059" s="22"/>
      <c r="L1059" s="468"/>
      <c r="M1059" s="468"/>
      <c r="N1059" s="22"/>
      <c r="O1059" s="22"/>
      <c r="P1059" s="22"/>
      <c r="Q1059" s="22"/>
      <c r="R1059" s="22"/>
      <c r="S1059" s="22"/>
      <c r="T1059" s="468"/>
      <c r="U1059" s="22"/>
      <c r="V1059" s="22"/>
      <c r="W1059" s="22"/>
      <c r="X1059" s="22"/>
      <c r="Y1059" s="22"/>
      <c r="Z1059" s="465"/>
      <c r="AA1059" s="22"/>
      <c r="AB1059" s="22"/>
      <c r="AC1059" s="22"/>
      <c r="AD1059" s="22"/>
    </row>
    <row r="1060" ht="15.75" customHeight="1">
      <c r="A1060" s="22"/>
      <c r="B1060" s="22"/>
      <c r="C1060" s="22"/>
      <c r="D1060" s="22"/>
      <c r="E1060" s="22"/>
      <c r="F1060" s="22"/>
      <c r="G1060" s="22"/>
      <c r="H1060" s="22"/>
      <c r="I1060" s="22"/>
      <c r="J1060" s="22"/>
      <c r="K1060" s="22"/>
      <c r="L1060" s="468"/>
      <c r="M1060" s="468"/>
      <c r="N1060" s="22"/>
      <c r="O1060" s="22"/>
      <c r="P1060" s="22"/>
      <c r="Q1060" s="22"/>
      <c r="R1060" s="22"/>
      <c r="S1060" s="22"/>
      <c r="T1060" s="468"/>
      <c r="U1060" s="22"/>
      <c r="V1060" s="22"/>
      <c r="W1060" s="22"/>
      <c r="X1060" s="22"/>
      <c r="Y1060" s="22"/>
      <c r="Z1060" s="465"/>
      <c r="AA1060" s="22"/>
      <c r="AB1060" s="22"/>
      <c r="AC1060" s="22"/>
      <c r="AD1060" s="22"/>
    </row>
    <row r="1061" ht="15.75" customHeight="1">
      <c r="A1061" s="22"/>
      <c r="B1061" s="22"/>
      <c r="C1061" s="22"/>
      <c r="D1061" s="22"/>
      <c r="E1061" s="22"/>
      <c r="F1061" s="22"/>
      <c r="G1061" s="22"/>
      <c r="H1061" s="22"/>
      <c r="I1061" s="22"/>
      <c r="J1061" s="22"/>
      <c r="K1061" s="22"/>
      <c r="L1061" s="468"/>
      <c r="M1061" s="468"/>
      <c r="N1061" s="22"/>
      <c r="O1061" s="22"/>
      <c r="P1061" s="22"/>
      <c r="Q1061" s="22"/>
      <c r="R1061" s="22"/>
      <c r="S1061" s="22"/>
      <c r="T1061" s="468"/>
      <c r="U1061" s="22"/>
      <c r="V1061" s="22"/>
      <c r="W1061" s="22"/>
      <c r="X1061" s="22"/>
      <c r="Y1061" s="22"/>
      <c r="Z1061" s="465"/>
      <c r="AA1061" s="22"/>
      <c r="AB1061" s="22"/>
      <c r="AC1061" s="22"/>
      <c r="AD1061" s="22"/>
    </row>
    <row r="1062" ht="15.75" customHeight="1">
      <c r="A1062" s="22"/>
      <c r="B1062" s="22"/>
      <c r="C1062" s="22"/>
      <c r="D1062" s="22"/>
      <c r="E1062" s="22"/>
      <c r="F1062" s="22"/>
      <c r="G1062" s="22"/>
      <c r="H1062" s="22"/>
      <c r="I1062" s="22"/>
      <c r="J1062" s="22"/>
      <c r="K1062" s="22"/>
      <c r="L1062" s="468"/>
      <c r="M1062" s="468"/>
      <c r="N1062" s="22"/>
      <c r="O1062" s="22"/>
      <c r="P1062" s="22"/>
      <c r="Q1062" s="22"/>
      <c r="R1062" s="22"/>
      <c r="S1062" s="22"/>
      <c r="T1062" s="468"/>
      <c r="U1062" s="22"/>
      <c r="V1062" s="22"/>
      <c r="W1062" s="22"/>
      <c r="X1062" s="22"/>
      <c r="Y1062" s="22"/>
      <c r="Z1062" s="465"/>
      <c r="AA1062" s="22"/>
      <c r="AB1062" s="22"/>
      <c r="AC1062" s="22"/>
      <c r="AD1062" s="22"/>
    </row>
    <row r="1063" ht="15.75" customHeight="1">
      <c r="A1063" s="22"/>
      <c r="B1063" s="22"/>
      <c r="C1063" s="22"/>
      <c r="D1063" s="22"/>
      <c r="E1063" s="22"/>
      <c r="F1063" s="22"/>
      <c r="G1063" s="22"/>
      <c r="H1063" s="22"/>
      <c r="I1063" s="22"/>
      <c r="J1063" s="22"/>
      <c r="K1063" s="22"/>
      <c r="L1063" s="468"/>
      <c r="M1063" s="468"/>
      <c r="N1063" s="22"/>
      <c r="O1063" s="22"/>
      <c r="P1063" s="22"/>
      <c r="Q1063" s="22"/>
      <c r="R1063" s="22"/>
      <c r="S1063" s="22"/>
      <c r="T1063" s="468"/>
      <c r="U1063" s="22"/>
      <c r="V1063" s="22"/>
      <c r="W1063" s="22"/>
      <c r="X1063" s="22"/>
      <c r="Y1063" s="22"/>
      <c r="Z1063" s="465"/>
      <c r="AA1063" s="22"/>
      <c r="AB1063" s="22"/>
      <c r="AC1063" s="22"/>
      <c r="AD1063" s="22"/>
    </row>
    <row r="1064" ht="15.75" customHeight="1">
      <c r="A1064" s="22"/>
      <c r="B1064" s="22"/>
      <c r="C1064" s="22"/>
      <c r="D1064" s="22"/>
      <c r="E1064" s="22"/>
      <c r="F1064" s="22"/>
      <c r="G1064" s="22"/>
      <c r="H1064" s="22"/>
      <c r="I1064" s="22"/>
      <c r="J1064" s="22"/>
      <c r="K1064" s="22"/>
      <c r="L1064" s="468"/>
      <c r="M1064" s="468"/>
      <c r="N1064" s="22"/>
      <c r="O1064" s="22"/>
      <c r="P1064" s="22"/>
      <c r="Q1064" s="22"/>
      <c r="R1064" s="22"/>
      <c r="S1064" s="22"/>
      <c r="T1064" s="468"/>
      <c r="U1064" s="22"/>
      <c r="V1064" s="22"/>
      <c r="W1064" s="22"/>
      <c r="X1064" s="22"/>
      <c r="Y1064" s="22"/>
      <c r="Z1064" s="465"/>
      <c r="AA1064" s="22"/>
      <c r="AB1064" s="22"/>
      <c r="AC1064" s="22"/>
      <c r="AD1064" s="22"/>
    </row>
    <row r="1065" ht="15.75" customHeight="1">
      <c r="A1065" s="22"/>
      <c r="B1065" s="22"/>
      <c r="C1065" s="22"/>
      <c r="D1065" s="22"/>
      <c r="E1065" s="22"/>
      <c r="F1065" s="22"/>
      <c r="G1065" s="22"/>
      <c r="H1065" s="22"/>
      <c r="I1065" s="22"/>
      <c r="J1065" s="22"/>
      <c r="K1065" s="22"/>
      <c r="L1065" s="468"/>
      <c r="M1065" s="468"/>
      <c r="N1065" s="22"/>
      <c r="O1065" s="22"/>
      <c r="P1065" s="22"/>
      <c r="Q1065" s="22"/>
      <c r="R1065" s="22"/>
      <c r="S1065" s="22"/>
      <c r="T1065" s="468"/>
      <c r="U1065" s="22"/>
      <c r="V1065" s="22"/>
      <c r="W1065" s="22"/>
      <c r="X1065" s="22"/>
      <c r="Y1065" s="22"/>
      <c r="Z1065" s="465"/>
      <c r="AA1065" s="22"/>
      <c r="AB1065" s="22"/>
      <c r="AC1065" s="22"/>
      <c r="AD1065" s="22"/>
    </row>
    <row r="1066" ht="15.75" customHeight="1">
      <c r="A1066" s="22"/>
      <c r="B1066" s="22"/>
      <c r="C1066" s="22"/>
      <c r="D1066" s="22"/>
      <c r="E1066" s="22"/>
      <c r="F1066" s="22"/>
      <c r="G1066" s="22"/>
      <c r="H1066" s="22"/>
      <c r="I1066" s="22"/>
      <c r="J1066" s="22"/>
      <c r="K1066" s="22"/>
      <c r="L1066" s="468"/>
      <c r="M1066" s="468"/>
      <c r="N1066" s="22"/>
      <c r="O1066" s="22"/>
      <c r="P1066" s="22"/>
      <c r="Q1066" s="22"/>
      <c r="R1066" s="22"/>
      <c r="S1066" s="22"/>
      <c r="T1066" s="468"/>
      <c r="U1066" s="22"/>
      <c r="V1066" s="22"/>
      <c r="W1066" s="22"/>
      <c r="X1066" s="22"/>
      <c r="Y1066" s="22"/>
      <c r="Z1066" s="465"/>
      <c r="AA1066" s="22"/>
      <c r="AB1066" s="22"/>
      <c r="AC1066" s="22"/>
      <c r="AD1066" s="22"/>
    </row>
    <row r="1067" ht="15.75" customHeight="1">
      <c r="A1067" s="22"/>
      <c r="B1067" s="22"/>
      <c r="C1067" s="22"/>
      <c r="D1067" s="22"/>
      <c r="E1067" s="22"/>
      <c r="F1067" s="22"/>
      <c r="G1067" s="22"/>
      <c r="H1067" s="22"/>
      <c r="I1067" s="22"/>
      <c r="J1067" s="22"/>
      <c r="K1067" s="22"/>
      <c r="L1067" s="468"/>
      <c r="M1067" s="468"/>
      <c r="N1067" s="22"/>
      <c r="O1067" s="22"/>
      <c r="P1067" s="22"/>
      <c r="Q1067" s="22"/>
      <c r="R1067" s="22"/>
      <c r="S1067" s="22"/>
      <c r="T1067" s="468"/>
      <c r="U1067" s="22"/>
      <c r="V1067" s="22"/>
      <c r="W1067" s="22"/>
      <c r="X1067" s="22"/>
      <c r="Y1067" s="22"/>
      <c r="Z1067" s="465"/>
      <c r="AA1067" s="22"/>
      <c r="AB1067" s="22"/>
      <c r="AC1067" s="22"/>
      <c r="AD1067" s="22"/>
    </row>
    <row r="1068" ht="15.75" customHeight="1">
      <c r="A1068" s="22"/>
      <c r="B1068" s="22"/>
      <c r="C1068" s="22"/>
      <c r="D1068" s="22"/>
      <c r="E1068" s="22"/>
      <c r="F1068" s="22"/>
      <c r="G1068" s="22"/>
      <c r="H1068" s="22"/>
      <c r="I1068" s="22"/>
      <c r="J1068" s="22"/>
      <c r="K1068" s="22"/>
      <c r="L1068" s="468"/>
      <c r="M1068" s="468"/>
      <c r="N1068" s="22"/>
      <c r="O1068" s="22"/>
      <c r="P1068" s="22"/>
      <c r="Q1068" s="22"/>
      <c r="R1068" s="22"/>
      <c r="S1068" s="22"/>
      <c r="T1068" s="468"/>
      <c r="U1068" s="22"/>
      <c r="V1068" s="22"/>
      <c r="W1068" s="22"/>
      <c r="X1068" s="22"/>
      <c r="Y1068" s="22"/>
      <c r="Z1068" s="465"/>
      <c r="AA1068" s="22"/>
      <c r="AB1068" s="22"/>
      <c r="AC1068" s="22"/>
      <c r="AD1068" s="22"/>
    </row>
    <row r="1069" ht="15.75" customHeight="1">
      <c r="A1069" s="22"/>
      <c r="B1069" s="22"/>
      <c r="C1069" s="22"/>
      <c r="D1069" s="22"/>
      <c r="E1069" s="22"/>
      <c r="F1069" s="22"/>
      <c r="G1069" s="22"/>
      <c r="H1069" s="22"/>
      <c r="I1069" s="22"/>
      <c r="J1069" s="22"/>
      <c r="K1069" s="22"/>
      <c r="L1069" s="468"/>
      <c r="M1069" s="468"/>
      <c r="N1069" s="22"/>
      <c r="O1069" s="22"/>
      <c r="P1069" s="22"/>
      <c r="Q1069" s="22"/>
      <c r="R1069" s="22"/>
      <c r="S1069" s="22"/>
      <c r="T1069" s="468"/>
      <c r="U1069" s="22"/>
      <c r="V1069" s="22"/>
      <c r="W1069" s="22"/>
      <c r="X1069" s="22"/>
      <c r="Y1069" s="22"/>
      <c r="Z1069" s="465"/>
      <c r="AA1069" s="22"/>
      <c r="AB1069" s="22"/>
      <c r="AC1069" s="22"/>
      <c r="AD1069" s="22"/>
    </row>
    <row r="1070" ht="15.75" customHeight="1">
      <c r="A1070" s="22"/>
      <c r="B1070" s="22"/>
      <c r="C1070" s="22"/>
      <c r="D1070" s="22"/>
      <c r="E1070" s="22"/>
      <c r="F1070" s="22"/>
      <c r="G1070" s="22"/>
      <c r="H1070" s="22"/>
      <c r="I1070" s="22"/>
      <c r="J1070" s="22"/>
      <c r="K1070" s="22"/>
      <c r="L1070" s="468"/>
      <c r="M1070" s="468"/>
      <c r="N1070" s="22"/>
      <c r="O1070" s="22"/>
      <c r="P1070" s="22"/>
      <c r="Q1070" s="22"/>
      <c r="R1070" s="22"/>
      <c r="S1070" s="22"/>
      <c r="T1070" s="468"/>
      <c r="U1070" s="22"/>
      <c r="V1070" s="22"/>
      <c r="W1070" s="22"/>
      <c r="X1070" s="22"/>
      <c r="Y1070" s="22"/>
      <c r="Z1070" s="465"/>
      <c r="AA1070" s="22"/>
      <c r="AB1070" s="22"/>
      <c r="AC1070" s="22"/>
      <c r="AD1070" s="22"/>
    </row>
    <row r="1071" ht="15.75" customHeight="1">
      <c r="A1071" s="22"/>
      <c r="B1071" s="22"/>
      <c r="C1071" s="22"/>
      <c r="D1071" s="22"/>
      <c r="E1071" s="22"/>
      <c r="F1071" s="22"/>
      <c r="G1071" s="22"/>
      <c r="H1071" s="22"/>
      <c r="I1071" s="22"/>
      <c r="J1071" s="22"/>
      <c r="K1071" s="22"/>
      <c r="L1071" s="468"/>
      <c r="M1071" s="468"/>
      <c r="N1071" s="22"/>
      <c r="O1071" s="22"/>
      <c r="P1071" s="22"/>
      <c r="Q1071" s="22"/>
      <c r="R1071" s="22"/>
      <c r="S1071" s="22"/>
      <c r="T1071" s="468"/>
      <c r="U1071" s="22"/>
      <c r="V1071" s="22"/>
      <c r="W1071" s="22"/>
      <c r="X1071" s="22"/>
      <c r="Y1071" s="22"/>
      <c r="Z1071" s="465"/>
      <c r="AA1071" s="22"/>
      <c r="AB1071" s="22"/>
      <c r="AC1071" s="22"/>
      <c r="AD1071" s="22"/>
    </row>
    <row r="1072" ht="15.75" customHeight="1">
      <c r="A1072" s="22"/>
      <c r="B1072" s="22"/>
      <c r="C1072" s="22"/>
      <c r="D1072" s="22"/>
      <c r="E1072" s="22"/>
      <c r="F1072" s="22"/>
      <c r="G1072" s="22"/>
      <c r="H1072" s="22"/>
      <c r="I1072" s="22"/>
      <c r="J1072" s="22"/>
      <c r="K1072" s="22"/>
      <c r="L1072" s="468"/>
      <c r="M1072" s="468"/>
      <c r="N1072" s="22"/>
      <c r="O1072" s="22"/>
      <c r="P1072" s="22"/>
      <c r="Q1072" s="22"/>
      <c r="R1072" s="22"/>
      <c r="S1072" s="22"/>
      <c r="T1072" s="468"/>
      <c r="U1072" s="22"/>
      <c r="V1072" s="22"/>
      <c r="W1072" s="22"/>
      <c r="X1072" s="22"/>
      <c r="Y1072" s="22"/>
      <c r="Z1072" s="465"/>
      <c r="AA1072" s="22"/>
      <c r="AB1072" s="22"/>
      <c r="AC1072" s="22"/>
      <c r="AD1072" s="22"/>
    </row>
    <row r="1073" ht="15.75" customHeight="1">
      <c r="A1073" s="22"/>
      <c r="B1073" s="22"/>
      <c r="C1073" s="22"/>
      <c r="D1073" s="22"/>
      <c r="E1073" s="22"/>
      <c r="F1073" s="22"/>
      <c r="G1073" s="22"/>
      <c r="H1073" s="22"/>
      <c r="I1073" s="22"/>
      <c r="J1073" s="22"/>
      <c r="K1073" s="22"/>
      <c r="L1073" s="468"/>
      <c r="M1073" s="468"/>
      <c r="N1073" s="22"/>
      <c r="O1073" s="22"/>
      <c r="P1073" s="22"/>
      <c r="Q1073" s="22"/>
      <c r="R1073" s="22"/>
      <c r="S1073" s="22"/>
      <c r="T1073" s="468"/>
      <c r="U1073" s="22"/>
      <c r="V1073" s="22"/>
      <c r="W1073" s="22"/>
      <c r="X1073" s="22"/>
      <c r="Y1073" s="22"/>
      <c r="Z1073" s="465"/>
      <c r="AA1073" s="22"/>
      <c r="AB1073" s="22"/>
      <c r="AC1073" s="22"/>
      <c r="AD1073" s="22"/>
    </row>
    <row r="1074" ht="15.75" customHeight="1">
      <c r="A1074" s="22"/>
      <c r="B1074" s="22"/>
      <c r="C1074" s="22"/>
      <c r="D1074" s="22"/>
      <c r="E1074" s="22"/>
      <c r="F1074" s="22"/>
      <c r="G1074" s="22"/>
      <c r="H1074" s="22"/>
      <c r="I1074" s="22"/>
      <c r="J1074" s="22"/>
      <c r="K1074" s="22"/>
      <c r="L1074" s="468"/>
      <c r="M1074" s="468"/>
      <c r="N1074" s="22"/>
      <c r="O1074" s="22"/>
      <c r="P1074" s="22"/>
      <c r="Q1074" s="22"/>
      <c r="R1074" s="22"/>
      <c r="S1074" s="22"/>
      <c r="T1074" s="468"/>
      <c r="U1074" s="22"/>
      <c r="V1074" s="22"/>
      <c r="W1074" s="22"/>
      <c r="X1074" s="22"/>
      <c r="Y1074" s="22"/>
      <c r="Z1074" s="465"/>
      <c r="AA1074" s="22"/>
      <c r="AB1074" s="22"/>
      <c r="AC1074" s="22"/>
      <c r="AD1074" s="22"/>
    </row>
    <row r="1075" ht="15.75" customHeight="1">
      <c r="A1075" s="22"/>
      <c r="B1075" s="22"/>
      <c r="C1075" s="22"/>
      <c r="D1075" s="22"/>
      <c r="E1075" s="22"/>
      <c r="F1075" s="22"/>
      <c r="G1075" s="22"/>
      <c r="H1075" s="22"/>
      <c r="I1075" s="22"/>
      <c r="J1075" s="22"/>
      <c r="K1075" s="22"/>
      <c r="L1075" s="468"/>
      <c r="M1075" s="468"/>
      <c r="N1075" s="22"/>
      <c r="O1075" s="22"/>
      <c r="P1075" s="22"/>
      <c r="Q1075" s="22"/>
      <c r="R1075" s="22"/>
      <c r="S1075" s="22"/>
      <c r="T1075" s="468"/>
      <c r="U1075" s="22"/>
      <c r="V1075" s="22"/>
      <c r="W1075" s="22"/>
      <c r="X1075" s="22"/>
      <c r="Y1075" s="22"/>
      <c r="Z1075" s="465"/>
      <c r="AA1075" s="22"/>
      <c r="AB1075" s="22"/>
      <c r="AC1075" s="22"/>
      <c r="AD1075" s="22"/>
    </row>
    <row r="1076" ht="15.75" customHeight="1">
      <c r="A1076" s="22"/>
      <c r="B1076" s="22"/>
      <c r="C1076" s="22"/>
      <c r="D1076" s="22"/>
      <c r="E1076" s="22"/>
      <c r="F1076" s="22"/>
      <c r="G1076" s="22"/>
      <c r="H1076" s="22"/>
      <c r="I1076" s="22"/>
      <c r="J1076" s="22"/>
      <c r="K1076" s="22"/>
      <c r="L1076" s="468"/>
      <c r="M1076" s="468"/>
      <c r="N1076" s="22"/>
      <c r="O1076" s="22"/>
      <c r="P1076" s="22"/>
      <c r="Q1076" s="22"/>
      <c r="R1076" s="22"/>
      <c r="S1076" s="22"/>
      <c r="T1076" s="468"/>
      <c r="U1076" s="22"/>
      <c r="V1076" s="22"/>
      <c r="W1076" s="22"/>
      <c r="X1076" s="22"/>
      <c r="Y1076" s="22"/>
      <c r="Z1076" s="465"/>
      <c r="AA1076" s="22"/>
      <c r="AB1076" s="22"/>
      <c r="AC1076" s="22"/>
      <c r="AD1076" s="22"/>
    </row>
    <row r="1077" ht="15.75" customHeight="1">
      <c r="A1077" s="22"/>
      <c r="B1077" s="22"/>
      <c r="C1077" s="22"/>
      <c r="D1077" s="22"/>
      <c r="E1077" s="22"/>
      <c r="F1077" s="22"/>
      <c r="G1077" s="22"/>
      <c r="H1077" s="22"/>
      <c r="I1077" s="22"/>
      <c r="J1077" s="22"/>
      <c r="K1077" s="22"/>
      <c r="L1077" s="468"/>
      <c r="M1077" s="468"/>
      <c r="N1077" s="22"/>
      <c r="O1077" s="22"/>
      <c r="P1077" s="22"/>
      <c r="Q1077" s="22"/>
      <c r="R1077" s="22"/>
      <c r="S1077" s="22"/>
      <c r="T1077" s="468"/>
      <c r="U1077" s="22"/>
      <c r="V1077" s="22"/>
      <c r="W1077" s="22"/>
      <c r="X1077" s="22"/>
      <c r="Y1077" s="22"/>
      <c r="Z1077" s="465"/>
      <c r="AA1077" s="22"/>
      <c r="AB1077" s="22"/>
      <c r="AC1077" s="22"/>
      <c r="AD1077" s="22"/>
    </row>
    <row r="1078" ht="15.75" customHeight="1">
      <c r="A1078" s="22"/>
      <c r="B1078" s="22"/>
      <c r="C1078" s="22"/>
      <c r="D1078" s="22"/>
      <c r="E1078" s="22"/>
      <c r="F1078" s="22"/>
      <c r="G1078" s="22"/>
      <c r="H1078" s="22"/>
      <c r="I1078" s="22"/>
      <c r="J1078" s="22"/>
      <c r="K1078" s="22"/>
      <c r="L1078" s="468"/>
      <c r="M1078" s="468"/>
      <c r="N1078" s="22"/>
      <c r="O1078" s="22"/>
      <c r="P1078" s="22"/>
      <c r="Q1078" s="22"/>
      <c r="R1078" s="22"/>
      <c r="S1078" s="22"/>
      <c r="T1078" s="468"/>
      <c r="U1078" s="22"/>
      <c r="V1078" s="22"/>
      <c r="W1078" s="22"/>
      <c r="X1078" s="22"/>
      <c r="Y1078" s="22"/>
      <c r="Z1078" s="465"/>
      <c r="AA1078" s="22"/>
      <c r="AB1078" s="22"/>
      <c r="AC1078" s="22"/>
      <c r="AD1078" s="22"/>
    </row>
    <row r="1079" ht="15.75" customHeight="1">
      <c r="A1079" s="22"/>
      <c r="B1079" s="22"/>
      <c r="C1079" s="22"/>
      <c r="D1079" s="22"/>
      <c r="E1079" s="22"/>
      <c r="F1079" s="22"/>
      <c r="G1079" s="22"/>
      <c r="H1079" s="22"/>
      <c r="I1079" s="22"/>
      <c r="J1079" s="22"/>
      <c r="K1079" s="22"/>
      <c r="L1079" s="468"/>
      <c r="M1079" s="468"/>
      <c r="N1079" s="22"/>
      <c r="O1079" s="22"/>
      <c r="P1079" s="22"/>
      <c r="Q1079" s="22"/>
      <c r="R1079" s="22"/>
      <c r="S1079" s="22"/>
      <c r="T1079" s="468"/>
      <c r="U1079" s="22"/>
      <c r="V1079" s="22"/>
      <c r="W1079" s="22"/>
      <c r="X1079" s="22"/>
      <c r="Y1079" s="22"/>
      <c r="Z1079" s="465"/>
      <c r="AA1079" s="22"/>
      <c r="AB1079" s="22"/>
      <c r="AC1079" s="22"/>
      <c r="AD1079" s="22"/>
    </row>
    <row r="1080" ht="15.75" customHeight="1">
      <c r="A1080" s="22"/>
      <c r="B1080" s="22"/>
      <c r="C1080" s="22"/>
      <c r="D1080" s="22"/>
      <c r="E1080" s="22"/>
      <c r="F1080" s="22"/>
      <c r="G1080" s="22"/>
      <c r="H1080" s="22"/>
      <c r="I1080" s="22"/>
      <c r="J1080" s="22"/>
      <c r="K1080" s="22"/>
      <c r="L1080" s="468"/>
      <c r="M1080" s="468"/>
      <c r="N1080" s="22"/>
      <c r="O1080" s="22"/>
      <c r="P1080" s="22"/>
      <c r="Q1080" s="22"/>
      <c r="R1080" s="22"/>
      <c r="S1080" s="22"/>
      <c r="T1080" s="468"/>
      <c r="U1080" s="22"/>
      <c r="V1080" s="22"/>
      <c r="W1080" s="22"/>
      <c r="X1080" s="22"/>
      <c r="Y1080" s="22"/>
      <c r="Z1080" s="465"/>
      <c r="AA1080" s="22"/>
      <c r="AB1080" s="22"/>
      <c r="AC1080" s="22"/>
      <c r="AD1080" s="22"/>
    </row>
    <row r="1081" ht="15.75" customHeight="1">
      <c r="A1081" s="22"/>
      <c r="B1081" s="22"/>
      <c r="C1081" s="22"/>
      <c r="D1081" s="22"/>
      <c r="E1081" s="22"/>
      <c r="F1081" s="22"/>
      <c r="G1081" s="22"/>
      <c r="H1081" s="22"/>
      <c r="I1081" s="22"/>
      <c r="J1081" s="22"/>
      <c r="K1081" s="22"/>
      <c r="L1081" s="468"/>
      <c r="M1081" s="468"/>
      <c r="N1081" s="22"/>
      <c r="O1081" s="22"/>
      <c r="P1081" s="22"/>
      <c r="Q1081" s="22"/>
      <c r="R1081" s="22"/>
      <c r="S1081" s="22"/>
      <c r="T1081" s="468"/>
      <c r="U1081" s="22"/>
      <c r="V1081" s="22"/>
      <c r="W1081" s="22"/>
      <c r="X1081" s="22"/>
      <c r="Y1081" s="22"/>
      <c r="Z1081" s="465"/>
      <c r="AA1081" s="22"/>
      <c r="AB1081" s="22"/>
      <c r="AC1081" s="22"/>
      <c r="AD1081" s="22"/>
    </row>
    <row r="1082" ht="15.75" customHeight="1">
      <c r="A1082" s="22"/>
      <c r="B1082" s="22"/>
      <c r="C1082" s="22"/>
      <c r="D1082" s="22"/>
      <c r="E1082" s="22"/>
      <c r="F1082" s="22"/>
      <c r="G1082" s="22"/>
      <c r="H1082" s="22"/>
      <c r="I1082" s="22"/>
      <c r="J1082" s="22"/>
      <c r="K1082" s="22"/>
      <c r="L1082" s="468"/>
      <c r="M1082" s="468"/>
      <c r="N1082" s="22"/>
      <c r="O1082" s="22"/>
      <c r="P1082" s="22"/>
      <c r="Q1082" s="22"/>
      <c r="R1082" s="22"/>
      <c r="S1082" s="22"/>
      <c r="T1082" s="468"/>
      <c r="U1082" s="22"/>
      <c r="V1082" s="22"/>
      <c r="W1082" s="22"/>
      <c r="X1082" s="22"/>
      <c r="Y1082" s="22"/>
      <c r="Z1082" s="465"/>
      <c r="AA1082" s="22"/>
      <c r="AB1082" s="22"/>
      <c r="AC1082" s="22"/>
      <c r="AD1082" s="22"/>
    </row>
    <row r="1083" ht="15.75" customHeight="1">
      <c r="A1083" s="22"/>
      <c r="B1083" s="22"/>
      <c r="C1083" s="22"/>
      <c r="D1083" s="22"/>
      <c r="E1083" s="22"/>
      <c r="F1083" s="22"/>
      <c r="G1083" s="22"/>
      <c r="H1083" s="22"/>
      <c r="I1083" s="22"/>
      <c r="J1083" s="22"/>
      <c r="K1083" s="22"/>
      <c r="L1083" s="468"/>
      <c r="M1083" s="468"/>
      <c r="N1083" s="22"/>
      <c r="O1083" s="22"/>
      <c r="P1083" s="22"/>
      <c r="Q1083" s="22"/>
      <c r="R1083" s="22"/>
      <c r="S1083" s="22"/>
      <c r="T1083" s="468"/>
      <c r="U1083" s="22"/>
      <c r="V1083" s="22"/>
      <c r="W1083" s="22"/>
      <c r="X1083" s="22"/>
      <c r="Y1083" s="22"/>
      <c r="Z1083" s="465"/>
      <c r="AA1083" s="22"/>
      <c r="AB1083" s="22"/>
      <c r="AC1083" s="22"/>
      <c r="AD1083" s="22"/>
    </row>
    <row r="1084" ht="15.75" customHeight="1">
      <c r="A1084" s="22"/>
      <c r="B1084" s="22"/>
      <c r="C1084" s="22"/>
      <c r="D1084" s="22"/>
      <c r="E1084" s="22"/>
      <c r="F1084" s="22"/>
      <c r="G1084" s="22"/>
      <c r="H1084" s="22"/>
      <c r="I1084" s="22"/>
      <c r="J1084" s="22"/>
      <c r="K1084" s="22"/>
      <c r="L1084" s="468"/>
      <c r="M1084" s="468"/>
      <c r="N1084" s="22"/>
      <c r="O1084" s="22"/>
      <c r="P1084" s="22"/>
      <c r="Q1084" s="22"/>
      <c r="R1084" s="22"/>
      <c r="S1084" s="22"/>
      <c r="T1084" s="468"/>
      <c r="U1084" s="22"/>
      <c r="V1084" s="22"/>
      <c r="W1084" s="22"/>
      <c r="X1084" s="22"/>
      <c r="Y1084" s="22"/>
      <c r="Z1084" s="465"/>
      <c r="AA1084" s="22"/>
      <c r="AB1084" s="22"/>
      <c r="AC1084" s="22"/>
      <c r="AD1084" s="22"/>
    </row>
    <row r="1085" ht="15.75" customHeight="1">
      <c r="A1085" s="22"/>
      <c r="B1085" s="22"/>
      <c r="C1085" s="22"/>
      <c r="D1085" s="22"/>
      <c r="E1085" s="22"/>
      <c r="F1085" s="22"/>
      <c r="G1085" s="22"/>
      <c r="H1085" s="22"/>
      <c r="I1085" s="22"/>
      <c r="J1085" s="22"/>
      <c r="K1085" s="22"/>
      <c r="L1085" s="468"/>
      <c r="M1085" s="468"/>
      <c r="N1085" s="22"/>
      <c r="O1085" s="22"/>
      <c r="P1085" s="22"/>
      <c r="Q1085" s="22"/>
      <c r="R1085" s="22"/>
      <c r="S1085" s="22"/>
      <c r="T1085" s="468"/>
      <c r="U1085" s="22"/>
      <c r="V1085" s="22"/>
      <c r="W1085" s="22"/>
      <c r="X1085" s="22"/>
      <c r="Y1085" s="22"/>
      <c r="Z1085" s="465"/>
      <c r="AA1085" s="22"/>
      <c r="AB1085" s="22"/>
      <c r="AC1085" s="22"/>
      <c r="AD1085" s="22"/>
    </row>
    <row r="1086" ht="15.75" customHeight="1">
      <c r="A1086" s="22"/>
      <c r="B1086" s="22"/>
      <c r="C1086" s="22"/>
      <c r="D1086" s="22"/>
      <c r="E1086" s="22"/>
      <c r="F1086" s="22"/>
      <c r="G1086" s="22"/>
      <c r="H1086" s="22"/>
      <c r="I1086" s="22"/>
      <c r="J1086" s="22"/>
      <c r="K1086" s="22"/>
      <c r="L1086" s="468"/>
      <c r="M1086" s="468"/>
      <c r="N1086" s="22"/>
      <c r="O1086" s="22"/>
      <c r="P1086" s="22"/>
      <c r="Q1086" s="22"/>
      <c r="R1086" s="22"/>
      <c r="S1086" s="22"/>
      <c r="T1086" s="468"/>
      <c r="U1086" s="22"/>
      <c r="V1086" s="22"/>
      <c r="W1086" s="22"/>
      <c r="X1086" s="22"/>
      <c r="Y1086" s="22"/>
      <c r="Z1086" s="465"/>
      <c r="AA1086" s="22"/>
      <c r="AB1086" s="22"/>
      <c r="AC1086" s="22"/>
      <c r="AD1086" s="22"/>
    </row>
    <row r="1087" ht="15.75" customHeight="1">
      <c r="A1087" s="22"/>
      <c r="B1087" s="22"/>
      <c r="C1087" s="22"/>
      <c r="D1087" s="22"/>
      <c r="E1087" s="22"/>
      <c r="F1087" s="22"/>
      <c r="G1087" s="22"/>
      <c r="H1087" s="22"/>
      <c r="I1087" s="22"/>
      <c r="J1087" s="22"/>
      <c r="K1087" s="22"/>
      <c r="L1087" s="468"/>
      <c r="M1087" s="468"/>
      <c r="N1087" s="22"/>
      <c r="O1087" s="22"/>
      <c r="P1087" s="22"/>
      <c r="Q1087" s="22"/>
      <c r="R1087" s="22"/>
      <c r="S1087" s="22"/>
      <c r="T1087" s="468"/>
      <c r="U1087" s="22"/>
      <c r="V1087" s="22"/>
      <c r="W1087" s="22"/>
      <c r="X1087" s="22"/>
      <c r="Y1087" s="22"/>
      <c r="Z1087" s="465"/>
      <c r="AA1087" s="22"/>
      <c r="AB1087" s="22"/>
      <c r="AC1087" s="22"/>
      <c r="AD1087" s="22"/>
    </row>
    <row r="1088" ht="15.75" customHeight="1">
      <c r="A1088" s="22"/>
      <c r="B1088" s="22"/>
      <c r="C1088" s="22"/>
      <c r="D1088" s="22"/>
      <c r="E1088" s="22"/>
      <c r="F1088" s="22"/>
      <c r="G1088" s="22"/>
      <c r="H1088" s="22"/>
      <c r="I1088" s="22"/>
      <c r="J1088" s="22"/>
      <c r="K1088" s="22"/>
      <c r="L1088" s="468"/>
      <c r="M1088" s="468"/>
      <c r="N1088" s="22"/>
      <c r="O1088" s="22"/>
      <c r="P1088" s="22"/>
      <c r="Q1088" s="22"/>
      <c r="R1088" s="22"/>
      <c r="S1088" s="22"/>
      <c r="T1088" s="468"/>
      <c r="U1088" s="22"/>
      <c r="V1088" s="22"/>
      <c r="W1088" s="22"/>
      <c r="X1088" s="22"/>
      <c r="Y1088" s="22"/>
      <c r="Z1088" s="465"/>
      <c r="AA1088" s="22"/>
      <c r="AB1088" s="22"/>
      <c r="AC1088" s="22"/>
      <c r="AD1088" s="22"/>
    </row>
    <row r="1089" ht="15.75" customHeight="1">
      <c r="A1089" s="22"/>
      <c r="B1089" s="22"/>
      <c r="C1089" s="22"/>
      <c r="D1089" s="22"/>
      <c r="E1089" s="22"/>
      <c r="F1089" s="22"/>
      <c r="G1089" s="22"/>
      <c r="H1089" s="22"/>
      <c r="I1089" s="22"/>
      <c r="J1089" s="22"/>
      <c r="K1089" s="22"/>
      <c r="L1089" s="468"/>
      <c r="M1089" s="468"/>
      <c r="N1089" s="22"/>
      <c r="O1089" s="22"/>
      <c r="P1089" s="22"/>
      <c r="Q1089" s="22"/>
      <c r="R1089" s="22"/>
      <c r="S1089" s="22"/>
      <c r="T1089" s="468"/>
      <c r="U1089" s="22"/>
      <c r="V1089" s="22"/>
      <c r="W1089" s="22"/>
      <c r="X1089" s="22"/>
      <c r="Y1089" s="22"/>
      <c r="Z1089" s="465"/>
      <c r="AA1089" s="22"/>
      <c r="AB1089" s="22"/>
      <c r="AC1089" s="22"/>
      <c r="AD1089" s="22"/>
    </row>
    <row r="1090" ht="15.75" customHeight="1">
      <c r="A1090" s="22"/>
      <c r="B1090" s="22"/>
      <c r="C1090" s="22"/>
      <c r="D1090" s="22"/>
      <c r="E1090" s="22"/>
      <c r="F1090" s="22"/>
      <c r="G1090" s="22"/>
      <c r="H1090" s="22"/>
      <c r="I1090" s="22"/>
      <c r="J1090" s="22"/>
      <c r="K1090" s="22"/>
      <c r="L1090" s="468"/>
      <c r="M1090" s="468"/>
      <c r="N1090" s="22"/>
      <c r="O1090" s="22"/>
      <c r="P1090" s="22"/>
      <c r="Q1090" s="22"/>
      <c r="R1090" s="22"/>
      <c r="S1090" s="22"/>
      <c r="T1090" s="468"/>
      <c r="U1090" s="22"/>
      <c r="V1090" s="22"/>
      <c r="W1090" s="22"/>
      <c r="X1090" s="22"/>
      <c r="Y1090" s="22"/>
      <c r="Z1090" s="465"/>
      <c r="AA1090" s="22"/>
      <c r="AB1090" s="22"/>
      <c r="AC1090" s="22"/>
      <c r="AD1090" s="22"/>
    </row>
    <row r="1091" ht="15.75" customHeight="1">
      <c r="A1091" s="22"/>
      <c r="B1091" s="22"/>
      <c r="C1091" s="22"/>
      <c r="D1091" s="22"/>
      <c r="E1091" s="22"/>
      <c r="F1091" s="22"/>
      <c r="G1091" s="22"/>
      <c r="H1091" s="22"/>
      <c r="I1091" s="22"/>
      <c r="J1091" s="22"/>
      <c r="K1091" s="22"/>
      <c r="L1091" s="468"/>
      <c r="M1091" s="468"/>
      <c r="N1091" s="22"/>
      <c r="O1091" s="22"/>
      <c r="P1091" s="22"/>
      <c r="Q1091" s="22"/>
      <c r="R1091" s="22"/>
      <c r="S1091" s="22"/>
      <c r="T1091" s="468"/>
      <c r="U1091" s="22"/>
      <c r="V1091" s="22"/>
      <c r="W1091" s="22"/>
      <c r="X1091" s="22"/>
      <c r="Y1091" s="22"/>
      <c r="Z1091" s="465"/>
      <c r="AA1091" s="22"/>
      <c r="AB1091" s="22"/>
      <c r="AC1091" s="22"/>
      <c r="AD1091" s="22"/>
    </row>
    <row r="1092" ht="15.75" customHeight="1">
      <c r="A1092" s="22"/>
      <c r="B1092" s="22"/>
      <c r="C1092" s="22"/>
      <c r="D1092" s="22"/>
      <c r="E1092" s="22"/>
      <c r="F1092" s="22"/>
      <c r="G1092" s="22"/>
      <c r="H1092" s="22"/>
      <c r="I1092" s="22"/>
      <c r="J1092" s="22"/>
      <c r="K1092" s="22"/>
      <c r="L1092" s="468"/>
      <c r="M1092" s="468"/>
      <c r="N1092" s="22"/>
      <c r="O1092" s="22"/>
      <c r="P1092" s="22"/>
      <c r="Q1092" s="22"/>
      <c r="R1092" s="22"/>
      <c r="S1092" s="22"/>
      <c r="T1092" s="468"/>
      <c r="U1092" s="22"/>
      <c r="V1092" s="22"/>
      <c r="W1092" s="22"/>
      <c r="X1092" s="22"/>
      <c r="Y1092" s="22"/>
      <c r="Z1092" s="465"/>
      <c r="AA1092" s="22"/>
      <c r="AB1092" s="22"/>
      <c r="AC1092" s="22"/>
      <c r="AD1092" s="22"/>
    </row>
    <row r="1093" ht="15.75" customHeight="1">
      <c r="A1093" s="22"/>
      <c r="B1093" s="22"/>
      <c r="C1093" s="22"/>
      <c r="D1093" s="22"/>
      <c r="E1093" s="22"/>
      <c r="F1093" s="22"/>
      <c r="G1093" s="22"/>
      <c r="H1093" s="22"/>
      <c r="I1093" s="22"/>
      <c r="J1093" s="22"/>
      <c r="K1093" s="22"/>
      <c r="L1093" s="468"/>
      <c r="M1093" s="468"/>
      <c r="N1093" s="22"/>
      <c r="O1093" s="22"/>
      <c r="P1093" s="22"/>
      <c r="Q1093" s="22"/>
      <c r="R1093" s="22"/>
      <c r="S1093" s="22"/>
      <c r="T1093" s="468"/>
      <c r="U1093" s="22"/>
      <c r="V1093" s="22"/>
      <c r="W1093" s="22"/>
      <c r="X1093" s="22"/>
      <c r="Y1093" s="22"/>
      <c r="Z1093" s="465"/>
      <c r="AA1093" s="22"/>
      <c r="AB1093" s="22"/>
      <c r="AC1093" s="22"/>
      <c r="AD1093" s="22"/>
    </row>
    <row r="1094" ht="15.75" customHeight="1">
      <c r="A1094" s="22"/>
      <c r="B1094" s="22"/>
      <c r="C1094" s="22"/>
      <c r="D1094" s="22"/>
      <c r="E1094" s="22"/>
      <c r="F1094" s="22"/>
      <c r="G1094" s="22"/>
      <c r="H1094" s="22"/>
      <c r="I1094" s="22"/>
      <c r="J1094" s="22"/>
      <c r="K1094" s="22"/>
      <c r="L1094" s="468"/>
      <c r="M1094" s="468"/>
      <c r="N1094" s="22"/>
      <c r="O1094" s="22"/>
      <c r="P1094" s="22"/>
      <c r="Q1094" s="22"/>
      <c r="R1094" s="22"/>
      <c r="S1094" s="22"/>
      <c r="T1094" s="468"/>
      <c r="U1094" s="22"/>
      <c r="V1094" s="22"/>
      <c r="W1094" s="22"/>
      <c r="X1094" s="22"/>
      <c r="Y1094" s="22"/>
      <c r="Z1094" s="465"/>
      <c r="AA1094" s="22"/>
      <c r="AB1094" s="22"/>
      <c r="AC1094" s="22"/>
      <c r="AD1094" s="22"/>
    </row>
    <row r="1095" ht="15.75" customHeight="1">
      <c r="A1095" s="22"/>
      <c r="B1095" s="22"/>
      <c r="C1095" s="22"/>
      <c r="D1095" s="22"/>
      <c r="E1095" s="22"/>
      <c r="F1095" s="22"/>
      <c r="G1095" s="22"/>
      <c r="H1095" s="22"/>
      <c r="I1095" s="22"/>
      <c r="J1095" s="22"/>
      <c r="K1095" s="22"/>
      <c r="L1095" s="468"/>
      <c r="M1095" s="468"/>
      <c r="N1095" s="22"/>
      <c r="O1095" s="22"/>
      <c r="P1095" s="22"/>
      <c r="Q1095" s="22"/>
      <c r="R1095" s="22"/>
      <c r="S1095" s="22"/>
      <c r="T1095" s="468"/>
      <c r="U1095" s="22"/>
      <c r="V1095" s="22"/>
      <c r="W1095" s="22"/>
      <c r="X1095" s="22"/>
      <c r="Y1095" s="22"/>
      <c r="Z1095" s="465"/>
      <c r="AA1095" s="22"/>
      <c r="AB1095" s="22"/>
      <c r="AC1095" s="22"/>
      <c r="AD1095" s="22"/>
    </row>
  </sheetData>
  <mergeCells count="429">
    <mergeCell ref="L8:L10"/>
    <mergeCell ref="M8:M10"/>
    <mergeCell ref="N8:N10"/>
    <mergeCell ref="O8:O10"/>
    <mergeCell ref="P8:P10"/>
    <mergeCell ref="Q8:Q10"/>
    <mergeCell ref="R8:R10"/>
    <mergeCell ref="A8:A10"/>
    <mergeCell ref="B8:B10"/>
    <mergeCell ref="C8:C10"/>
    <mergeCell ref="D8:D10"/>
    <mergeCell ref="E8:E10"/>
    <mergeCell ref="F8:F10"/>
    <mergeCell ref="K8:K10"/>
    <mergeCell ref="S17:S21"/>
    <mergeCell ref="T17:T21"/>
    <mergeCell ref="L17:L21"/>
    <mergeCell ref="M17:M21"/>
    <mergeCell ref="N17:N21"/>
    <mergeCell ref="O17:O21"/>
    <mergeCell ref="P17:P21"/>
    <mergeCell ref="Q17:Q21"/>
    <mergeCell ref="R17:R21"/>
    <mergeCell ref="U17:U21"/>
    <mergeCell ref="V17:V21"/>
    <mergeCell ref="W17:W21"/>
    <mergeCell ref="A17:A21"/>
    <mergeCell ref="B17:B21"/>
    <mergeCell ref="C17:C21"/>
    <mergeCell ref="D17:D21"/>
    <mergeCell ref="E17:E21"/>
    <mergeCell ref="F17:F21"/>
    <mergeCell ref="K17:K21"/>
    <mergeCell ref="S24:S37"/>
    <mergeCell ref="T24:T37"/>
    <mergeCell ref="L24:L37"/>
    <mergeCell ref="M24:M37"/>
    <mergeCell ref="N24:N37"/>
    <mergeCell ref="O24:O37"/>
    <mergeCell ref="P24:P37"/>
    <mergeCell ref="Q24:Q37"/>
    <mergeCell ref="R24:R37"/>
    <mergeCell ref="G2:J2"/>
    <mergeCell ref="K2:Q2"/>
    <mergeCell ref="R2:T2"/>
    <mergeCell ref="U2:V2"/>
    <mergeCell ref="W2:W3"/>
    <mergeCell ref="P3:Q3"/>
    <mergeCell ref="A1:G1"/>
    <mergeCell ref="A2:A3"/>
    <mergeCell ref="B2:B3"/>
    <mergeCell ref="C2:C3"/>
    <mergeCell ref="D2:D3"/>
    <mergeCell ref="E2:E3"/>
    <mergeCell ref="F2:F3"/>
    <mergeCell ref="S5:S6"/>
    <mergeCell ref="T5:T6"/>
    <mergeCell ref="U5:U6"/>
    <mergeCell ref="V5:V6"/>
    <mergeCell ref="W5:W6"/>
    <mergeCell ref="L5:L6"/>
    <mergeCell ref="M5:M6"/>
    <mergeCell ref="N5:N6"/>
    <mergeCell ref="O5:O6"/>
    <mergeCell ref="P5:P6"/>
    <mergeCell ref="Q5:Q6"/>
    <mergeCell ref="R5:R6"/>
    <mergeCell ref="A5:A6"/>
    <mergeCell ref="B5:B6"/>
    <mergeCell ref="C5:C6"/>
    <mergeCell ref="D5:D6"/>
    <mergeCell ref="E5:E6"/>
    <mergeCell ref="F5:F6"/>
    <mergeCell ref="K5:K6"/>
    <mergeCell ref="S8:S10"/>
    <mergeCell ref="T8:T10"/>
    <mergeCell ref="U8:U10"/>
    <mergeCell ref="V8:V10"/>
    <mergeCell ref="W8:W10"/>
    <mergeCell ref="U24:U37"/>
    <mergeCell ref="V24:V37"/>
    <mergeCell ref="W24:W37"/>
    <mergeCell ref="A24:A37"/>
    <mergeCell ref="B24:B37"/>
    <mergeCell ref="C24:C37"/>
    <mergeCell ref="D24:D37"/>
    <mergeCell ref="E24:E37"/>
    <mergeCell ref="F24:F37"/>
    <mergeCell ref="K24:K37"/>
    <mergeCell ref="S53:S55"/>
    <mergeCell ref="T53:T55"/>
    <mergeCell ref="L53:L55"/>
    <mergeCell ref="M53:M55"/>
    <mergeCell ref="N53:N55"/>
    <mergeCell ref="O53:O55"/>
    <mergeCell ref="P53:P55"/>
    <mergeCell ref="Q53:Q55"/>
    <mergeCell ref="R53:R55"/>
    <mergeCell ref="S43:S44"/>
    <mergeCell ref="T43:T44"/>
    <mergeCell ref="U43:U44"/>
    <mergeCell ref="V43:V44"/>
    <mergeCell ref="W43:W44"/>
    <mergeCell ref="L43:L44"/>
    <mergeCell ref="M43:M44"/>
    <mergeCell ref="N43:N44"/>
    <mergeCell ref="O43:O44"/>
    <mergeCell ref="P43:P44"/>
    <mergeCell ref="Q43:Q44"/>
    <mergeCell ref="R43:R44"/>
    <mergeCell ref="A43:A44"/>
    <mergeCell ref="B43:B44"/>
    <mergeCell ref="C43:C44"/>
    <mergeCell ref="D43:D44"/>
    <mergeCell ref="E43:E44"/>
    <mergeCell ref="F43:F44"/>
    <mergeCell ref="K43:K44"/>
    <mergeCell ref="S50:S52"/>
    <mergeCell ref="T50:T52"/>
    <mergeCell ref="U50:U52"/>
    <mergeCell ref="V50:V52"/>
    <mergeCell ref="W50:W52"/>
    <mergeCell ref="U53:U55"/>
    <mergeCell ref="V53:V55"/>
    <mergeCell ref="W53:W55"/>
    <mergeCell ref="L50:L52"/>
    <mergeCell ref="M50:M52"/>
    <mergeCell ref="N50:N52"/>
    <mergeCell ref="O50:O52"/>
    <mergeCell ref="P50:P52"/>
    <mergeCell ref="Q50:Q52"/>
    <mergeCell ref="R50:R52"/>
    <mergeCell ref="A50:A52"/>
    <mergeCell ref="B50:B52"/>
    <mergeCell ref="C50:C52"/>
    <mergeCell ref="D50:D52"/>
    <mergeCell ref="E50:E52"/>
    <mergeCell ref="F50:F52"/>
    <mergeCell ref="K50:K52"/>
    <mergeCell ref="A53:A55"/>
    <mergeCell ref="B53:B55"/>
    <mergeCell ref="C53:C55"/>
    <mergeCell ref="D53:D55"/>
    <mergeCell ref="E53:E55"/>
    <mergeCell ref="F53:F55"/>
    <mergeCell ref="K53:K55"/>
    <mergeCell ref="H142:H145"/>
    <mergeCell ref="I142:I145"/>
    <mergeCell ref="J142:J145"/>
    <mergeCell ref="K142:K145"/>
    <mergeCell ref="L142:L145"/>
    <mergeCell ref="M142:M145"/>
    <mergeCell ref="N142:N145"/>
    <mergeCell ref="A142:A145"/>
    <mergeCell ref="B142:B145"/>
    <mergeCell ref="C142:C145"/>
    <mergeCell ref="D142:D145"/>
    <mergeCell ref="E142:E145"/>
    <mergeCell ref="F142:F145"/>
    <mergeCell ref="G142:G145"/>
    <mergeCell ref="S150:S152"/>
    <mergeCell ref="T150:T152"/>
    <mergeCell ref="L150:L152"/>
    <mergeCell ref="M150:M152"/>
    <mergeCell ref="N150:N152"/>
    <mergeCell ref="O150:O152"/>
    <mergeCell ref="P150:P152"/>
    <mergeCell ref="Q150:Q152"/>
    <mergeCell ref="R150:R152"/>
    <mergeCell ref="U150:U152"/>
    <mergeCell ref="V150:V152"/>
    <mergeCell ref="W150:W152"/>
    <mergeCell ref="A150:A152"/>
    <mergeCell ref="B150:B152"/>
    <mergeCell ref="C150:C152"/>
    <mergeCell ref="D150:D152"/>
    <mergeCell ref="E150:E152"/>
    <mergeCell ref="F150:F152"/>
    <mergeCell ref="K150:K152"/>
    <mergeCell ref="B163:D163"/>
    <mergeCell ref="B165:B182"/>
    <mergeCell ref="B183:B206"/>
    <mergeCell ref="B207:H207"/>
    <mergeCell ref="B208:H208"/>
    <mergeCell ref="K208:L208"/>
    <mergeCell ref="B209:H209"/>
    <mergeCell ref="B210:D210"/>
    <mergeCell ref="E210:H210"/>
    <mergeCell ref="B211:H211"/>
    <mergeCell ref="B212:H212"/>
    <mergeCell ref="B213:H213"/>
    <mergeCell ref="B214:H214"/>
    <mergeCell ref="B215:H215"/>
    <mergeCell ref="L224:L226"/>
    <mergeCell ref="M224:M226"/>
    <mergeCell ref="N224:N226"/>
    <mergeCell ref="A217:D217"/>
    <mergeCell ref="B224:B226"/>
    <mergeCell ref="C224:C226"/>
    <mergeCell ref="D224:D226"/>
    <mergeCell ref="E224:E226"/>
    <mergeCell ref="F224:F226"/>
    <mergeCell ref="G224:G226"/>
    <mergeCell ref="B227:J227"/>
    <mergeCell ref="S122:S123"/>
    <mergeCell ref="T122:T123"/>
    <mergeCell ref="L122:L123"/>
    <mergeCell ref="M122:M123"/>
    <mergeCell ref="N122:N123"/>
    <mergeCell ref="O122:O123"/>
    <mergeCell ref="P122:P123"/>
    <mergeCell ref="Q122:Q123"/>
    <mergeCell ref="R122:R123"/>
    <mergeCell ref="S135:S137"/>
    <mergeCell ref="T135:T137"/>
    <mergeCell ref="U135:U137"/>
    <mergeCell ref="V135:V137"/>
    <mergeCell ref="W135:W137"/>
    <mergeCell ref="X135:X137"/>
    <mergeCell ref="L135:L137"/>
    <mergeCell ref="M135:M137"/>
    <mergeCell ref="N135:N137"/>
    <mergeCell ref="O135:O137"/>
    <mergeCell ref="P135:P137"/>
    <mergeCell ref="Q135:Q137"/>
    <mergeCell ref="R135:R137"/>
    <mergeCell ref="A135:A137"/>
    <mergeCell ref="B135:B137"/>
    <mergeCell ref="C135:C137"/>
    <mergeCell ref="D135:D137"/>
    <mergeCell ref="E135:E137"/>
    <mergeCell ref="F135:F137"/>
    <mergeCell ref="K135:K137"/>
    <mergeCell ref="O142:O145"/>
    <mergeCell ref="P142:P145"/>
    <mergeCell ref="Q142:Q145"/>
    <mergeCell ref="R142:R145"/>
    <mergeCell ref="S142:S145"/>
    <mergeCell ref="T142:T145"/>
    <mergeCell ref="W142:W145"/>
    <mergeCell ref="B156:I156"/>
    <mergeCell ref="B157:I157"/>
    <mergeCell ref="B158:I158"/>
    <mergeCell ref="B159:I159"/>
    <mergeCell ref="B160:I160"/>
    <mergeCell ref="E163:J163"/>
    <mergeCell ref="O163:U163"/>
    <mergeCell ref="S70:S71"/>
    <mergeCell ref="T70:T71"/>
    <mergeCell ref="L70:L71"/>
    <mergeCell ref="M70:M71"/>
    <mergeCell ref="N70:N71"/>
    <mergeCell ref="O70:O71"/>
    <mergeCell ref="P70:P71"/>
    <mergeCell ref="Q70:Q71"/>
    <mergeCell ref="R70:R71"/>
    <mergeCell ref="U70:U71"/>
    <mergeCell ref="V70:V71"/>
    <mergeCell ref="W70:W71"/>
    <mergeCell ref="A70:A71"/>
    <mergeCell ref="B70:B71"/>
    <mergeCell ref="C70:C71"/>
    <mergeCell ref="D70:D71"/>
    <mergeCell ref="E70:E71"/>
    <mergeCell ref="F70:F71"/>
    <mergeCell ref="K70:K71"/>
    <mergeCell ref="S63:S65"/>
    <mergeCell ref="T63:T65"/>
    <mergeCell ref="U63:U65"/>
    <mergeCell ref="V63:V65"/>
    <mergeCell ref="W63:W64"/>
    <mergeCell ref="X63:X64"/>
    <mergeCell ref="L63:L64"/>
    <mergeCell ref="M63:M64"/>
    <mergeCell ref="N63:N65"/>
    <mergeCell ref="O63:O65"/>
    <mergeCell ref="P63:P65"/>
    <mergeCell ref="Q63:Q65"/>
    <mergeCell ref="R63:R65"/>
    <mergeCell ref="A63:A65"/>
    <mergeCell ref="B63:B65"/>
    <mergeCell ref="C63:C65"/>
    <mergeCell ref="D63:D65"/>
    <mergeCell ref="E63:E65"/>
    <mergeCell ref="F63:F65"/>
    <mergeCell ref="K63:K64"/>
    <mergeCell ref="S66:S67"/>
    <mergeCell ref="T66:T67"/>
    <mergeCell ref="U66:U67"/>
    <mergeCell ref="V66:V67"/>
    <mergeCell ref="W66:W67"/>
    <mergeCell ref="L66:L67"/>
    <mergeCell ref="M66:M67"/>
    <mergeCell ref="N66:N67"/>
    <mergeCell ref="O66:O67"/>
    <mergeCell ref="P66:P67"/>
    <mergeCell ref="Q66:Q67"/>
    <mergeCell ref="R66:R67"/>
    <mergeCell ref="A66:A67"/>
    <mergeCell ref="B66:B67"/>
    <mergeCell ref="C66:C67"/>
    <mergeCell ref="D66:D67"/>
    <mergeCell ref="E66:E67"/>
    <mergeCell ref="F66:F67"/>
    <mergeCell ref="K66:K67"/>
    <mergeCell ref="U74:U75"/>
    <mergeCell ref="V74:V75"/>
    <mergeCell ref="W74:W75"/>
    <mergeCell ref="A74:A75"/>
    <mergeCell ref="B74:B75"/>
    <mergeCell ref="C74:C75"/>
    <mergeCell ref="D74:D75"/>
    <mergeCell ref="E74:E75"/>
    <mergeCell ref="F74:F75"/>
    <mergeCell ref="K74:K75"/>
    <mergeCell ref="L84:L85"/>
    <mergeCell ref="M84:M85"/>
    <mergeCell ref="N84:N85"/>
    <mergeCell ref="O84:O85"/>
    <mergeCell ref="P84:P85"/>
    <mergeCell ref="Q84:Q85"/>
    <mergeCell ref="R84:R85"/>
    <mergeCell ref="A84:A85"/>
    <mergeCell ref="B84:B85"/>
    <mergeCell ref="C84:C85"/>
    <mergeCell ref="D84:D85"/>
    <mergeCell ref="E84:E85"/>
    <mergeCell ref="F84:F85"/>
    <mergeCell ref="K84:K85"/>
    <mergeCell ref="S94:S102"/>
    <mergeCell ref="T94:T102"/>
    <mergeCell ref="L94:L102"/>
    <mergeCell ref="M94:M102"/>
    <mergeCell ref="N94:N102"/>
    <mergeCell ref="O94:O102"/>
    <mergeCell ref="P94:P102"/>
    <mergeCell ref="Q94:Q102"/>
    <mergeCell ref="R94:R102"/>
    <mergeCell ref="S74:S75"/>
    <mergeCell ref="T74:T75"/>
    <mergeCell ref="U94:U102"/>
    <mergeCell ref="V94:V102"/>
    <mergeCell ref="W94:W102"/>
    <mergeCell ref="L74:L75"/>
    <mergeCell ref="M74:M75"/>
    <mergeCell ref="N74:N75"/>
    <mergeCell ref="O74:O75"/>
    <mergeCell ref="P74:P75"/>
    <mergeCell ref="Q74:Q75"/>
    <mergeCell ref="R74:R75"/>
    <mergeCell ref="S76:S82"/>
    <mergeCell ref="T76:T82"/>
    <mergeCell ref="U76:U82"/>
    <mergeCell ref="V76:V82"/>
    <mergeCell ref="W76:W82"/>
    <mergeCell ref="L76:L82"/>
    <mergeCell ref="M76:M82"/>
    <mergeCell ref="N76:N82"/>
    <mergeCell ref="O76:O82"/>
    <mergeCell ref="P76:P82"/>
    <mergeCell ref="Q76:Q82"/>
    <mergeCell ref="R76:R82"/>
    <mergeCell ref="A76:A82"/>
    <mergeCell ref="B76:B82"/>
    <mergeCell ref="C76:C82"/>
    <mergeCell ref="D76:D82"/>
    <mergeCell ref="E76:E82"/>
    <mergeCell ref="F76:F82"/>
    <mergeCell ref="K76:K82"/>
    <mergeCell ref="S84:S85"/>
    <mergeCell ref="T84:T85"/>
    <mergeCell ref="U84:U85"/>
    <mergeCell ref="V84:V85"/>
    <mergeCell ref="W84:W85"/>
    <mergeCell ref="A94:A102"/>
    <mergeCell ref="B94:B102"/>
    <mergeCell ref="C94:C102"/>
    <mergeCell ref="D94:D102"/>
    <mergeCell ref="E94:E102"/>
    <mergeCell ref="F94:F102"/>
    <mergeCell ref="K94:K102"/>
    <mergeCell ref="S115:S116"/>
    <mergeCell ref="T115:T116"/>
    <mergeCell ref="U115:U116"/>
    <mergeCell ref="V115:V116"/>
    <mergeCell ref="W115:W116"/>
    <mergeCell ref="L115:L116"/>
    <mergeCell ref="M115:M116"/>
    <mergeCell ref="N115:N116"/>
    <mergeCell ref="O115:O116"/>
    <mergeCell ref="P115:P116"/>
    <mergeCell ref="Q115:Q116"/>
    <mergeCell ref="R115:R116"/>
    <mergeCell ref="A115:A116"/>
    <mergeCell ref="B115:B116"/>
    <mergeCell ref="C115:C116"/>
    <mergeCell ref="D115:D116"/>
    <mergeCell ref="E115:E116"/>
    <mergeCell ref="F115:F116"/>
    <mergeCell ref="K115:K116"/>
    <mergeCell ref="S120:S121"/>
    <mergeCell ref="T120:T121"/>
    <mergeCell ref="U120:U121"/>
    <mergeCell ref="V120:V121"/>
    <mergeCell ref="W120:W121"/>
    <mergeCell ref="U122:U123"/>
    <mergeCell ref="V122:V123"/>
    <mergeCell ref="W122:W123"/>
    <mergeCell ref="L120:L121"/>
    <mergeCell ref="M120:M121"/>
    <mergeCell ref="N120:N121"/>
    <mergeCell ref="O120:O121"/>
    <mergeCell ref="P120:P121"/>
    <mergeCell ref="Q120:Q121"/>
    <mergeCell ref="R120:R121"/>
    <mergeCell ref="A120:A121"/>
    <mergeCell ref="B120:B121"/>
    <mergeCell ref="C120:C121"/>
    <mergeCell ref="D120:D121"/>
    <mergeCell ref="E120:E121"/>
    <mergeCell ref="F120:F121"/>
    <mergeCell ref="K120:K121"/>
    <mergeCell ref="A122:A123"/>
    <mergeCell ref="B122:B123"/>
    <mergeCell ref="C122:C123"/>
    <mergeCell ref="D122:D123"/>
    <mergeCell ref="E122:E123"/>
    <mergeCell ref="F122:F123"/>
    <mergeCell ref="K122:K123"/>
  </mergeCells>
  <dataValidations>
    <dataValidation type="list" allowBlank="1" showErrorMessage="1" sqref="S4:S5 S7:S8 S11:S17 S22:S24 S38:S43 S45:S50 S53 S56:S63 S66 S68:S70 S72:S74 S76 S83:S84 S86:S94 S103:S115 S117:S120 S122 S124:S135 S138:S142 S146:S150 S153:S155">
      <formula1>"Cty trả ship"</formula1>
    </dataValidation>
    <dataValidation type="list" allowBlank="1" showErrorMessage="1" sqref="Q4:Q5 Q7:Q8 Q11:Q17 Q22:Q24 Q38:Q43 Q45:Q50 Q53 Q56:Q63 Q66 Q68:Q70 Q72:Q74 Q76 Q83:Q84 Q86:Q94 Q103:Q115 Q117:Q120 Q122 Q124:Q135 Q138:Q142 Q146:Q150 Q153:Q155">
      <formula1>"Đã thu"</formula1>
    </dataValidation>
    <dataValidation type="list" allowBlank="1" showErrorMessage="1" sqref="P4:P5 P7:P8 P11:P17 P22:P24 P38:P43 P45:P50 P53 P56:P63 P66 P68:P70 P72:P74 P76 P83:P84 P86:P94 P103:P115 P117:P120 P122 P124:P135 P138:P142 P146:P150 P153:P155">
      <formula1>"Đã giao"</formula1>
    </dataValidation>
  </dataValidation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4.0" ySplit="3.0" topLeftCell="E4" activePane="bottomRight" state="frozen"/>
      <selection activeCell="E1" sqref="E1" pane="topRight"/>
      <selection activeCell="A4" sqref="A4" pane="bottomLeft"/>
      <selection activeCell="E4" sqref="E4" pane="bottomRight"/>
    </sheetView>
  </sheetViews>
  <sheetFormatPr customHeight="1" defaultColWidth="12.63" defaultRowHeight="15.0"/>
  <cols>
    <col customWidth="1" min="1" max="1" width="8.75"/>
    <col customWidth="1" min="2" max="2" width="14.75"/>
    <col customWidth="1" min="3" max="3" width="22.63"/>
    <col customWidth="1" min="4" max="4" width="30.63"/>
    <col customWidth="1" min="5" max="5" width="19.13"/>
    <col customWidth="1" min="6" max="6" width="55.38"/>
    <col customWidth="1" min="7" max="7" width="20.38"/>
    <col customWidth="1" min="8" max="8" width="15.13"/>
    <col customWidth="1" min="9" max="9" width="17.38"/>
    <col customWidth="1" min="10" max="10" width="16.88"/>
    <col customWidth="1" min="11" max="11" width="16.13"/>
    <col customWidth="1" min="12" max="13" width="18.75"/>
    <col customWidth="1" min="14" max="14" width="17.63"/>
    <col customWidth="1" min="15" max="15" width="20.38"/>
    <col customWidth="1" min="16" max="16" width="19.38"/>
    <col customWidth="1" min="17" max="17" width="19.13"/>
    <col customWidth="1" min="18" max="18" width="17.88"/>
    <col customWidth="1" min="19" max="19" width="17.25"/>
    <col customWidth="1" min="20" max="20" width="28.13"/>
    <col customWidth="1" min="21" max="21" width="20.38"/>
    <col customWidth="1" min="22" max="22" width="15.63"/>
    <col customWidth="1" min="23" max="23" width="35.63"/>
    <col customWidth="1" min="24" max="24" width="8.63"/>
    <col customWidth="1" min="25" max="25" width="21.13"/>
    <col customWidth="1" min="26" max="26" width="16.63"/>
    <col customWidth="1" min="27" max="30" width="12.63"/>
  </cols>
  <sheetData>
    <row r="1" ht="39.0" customHeight="1">
      <c r="A1" s="554"/>
      <c r="B1" s="2"/>
      <c r="C1" s="2"/>
      <c r="D1" s="2"/>
      <c r="E1" s="2"/>
      <c r="F1" s="2"/>
      <c r="G1" s="3"/>
      <c r="H1" s="404"/>
      <c r="I1" s="404"/>
      <c r="J1" s="404"/>
      <c r="K1" s="404"/>
      <c r="L1" s="404"/>
      <c r="M1" s="404"/>
      <c r="N1" s="404"/>
      <c r="O1" s="404"/>
      <c r="P1" s="404"/>
      <c r="Q1" s="404"/>
      <c r="R1" s="404"/>
      <c r="S1" s="404"/>
      <c r="T1" s="404"/>
      <c r="U1" s="404"/>
      <c r="V1" s="404"/>
      <c r="W1" s="404"/>
      <c r="X1" s="6"/>
      <c r="Y1" s="6"/>
      <c r="Z1" s="7"/>
      <c r="AA1" s="555"/>
      <c r="AB1" s="555"/>
      <c r="AC1" s="555"/>
      <c r="AD1" s="556"/>
    </row>
    <row r="2" ht="40.5" customHeight="1">
      <c r="A2" s="10" t="s">
        <v>1</v>
      </c>
      <c r="B2" s="11" t="s">
        <v>2</v>
      </c>
      <c r="C2" s="12" t="s">
        <v>3</v>
      </c>
      <c r="D2" s="13" t="s">
        <v>4</v>
      </c>
      <c r="E2" s="14" t="s">
        <v>5</v>
      </c>
      <c r="F2" s="557" t="s">
        <v>665</v>
      </c>
      <c r="G2" s="15" t="s">
        <v>7</v>
      </c>
      <c r="H2" s="16"/>
      <c r="I2" s="16"/>
      <c r="J2" s="17"/>
      <c r="K2" s="18" t="s">
        <v>8</v>
      </c>
      <c r="L2" s="16"/>
      <c r="M2" s="16"/>
      <c r="N2" s="16"/>
      <c r="O2" s="16"/>
      <c r="P2" s="16"/>
      <c r="Q2" s="17"/>
      <c r="R2" s="19" t="s">
        <v>9</v>
      </c>
      <c r="S2" s="16"/>
      <c r="T2" s="17"/>
      <c r="U2" s="20" t="s">
        <v>10</v>
      </c>
      <c r="V2" s="17"/>
      <c r="W2" s="21" t="s">
        <v>11</v>
      </c>
      <c r="X2" s="106"/>
      <c r="Y2" s="23"/>
      <c r="Z2" s="24"/>
      <c r="AA2" s="107"/>
      <c r="AB2" s="107"/>
      <c r="AC2" s="107"/>
      <c r="AD2" s="106"/>
    </row>
    <row r="3" ht="46.5" customHeight="1">
      <c r="A3" s="26"/>
      <c r="B3" s="26"/>
      <c r="C3" s="26"/>
      <c r="D3" s="26"/>
      <c r="E3" s="26"/>
      <c r="F3" s="26"/>
      <c r="G3" s="27" t="s">
        <v>12</v>
      </c>
      <c r="H3" s="27" t="s">
        <v>13</v>
      </c>
      <c r="I3" s="28" t="s">
        <v>14</v>
      </c>
      <c r="J3" s="29" t="s">
        <v>15</v>
      </c>
      <c r="K3" s="30" t="s">
        <v>16</v>
      </c>
      <c r="L3" s="31" t="s">
        <v>17</v>
      </c>
      <c r="M3" s="32" t="s">
        <v>18</v>
      </c>
      <c r="N3" s="33" t="s">
        <v>19</v>
      </c>
      <c r="O3" s="34" t="s">
        <v>20</v>
      </c>
      <c r="P3" s="558" t="s">
        <v>21</v>
      </c>
      <c r="Q3" s="408"/>
      <c r="R3" s="36" t="s">
        <v>22</v>
      </c>
      <c r="S3" s="37" t="s">
        <v>23</v>
      </c>
      <c r="T3" s="37" t="s">
        <v>666</v>
      </c>
      <c r="U3" s="38" t="s">
        <v>25</v>
      </c>
      <c r="V3" s="38" t="s">
        <v>26</v>
      </c>
      <c r="W3" s="26"/>
      <c r="X3" s="106"/>
      <c r="Y3" s="23"/>
      <c r="Z3" s="24"/>
      <c r="AA3" s="107"/>
      <c r="AB3" s="107"/>
      <c r="AC3" s="107"/>
      <c r="AD3" s="106"/>
    </row>
    <row r="4" ht="30.0" customHeight="1">
      <c r="A4" s="39">
        <v>1.0</v>
      </c>
      <c r="B4" s="40">
        <v>45195.0</v>
      </c>
      <c r="C4" s="41">
        <v>1.697228986182E12</v>
      </c>
      <c r="D4" s="559" t="s">
        <v>667</v>
      </c>
      <c r="E4" s="43" t="s">
        <v>668</v>
      </c>
      <c r="F4" s="44" t="s">
        <v>669</v>
      </c>
      <c r="G4" s="45" t="s">
        <v>75</v>
      </c>
      <c r="H4" s="46">
        <v>1.0</v>
      </c>
      <c r="I4" s="47">
        <f t="shared" ref="I4:I44" si="1">VLOOKUP(G4,$Y$4:$Z$50,2,0)</f>
        <v>45000</v>
      </c>
      <c r="J4" s="48">
        <f t="shared" ref="J4:J44" si="2">I4*H4</f>
        <v>45000</v>
      </c>
      <c r="K4" s="49">
        <f>sum(J4:J6)</f>
        <v>135000</v>
      </c>
      <c r="L4" s="560"/>
      <c r="M4" s="561"/>
      <c r="N4" s="562"/>
      <c r="O4" s="53">
        <f>K4+L4-M4-N4</f>
        <v>135000</v>
      </c>
      <c r="P4" s="99" t="s">
        <v>449</v>
      </c>
      <c r="Q4" s="99" t="s">
        <v>31</v>
      </c>
      <c r="R4" s="563"/>
      <c r="S4" s="119"/>
      <c r="T4" s="57" t="s">
        <v>33</v>
      </c>
      <c r="U4" s="59"/>
      <c r="V4" s="59"/>
      <c r="W4" s="564"/>
      <c r="X4" s="106"/>
      <c r="Y4" s="60" t="s">
        <v>34</v>
      </c>
      <c r="Z4" s="61">
        <v>65000.0</v>
      </c>
      <c r="AA4" s="107"/>
      <c r="AB4" s="107"/>
      <c r="AC4" s="107"/>
      <c r="AD4" s="106"/>
    </row>
    <row r="5" ht="30.0" customHeight="1">
      <c r="A5" s="62"/>
      <c r="B5" s="62"/>
      <c r="C5" s="62"/>
      <c r="D5" s="62"/>
      <c r="E5" s="62"/>
      <c r="F5" s="62"/>
      <c r="G5" s="63" t="s">
        <v>456</v>
      </c>
      <c r="H5" s="64">
        <v>1.0</v>
      </c>
      <c r="I5" s="47">
        <f t="shared" si="1"/>
        <v>45000</v>
      </c>
      <c r="J5" s="48">
        <f t="shared" si="2"/>
        <v>45000</v>
      </c>
      <c r="K5" s="62"/>
      <c r="L5" s="62"/>
      <c r="M5" s="62"/>
      <c r="N5" s="62"/>
      <c r="O5" s="62"/>
      <c r="P5" s="62"/>
      <c r="Q5" s="62"/>
      <c r="R5" s="62"/>
      <c r="S5" s="62"/>
      <c r="T5" s="62"/>
      <c r="U5" s="62"/>
      <c r="V5" s="62"/>
      <c r="W5" s="62"/>
      <c r="X5" s="106"/>
      <c r="Y5" s="65" t="s">
        <v>36</v>
      </c>
      <c r="Z5" s="66">
        <v>180000.0</v>
      </c>
      <c r="AA5" s="107"/>
      <c r="AB5" s="107"/>
      <c r="AC5" s="107"/>
      <c r="AD5" s="106"/>
    </row>
    <row r="6" ht="30.0" customHeight="1">
      <c r="A6" s="67"/>
      <c r="B6" s="67"/>
      <c r="C6" s="67"/>
      <c r="D6" s="67"/>
      <c r="E6" s="67"/>
      <c r="F6" s="67"/>
      <c r="G6" s="68" t="s">
        <v>457</v>
      </c>
      <c r="H6" s="69">
        <v>1.0</v>
      </c>
      <c r="I6" s="47">
        <f t="shared" si="1"/>
        <v>45000</v>
      </c>
      <c r="J6" s="48">
        <f t="shared" si="2"/>
        <v>45000</v>
      </c>
      <c r="K6" s="67"/>
      <c r="L6" s="67"/>
      <c r="M6" s="67"/>
      <c r="N6" s="67"/>
      <c r="O6" s="67"/>
      <c r="P6" s="67"/>
      <c r="Q6" s="67"/>
      <c r="R6" s="67"/>
      <c r="S6" s="67"/>
      <c r="T6" s="67"/>
      <c r="U6" s="67"/>
      <c r="V6" s="67"/>
      <c r="W6" s="67"/>
      <c r="X6" s="106"/>
      <c r="Y6" s="65" t="s">
        <v>38</v>
      </c>
      <c r="Z6" s="66">
        <v>160000.0</v>
      </c>
      <c r="AA6" s="107"/>
      <c r="AB6" s="107"/>
      <c r="AC6" s="107"/>
      <c r="AD6" s="106"/>
    </row>
    <row r="7" ht="30.0" customHeight="1">
      <c r="A7" s="69">
        <v>2.0</v>
      </c>
      <c r="B7" s="413">
        <v>45195.0</v>
      </c>
      <c r="C7" s="69" t="s">
        <v>670</v>
      </c>
      <c r="D7" s="68" t="s">
        <v>50</v>
      </c>
      <c r="E7" s="71" t="s">
        <v>671</v>
      </c>
      <c r="F7" s="68" t="s">
        <v>613</v>
      </c>
      <c r="G7" s="68" t="s">
        <v>30</v>
      </c>
      <c r="H7" s="69">
        <v>1.0</v>
      </c>
      <c r="I7" s="47">
        <f t="shared" si="1"/>
        <v>220000</v>
      </c>
      <c r="J7" s="48">
        <f t="shared" si="2"/>
        <v>220000</v>
      </c>
      <c r="K7" s="76">
        <f t="shared" ref="K7:K36" si="3">SUM(J7)</f>
        <v>220000</v>
      </c>
      <c r="L7" s="77"/>
      <c r="M7" s="78">
        <f>30140</f>
        <v>30140</v>
      </c>
      <c r="N7" s="136"/>
      <c r="O7" s="80">
        <f t="shared" ref="O7:O37" si="4">K7+L7-M7-N7</f>
        <v>189860</v>
      </c>
      <c r="P7" s="81" t="s">
        <v>449</v>
      </c>
      <c r="Q7" s="81" t="s">
        <v>31</v>
      </c>
      <c r="R7" s="90"/>
      <c r="S7" s="91"/>
      <c r="T7" s="84" t="s">
        <v>33</v>
      </c>
      <c r="U7" s="85"/>
      <c r="V7" s="414"/>
      <c r="W7" s="565" t="s">
        <v>53</v>
      </c>
      <c r="X7" s="106"/>
      <c r="Y7" s="65" t="s">
        <v>43</v>
      </c>
      <c r="Z7" s="87">
        <v>65000.0</v>
      </c>
      <c r="AA7" s="107"/>
      <c r="AB7" s="107"/>
      <c r="AC7" s="107"/>
      <c r="AD7" s="106"/>
    </row>
    <row r="8" ht="30.0" customHeight="1">
      <c r="A8" s="69">
        <v>3.0</v>
      </c>
      <c r="B8" s="413">
        <v>45195.0</v>
      </c>
      <c r="C8" s="69" t="s">
        <v>672</v>
      </c>
      <c r="D8" s="68" t="s">
        <v>50</v>
      </c>
      <c r="E8" s="71" t="s">
        <v>673</v>
      </c>
      <c r="F8" s="68" t="s">
        <v>119</v>
      </c>
      <c r="G8" s="68" t="s">
        <v>30</v>
      </c>
      <c r="H8" s="69">
        <v>2.0</v>
      </c>
      <c r="I8" s="47">
        <f t="shared" si="1"/>
        <v>220000</v>
      </c>
      <c r="J8" s="48">
        <f t="shared" si="2"/>
        <v>440000</v>
      </c>
      <c r="K8" s="76">
        <f t="shared" si="3"/>
        <v>440000</v>
      </c>
      <c r="L8" s="77"/>
      <c r="M8" s="78">
        <f>21310</f>
        <v>21310</v>
      </c>
      <c r="N8" s="136"/>
      <c r="O8" s="80">
        <f t="shared" si="4"/>
        <v>418690</v>
      </c>
      <c r="P8" s="81" t="s">
        <v>449</v>
      </c>
      <c r="Q8" s="81" t="s">
        <v>31</v>
      </c>
      <c r="R8" s="90"/>
      <c r="S8" s="91"/>
      <c r="T8" s="84" t="s">
        <v>33</v>
      </c>
      <c r="U8" s="85"/>
      <c r="V8" s="414"/>
      <c r="W8" s="565" t="s">
        <v>53</v>
      </c>
      <c r="X8" s="106"/>
      <c r="Y8" s="65" t="s">
        <v>48</v>
      </c>
      <c r="Z8" s="66">
        <v>55000.0</v>
      </c>
      <c r="AA8" s="107"/>
      <c r="AB8" s="107"/>
      <c r="AC8" s="107"/>
      <c r="AD8" s="106"/>
    </row>
    <row r="9" ht="30.0" customHeight="1">
      <c r="A9" s="69">
        <v>4.0</v>
      </c>
      <c r="B9" s="413">
        <v>45195.0</v>
      </c>
      <c r="C9" s="69" t="s">
        <v>674</v>
      </c>
      <c r="D9" s="68" t="s">
        <v>50</v>
      </c>
      <c r="E9" s="71" t="s">
        <v>675</v>
      </c>
      <c r="F9" s="68" t="s">
        <v>613</v>
      </c>
      <c r="G9" s="68" t="s">
        <v>30</v>
      </c>
      <c r="H9" s="69">
        <v>1.0</v>
      </c>
      <c r="I9" s="47">
        <f t="shared" si="1"/>
        <v>220000</v>
      </c>
      <c r="J9" s="48">
        <f t="shared" si="2"/>
        <v>220000</v>
      </c>
      <c r="K9" s="76">
        <f t="shared" si="3"/>
        <v>220000</v>
      </c>
      <c r="L9" s="138"/>
      <c r="M9" s="78">
        <f>10100</f>
        <v>10100</v>
      </c>
      <c r="N9" s="136"/>
      <c r="O9" s="80">
        <f t="shared" si="4"/>
        <v>209900</v>
      </c>
      <c r="P9" s="81" t="s">
        <v>449</v>
      </c>
      <c r="Q9" s="81" t="s">
        <v>31</v>
      </c>
      <c r="R9" s="134"/>
      <c r="S9" s="91"/>
      <c r="T9" s="84" t="s">
        <v>33</v>
      </c>
      <c r="U9" s="419"/>
      <c r="V9" s="419"/>
      <c r="W9" s="565" t="s">
        <v>53</v>
      </c>
      <c r="X9" s="106"/>
      <c r="Y9" s="93" t="s">
        <v>54</v>
      </c>
      <c r="Z9" s="87">
        <v>40000.0</v>
      </c>
      <c r="AA9" s="107"/>
      <c r="AB9" s="107"/>
      <c r="AC9" s="107"/>
      <c r="AD9" s="106"/>
    </row>
    <row r="10" ht="30.0" customHeight="1">
      <c r="A10" s="69">
        <v>5.0</v>
      </c>
      <c r="B10" s="413">
        <v>45195.0</v>
      </c>
      <c r="C10" s="69" t="s">
        <v>676</v>
      </c>
      <c r="D10" s="68" t="s">
        <v>50</v>
      </c>
      <c r="E10" s="71" t="s">
        <v>677</v>
      </c>
      <c r="F10" s="88" t="s">
        <v>193</v>
      </c>
      <c r="G10" s="68" t="s">
        <v>30</v>
      </c>
      <c r="H10" s="69">
        <v>2.0</v>
      </c>
      <c r="I10" s="47">
        <f t="shared" si="1"/>
        <v>220000</v>
      </c>
      <c r="J10" s="48">
        <f t="shared" si="2"/>
        <v>440000</v>
      </c>
      <c r="K10" s="76">
        <f t="shared" si="3"/>
        <v>440000</v>
      </c>
      <c r="L10" s="138"/>
      <c r="M10" s="78">
        <f>21310</f>
        <v>21310</v>
      </c>
      <c r="N10" s="136"/>
      <c r="O10" s="80">
        <f t="shared" si="4"/>
        <v>418690</v>
      </c>
      <c r="P10" s="81" t="s">
        <v>449</v>
      </c>
      <c r="Q10" s="81" t="s">
        <v>31</v>
      </c>
      <c r="R10" s="134"/>
      <c r="S10" s="91"/>
      <c r="T10" s="84" t="s">
        <v>33</v>
      </c>
      <c r="U10" s="419"/>
      <c r="V10" s="419"/>
      <c r="W10" s="565" t="s">
        <v>53</v>
      </c>
      <c r="X10" s="106"/>
      <c r="Y10" s="93" t="s">
        <v>62</v>
      </c>
      <c r="Z10" s="87">
        <v>55000.0</v>
      </c>
      <c r="AA10" s="107"/>
      <c r="AB10" s="107"/>
      <c r="AC10" s="107"/>
      <c r="AD10" s="106"/>
    </row>
    <row r="11" ht="30.0" customHeight="1">
      <c r="A11" s="69">
        <v>6.0</v>
      </c>
      <c r="B11" s="413">
        <v>45195.0</v>
      </c>
      <c r="C11" s="93" t="s">
        <v>678</v>
      </c>
      <c r="D11" s="68" t="s">
        <v>50</v>
      </c>
      <c r="E11" s="105" t="s">
        <v>469</v>
      </c>
      <c r="F11" s="92" t="s">
        <v>70</v>
      </c>
      <c r="G11" s="68" t="s">
        <v>30</v>
      </c>
      <c r="H11" s="69">
        <v>1.0</v>
      </c>
      <c r="I11" s="47">
        <f t="shared" si="1"/>
        <v>220000</v>
      </c>
      <c r="J11" s="48">
        <f t="shared" si="2"/>
        <v>220000</v>
      </c>
      <c r="K11" s="76">
        <f t="shared" si="3"/>
        <v>220000</v>
      </c>
      <c r="L11" s="122"/>
      <c r="M11" s="78">
        <f>11027</f>
        <v>11027</v>
      </c>
      <c r="N11" s="136"/>
      <c r="O11" s="80">
        <f t="shared" si="4"/>
        <v>208973</v>
      </c>
      <c r="P11" s="81" t="s">
        <v>449</v>
      </c>
      <c r="Q11" s="81" t="s">
        <v>31</v>
      </c>
      <c r="R11" s="122"/>
      <c r="S11" s="91"/>
      <c r="T11" s="84" t="s">
        <v>33</v>
      </c>
      <c r="U11" s="122"/>
      <c r="V11" s="122"/>
      <c r="W11" s="565" t="s">
        <v>53</v>
      </c>
      <c r="X11" s="106"/>
      <c r="Y11" s="65" t="s">
        <v>679</v>
      </c>
      <c r="Z11" s="66">
        <v>110000.0</v>
      </c>
      <c r="AA11" s="107"/>
      <c r="AB11" s="107"/>
      <c r="AC11" s="107"/>
      <c r="AD11" s="106"/>
    </row>
    <row r="12" ht="30.0" customHeight="1">
      <c r="A12" s="69">
        <v>7.0</v>
      </c>
      <c r="B12" s="413">
        <v>45195.0</v>
      </c>
      <c r="C12" s="93" t="s">
        <v>680</v>
      </c>
      <c r="D12" s="68" t="s">
        <v>50</v>
      </c>
      <c r="E12" s="105" t="s">
        <v>681</v>
      </c>
      <c r="F12" s="92" t="s">
        <v>461</v>
      </c>
      <c r="G12" s="68" t="s">
        <v>30</v>
      </c>
      <c r="H12" s="64">
        <v>1.0</v>
      </c>
      <c r="I12" s="47">
        <f t="shared" si="1"/>
        <v>220000</v>
      </c>
      <c r="J12" s="48">
        <f t="shared" si="2"/>
        <v>220000</v>
      </c>
      <c r="K12" s="76">
        <f t="shared" si="3"/>
        <v>220000</v>
      </c>
      <c r="L12" s="122"/>
      <c r="M12" s="78">
        <f>10859</f>
        <v>10859</v>
      </c>
      <c r="N12" s="136"/>
      <c r="O12" s="80">
        <f t="shared" si="4"/>
        <v>209141</v>
      </c>
      <c r="P12" s="81" t="s">
        <v>449</v>
      </c>
      <c r="Q12" s="81" t="s">
        <v>31</v>
      </c>
      <c r="R12" s="122"/>
      <c r="S12" s="91"/>
      <c r="T12" s="84" t="s">
        <v>33</v>
      </c>
      <c r="U12" s="122"/>
      <c r="V12" s="122"/>
      <c r="W12" s="565" t="s">
        <v>53</v>
      </c>
      <c r="X12" s="106"/>
      <c r="Y12" s="65" t="s">
        <v>66</v>
      </c>
      <c r="Z12" s="66">
        <v>205000.0</v>
      </c>
      <c r="AA12" s="107"/>
      <c r="AB12" s="107"/>
      <c r="AC12" s="107"/>
      <c r="AD12" s="106"/>
    </row>
    <row r="13" ht="30.0" customHeight="1">
      <c r="A13" s="69">
        <v>8.0</v>
      </c>
      <c r="B13" s="413">
        <v>45196.0</v>
      </c>
      <c r="C13" s="93" t="s">
        <v>682</v>
      </c>
      <c r="D13" s="68" t="s">
        <v>50</v>
      </c>
      <c r="E13" s="105" t="s">
        <v>683</v>
      </c>
      <c r="F13" s="92" t="s">
        <v>548</v>
      </c>
      <c r="G13" s="68" t="s">
        <v>30</v>
      </c>
      <c r="H13" s="64">
        <v>1.0</v>
      </c>
      <c r="I13" s="47">
        <f t="shared" si="1"/>
        <v>220000</v>
      </c>
      <c r="J13" s="48">
        <f t="shared" si="2"/>
        <v>220000</v>
      </c>
      <c r="K13" s="76">
        <f t="shared" si="3"/>
        <v>220000</v>
      </c>
      <c r="L13" s="122"/>
      <c r="M13" s="78">
        <f>31127</f>
        <v>31127</v>
      </c>
      <c r="N13" s="136"/>
      <c r="O13" s="80">
        <f t="shared" si="4"/>
        <v>188873</v>
      </c>
      <c r="P13" s="81" t="s">
        <v>449</v>
      </c>
      <c r="Q13" s="81" t="s">
        <v>31</v>
      </c>
      <c r="R13" s="122"/>
      <c r="S13" s="91"/>
      <c r="T13" s="84" t="s">
        <v>33</v>
      </c>
      <c r="U13" s="122"/>
      <c r="V13" s="122"/>
      <c r="W13" s="565" t="s">
        <v>53</v>
      </c>
      <c r="X13" s="106"/>
      <c r="Y13" s="65" t="s">
        <v>684</v>
      </c>
      <c r="Z13" s="66">
        <v>150000.0</v>
      </c>
      <c r="AA13" s="107"/>
      <c r="AB13" s="107"/>
      <c r="AC13" s="107"/>
      <c r="AD13" s="106"/>
    </row>
    <row r="14" ht="36.0" customHeight="1">
      <c r="A14" s="69">
        <v>9.0</v>
      </c>
      <c r="B14" s="413">
        <v>45196.0</v>
      </c>
      <c r="C14" s="93" t="s">
        <v>685</v>
      </c>
      <c r="D14" s="68" t="s">
        <v>50</v>
      </c>
      <c r="E14" s="105" t="s">
        <v>686</v>
      </c>
      <c r="F14" s="92" t="s">
        <v>70</v>
      </c>
      <c r="G14" s="68" t="s">
        <v>30</v>
      </c>
      <c r="H14" s="64">
        <v>1.0</v>
      </c>
      <c r="I14" s="47">
        <f t="shared" si="1"/>
        <v>220000</v>
      </c>
      <c r="J14" s="48">
        <f t="shared" si="2"/>
        <v>220000</v>
      </c>
      <c r="K14" s="76">
        <f t="shared" si="3"/>
        <v>220000</v>
      </c>
      <c r="L14" s="122"/>
      <c r="M14" s="78">
        <f>33507</f>
        <v>33507</v>
      </c>
      <c r="N14" s="136"/>
      <c r="O14" s="80">
        <f t="shared" si="4"/>
        <v>186493</v>
      </c>
      <c r="P14" s="81" t="s">
        <v>449</v>
      </c>
      <c r="Q14" s="81" t="s">
        <v>31</v>
      </c>
      <c r="R14" s="122"/>
      <c r="S14" s="91"/>
      <c r="T14" s="84" t="s">
        <v>33</v>
      </c>
      <c r="U14" s="122"/>
      <c r="V14" s="122"/>
      <c r="W14" s="565" t="s">
        <v>53</v>
      </c>
      <c r="X14" s="106"/>
      <c r="Y14" s="110" t="s">
        <v>71</v>
      </c>
      <c r="Z14" s="66">
        <v>85000.0</v>
      </c>
      <c r="AA14" s="107"/>
      <c r="AB14" s="107"/>
      <c r="AC14" s="107"/>
      <c r="AD14" s="106"/>
    </row>
    <row r="15" ht="36.0" customHeight="1">
      <c r="A15" s="69">
        <v>10.0</v>
      </c>
      <c r="B15" s="413">
        <v>45197.0</v>
      </c>
      <c r="C15" s="93" t="s">
        <v>687</v>
      </c>
      <c r="D15" s="68" t="s">
        <v>50</v>
      </c>
      <c r="E15" s="105" t="s">
        <v>688</v>
      </c>
      <c r="F15" s="92" t="s">
        <v>193</v>
      </c>
      <c r="G15" s="68" t="s">
        <v>30</v>
      </c>
      <c r="H15" s="64">
        <v>3.0</v>
      </c>
      <c r="I15" s="47">
        <f t="shared" si="1"/>
        <v>220000</v>
      </c>
      <c r="J15" s="48">
        <f t="shared" si="2"/>
        <v>660000</v>
      </c>
      <c r="K15" s="76">
        <f t="shared" si="3"/>
        <v>660000</v>
      </c>
      <c r="L15" s="122"/>
      <c r="M15" s="78">
        <f>31053</f>
        <v>31053</v>
      </c>
      <c r="N15" s="136"/>
      <c r="O15" s="80">
        <f t="shared" si="4"/>
        <v>628947</v>
      </c>
      <c r="P15" s="81" t="s">
        <v>449</v>
      </c>
      <c r="Q15" s="81" t="s">
        <v>31</v>
      </c>
      <c r="R15" s="122"/>
      <c r="S15" s="91"/>
      <c r="T15" s="84" t="s">
        <v>33</v>
      </c>
      <c r="U15" s="122"/>
      <c r="V15" s="122"/>
      <c r="W15" s="565" t="s">
        <v>53</v>
      </c>
      <c r="X15" s="106"/>
      <c r="Y15" s="65" t="s">
        <v>76</v>
      </c>
      <c r="Z15" s="66">
        <v>90000.0</v>
      </c>
      <c r="AA15" s="107"/>
      <c r="AB15" s="107"/>
      <c r="AC15" s="107"/>
      <c r="AD15" s="106"/>
    </row>
    <row r="16" ht="36.0" customHeight="1">
      <c r="A16" s="69">
        <v>11.0</v>
      </c>
      <c r="B16" s="413">
        <v>45197.0</v>
      </c>
      <c r="C16" s="69" t="s">
        <v>689</v>
      </c>
      <c r="D16" s="68" t="s">
        <v>50</v>
      </c>
      <c r="E16" s="71" t="s">
        <v>690</v>
      </c>
      <c r="F16" s="88" t="s">
        <v>613</v>
      </c>
      <c r="G16" s="63" t="s">
        <v>35</v>
      </c>
      <c r="H16" s="64">
        <v>1.0</v>
      </c>
      <c r="I16" s="47">
        <f t="shared" si="1"/>
        <v>220000</v>
      </c>
      <c r="J16" s="48">
        <f t="shared" si="2"/>
        <v>220000</v>
      </c>
      <c r="K16" s="76">
        <f t="shared" si="3"/>
        <v>220000</v>
      </c>
      <c r="L16" s="138"/>
      <c r="M16" s="78">
        <f>8600</f>
        <v>8600</v>
      </c>
      <c r="N16" s="136"/>
      <c r="O16" s="80">
        <f t="shared" si="4"/>
        <v>211400</v>
      </c>
      <c r="P16" s="81" t="s">
        <v>449</v>
      </c>
      <c r="Q16" s="81" t="s">
        <v>31</v>
      </c>
      <c r="R16" s="134"/>
      <c r="S16" s="91"/>
      <c r="T16" s="84" t="s">
        <v>33</v>
      </c>
      <c r="U16" s="419"/>
      <c r="V16" s="419"/>
      <c r="W16" s="565" t="s">
        <v>53</v>
      </c>
      <c r="X16" s="106"/>
      <c r="Y16" s="65" t="s">
        <v>80</v>
      </c>
      <c r="Z16" s="66">
        <v>85000.0</v>
      </c>
      <c r="AA16" s="107"/>
      <c r="AB16" s="107"/>
      <c r="AC16" s="107"/>
      <c r="AD16" s="106"/>
    </row>
    <row r="17" ht="36.0" customHeight="1">
      <c r="A17" s="69">
        <v>12.0</v>
      </c>
      <c r="B17" s="413">
        <v>45197.0</v>
      </c>
      <c r="C17" s="93" t="s">
        <v>691</v>
      </c>
      <c r="D17" s="68" t="s">
        <v>50</v>
      </c>
      <c r="E17" s="105" t="s">
        <v>692</v>
      </c>
      <c r="F17" s="88" t="s">
        <v>613</v>
      </c>
      <c r="G17" s="63" t="s">
        <v>75</v>
      </c>
      <c r="H17" s="64">
        <v>1.0</v>
      </c>
      <c r="I17" s="47">
        <f t="shared" si="1"/>
        <v>45000</v>
      </c>
      <c r="J17" s="48">
        <f t="shared" si="2"/>
        <v>45000</v>
      </c>
      <c r="K17" s="76">
        <f t="shared" si="3"/>
        <v>45000</v>
      </c>
      <c r="L17" s="122"/>
      <c r="M17" s="78">
        <f>1050</f>
        <v>1050</v>
      </c>
      <c r="N17" s="136"/>
      <c r="O17" s="80">
        <f t="shared" si="4"/>
        <v>43950</v>
      </c>
      <c r="P17" s="81" t="s">
        <v>449</v>
      </c>
      <c r="Q17" s="81" t="s">
        <v>31</v>
      </c>
      <c r="R17" s="122"/>
      <c r="S17" s="91"/>
      <c r="T17" s="84" t="s">
        <v>33</v>
      </c>
      <c r="U17" s="122"/>
      <c r="V17" s="122"/>
      <c r="W17" s="565" t="s">
        <v>53</v>
      </c>
      <c r="X17" s="106"/>
      <c r="Y17" s="65" t="s">
        <v>81</v>
      </c>
      <c r="Z17" s="66">
        <v>150000.0</v>
      </c>
      <c r="AA17" s="107"/>
      <c r="AB17" s="107"/>
      <c r="AC17" s="107"/>
      <c r="AD17" s="106"/>
    </row>
    <row r="18" ht="36.0" customHeight="1">
      <c r="A18" s="69">
        <v>13.0</v>
      </c>
      <c r="B18" s="413">
        <v>45197.0</v>
      </c>
      <c r="C18" s="69" t="s">
        <v>693</v>
      </c>
      <c r="D18" s="68" t="s">
        <v>50</v>
      </c>
      <c r="E18" s="71" t="s">
        <v>694</v>
      </c>
      <c r="F18" s="68" t="s">
        <v>65</v>
      </c>
      <c r="G18" s="63" t="s">
        <v>30</v>
      </c>
      <c r="H18" s="64">
        <v>1.0</v>
      </c>
      <c r="I18" s="47">
        <f t="shared" si="1"/>
        <v>220000</v>
      </c>
      <c r="J18" s="48">
        <f t="shared" si="2"/>
        <v>220000</v>
      </c>
      <c r="K18" s="76">
        <f t="shared" si="3"/>
        <v>220000</v>
      </c>
      <c r="L18" s="77"/>
      <c r="M18" s="78">
        <f>30907</f>
        <v>30907</v>
      </c>
      <c r="N18" s="136"/>
      <c r="O18" s="80">
        <f t="shared" si="4"/>
        <v>189093</v>
      </c>
      <c r="P18" s="81" t="s">
        <v>449</v>
      </c>
      <c r="Q18" s="81" t="s">
        <v>31</v>
      </c>
      <c r="R18" s="90"/>
      <c r="S18" s="91"/>
      <c r="T18" s="84" t="s">
        <v>33</v>
      </c>
      <c r="U18" s="85"/>
      <c r="V18" s="414"/>
      <c r="W18" s="565" t="s">
        <v>53</v>
      </c>
      <c r="X18" s="106"/>
      <c r="Y18" s="65" t="s">
        <v>85</v>
      </c>
      <c r="Z18" s="66">
        <v>125000.0</v>
      </c>
      <c r="AA18" s="107"/>
      <c r="AB18" s="107"/>
      <c r="AC18" s="107"/>
      <c r="AD18" s="106"/>
    </row>
    <row r="19" ht="36.0" customHeight="1">
      <c r="A19" s="69">
        <v>14.0</v>
      </c>
      <c r="B19" s="413">
        <v>45197.0</v>
      </c>
      <c r="C19" s="69" t="s">
        <v>695</v>
      </c>
      <c r="D19" s="68" t="s">
        <v>50</v>
      </c>
      <c r="E19" s="71" t="s">
        <v>696</v>
      </c>
      <c r="F19" s="68" t="s">
        <v>74</v>
      </c>
      <c r="G19" s="63" t="s">
        <v>30</v>
      </c>
      <c r="H19" s="64">
        <v>2.0</v>
      </c>
      <c r="I19" s="47">
        <f t="shared" si="1"/>
        <v>220000</v>
      </c>
      <c r="J19" s="48">
        <f t="shared" si="2"/>
        <v>440000</v>
      </c>
      <c r="K19" s="76">
        <f t="shared" si="3"/>
        <v>440000</v>
      </c>
      <c r="L19" s="89"/>
      <c r="M19" s="78">
        <f>67926</f>
        <v>67926</v>
      </c>
      <c r="N19" s="136"/>
      <c r="O19" s="80">
        <f t="shared" si="4"/>
        <v>372074</v>
      </c>
      <c r="P19" s="81" t="s">
        <v>449</v>
      </c>
      <c r="Q19" s="81" t="s">
        <v>31</v>
      </c>
      <c r="R19" s="90"/>
      <c r="S19" s="91"/>
      <c r="T19" s="84" t="s">
        <v>33</v>
      </c>
      <c r="U19" s="85"/>
      <c r="V19" s="414"/>
      <c r="W19" s="565" t="s">
        <v>53</v>
      </c>
      <c r="X19" s="106"/>
      <c r="Y19" s="65" t="s">
        <v>89</v>
      </c>
      <c r="Z19" s="66">
        <v>35000.0</v>
      </c>
      <c r="AA19" s="107"/>
      <c r="AB19" s="107"/>
      <c r="AC19" s="107"/>
      <c r="AD19" s="106"/>
    </row>
    <row r="20" ht="36.0" customHeight="1">
      <c r="A20" s="69">
        <v>15.0</v>
      </c>
      <c r="B20" s="413">
        <v>45197.0</v>
      </c>
      <c r="C20" s="69" t="s">
        <v>697</v>
      </c>
      <c r="D20" s="68" t="s">
        <v>50</v>
      </c>
      <c r="E20" s="71" t="s">
        <v>690</v>
      </c>
      <c r="F20" s="88" t="s">
        <v>613</v>
      </c>
      <c r="G20" s="63" t="s">
        <v>30</v>
      </c>
      <c r="H20" s="64">
        <v>1.0</v>
      </c>
      <c r="I20" s="47">
        <f t="shared" si="1"/>
        <v>220000</v>
      </c>
      <c r="J20" s="48">
        <f t="shared" si="2"/>
        <v>220000</v>
      </c>
      <c r="K20" s="76">
        <f t="shared" si="3"/>
        <v>220000</v>
      </c>
      <c r="L20" s="138"/>
      <c r="M20" s="78">
        <f>10400</f>
        <v>10400</v>
      </c>
      <c r="N20" s="136"/>
      <c r="O20" s="80">
        <f t="shared" si="4"/>
        <v>209600</v>
      </c>
      <c r="P20" s="81" t="s">
        <v>449</v>
      </c>
      <c r="Q20" s="81" t="s">
        <v>31</v>
      </c>
      <c r="R20" s="134"/>
      <c r="S20" s="91"/>
      <c r="T20" s="84" t="s">
        <v>33</v>
      </c>
      <c r="U20" s="419"/>
      <c r="V20" s="419"/>
      <c r="W20" s="565" t="s">
        <v>53</v>
      </c>
      <c r="X20" s="106"/>
      <c r="Y20" s="65" t="s">
        <v>93</v>
      </c>
      <c r="Z20" s="66">
        <v>90000.0</v>
      </c>
      <c r="AA20" s="107"/>
      <c r="AB20" s="107"/>
      <c r="AC20" s="107"/>
      <c r="AD20" s="106"/>
    </row>
    <row r="21" ht="39.0" customHeight="1">
      <c r="A21" s="69">
        <v>16.0</v>
      </c>
      <c r="B21" s="431">
        <v>45198.0</v>
      </c>
      <c r="C21" s="93" t="s">
        <v>698</v>
      </c>
      <c r="D21" s="68" t="s">
        <v>50</v>
      </c>
      <c r="E21" s="105" t="s">
        <v>699</v>
      </c>
      <c r="F21" s="92" t="s">
        <v>119</v>
      </c>
      <c r="G21" s="63" t="s">
        <v>30</v>
      </c>
      <c r="H21" s="64">
        <v>1.0</v>
      </c>
      <c r="I21" s="47">
        <f t="shared" si="1"/>
        <v>220000</v>
      </c>
      <c r="J21" s="48">
        <f t="shared" si="2"/>
        <v>220000</v>
      </c>
      <c r="K21" s="76">
        <f t="shared" si="3"/>
        <v>220000</v>
      </c>
      <c r="L21" s="122"/>
      <c r="M21" s="78">
        <f>13876</f>
        <v>13876</v>
      </c>
      <c r="N21" s="136"/>
      <c r="O21" s="80">
        <f t="shared" si="4"/>
        <v>206124</v>
      </c>
      <c r="P21" s="81" t="s">
        <v>449</v>
      </c>
      <c r="Q21" s="81" t="s">
        <v>31</v>
      </c>
      <c r="R21" s="122"/>
      <c r="S21" s="91"/>
      <c r="T21" s="84" t="s">
        <v>33</v>
      </c>
      <c r="U21" s="122"/>
      <c r="V21" s="122"/>
      <c r="W21" s="565" t="s">
        <v>53</v>
      </c>
      <c r="X21" s="106"/>
      <c r="Y21" s="65" t="s">
        <v>94</v>
      </c>
      <c r="Z21" s="66">
        <v>140000.0</v>
      </c>
      <c r="AA21" s="107"/>
      <c r="AB21" s="107"/>
      <c r="AC21" s="107"/>
      <c r="AD21" s="106"/>
    </row>
    <row r="22" ht="36.0" customHeight="1">
      <c r="A22" s="69">
        <v>17.0</v>
      </c>
      <c r="B22" s="431">
        <v>45198.0</v>
      </c>
      <c r="C22" s="93" t="s">
        <v>700</v>
      </c>
      <c r="D22" s="68" t="s">
        <v>50</v>
      </c>
      <c r="E22" s="105" t="s">
        <v>701</v>
      </c>
      <c r="F22" s="92" t="s">
        <v>156</v>
      </c>
      <c r="G22" s="63" t="s">
        <v>30</v>
      </c>
      <c r="H22" s="64">
        <v>2.0</v>
      </c>
      <c r="I22" s="47">
        <f t="shared" si="1"/>
        <v>220000</v>
      </c>
      <c r="J22" s="48">
        <f t="shared" si="2"/>
        <v>440000</v>
      </c>
      <c r="K22" s="76">
        <f t="shared" si="3"/>
        <v>440000</v>
      </c>
      <c r="L22" s="122"/>
      <c r="M22" s="78">
        <f>27240</f>
        <v>27240</v>
      </c>
      <c r="N22" s="136"/>
      <c r="O22" s="80">
        <f t="shared" si="4"/>
        <v>412760</v>
      </c>
      <c r="P22" s="81" t="s">
        <v>449</v>
      </c>
      <c r="Q22" s="81" t="s">
        <v>31</v>
      </c>
      <c r="R22" s="122"/>
      <c r="S22" s="91"/>
      <c r="T22" s="84" t="s">
        <v>33</v>
      </c>
      <c r="U22" s="122"/>
      <c r="V22" s="122"/>
      <c r="W22" s="565" t="s">
        <v>53</v>
      </c>
      <c r="X22" s="106"/>
      <c r="Y22" s="65" t="s">
        <v>97</v>
      </c>
      <c r="Z22" s="66">
        <v>95000.0</v>
      </c>
      <c r="AA22" s="107"/>
      <c r="AB22" s="107"/>
      <c r="AC22" s="107"/>
      <c r="AD22" s="106"/>
    </row>
    <row r="23" ht="36.0" customHeight="1">
      <c r="A23" s="69">
        <v>18.0</v>
      </c>
      <c r="B23" s="431">
        <v>45199.0</v>
      </c>
      <c r="C23" s="93" t="s">
        <v>702</v>
      </c>
      <c r="D23" s="92" t="s">
        <v>118</v>
      </c>
      <c r="E23" s="65"/>
      <c r="F23" s="92" t="s">
        <v>193</v>
      </c>
      <c r="G23" s="63" t="s">
        <v>30</v>
      </c>
      <c r="H23" s="64">
        <v>1.0</v>
      </c>
      <c r="I23" s="47">
        <f t="shared" si="1"/>
        <v>220000</v>
      </c>
      <c r="J23" s="48">
        <f t="shared" si="2"/>
        <v>220000</v>
      </c>
      <c r="K23" s="76">
        <f t="shared" si="3"/>
        <v>220000</v>
      </c>
      <c r="L23" s="122"/>
      <c r="M23" s="78">
        <f>14404</f>
        <v>14404</v>
      </c>
      <c r="N23" s="136"/>
      <c r="O23" s="80">
        <f t="shared" si="4"/>
        <v>205596</v>
      </c>
      <c r="P23" s="81" t="s">
        <v>449</v>
      </c>
      <c r="Q23" s="81" t="s">
        <v>31</v>
      </c>
      <c r="R23" s="122"/>
      <c r="S23" s="91"/>
      <c r="T23" s="84" t="s">
        <v>33</v>
      </c>
      <c r="U23" s="122"/>
      <c r="V23" s="122"/>
      <c r="W23" s="148" t="s">
        <v>703</v>
      </c>
      <c r="X23" s="106"/>
      <c r="Y23" s="65" t="s">
        <v>99</v>
      </c>
      <c r="Z23" s="66">
        <v>140000.0</v>
      </c>
      <c r="AA23" s="107"/>
      <c r="AB23" s="107"/>
      <c r="AC23" s="107"/>
      <c r="AD23" s="106"/>
    </row>
    <row r="24" ht="31.5" customHeight="1">
      <c r="A24" s="69">
        <v>19.0</v>
      </c>
      <c r="B24" s="120">
        <v>45199.0</v>
      </c>
      <c r="C24" s="93" t="s">
        <v>704</v>
      </c>
      <c r="D24" s="92" t="s">
        <v>118</v>
      </c>
      <c r="E24" s="65"/>
      <c r="F24" s="92" t="s">
        <v>577</v>
      </c>
      <c r="G24" s="63" t="s">
        <v>147</v>
      </c>
      <c r="H24" s="64">
        <v>2.0</v>
      </c>
      <c r="I24" s="47">
        <f t="shared" si="1"/>
        <v>80000</v>
      </c>
      <c r="J24" s="48">
        <f t="shared" si="2"/>
        <v>160000</v>
      </c>
      <c r="K24" s="76">
        <f t="shared" si="3"/>
        <v>160000</v>
      </c>
      <c r="L24" s="122"/>
      <c r="M24" s="78">
        <f>11580</f>
        <v>11580</v>
      </c>
      <c r="N24" s="136"/>
      <c r="O24" s="80">
        <f t="shared" si="4"/>
        <v>148420</v>
      </c>
      <c r="P24" s="81" t="s">
        <v>449</v>
      </c>
      <c r="Q24" s="81" t="s">
        <v>31</v>
      </c>
      <c r="R24" s="122"/>
      <c r="S24" s="91"/>
      <c r="T24" s="84" t="s">
        <v>33</v>
      </c>
      <c r="U24" s="122"/>
      <c r="V24" s="122"/>
      <c r="W24" s="67"/>
      <c r="X24" s="106"/>
      <c r="Y24" s="65" t="s">
        <v>101</v>
      </c>
      <c r="Z24" s="66">
        <v>150000.0</v>
      </c>
      <c r="AA24" s="107"/>
      <c r="AB24" s="107"/>
      <c r="AC24" s="107"/>
      <c r="AD24" s="106"/>
    </row>
    <row r="25" ht="31.5" customHeight="1">
      <c r="A25" s="69">
        <v>20.0</v>
      </c>
      <c r="B25" s="120">
        <v>45199.0</v>
      </c>
      <c r="C25" s="93" t="s">
        <v>705</v>
      </c>
      <c r="D25" s="68" t="s">
        <v>50</v>
      </c>
      <c r="E25" s="105" t="s">
        <v>706</v>
      </c>
      <c r="F25" s="92" t="s">
        <v>707</v>
      </c>
      <c r="G25" s="68" t="s">
        <v>30</v>
      </c>
      <c r="H25" s="69">
        <v>2.0</v>
      </c>
      <c r="I25" s="47">
        <f t="shared" si="1"/>
        <v>220000</v>
      </c>
      <c r="J25" s="48">
        <f t="shared" si="2"/>
        <v>440000</v>
      </c>
      <c r="K25" s="76">
        <f t="shared" si="3"/>
        <v>440000</v>
      </c>
      <c r="L25" s="122"/>
      <c r="M25" s="78">
        <f>68468</f>
        <v>68468</v>
      </c>
      <c r="N25" s="136"/>
      <c r="O25" s="80">
        <f t="shared" si="4"/>
        <v>371532</v>
      </c>
      <c r="P25" s="81" t="s">
        <v>449</v>
      </c>
      <c r="Q25" s="81" t="s">
        <v>31</v>
      </c>
      <c r="R25" s="122"/>
      <c r="S25" s="91"/>
      <c r="T25" s="84" t="s">
        <v>33</v>
      </c>
      <c r="U25" s="122"/>
      <c r="V25" s="122"/>
      <c r="W25" s="565" t="s">
        <v>53</v>
      </c>
      <c r="X25" s="124"/>
      <c r="Y25" s="65" t="s">
        <v>109</v>
      </c>
      <c r="Z25" s="66">
        <v>125000.0</v>
      </c>
      <c r="AA25" s="107"/>
      <c r="AB25" s="107"/>
      <c r="AC25" s="107"/>
      <c r="AD25" s="106"/>
    </row>
    <row r="26" ht="31.5" customHeight="1">
      <c r="A26" s="69">
        <v>21.0</v>
      </c>
      <c r="B26" s="120">
        <v>45199.0</v>
      </c>
      <c r="C26" s="93" t="s">
        <v>708</v>
      </c>
      <c r="D26" s="68" t="s">
        <v>50</v>
      </c>
      <c r="E26" s="105" t="s">
        <v>709</v>
      </c>
      <c r="F26" s="92" t="s">
        <v>613</v>
      </c>
      <c r="G26" s="68" t="s">
        <v>30</v>
      </c>
      <c r="H26" s="69">
        <v>1.0</v>
      </c>
      <c r="I26" s="47">
        <f t="shared" si="1"/>
        <v>220000</v>
      </c>
      <c r="J26" s="48">
        <f t="shared" si="2"/>
        <v>220000</v>
      </c>
      <c r="K26" s="76">
        <f t="shared" si="3"/>
        <v>220000</v>
      </c>
      <c r="L26" s="122"/>
      <c r="M26" s="78">
        <f>12200</f>
        <v>12200</v>
      </c>
      <c r="N26" s="136"/>
      <c r="O26" s="80">
        <f t="shared" si="4"/>
        <v>207800</v>
      </c>
      <c r="P26" s="81" t="s">
        <v>449</v>
      </c>
      <c r="Q26" s="81" t="s">
        <v>31</v>
      </c>
      <c r="R26" s="122"/>
      <c r="S26" s="83"/>
      <c r="T26" s="84" t="s">
        <v>33</v>
      </c>
      <c r="U26" s="122"/>
      <c r="V26" s="122"/>
      <c r="W26" s="565" t="s">
        <v>53</v>
      </c>
      <c r="X26" s="124"/>
      <c r="Y26" s="65" t="s">
        <v>113</v>
      </c>
      <c r="Z26" s="66">
        <v>75000.0</v>
      </c>
      <c r="AA26" s="107"/>
      <c r="AB26" s="107"/>
      <c r="AC26" s="107"/>
      <c r="AD26" s="106"/>
    </row>
    <row r="27" ht="31.5" customHeight="1">
      <c r="A27" s="69">
        <v>22.0</v>
      </c>
      <c r="B27" s="120">
        <v>45199.0</v>
      </c>
      <c r="C27" s="93" t="s">
        <v>710</v>
      </c>
      <c r="D27" s="68" t="s">
        <v>50</v>
      </c>
      <c r="E27" s="105" t="s">
        <v>711</v>
      </c>
      <c r="F27" s="92" t="s">
        <v>70</v>
      </c>
      <c r="G27" s="68" t="s">
        <v>30</v>
      </c>
      <c r="H27" s="69">
        <v>1.0</v>
      </c>
      <c r="I27" s="47">
        <f t="shared" si="1"/>
        <v>220000</v>
      </c>
      <c r="J27" s="48">
        <f t="shared" si="2"/>
        <v>220000</v>
      </c>
      <c r="K27" s="76">
        <f t="shared" si="3"/>
        <v>220000</v>
      </c>
      <c r="L27" s="122"/>
      <c r="M27" s="78">
        <f>13876</f>
        <v>13876</v>
      </c>
      <c r="N27" s="136"/>
      <c r="O27" s="80">
        <f t="shared" si="4"/>
        <v>206124</v>
      </c>
      <c r="P27" s="81" t="s">
        <v>449</v>
      </c>
      <c r="Q27" s="81" t="s">
        <v>31</v>
      </c>
      <c r="R27" s="122"/>
      <c r="S27" s="91"/>
      <c r="T27" s="84" t="s">
        <v>33</v>
      </c>
      <c r="U27" s="122"/>
      <c r="V27" s="122"/>
      <c r="W27" s="565" t="s">
        <v>53</v>
      </c>
      <c r="X27" s="106"/>
      <c r="Y27" s="65" t="s">
        <v>116</v>
      </c>
      <c r="Z27" s="66">
        <v>475000.0</v>
      </c>
      <c r="AA27" s="107"/>
      <c r="AB27" s="107"/>
      <c r="AC27" s="107"/>
      <c r="AD27" s="106"/>
    </row>
    <row r="28" ht="31.5" customHeight="1">
      <c r="A28" s="69">
        <v>23.0</v>
      </c>
      <c r="B28" s="132">
        <v>45201.0</v>
      </c>
      <c r="C28" s="64">
        <v>1.698897712438E12</v>
      </c>
      <c r="D28" s="63" t="s">
        <v>603</v>
      </c>
      <c r="E28" s="131" t="s">
        <v>712</v>
      </c>
      <c r="F28" s="63" t="s">
        <v>713</v>
      </c>
      <c r="G28" s="68" t="s">
        <v>30</v>
      </c>
      <c r="H28" s="64">
        <v>3.0</v>
      </c>
      <c r="I28" s="47">
        <f t="shared" si="1"/>
        <v>220000</v>
      </c>
      <c r="J28" s="48">
        <f t="shared" si="2"/>
        <v>660000</v>
      </c>
      <c r="K28" s="76">
        <f t="shared" si="3"/>
        <v>660000</v>
      </c>
      <c r="L28" s="77"/>
      <c r="M28" s="78"/>
      <c r="N28" s="136"/>
      <c r="O28" s="80">
        <f t="shared" si="4"/>
        <v>660000</v>
      </c>
      <c r="P28" s="81" t="s">
        <v>449</v>
      </c>
      <c r="Q28" s="81" t="s">
        <v>31</v>
      </c>
      <c r="R28" s="82">
        <v>42001.0</v>
      </c>
      <c r="S28" s="83" t="s">
        <v>32</v>
      </c>
      <c r="T28" s="84" t="s">
        <v>33</v>
      </c>
      <c r="U28" s="85"/>
      <c r="V28" s="414"/>
      <c r="W28" s="566"/>
      <c r="X28" s="106"/>
      <c r="Y28" s="85" t="s">
        <v>121</v>
      </c>
      <c r="Z28" s="128">
        <v>220000.0</v>
      </c>
      <c r="AA28" s="107"/>
      <c r="AB28" s="107"/>
      <c r="AC28" s="107"/>
      <c r="AD28" s="106"/>
    </row>
    <row r="29" ht="46.5" customHeight="1">
      <c r="A29" s="69">
        <v>24.0</v>
      </c>
      <c r="B29" s="132">
        <v>45201.0</v>
      </c>
      <c r="C29" s="64">
        <v>1.70053291853E12</v>
      </c>
      <c r="D29" s="63" t="s">
        <v>714</v>
      </c>
      <c r="E29" s="131" t="s">
        <v>715</v>
      </c>
      <c r="F29" s="567" t="s">
        <v>716</v>
      </c>
      <c r="G29" s="68" t="s">
        <v>30</v>
      </c>
      <c r="H29" s="64">
        <v>2.0</v>
      </c>
      <c r="I29" s="47">
        <f t="shared" si="1"/>
        <v>220000</v>
      </c>
      <c r="J29" s="48">
        <f t="shared" si="2"/>
        <v>440000</v>
      </c>
      <c r="K29" s="76">
        <f t="shared" si="3"/>
        <v>440000</v>
      </c>
      <c r="L29" s="568">
        <v>30000.0</v>
      </c>
      <c r="M29" s="78"/>
      <c r="N29" s="136"/>
      <c r="O29" s="80">
        <f t="shared" si="4"/>
        <v>470000</v>
      </c>
      <c r="P29" s="81" t="s">
        <v>449</v>
      </c>
      <c r="Q29" s="81" t="s">
        <v>31</v>
      </c>
      <c r="R29" s="82">
        <v>25000.0</v>
      </c>
      <c r="S29" s="83" t="s">
        <v>32</v>
      </c>
      <c r="T29" s="84" t="s">
        <v>33</v>
      </c>
      <c r="U29" s="85"/>
      <c r="V29" s="414"/>
      <c r="W29" s="565"/>
      <c r="X29" s="106"/>
      <c r="Y29" s="85" t="s">
        <v>123</v>
      </c>
      <c r="Z29" s="128">
        <v>220000.0</v>
      </c>
      <c r="AA29" s="107"/>
      <c r="AB29" s="107"/>
      <c r="AC29" s="107"/>
      <c r="AD29" s="106"/>
    </row>
    <row r="30" ht="31.5" customHeight="1">
      <c r="A30" s="69">
        <v>25.0</v>
      </c>
      <c r="B30" s="132">
        <v>45201.0</v>
      </c>
      <c r="C30" s="64" t="s">
        <v>717</v>
      </c>
      <c r="D30" s="63" t="s">
        <v>50</v>
      </c>
      <c r="E30" s="131" t="s">
        <v>718</v>
      </c>
      <c r="F30" s="63" t="s">
        <v>74</v>
      </c>
      <c r="G30" s="68" t="s">
        <v>30</v>
      </c>
      <c r="H30" s="64">
        <v>1.0</v>
      </c>
      <c r="I30" s="47">
        <f t="shared" si="1"/>
        <v>220000</v>
      </c>
      <c r="J30" s="48">
        <f t="shared" si="2"/>
        <v>220000</v>
      </c>
      <c r="K30" s="76">
        <f t="shared" si="3"/>
        <v>220000</v>
      </c>
      <c r="L30" s="77"/>
      <c r="M30" s="78">
        <f>14516</f>
        <v>14516</v>
      </c>
      <c r="N30" s="136"/>
      <c r="O30" s="80">
        <f t="shared" si="4"/>
        <v>205484</v>
      </c>
      <c r="P30" s="81" t="s">
        <v>449</v>
      </c>
      <c r="Q30" s="81" t="s">
        <v>31</v>
      </c>
      <c r="R30" s="90"/>
      <c r="S30" s="91"/>
      <c r="T30" s="84" t="s">
        <v>33</v>
      </c>
      <c r="U30" s="85"/>
      <c r="V30" s="414"/>
      <c r="W30" s="565" t="s">
        <v>53</v>
      </c>
      <c r="X30" s="106"/>
      <c r="Y30" s="85" t="s">
        <v>124</v>
      </c>
      <c r="Z30" s="128">
        <v>220000.0</v>
      </c>
      <c r="AA30" s="107"/>
      <c r="AB30" s="107"/>
      <c r="AC30" s="107"/>
      <c r="AD30" s="106"/>
    </row>
    <row r="31" ht="33.0" customHeight="1">
      <c r="A31" s="69">
        <v>26.0</v>
      </c>
      <c r="B31" s="132">
        <v>45201.0</v>
      </c>
      <c r="C31" s="64" t="s">
        <v>719</v>
      </c>
      <c r="D31" s="63" t="s">
        <v>720</v>
      </c>
      <c r="E31" s="131" t="s">
        <v>721</v>
      </c>
      <c r="F31" s="63" t="s">
        <v>156</v>
      </c>
      <c r="G31" s="68" t="s">
        <v>30</v>
      </c>
      <c r="H31" s="64">
        <v>3.0</v>
      </c>
      <c r="I31" s="47">
        <f t="shared" si="1"/>
        <v>220000</v>
      </c>
      <c r="J31" s="48">
        <f t="shared" si="2"/>
        <v>660000</v>
      </c>
      <c r="K31" s="76">
        <f t="shared" si="3"/>
        <v>660000</v>
      </c>
      <c r="L31" s="89"/>
      <c r="M31" s="78">
        <f>40604</f>
        <v>40604</v>
      </c>
      <c r="N31" s="136"/>
      <c r="O31" s="80">
        <f t="shared" si="4"/>
        <v>619396</v>
      </c>
      <c r="P31" s="81" t="s">
        <v>449</v>
      </c>
      <c r="Q31" s="81" t="s">
        <v>31</v>
      </c>
      <c r="R31" s="90"/>
      <c r="S31" s="91"/>
      <c r="T31" s="84" t="s">
        <v>33</v>
      </c>
      <c r="U31" s="85"/>
      <c r="V31" s="414"/>
      <c r="W31" s="565" t="s">
        <v>53</v>
      </c>
      <c r="X31" s="106"/>
      <c r="Y31" s="85" t="s">
        <v>125</v>
      </c>
      <c r="Z31" s="128">
        <v>220000.0</v>
      </c>
      <c r="AA31" s="107"/>
      <c r="AB31" s="107"/>
      <c r="AC31" s="107"/>
      <c r="AD31" s="106"/>
    </row>
    <row r="32" ht="31.5" customHeight="1">
      <c r="A32" s="69">
        <v>27.0</v>
      </c>
      <c r="B32" s="132">
        <v>45201.0</v>
      </c>
      <c r="C32" s="64" t="s">
        <v>722</v>
      </c>
      <c r="D32" s="63" t="s">
        <v>720</v>
      </c>
      <c r="E32" s="131" t="s">
        <v>723</v>
      </c>
      <c r="F32" s="133" t="s">
        <v>65</v>
      </c>
      <c r="G32" s="68" t="s">
        <v>30</v>
      </c>
      <c r="H32" s="64">
        <v>1.0</v>
      </c>
      <c r="I32" s="47">
        <f t="shared" si="1"/>
        <v>220000</v>
      </c>
      <c r="J32" s="48">
        <f t="shared" si="2"/>
        <v>220000</v>
      </c>
      <c r="K32" s="76">
        <f t="shared" si="3"/>
        <v>220000</v>
      </c>
      <c r="L32" s="569"/>
      <c r="M32" s="78">
        <f>35876</f>
        <v>35876</v>
      </c>
      <c r="N32" s="136"/>
      <c r="O32" s="80">
        <f t="shared" si="4"/>
        <v>184124</v>
      </c>
      <c r="P32" s="81" t="s">
        <v>449</v>
      </c>
      <c r="Q32" s="81" t="s">
        <v>31</v>
      </c>
      <c r="R32" s="90"/>
      <c r="S32" s="91"/>
      <c r="T32" s="84" t="s">
        <v>33</v>
      </c>
      <c r="U32" s="419"/>
      <c r="V32" s="419"/>
      <c r="W32" s="565" t="s">
        <v>53</v>
      </c>
      <c r="X32" s="106"/>
      <c r="Y32" s="129" t="s">
        <v>129</v>
      </c>
      <c r="Z32" s="80">
        <v>220000.0</v>
      </c>
      <c r="AA32" s="107"/>
      <c r="AB32" s="107"/>
      <c r="AC32" s="107"/>
      <c r="AD32" s="106"/>
    </row>
    <row r="33" ht="31.5" customHeight="1">
      <c r="A33" s="69">
        <v>28.0</v>
      </c>
      <c r="B33" s="132">
        <v>45201.0</v>
      </c>
      <c r="C33" s="93" t="s">
        <v>724</v>
      </c>
      <c r="D33" s="63" t="s">
        <v>720</v>
      </c>
      <c r="E33" s="105" t="s">
        <v>595</v>
      </c>
      <c r="F33" s="92" t="s">
        <v>485</v>
      </c>
      <c r="G33" s="68" t="s">
        <v>30</v>
      </c>
      <c r="H33" s="64">
        <v>1.0</v>
      </c>
      <c r="I33" s="47">
        <f t="shared" si="1"/>
        <v>220000</v>
      </c>
      <c r="J33" s="48">
        <f t="shared" si="2"/>
        <v>220000</v>
      </c>
      <c r="K33" s="76">
        <f t="shared" si="3"/>
        <v>220000</v>
      </c>
      <c r="L33" s="122"/>
      <c r="M33" s="78">
        <f t="shared" ref="M33:M34" si="5">13876</f>
        <v>13876</v>
      </c>
      <c r="N33" s="136"/>
      <c r="O33" s="80">
        <f t="shared" si="4"/>
        <v>206124</v>
      </c>
      <c r="P33" s="81" t="s">
        <v>449</v>
      </c>
      <c r="Q33" s="81" t="s">
        <v>31</v>
      </c>
      <c r="R33" s="65"/>
      <c r="S33" s="91"/>
      <c r="T33" s="84" t="s">
        <v>33</v>
      </c>
      <c r="U33" s="122"/>
      <c r="V33" s="122"/>
      <c r="W33" s="565" t="s">
        <v>53</v>
      </c>
      <c r="X33" s="106"/>
      <c r="Y33" s="129" t="s">
        <v>133</v>
      </c>
      <c r="Z33" s="80">
        <v>220000.0</v>
      </c>
      <c r="AA33" s="107"/>
      <c r="AB33" s="107"/>
      <c r="AC33" s="107"/>
      <c r="AD33" s="106"/>
    </row>
    <row r="34" ht="33.75" customHeight="1">
      <c r="A34" s="69">
        <v>29.0</v>
      </c>
      <c r="B34" s="132">
        <v>45201.0</v>
      </c>
      <c r="C34" s="64" t="s">
        <v>725</v>
      </c>
      <c r="D34" s="63" t="s">
        <v>720</v>
      </c>
      <c r="E34" s="131" t="s">
        <v>726</v>
      </c>
      <c r="F34" s="63" t="s">
        <v>119</v>
      </c>
      <c r="G34" s="68" t="s">
        <v>30</v>
      </c>
      <c r="H34" s="64">
        <v>1.0</v>
      </c>
      <c r="I34" s="47">
        <f t="shared" si="1"/>
        <v>220000</v>
      </c>
      <c r="J34" s="48">
        <f t="shared" si="2"/>
        <v>220000</v>
      </c>
      <c r="K34" s="76">
        <f t="shared" si="3"/>
        <v>220000</v>
      </c>
      <c r="L34" s="77"/>
      <c r="M34" s="78">
        <f t="shared" si="5"/>
        <v>13876</v>
      </c>
      <c r="N34" s="136"/>
      <c r="O34" s="80">
        <f t="shared" si="4"/>
        <v>206124</v>
      </c>
      <c r="P34" s="81" t="s">
        <v>449</v>
      </c>
      <c r="Q34" s="81" t="s">
        <v>31</v>
      </c>
      <c r="R34" s="90"/>
      <c r="S34" s="91"/>
      <c r="T34" s="84" t="s">
        <v>33</v>
      </c>
      <c r="U34" s="85"/>
      <c r="V34" s="414"/>
      <c r="W34" s="565" t="s">
        <v>53</v>
      </c>
      <c r="X34" s="106"/>
      <c r="Y34" s="85" t="s">
        <v>135</v>
      </c>
      <c r="Z34" s="128">
        <v>220000.0</v>
      </c>
      <c r="AA34" s="107"/>
      <c r="AB34" s="107"/>
      <c r="AC34" s="107"/>
      <c r="AD34" s="106"/>
    </row>
    <row r="35" ht="33.75" customHeight="1">
      <c r="A35" s="69">
        <v>30.0</v>
      </c>
      <c r="B35" s="132">
        <v>45201.0</v>
      </c>
      <c r="C35" s="64" t="s">
        <v>727</v>
      </c>
      <c r="D35" s="63" t="s">
        <v>720</v>
      </c>
      <c r="E35" s="131" t="s">
        <v>728</v>
      </c>
      <c r="F35" s="63" t="s">
        <v>729</v>
      </c>
      <c r="G35" s="68" t="s">
        <v>30</v>
      </c>
      <c r="H35" s="64">
        <v>1.0</v>
      </c>
      <c r="I35" s="47">
        <f t="shared" si="1"/>
        <v>220000</v>
      </c>
      <c r="J35" s="48">
        <f t="shared" si="2"/>
        <v>220000</v>
      </c>
      <c r="K35" s="76">
        <f t="shared" si="3"/>
        <v>220000</v>
      </c>
      <c r="L35" s="77"/>
      <c r="M35" s="78">
        <f>35116</f>
        <v>35116</v>
      </c>
      <c r="N35" s="136"/>
      <c r="O35" s="80">
        <f t="shared" si="4"/>
        <v>184884</v>
      </c>
      <c r="P35" s="81" t="s">
        <v>449</v>
      </c>
      <c r="Q35" s="81" t="s">
        <v>31</v>
      </c>
      <c r="R35" s="90"/>
      <c r="S35" s="91"/>
      <c r="T35" s="84" t="s">
        <v>33</v>
      </c>
      <c r="U35" s="85"/>
      <c r="V35" s="414"/>
      <c r="W35" s="565" t="s">
        <v>53</v>
      </c>
      <c r="X35" s="106"/>
      <c r="Y35" s="85" t="s">
        <v>139</v>
      </c>
      <c r="Z35" s="128">
        <v>80000.0</v>
      </c>
      <c r="AA35" s="107"/>
      <c r="AB35" s="107"/>
      <c r="AC35" s="107"/>
      <c r="AD35" s="106"/>
    </row>
    <row r="36" ht="33.75" customHeight="1">
      <c r="A36" s="69">
        <v>31.0</v>
      </c>
      <c r="B36" s="132">
        <v>45201.0</v>
      </c>
      <c r="C36" s="64" t="s">
        <v>730</v>
      </c>
      <c r="D36" s="63" t="s">
        <v>720</v>
      </c>
      <c r="E36" s="131" t="s">
        <v>301</v>
      </c>
      <c r="F36" s="63" t="s">
        <v>528</v>
      </c>
      <c r="G36" s="68" t="s">
        <v>30</v>
      </c>
      <c r="H36" s="64">
        <v>3.0</v>
      </c>
      <c r="I36" s="47">
        <f t="shared" si="1"/>
        <v>220000</v>
      </c>
      <c r="J36" s="48">
        <f t="shared" si="2"/>
        <v>660000</v>
      </c>
      <c r="K36" s="76">
        <f t="shared" si="3"/>
        <v>660000</v>
      </c>
      <c r="L36" s="77"/>
      <c r="M36" s="78">
        <f>40604</f>
        <v>40604</v>
      </c>
      <c r="N36" s="136"/>
      <c r="O36" s="80">
        <f t="shared" si="4"/>
        <v>619396</v>
      </c>
      <c r="P36" s="81" t="s">
        <v>449</v>
      </c>
      <c r="Q36" s="81" t="s">
        <v>31</v>
      </c>
      <c r="R36" s="90"/>
      <c r="S36" s="91"/>
      <c r="T36" s="84" t="s">
        <v>33</v>
      </c>
      <c r="U36" s="85"/>
      <c r="V36" s="414"/>
      <c r="W36" s="565" t="s">
        <v>53</v>
      </c>
      <c r="X36" s="106"/>
      <c r="Y36" s="85" t="s">
        <v>142</v>
      </c>
      <c r="Z36" s="128">
        <v>220000.0</v>
      </c>
      <c r="AA36" s="107"/>
      <c r="AB36" s="107"/>
      <c r="AC36" s="107"/>
      <c r="AD36" s="106"/>
    </row>
    <row r="37" ht="33.75" customHeight="1">
      <c r="A37" s="39">
        <v>32.0</v>
      </c>
      <c r="B37" s="125">
        <v>45202.0</v>
      </c>
      <c r="C37" s="39">
        <v>1.718507873299E12</v>
      </c>
      <c r="D37" s="424" t="s">
        <v>731</v>
      </c>
      <c r="E37" s="175" t="s">
        <v>732</v>
      </c>
      <c r="F37" s="424" t="s">
        <v>733</v>
      </c>
      <c r="G37" s="63" t="s">
        <v>165</v>
      </c>
      <c r="H37" s="64">
        <v>2.0</v>
      </c>
      <c r="I37" s="47">
        <f t="shared" si="1"/>
        <v>220000</v>
      </c>
      <c r="J37" s="48">
        <f t="shared" si="2"/>
        <v>440000</v>
      </c>
      <c r="K37" s="49">
        <f>SUM(J37:J38)</f>
        <v>660000</v>
      </c>
      <c r="L37" s="560"/>
      <c r="M37" s="51"/>
      <c r="N37" s="562"/>
      <c r="O37" s="53">
        <f t="shared" si="4"/>
        <v>660000</v>
      </c>
      <c r="P37" s="99" t="s">
        <v>449</v>
      </c>
      <c r="Q37" s="99" t="s">
        <v>31</v>
      </c>
      <c r="R37" s="55">
        <v>49002.0</v>
      </c>
      <c r="S37" s="56" t="s">
        <v>32</v>
      </c>
      <c r="T37" s="57" t="s">
        <v>33</v>
      </c>
      <c r="U37" s="113"/>
      <c r="V37" s="113"/>
      <c r="W37" s="113"/>
      <c r="X37" s="106"/>
      <c r="Y37" s="85" t="s">
        <v>145</v>
      </c>
      <c r="Z37" s="128">
        <v>220000.0</v>
      </c>
      <c r="AA37" s="107"/>
      <c r="AB37" s="107"/>
      <c r="AC37" s="107"/>
      <c r="AD37" s="106"/>
    </row>
    <row r="38" ht="33.75" customHeight="1">
      <c r="A38" s="67"/>
      <c r="B38" s="67"/>
      <c r="C38" s="67"/>
      <c r="D38" s="67"/>
      <c r="E38" s="67"/>
      <c r="F38" s="67"/>
      <c r="G38" s="63" t="s">
        <v>30</v>
      </c>
      <c r="H38" s="64">
        <v>1.0</v>
      </c>
      <c r="I38" s="47">
        <f t="shared" si="1"/>
        <v>220000</v>
      </c>
      <c r="J38" s="48">
        <f t="shared" si="2"/>
        <v>220000</v>
      </c>
      <c r="K38" s="67"/>
      <c r="L38" s="67"/>
      <c r="M38" s="67"/>
      <c r="N38" s="67"/>
      <c r="O38" s="67"/>
      <c r="P38" s="67"/>
      <c r="Q38" s="67"/>
      <c r="R38" s="67"/>
      <c r="S38" s="67"/>
      <c r="T38" s="67"/>
      <c r="U38" s="67"/>
      <c r="V38" s="67"/>
      <c r="W38" s="67"/>
      <c r="X38" s="106"/>
      <c r="Y38" s="85" t="s">
        <v>153</v>
      </c>
      <c r="Z38" s="128">
        <v>45000.0</v>
      </c>
      <c r="AA38" s="107"/>
      <c r="AB38" s="107"/>
      <c r="AC38" s="107"/>
      <c r="AD38" s="106"/>
    </row>
    <row r="39" ht="33.75" customHeight="1">
      <c r="A39" s="111">
        <v>33.0</v>
      </c>
      <c r="B39" s="40">
        <v>45203.0</v>
      </c>
      <c r="C39" s="111">
        <v>1.697846935206E12</v>
      </c>
      <c r="D39" s="148" t="s">
        <v>734</v>
      </c>
      <c r="E39" s="143" t="s">
        <v>735</v>
      </c>
      <c r="F39" s="148" t="s">
        <v>736</v>
      </c>
      <c r="G39" s="63" t="s">
        <v>30</v>
      </c>
      <c r="H39" s="64">
        <v>2.0</v>
      </c>
      <c r="I39" s="47">
        <f t="shared" si="1"/>
        <v>220000</v>
      </c>
      <c r="J39" s="48">
        <f t="shared" si="2"/>
        <v>440000</v>
      </c>
      <c r="K39" s="49">
        <f>SUM(J39:J40)</f>
        <v>1320000</v>
      </c>
      <c r="L39" s="147"/>
      <c r="M39" s="561"/>
      <c r="N39" s="562"/>
      <c r="O39" s="53">
        <f>K39+L39-M39-N39</f>
        <v>1320000</v>
      </c>
      <c r="P39" s="99" t="s">
        <v>449</v>
      </c>
      <c r="Q39" s="99" t="s">
        <v>31</v>
      </c>
      <c r="R39" s="145">
        <v>78996.0</v>
      </c>
      <c r="S39" s="56" t="s">
        <v>32</v>
      </c>
      <c r="T39" s="57" t="s">
        <v>33</v>
      </c>
      <c r="U39" s="147"/>
      <c r="V39" s="147"/>
      <c r="W39" s="147"/>
      <c r="X39" s="106"/>
      <c r="Y39" s="570" t="s">
        <v>151</v>
      </c>
      <c r="Z39" s="128">
        <v>220000.0</v>
      </c>
      <c r="AA39" s="107"/>
      <c r="AB39" s="107"/>
      <c r="AC39" s="107"/>
      <c r="AD39" s="106"/>
    </row>
    <row r="40" ht="33.75" customHeight="1">
      <c r="A40" s="67"/>
      <c r="B40" s="67"/>
      <c r="C40" s="67"/>
      <c r="D40" s="67"/>
      <c r="E40" s="67"/>
      <c r="F40" s="67"/>
      <c r="G40" s="63" t="s">
        <v>35</v>
      </c>
      <c r="H40" s="64">
        <v>4.0</v>
      </c>
      <c r="I40" s="47">
        <f t="shared" si="1"/>
        <v>220000</v>
      </c>
      <c r="J40" s="48">
        <f t="shared" si="2"/>
        <v>880000</v>
      </c>
      <c r="K40" s="67"/>
      <c r="L40" s="67"/>
      <c r="M40" s="67"/>
      <c r="N40" s="67"/>
      <c r="O40" s="67"/>
      <c r="P40" s="67"/>
      <c r="Q40" s="67"/>
      <c r="R40" s="67"/>
      <c r="S40" s="67"/>
      <c r="T40" s="67"/>
      <c r="U40" s="67"/>
      <c r="V40" s="67"/>
      <c r="W40" s="67"/>
      <c r="X40" s="106"/>
      <c r="Y40" s="139" t="s">
        <v>148</v>
      </c>
      <c r="Z40" s="140">
        <v>220000.0</v>
      </c>
      <c r="AA40" s="107"/>
      <c r="AB40" s="107"/>
      <c r="AC40" s="107"/>
      <c r="AD40" s="106"/>
    </row>
    <row r="41" ht="33.75" customHeight="1">
      <c r="A41" s="111">
        <v>34.0</v>
      </c>
      <c r="B41" s="40">
        <v>45203.0</v>
      </c>
      <c r="C41" s="111">
        <v>1.703573795113E12</v>
      </c>
      <c r="D41" s="142" t="s">
        <v>473</v>
      </c>
      <c r="E41" s="143" t="s">
        <v>474</v>
      </c>
      <c r="F41" s="142" t="s">
        <v>737</v>
      </c>
      <c r="G41" s="63" t="s">
        <v>30</v>
      </c>
      <c r="H41" s="64">
        <v>2.0</v>
      </c>
      <c r="I41" s="47">
        <f t="shared" si="1"/>
        <v>220000</v>
      </c>
      <c r="J41" s="48">
        <f t="shared" si="2"/>
        <v>440000</v>
      </c>
      <c r="K41" s="49">
        <f>SUM(J41:J44)</f>
        <v>995000</v>
      </c>
      <c r="L41" s="147"/>
      <c r="M41" s="561"/>
      <c r="N41" s="562"/>
      <c r="O41" s="53">
        <f>K41+L41-M41-N41</f>
        <v>995000</v>
      </c>
      <c r="P41" s="99" t="s">
        <v>449</v>
      </c>
      <c r="Q41" s="99" t="s">
        <v>31</v>
      </c>
      <c r="R41" s="145">
        <v>46002.0</v>
      </c>
      <c r="S41" s="56" t="s">
        <v>32</v>
      </c>
      <c r="T41" s="57" t="s">
        <v>33</v>
      </c>
      <c r="U41" s="147"/>
      <c r="V41" s="147"/>
      <c r="W41" s="147"/>
      <c r="X41" s="106"/>
      <c r="Y41" s="65" t="s">
        <v>488</v>
      </c>
      <c r="Z41" s="66">
        <v>45000.0</v>
      </c>
      <c r="AA41" s="107"/>
      <c r="AB41" s="107"/>
      <c r="AC41" s="107"/>
      <c r="AD41" s="106"/>
    </row>
    <row r="42" ht="33.75" customHeight="1">
      <c r="A42" s="62"/>
      <c r="B42" s="62"/>
      <c r="C42" s="62"/>
      <c r="D42" s="62"/>
      <c r="E42" s="62"/>
      <c r="F42" s="62"/>
      <c r="G42" s="571" t="s">
        <v>478</v>
      </c>
      <c r="H42" s="572">
        <v>3.0</v>
      </c>
      <c r="I42" s="573">
        <f t="shared" si="1"/>
        <v>65000</v>
      </c>
      <c r="J42" s="574">
        <f t="shared" si="2"/>
        <v>195000</v>
      </c>
      <c r="K42" s="62"/>
      <c r="L42" s="62"/>
      <c r="M42" s="62"/>
      <c r="N42" s="62"/>
      <c r="O42" s="62"/>
      <c r="P42" s="62"/>
      <c r="Q42" s="62"/>
      <c r="R42" s="62"/>
      <c r="S42" s="62"/>
      <c r="T42" s="62"/>
      <c r="U42" s="62"/>
      <c r="V42" s="62"/>
      <c r="W42" s="62"/>
      <c r="X42" s="106"/>
      <c r="Y42" s="65" t="s">
        <v>412</v>
      </c>
      <c r="Z42" s="66">
        <v>45000.0</v>
      </c>
      <c r="AA42" s="107"/>
      <c r="AB42" s="107"/>
      <c r="AC42" s="107"/>
      <c r="AD42" s="106"/>
    </row>
    <row r="43" ht="33.75" customHeight="1">
      <c r="A43" s="62"/>
      <c r="B43" s="62"/>
      <c r="C43" s="62"/>
      <c r="D43" s="62"/>
      <c r="E43" s="62"/>
      <c r="F43" s="62"/>
      <c r="G43" s="571" t="s">
        <v>476</v>
      </c>
      <c r="H43" s="572">
        <v>3.0</v>
      </c>
      <c r="I43" s="573">
        <f t="shared" si="1"/>
        <v>55000</v>
      </c>
      <c r="J43" s="574">
        <f t="shared" si="2"/>
        <v>165000</v>
      </c>
      <c r="K43" s="62"/>
      <c r="L43" s="62"/>
      <c r="M43" s="62"/>
      <c r="N43" s="62"/>
      <c r="O43" s="62"/>
      <c r="P43" s="62"/>
      <c r="Q43" s="62"/>
      <c r="R43" s="62"/>
      <c r="S43" s="62"/>
      <c r="T43" s="62"/>
      <c r="U43" s="62"/>
      <c r="V43" s="62"/>
      <c r="W43" s="62"/>
      <c r="X43" s="106"/>
      <c r="Y43" s="93" t="s">
        <v>67</v>
      </c>
      <c r="Z43" s="87">
        <v>45000.0</v>
      </c>
      <c r="AA43" s="107"/>
      <c r="AB43" s="107"/>
      <c r="AC43" s="107"/>
      <c r="AD43" s="106"/>
    </row>
    <row r="44" ht="33.75" customHeight="1">
      <c r="A44" s="67"/>
      <c r="B44" s="67"/>
      <c r="C44" s="67"/>
      <c r="D44" s="67"/>
      <c r="E44" s="67"/>
      <c r="F44" s="67"/>
      <c r="G44" s="571" t="s">
        <v>477</v>
      </c>
      <c r="H44" s="572">
        <v>3.0</v>
      </c>
      <c r="I44" s="573">
        <f t="shared" si="1"/>
        <v>65000</v>
      </c>
      <c r="J44" s="574">
        <f t="shared" si="2"/>
        <v>195000</v>
      </c>
      <c r="K44" s="67"/>
      <c r="L44" s="67"/>
      <c r="M44" s="67"/>
      <c r="N44" s="67"/>
      <c r="O44" s="67"/>
      <c r="P44" s="67"/>
      <c r="Q44" s="67"/>
      <c r="R44" s="67"/>
      <c r="S44" s="67"/>
      <c r="T44" s="67"/>
      <c r="U44" s="67"/>
      <c r="V44" s="67"/>
      <c r="W44" s="67"/>
      <c r="X44" s="106"/>
      <c r="Y44" s="65" t="s">
        <v>161</v>
      </c>
      <c r="Z44" s="66">
        <v>220000.0</v>
      </c>
      <c r="AA44" s="107"/>
      <c r="AB44" s="107"/>
      <c r="AC44" s="107"/>
      <c r="AD44" s="106"/>
    </row>
    <row r="45" ht="42.75" customHeight="1">
      <c r="A45" s="93">
        <v>35.0</v>
      </c>
      <c r="B45" s="120">
        <v>45203.0</v>
      </c>
      <c r="C45" s="93">
        <v>1.718645847391E12</v>
      </c>
      <c r="D45" s="92" t="s">
        <v>738</v>
      </c>
      <c r="E45" s="105" t="s">
        <v>739</v>
      </c>
      <c r="F45" s="92" t="s">
        <v>740</v>
      </c>
      <c r="G45" s="63"/>
      <c r="H45" s="64"/>
      <c r="I45" s="47"/>
      <c r="J45" s="48"/>
      <c r="K45" s="76"/>
      <c r="L45" s="122"/>
      <c r="M45" s="575"/>
      <c r="N45" s="136"/>
      <c r="O45" s="80"/>
      <c r="P45" s="81" t="s">
        <v>449</v>
      </c>
      <c r="Q45" s="176"/>
      <c r="R45" s="108">
        <v>22501.0</v>
      </c>
      <c r="S45" s="83" t="s">
        <v>32</v>
      </c>
      <c r="T45" s="84" t="s">
        <v>33</v>
      </c>
      <c r="U45" s="92" t="s">
        <v>30</v>
      </c>
      <c r="V45" s="93">
        <v>1.0</v>
      </c>
      <c r="W45" s="576" t="s">
        <v>741</v>
      </c>
      <c r="X45" s="106"/>
      <c r="Y45" s="93" t="s">
        <v>112</v>
      </c>
      <c r="Z45" s="87">
        <v>160000.0</v>
      </c>
      <c r="AA45" s="107"/>
      <c r="AB45" s="107"/>
      <c r="AC45" s="107"/>
      <c r="AD45" s="106"/>
    </row>
    <row r="46" ht="33.75" customHeight="1">
      <c r="A46" s="104">
        <v>36.0</v>
      </c>
      <c r="B46" s="120">
        <v>45203.0</v>
      </c>
      <c r="C46" s="93" t="s">
        <v>742</v>
      </c>
      <c r="D46" s="92" t="s">
        <v>50</v>
      </c>
      <c r="E46" s="105" t="s">
        <v>743</v>
      </c>
      <c r="F46" s="92" t="s">
        <v>74</v>
      </c>
      <c r="G46" s="63" t="s">
        <v>35</v>
      </c>
      <c r="H46" s="64">
        <v>1.0</v>
      </c>
      <c r="I46" s="47">
        <f t="shared" ref="I46:I57" si="6">VLOOKUP(G46,$Y$4:$Z$50,2,0)</f>
        <v>220000</v>
      </c>
      <c r="J46" s="48">
        <f t="shared" ref="J46:J131" si="7">I46*H46</f>
        <v>220000</v>
      </c>
      <c r="K46" s="76">
        <f t="shared" ref="K46:K48" si="8">SUM(J46)</f>
        <v>220000</v>
      </c>
      <c r="L46" s="122"/>
      <c r="M46" s="78">
        <f>14156</f>
        <v>14156</v>
      </c>
      <c r="N46" s="136"/>
      <c r="O46" s="80">
        <f t="shared" ref="O46:O49" si="9">K46+L46-M46-N46</f>
        <v>205844</v>
      </c>
      <c r="P46" s="81" t="s">
        <v>449</v>
      </c>
      <c r="Q46" s="81" t="s">
        <v>31</v>
      </c>
      <c r="R46" s="109"/>
      <c r="S46" s="91"/>
      <c r="T46" s="84" t="s">
        <v>33</v>
      </c>
      <c r="U46" s="122"/>
      <c r="V46" s="122"/>
      <c r="W46" s="565" t="s">
        <v>53</v>
      </c>
      <c r="X46" s="106"/>
      <c r="Y46" s="93" t="s">
        <v>744</v>
      </c>
      <c r="Z46" s="87">
        <v>220000.0</v>
      </c>
      <c r="AA46" s="107"/>
      <c r="AB46" s="107"/>
      <c r="AC46" s="107"/>
      <c r="AD46" s="106"/>
    </row>
    <row r="47" ht="30.75" customHeight="1">
      <c r="A47" s="104">
        <v>37.0</v>
      </c>
      <c r="B47" s="120">
        <v>45203.0</v>
      </c>
      <c r="C47" s="93" t="s">
        <v>745</v>
      </c>
      <c r="D47" s="92" t="s">
        <v>50</v>
      </c>
      <c r="E47" s="105" t="s">
        <v>746</v>
      </c>
      <c r="F47" s="92" t="s">
        <v>119</v>
      </c>
      <c r="G47" s="63" t="s">
        <v>35</v>
      </c>
      <c r="H47" s="64">
        <v>4.0</v>
      </c>
      <c r="I47" s="47">
        <f t="shared" si="6"/>
        <v>220000</v>
      </c>
      <c r="J47" s="48">
        <f t="shared" si="7"/>
        <v>880000</v>
      </c>
      <c r="K47" s="76">
        <f t="shared" si="8"/>
        <v>880000</v>
      </c>
      <c r="L47" s="122"/>
      <c r="M47" s="78">
        <f>141804</f>
        <v>141804</v>
      </c>
      <c r="N47" s="136"/>
      <c r="O47" s="80">
        <f t="shared" si="9"/>
        <v>738196</v>
      </c>
      <c r="P47" s="81" t="s">
        <v>449</v>
      </c>
      <c r="Q47" s="81" t="s">
        <v>31</v>
      </c>
      <c r="R47" s="109"/>
      <c r="S47" s="91"/>
      <c r="T47" s="84" t="s">
        <v>33</v>
      </c>
      <c r="U47" s="122"/>
      <c r="V47" s="122"/>
      <c r="W47" s="565" t="s">
        <v>53</v>
      </c>
      <c r="X47" s="106"/>
      <c r="Y47" s="150"/>
      <c r="Z47" s="151"/>
      <c r="AA47" s="107"/>
      <c r="AB47" s="107"/>
      <c r="AC47" s="107"/>
      <c r="AD47" s="106"/>
    </row>
    <row r="48" ht="30.75" customHeight="1">
      <c r="A48" s="104">
        <v>38.0</v>
      </c>
      <c r="B48" s="120">
        <v>45203.0</v>
      </c>
      <c r="C48" s="93" t="s">
        <v>747</v>
      </c>
      <c r="D48" s="92" t="s">
        <v>50</v>
      </c>
      <c r="E48" s="105" t="s">
        <v>748</v>
      </c>
      <c r="F48" s="92" t="s">
        <v>193</v>
      </c>
      <c r="G48" s="63" t="s">
        <v>30</v>
      </c>
      <c r="H48" s="64">
        <v>1.0</v>
      </c>
      <c r="I48" s="47">
        <f t="shared" si="6"/>
        <v>220000</v>
      </c>
      <c r="J48" s="577">
        <f t="shared" si="7"/>
        <v>220000</v>
      </c>
      <c r="K48" s="76">
        <f t="shared" si="8"/>
        <v>220000</v>
      </c>
      <c r="L48" s="122"/>
      <c r="M48" s="78">
        <f>11200</f>
        <v>11200</v>
      </c>
      <c r="N48" s="136"/>
      <c r="O48" s="80">
        <f t="shared" si="9"/>
        <v>208800</v>
      </c>
      <c r="P48" s="81" t="s">
        <v>449</v>
      </c>
      <c r="Q48" s="81" t="s">
        <v>31</v>
      </c>
      <c r="R48" s="109"/>
      <c r="S48" s="91"/>
      <c r="T48" s="84" t="s">
        <v>33</v>
      </c>
      <c r="U48" s="122"/>
      <c r="V48" s="122"/>
      <c r="W48" s="565" t="s">
        <v>53</v>
      </c>
      <c r="X48" s="106"/>
      <c r="Y48" s="150"/>
      <c r="Z48" s="151"/>
      <c r="AA48" s="107"/>
      <c r="AB48" s="107"/>
      <c r="AC48" s="107"/>
      <c r="AD48" s="106"/>
    </row>
    <row r="49" ht="30.75" customHeight="1">
      <c r="A49" s="111">
        <v>39.0</v>
      </c>
      <c r="B49" s="112">
        <v>45204.0</v>
      </c>
      <c r="C49" s="111">
        <v>1.700496483747E12</v>
      </c>
      <c r="D49" s="142" t="s">
        <v>749</v>
      </c>
      <c r="E49" s="143" t="s">
        <v>750</v>
      </c>
      <c r="F49" s="578" t="s">
        <v>751</v>
      </c>
      <c r="G49" s="63" t="s">
        <v>35</v>
      </c>
      <c r="H49" s="64">
        <v>1.0</v>
      </c>
      <c r="I49" s="47">
        <f t="shared" si="6"/>
        <v>220000</v>
      </c>
      <c r="J49" s="577">
        <f t="shared" si="7"/>
        <v>220000</v>
      </c>
      <c r="K49" s="49">
        <f>SUM(J49:J55)</f>
        <v>1450000</v>
      </c>
      <c r="L49" s="147"/>
      <c r="M49" s="561"/>
      <c r="N49" s="562"/>
      <c r="O49" s="53">
        <f t="shared" si="9"/>
        <v>1450000</v>
      </c>
      <c r="P49" s="99" t="s">
        <v>449</v>
      </c>
      <c r="Q49" s="99" t="s">
        <v>31</v>
      </c>
      <c r="R49" s="145">
        <v>44398.0</v>
      </c>
      <c r="S49" s="56" t="s">
        <v>32</v>
      </c>
      <c r="T49" s="57" t="s">
        <v>33</v>
      </c>
      <c r="U49" s="147"/>
      <c r="V49" s="147"/>
      <c r="W49" s="147"/>
      <c r="X49" s="106"/>
      <c r="Y49" s="150"/>
      <c r="Z49" s="151"/>
      <c r="AA49" s="107"/>
      <c r="AB49" s="107"/>
      <c r="AC49" s="107"/>
      <c r="AD49" s="106"/>
    </row>
    <row r="50" ht="30.75" customHeight="1">
      <c r="A50" s="62"/>
      <c r="B50" s="62"/>
      <c r="C50" s="62"/>
      <c r="D50" s="62"/>
      <c r="E50" s="62"/>
      <c r="F50" s="423"/>
      <c r="G50" s="63" t="s">
        <v>122</v>
      </c>
      <c r="H50" s="64">
        <v>1.0</v>
      </c>
      <c r="I50" s="47">
        <f t="shared" si="6"/>
        <v>220000</v>
      </c>
      <c r="J50" s="577">
        <f t="shared" si="7"/>
        <v>220000</v>
      </c>
      <c r="K50" s="62"/>
      <c r="L50" s="62"/>
      <c r="M50" s="62"/>
      <c r="N50" s="62"/>
      <c r="O50" s="62"/>
      <c r="P50" s="62"/>
      <c r="Q50" s="62"/>
      <c r="R50" s="62"/>
      <c r="S50" s="62"/>
      <c r="T50" s="62"/>
      <c r="U50" s="62"/>
      <c r="V50" s="62"/>
      <c r="W50" s="62"/>
      <c r="X50" s="106"/>
      <c r="Y50" s="556"/>
      <c r="Z50" s="579"/>
      <c r="AA50" s="107"/>
      <c r="AB50" s="107"/>
      <c r="AC50" s="107"/>
      <c r="AD50" s="106"/>
    </row>
    <row r="51" ht="30.75" customHeight="1">
      <c r="A51" s="62"/>
      <c r="B51" s="62"/>
      <c r="C51" s="62"/>
      <c r="D51" s="62"/>
      <c r="E51" s="62"/>
      <c r="F51" s="423"/>
      <c r="G51" s="63" t="s">
        <v>58</v>
      </c>
      <c r="H51" s="64">
        <v>1.0</v>
      </c>
      <c r="I51" s="47">
        <f t="shared" si="6"/>
        <v>220000</v>
      </c>
      <c r="J51" s="577">
        <f t="shared" si="7"/>
        <v>220000</v>
      </c>
      <c r="K51" s="62"/>
      <c r="L51" s="62"/>
      <c r="M51" s="62"/>
      <c r="N51" s="62"/>
      <c r="O51" s="62"/>
      <c r="P51" s="62"/>
      <c r="Q51" s="62"/>
      <c r="R51" s="62"/>
      <c r="S51" s="62"/>
      <c r="T51" s="62"/>
      <c r="U51" s="62"/>
      <c r="V51" s="62"/>
      <c r="W51" s="62"/>
      <c r="X51" s="106"/>
      <c r="Y51" s="556"/>
      <c r="Z51" s="579"/>
      <c r="AA51" s="107"/>
      <c r="AB51" s="107"/>
      <c r="AC51" s="107"/>
      <c r="AD51" s="106"/>
    </row>
    <row r="52" ht="30.75" customHeight="1">
      <c r="A52" s="62"/>
      <c r="B52" s="62"/>
      <c r="C52" s="62"/>
      <c r="D52" s="62"/>
      <c r="E52" s="62"/>
      <c r="F52" s="423"/>
      <c r="G52" s="63" t="s">
        <v>30</v>
      </c>
      <c r="H52" s="64">
        <v>1.0</v>
      </c>
      <c r="I52" s="47">
        <f t="shared" si="6"/>
        <v>220000</v>
      </c>
      <c r="J52" s="577">
        <f t="shared" si="7"/>
        <v>220000</v>
      </c>
      <c r="K52" s="62"/>
      <c r="L52" s="62"/>
      <c r="M52" s="62"/>
      <c r="N52" s="62"/>
      <c r="O52" s="62"/>
      <c r="P52" s="62"/>
      <c r="Q52" s="62"/>
      <c r="R52" s="62"/>
      <c r="S52" s="62"/>
      <c r="T52" s="62"/>
      <c r="U52" s="62"/>
      <c r="V52" s="62"/>
      <c r="W52" s="62"/>
      <c r="X52" s="106"/>
      <c r="Y52" s="556"/>
      <c r="Z52" s="579"/>
      <c r="AA52" s="107"/>
      <c r="AB52" s="107"/>
      <c r="AC52" s="107"/>
      <c r="AD52" s="106"/>
    </row>
    <row r="53" ht="30.75" customHeight="1">
      <c r="A53" s="62"/>
      <c r="B53" s="62"/>
      <c r="C53" s="62"/>
      <c r="D53" s="62"/>
      <c r="E53" s="62"/>
      <c r="F53" s="423"/>
      <c r="G53" s="63" t="s">
        <v>144</v>
      </c>
      <c r="H53" s="64">
        <v>1.0</v>
      </c>
      <c r="I53" s="47">
        <f t="shared" si="6"/>
        <v>220000</v>
      </c>
      <c r="J53" s="577">
        <f t="shared" si="7"/>
        <v>220000</v>
      </c>
      <c r="K53" s="62"/>
      <c r="L53" s="62"/>
      <c r="M53" s="62"/>
      <c r="N53" s="62"/>
      <c r="O53" s="62"/>
      <c r="P53" s="62"/>
      <c r="Q53" s="62"/>
      <c r="R53" s="62"/>
      <c r="S53" s="62"/>
      <c r="T53" s="62"/>
      <c r="U53" s="62"/>
      <c r="V53" s="62"/>
      <c r="W53" s="62"/>
      <c r="X53" s="106"/>
      <c r="Y53" s="556"/>
      <c r="Z53" s="579"/>
      <c r="AA53" s="107"/>
      <c r="AB53" s="107"/>
      <c r="AC53" s="107"/>
      <c r="AD53" s="106"/>
    </row>
    <row r="54" ht="30.75" customHeight="1">
      <c r="A54" s="62"/>
      <c r="B54" s="62"/>
      <c r="C54" s="62"/>
      <c r="D54" s="62"/>
      <c r="E54" s="62"/>
      <c r="F54" s="423"/>
      <c r="G54" s="63" t="s">
        <v>37</v>
      </c>
      <c r="H54" s="64">
        <v>1.0</v>
      </c>
      <c r="I54" s="47">
        <f t="shared" si="6"/>
        <v>220000</v>
      </c>
      <c r="J54" s="577">
        <f t="shared" si="7"/>
        <v>220000</v>
      </c>
      <c r="K54" s="62"/>
      <c r="L54" s="62"/>
      <c r="M54" s="62"/>
      <c r="N54" s="62"/>
      <c r="O54" s="62"/>
      <c r="P54" s="62"/>
      <c r="Q54" s="62"/>
      <c r="R54" s="62"/>
      <c r="S54" s="62"/>
      <c r="T54" s="62"/>
      <c r="U54" s="62"/>
      <c r="V54" s="62"/>
      <c r="W54" s="62"/>
      <c r="X54" s="106"/>
      <c r="Y54" s="556"/>
      <c r="Z54" s="579"/>
      <c r="AA54" s="107"/>
      <c r="AB54" s="107"/>
      <c r="AC54" s="107"/>
      <c r="AD54" s="106"/>
    </row>
    <row r="55" ht="30.75" customHeight="1">
      <c r="A55" s="67"/>
      <c r="B55" s="67"/>
      <c r="C55" s="67"/>
      <c r="D55" s="67"/>
      <c r="E55" s="67"/>
      <c r="F55" s="102"/>
      <c r="G55" s="571" t="s">
        <v>477</v>
      </c>
      <c r="H55" s="572">
        <v>2.0</v>
      </c>
      <c r="I55" s="573">
        <f t="shared" si="6"/>
        <v>65000</v>
      </c>
      <c r="J55" s="580">
        <f t="shared" si="7"/>
        <v>130000</v>
      </c>
      <c r="K55" s="67"/>
      <c r="L55" s="67"/>
      <c r="M55" s="67"/>
      <c r="N55" s="67"/>
      <c r="O55" s="67"/>
      <c r="P55" s="67"/>
      <c r="Q55" s="67"/>
      <c r="R55" s="67"/>
      <c r="S55" s="67"/>
      <c r="T55" s="67"/>
      <c r="U55" s="67"/>
      <c r="V55" s="67"/>
      <c r="W55" s="67"/>
      <c r="X55" s="106"/>
      <c r="Y55" s="556"/>
      <c r="Z55" s="579"/>
      <c r="AA55" s="107"/>
      <c r="AB55" s="107"/>
      <c r="AC55" s="107"/>
      <c r="AD55" s="106"/>
    </row>
    <row r="56" ht="39.0" customHeight="1">
      <c r="A56" s="93">
        <v>40.0</v>
      </c>
      <c r="B56" s="120">
        <v>45204.0</v>
      </c>
      <c r="C56" s="93">
        <v>1.70886759137E12</v>
      </c>
      <c r="D56" s="92" t="s">
        <v>136</v>
      </c>
      <c r="E56" s="105" t="s">
        <v>137</v>
      </c>
      <c r="F56" s="121" t="s">
        <v>138</v>
      </c>
      <c r="G56" s="63" t="s">
        <v>47</v>
      </c>
      <c r="H56" s="64">
        <v>5.0</v>
      </c>
      <c r="I56" s="47">
        <f t="shared" si="6"/>
        <v>220000</v>
      </c>
      <c r="J56" s="48">
        <f t="shared" si="7"/>
        <v>1100000</v>
      </c>
      <c r="K56" s="76">
        <f t="shared" ref="K56:K66" si="10">SUM(J56)</f>
        <v>1100000</v>
      </c>
      <c r="L56" s="122"/>
      <c r="M56" s="575"/>
      <c r="N56" s="136"/>
      <c r="O56" s="80">
        <f t="shared" ref="O56:O67" si="11">K56+L56-M56-N56</f>
        <v>1100000</v>
      </c>
      <c r="P56" s="81" t="s">
        <v>449</v>
      </c>
      <c r="Q56" s="81" t="s">
        <v>31</v>
      </c>
      <c r="R56" s="108">
        <v>19000.0</v>
      </c>
      <c r="S56" s="83" t="s">
        <v>32</v>
      </c>
      <c r="T56" s="84" t="s">
        <v>33</v>
      </c>
      <c r="U56" s="122"/>
      <c r="V56" s="122"/>
      <c r="W56" s="284"/>
      <c r="X56" s="106"/>
      <c r="Y56" s="556"/>
      <c r="Z56" s="579"/>
      <c r="AA56" s="107"/>
      <c r="AB56" s="107"/>
      <c r="AC56" s="107"/>
      <c r="AD56" s="106"/>
    </row>
    <row r="57" ht="42.75" customHeight="1">
      <c r="A57" s="93">
        <v>41.0</v>
      </c>
      <c r="B57" s="120">
        <v>45204.0</v>
      </c>
      <c r="C57" s="93">
        <v>1.719055275987E12</v>
      </c>
      <c r="D57" s="92" t="s">
        <v>752</v>
      </c>
      <c r="E57" s="105" t="s">
        <v>753</v>
      </c>
      <c r="F57" s="581" t="s">
        <v>754</v>
      </c>
      <c r="G57" s="63" t="s">
        <v>30</v>
      </c>
      <c r="H57" s="64">
        <v>2.0</v>
      </c>
      <c r="I57" s="47">
        <f t="shared" si="6"/>
        <v>220000</v>
      </c>
      <c r="J57" s="48">
        <f t="shared" si="7"/>
        <v>440000</v>
      </c>
      <c r="K57" s="76">
        <f t="shared" si="10"/>
        <v>440000</v>
      </c>
      <c r="L57" s="108">
        <v>43001.0</v>
      </c>
      <c r="M57" s="575"/>
      <c r="N57" s="115">
        <v>13001.0</v>
      </c>
      <c r="O57" s="80">
        <f t="shared" si="11"/>
        <v>470000</v>
      </c>
      <c r="P57" s="81" t="s">
        <v>449</v>
      </c>
      <c r="Q57" s="81" t="s">
        <v>31</v>
      </c>
      <c r="R57" s="109"/>
      <c r="S57" s="91"/>
      <c r="T57" s="84" t="s">
        <v>33</v>
      </c>
      <c r="U57" s="122"/>
      <c r="V57" s="122"/>
      <c r="W57" s="284"/>
      <c r="X57" s="106"/>
      <c r="Y57" s="556"/>
      <c r="Z57" s="579"/>
      <c r="AA57" s="107"/>
      <c r="AB57" s="107"/>
      <c r="AC57" s="107"/>
      <c r="AD57" s="106"/>
    </row>
    <row r="58" ht="30.75" customHeight="1">
      <c r="A58" s="160">
        <v>42.0</v>
      </c>
      <c r="B58" s="159">
        <v>45205.0</v>
      </c>
      <c r="C58" s="160" t="s">
        <v>755</v>
      </c>
      <c r="D58" s="161" t="s">
        <v>459</v>
      </c>
      <c r="E58" s="162" t="s">
        <v>756</v>
      </c>
      <c r="F58" s="161" t="s">
        <v>180</v>
      </c>
      <c r="G58" s="164" t="s">
        <v>30</v>
      </c>
      <c r="H58" s="158">
        <v>1.0</v>
      </c>
      <c r="I58" s="165"/>
      <c r="J58" s="166">
        <f t="shared" si="7"/>
        <v>0</v>
      </c>
      <c r="K58" s="167">
        <f t="shared" si="10"/>
        <v>0</v>
      </c>
      <c r="L58" s="168"/>
      <c r="M58" s="168"/>
      <c r="N58" s="168"/>
      <c r="O58" s="169">
        <f t="shared" si="11"/>
        <v>0</v>
      </c>
      <c r="P58" s="170"/>
      <c r="Q58" s="170"/>
      <c r="R58" s="168"/>
      <c r="S58" s="170"/>
      <c r="T58" s="171"/>
      <c r="U58" s="421"/>
      <c r="V58" s="421"/>
      <c r="W58" s="582" t="s">
        <v>201</v>
      </c>
      <c r="X58" s="123"/>
      <c r="Y58" s="583"/>
      <c r="Z58" s="584"/>
      <c r="AA58" s="585"/>
      <c r="AB58" s="585"/>
      <c r="AC58" s="585"/>
      <c r="AD58" s="123"/>
    </row>
    <row r="59" ht="30.75" customHeight="1">
      <c r="A59" s="104">
        <v>43.0</v>
      </c>
      <c r="B59" s="120">
        <v>45205.0</v>
      </c>
      <c r="C59" s="93" t="s">
        <v>757</v>
      </c>
      <c r="D59" s="92" t="s">
        <v>459</v>
      </c>
      <c r="E59" s="105" t="s">
        <v>758</v>
      </c>
      <c r="F59" s="92" t="s">
        <v>74</v>
      </c>
      <c r="G59" s="63" t="s">
        <v>30</v>
      </c>
      <c r="H59" s="64">
        <v>2.0</v>
      </c>
      <c r="I59" s="47">
        <f t="shared" ref="I59:I131" si="12">VLOOKUP(G59,$Y$4:$Z$50,2,0)</f>
        <v>220000</v>
      </c>
      <c r="J59" s="48">
        <f t="shared" si="7"/>
        <v>440000</v>
      </c>
      <c r="K59" s="76">
        <f t="shared" si="10"/>
        <v>440000</v>
      </c>
      <c r="L59" s="109"/>
      <c r="M59" s="78">
        <f>71968</f>
        <v>71968</v>
      </c>
      <c r="N59" s="79"/>
      <c r="O59" s="80">
        <f t="shared" si="11"/>
        <v>368032</v>
      </c>
      <c r="P59" s="81" t="s">
        <v>449</v>
      </c>
      <c r="Q59" s="81" t="s">
        <v>31</v>
      </c>
      <c r="R59" s="109"/>
      <c r="S59" s="91"/>
      <c r="T59" s="84" t="s">
        <v>33</v>
      </c>
      <c r="U59" s="122"/>
      <c r="V59" s="122"/>
      <c r="W59" s="565" t="s">
        <v>53</v>
      </c>
      <c r="X59" s="106"/>
      <c r="Y59" s="556"/>
      <c r="Z59" s="579"/>
      <c r="AA59" s="107"/>
      <c r="AB59" s="107"/>
      <c r="AC59" s="107"/>
      <c r="AD59" s="106"/>
    </row>
    <row r="60" ht="30.75" customHeight="1">
      <c r="A60" s="104">
        <v>44.0</v>
      </c>
      <c r="B60" s="120">
        <v>45205.0</v>
      </c>
      <c r="C60" s="93" t="s">
        <v>759</v>
      </c>
      <c r="D60" s="92" t="s">
        <v>459</v>
      </c>
      <c r="E60" s="105" t="s">
        <v>760</v>
      </c>
      <c r="F60" s="92" t="s">
        <v>104</v>
      </c>
      <c r="G60" s="63" t="s">
        <v>30</v>
      </c>
      <c r="H60" s="64">
        <v>1.0</v>
      </c>
      <c r="I60" s="47">
        <f t="shared" si="12"/>
        <v>220000</v>
      </c>
      <c r="J60" s="48">
        <f t="shared" si="7"/>
        <v>220000</v>
      </c>
      <c r="K60" s="76">
        <f t="shared" si="10"/>
        <v>220000</v>
      </c>
      <c r="L60" s="109"/>
      <c r="M60" s="78">
        <f>13436</f>
        <v>13436</v>
      </c>
      <c r="N60" s="79"/>
      <c r="O60" s="80">
        <f t="shared" si="11"/>
        <v>206564</v>
      </c>
      <c r="P60" s="81" t="s">
        <v>449</v>
      </c>
      <c r="Q60" s="81" t="s">
        <v>31</v>
      </c>
      <c r="R60" s="109"/>
      <c r="S60" s="91"/>
      <c r="T60" s="84" t="s">
        <v>33</v>
      </c>
      <c r="U60" s="122"/>
      <c r="V60" s="122"/>
      <c r="W60" s="565" t="s">
        <v>53</v>
      </c>
      <c r="X60" s="106"/>
      <c r="Y60" s="556"/>
      <c r="Z60" s="579"/>
      <c r="AA60" s="107"/>
      <c r="AB60" s="107"/>
      <c r="AC60" s="107"/>
      <c r="AD60" s="106"/>
    </row>
    <row r="61" ht="30.75" customHeight="1">
      <c r="A61" s="93">
        <v>45.0</v>
      </c>
      <c r="B61" s="120">
        <v>45206.0</v>
      </c>
      <c r="C61" s="93">
        <v>1.721627660673E12</v>
      </c>
      <c r="D61" s="92" t="s">
        <v>44</v>
      </c>
      <c r="E61" s="105" t="s">
        <v>45</v>
      </c>
      <c r="F61" s="92" t="s">
        <v>324</v>
      </c>
      <c r="G61" s="63" t="s">
        <v>30</v>
      </c>
      <c r="H61" s="64">
        <v>10.0</v>
      </c>
      <c r="I61" s="47">
        <f t="shared" si="12"/>
        <v>220000</v>
      </c>
      <c r="J61" s="48">
        <f t="shared" si="7"/>
        <v>2200000</v>
      </c>
      <c r="K61" s="76">
        <f t="shared" si="10"/>
        <v>2200000</v>
      </c>
      <c r="L61" s="109"/>
      <c r="M61" s="78"/>
      <c r="N61" s="136"/>
      <c r="O61" s="80">
        <f t="shared" si="11"/>
        <v>2200000</v>
      </c>
      <c r="P61" s="81" t="s">
        <v>449</v>
      </c>
      <c r="Q61" s="81" t="s">
        <v>31</v>
      </c>
      <c r="R61" s="108">
        <v>78004.0</v>
      </c>
      <c r="S61" s="83" t="s">
        <v>32</v>
      </c>
      <c r="T61" s="84" t="s">
        <v>33</v>
      </c>
      <c r="U61" s="122"/>
      <c r="V61" s="122"/>
      <c r="W61" s="284"/>
      <c r="X61" s="106"/>
      <c r="Y61" s="556"/>
      <c r="Z61" s="579"/>
      <c r="AA61" s="107"/>
      <c r="AB61" s="107"/>
      <c r="AC61" s="107"/>
      <c r="AD61" s="106"/>
    </row>
    <row r="62" ht="30.75" customHeight="1">
      <c r="A62" s="104">
        <v>46.0</v>
      </c>
      <c r="B62" s="120">
        <v>45206.0</v>
      </c>
      <c r="C62" s="93" t="s">
        <v>761</v>
      </c>
      <c r="D62" s="92" t="s">
        <v>459</v>
      </c>
      <c r="E62" s="105" t="s">
        <v>762</v>
      </c>
      <c r="F62" s="92" t="s">
        <v>74</v>
      </c>
      <c r="G62" s="63" t="s">
        <v>30</v>
      </c>
      <c r="H62" s="64">
        <v>1.0</v>
      </c>
      <c r="I62" s="47">
        <f t="shared" si="12"/>
        <v>220000</v>
      </c>
      <c r="J62" s="48">
        <f t="shared" si="7"/>
        <v>220000</v>
      </c>
      <c r="K62" s="76">
        <f t="shared" si="10"/>
        <v>220000</v>
      </c>
      <c r="L62" s="109"/>
      <c r="M62" s="78">
        <f>11600</f>
        <v>11600</v>
      </c>
      <c r="N62" s="136"/>
      <c r="O62" s="80">
        <f t="shared" si="11"/>
        <v>208400</v>
      </c>
      <c r="P62" s="81" t="s">
        <v>449</v>
      </c>
      <c r="Q62" s="81" t="s">
        <v>31</v>
      </c>
      <c r="R62" s="109"/>
      <c r="S62" s="91"/>
      <c r="T62" s="84" t="s">
        <v>33</v>
      </c>
      <c r="U62" s="122"/>
      <c r="V62" s="122"/>
      <c r="W62" s="565" t="s">
        <v>53</v>
      </c>
      <c r="X62" s="106"/>
      <c r="Y62" s="556"/>
      <c r="Z62" s="579"/>
      <c r="AA62" s="107"/>
      <c r="AB62" s="107"/>
      <c r="AC62" s="107"/>
      <c r="AD62" s="106"/>
    </row>
    <row r="63" ht="30.75" customHeight="1">
      <c r="A63" s="104">
        <v>47.0</v>
      </c>
      <c r="B63" s="120">
        <v>45206.0</v>
      </c>
      <c r="C63" s="93" t="s">
        <v>763</v>
      </c>
      <c r="D63" s="92" t="s">
        <v>459</v>
      </c>
      <c r="E63" s="105" t="s">
        <v>764</v>
      </c>
      <c r="F63" s="92" t="s">
        <v>74</v>
      </c>
      <c r="G63" s="63" t="s">
        <v>30</v>
      </c>
      <c r="H63" s="64">
        <v>1.0</v>
      </c>
      <c r="I63" s="47">
        <f t="shared" si="12"/>
        <v>220000</v>
      </c>
      <c r="J63" s="48">
        <f t="shared" si="7"/>
        <v>220000</v>
      </c>
      <c r="K63" s="76">
        <f t="shared" si="10"/>
        <v>220000</v>
      </c>
      <c r="L63" s="122"/>
      <c r="M63" s="78">
        <f>14516</f>
        <v>14516</v>
      </c>
      <c r="N63" s="136"/>
      <c r="O63" s="80">
        <f t="shared" si="11"/>
        <v>205484</v>
      </c>
      <c r="P63" s="81" t="s">
        <v>449</v>
      </c>
      <c r="Q63" s="81" t="s">
        <v>31</v>
      </c>
      <c r="R63" s="109"/>
      <c r="S63" s="91"/>
      <c r="T63" s="84" t="s">
        <v>33</v>
      </c>
      <c r="U63" s="122"/>
      <c r="V63" s="122"/>
      <c r="W63" s="565" t="s">
        <v>53</v>
      </c>
      <c r="X63" s="106"/>
      <c r="Y63" s="556"/>
      <c r="Z63" s="579"/>
      <c r="AA63" s="107"/>
      <c r="AB63" s="107"/>
      <c r="AC63" s="107"/>
      <c r="AD63" s="106"/>
    </row>
    <row r="64" ht="36.75" customHeight="1">
      <c r="A64" s="104">
        <v>48.0</v>
      </c>
      <c r="B64" s="120">
        <v>45208.0</v>
      </c>
      <c r="C64" s="93">
        <v>1.698901487082E12</v>
      </c>
      <c r="D64" s="92" t="s">
        <v>765</v>
      </c>
      <c r="E64" s="105" t="s">
        <v>564</v>
      </c>
      <c r="F64" s="121" t="s">
        <v>565</v>
      </c>
      <c r="G64" s="63" t="s">
        <v>30</v>
      </c>
      <c r="H64" s="64">
        <v>6.0</v>
      </c>
      <c r="I64" s="47">
        <f t="shared" si="12"/>
        <v>220000</v>
      </c>
      <c r="J64" s="48">
        <f t="shared" si="7"/>
        <v>1320000</v>
      </c>
      <c r="K64" s="76">
        <f t="shared" si="10"/>
        <v>1320000</v>
      </c>
      <c r="L64" s="122"/>
      <c r="M64" s="78"/>
      <c r="N64" s="136"/>
      <c r="O64" s="80">
        <f t="shared" si="11"/>
        <v>1320000</v>
      </c>
      <c r="P64" s="81" t="s">
        <v>449</v>
      </c>
      <c r="Q64" s="420" t="s">
        <v>31</v>
      </c>
      <c r="R64" s="108">
        <v>58002.0</v>
      </c>
      <c r="S64" s="83" t="s">
        <v>32</v>
      </c>
      <c r="T64" s="84" t="s">
        <v>33</v>
      </c>
      <c r="U64" s="122"/>
      <c r="V64" s="122"/>
      <c r="W64" s="284"/>
      <c r="X64" s="106"/>
      <c r="Y64" s="556"/>
      <c r="Z64" s="579"/>
      <c r="AA64" s="107"/>
      <c r="AB64" s="107"/>
      <c r="AC64" s="107"/>
      <c r="AD64" s="106"/>
    </row>
    <row r="65" ht="30.75" customHeight="1">
      <c r="A65" s="104">
        <v>49.0</v>
      </c>
      <c r="B65" s="120">
        <v>45208.0</v>
      </c>
      <c r="C65" s="93">
        <v>1.720109801745E12</v>
      </c>
      <c r="D65" s="92" t="s">
        <v>766</v>
      </c>
      <c r="E65" s="105" t="s">
        <v>767</v>
      </c>
      <c r="F65" s="92" t="s">
        <v>768</v>
      </c>
      <c r="G65" s="63" t="s">
        <v>30</v>
      </c>
      <c r="H65" s="64">
        <v>4.0</v>
      </c>
      <c r="I65" s="47">
        <f t="shared" si="12"/>
        <v>220000</v>
      </c>
      <c r="J65" s="48">
        <f t="shared" si="7"/>
        <v>880000</v>
      </c>
      <c r="K65" s="76">
        <f t="shared" si="10"/>
        <v>880000</v>
      </c>
      <c r="L65" s="122"/>
      <c r="M65" s="78"/>
      <c r="N65" s="136"/>
      <c r="O65" s="80">
        <f t="shared" si="11"/>
        <v>880000</v>
      </c>
      <c r="P65" s="81" t="s">
        <v>449</v>
      </c>
      <c r="Q65" s="81" t="s">
        <v>31</v>
      </c>
      <c r="R65" s="108">
        <v>45001.0</v>
      </c>
      <c r="S65" s="83" t="s">
        <v>32</v>
      </c>
      <c r="T65" s="84" t="s">
        <v>33</v>
      </c>
      <c r="U65" s="122"/>
      <c r="V65" s="122"/>
      <c r="W65" s="565"/>
      <c r="X65" s="106"/>
      <c r="Y65" s="556"/>
      <c r="Z65" s="579"/>
      <c r="AA65" s="107"/>
      <c r="AB65" s="107"/>
      <c r="AC65" s="107"/>
      <c r="AD65" s="106"/>
    </row>
    <row r="66" ht="30.75" customHeight="1">
      <c r="A66" s="104">
        <v>50.0</v>
      </c>
      <c r="B66" s="120">
        <v>45208.0</v>
      </c>
      <c r="C66" s="93" t="s">
        <v>769</v>
      </c>
      <c r="D66" s="92" t="s">
        <v>50</v>
      </c>
      <c r="E66" s="105" t="s">
        <v>770</v>
      </c>
      <c r="F66" s="92" t="s">
        <v>464</v>
      </c>
      <c r="G66" s="63" t="s">
        <v>30</v>
      </c>
      <c r="H66" s="64">
        <v>2.0</v>
      </c>
      <c r="I66" s="47">
        <f t="shared" si="12"/>
        <v>220000</v>
      </c>
      <c r="J66" s="48">
        <f t="shared" si="7"/>
        <v>440000</v>
      </c>
      <c r="K66" s="76">
        <f t="shared" si="10"/>
        <v>440000</v>
      </c>
      <c r="L66" s="122"/>
      <c r="M66" s="78">
        <f>72240</f>
        <v>72240</v>
      </c>
      <c r="N66" s="136"/>
      <c r="O66" s="80">
        <f t="shared" si="11"/>
        <v>367760</v>
      </c>
      <c r="P66" s="81" t="s">
        <v>449</v>
      </c>
      <c r="Q66" s="81" t="s">
        <v>31</v>
      </c>
      <c r="R66" s="109"/>
      <c r="S66" s="91"/>
      <c r="T66" s="84" t="s">
        <v>33</v>
      </c>
      <c r="U66" s="122"/>
      <c r="V66" s="122"/>
      <c r="W66" s="565" t="s">
        <v>53</v>
      </c>
      <c r="X66" s="106"/>
      <c r="Y66" s="556"/>
      <c r="Z66" s="579"/>
      <c r="AA66" s="107"/>
      <c r="AB66" s="107"/>
      <c r="AC66" s="107"/>
      <c r="AD66" s="106"/>
    </row>
    <row r="67" ht="30.75" customHeight="1">
      <c r="A67" s="152">
        <v>51.0</v>
      </c>
      <c r="B67" s="40">
        <v>45209.0</v>
      </c>
      <c r="C67" s="111">
        <v>1.698292080454E12</v>
      </c>
      <c r="D67" s="142" t="s">
        <v>771</v>
      </c>
      <c r="E67" s="143" t="s">
        <v>772</v>
      </c>
      <c r="F67" s="142" t="s">
        <v>773</v>
      </c>
      <c r="G67" s="63" t="s">
        <v>30</v>
      </c>
      <c r="H67" s="64">
        <v>1.0</v>
      </c>
      <c r="I67" s="47">
        <f t="shared" si="12"/>
        <v>220000</v>
      </c>
      <c r="J67" s="48">
        <f t="shared" si="7"/>
        <v>220000</v>
      </c>
      <c r="K67" s="49">
        <f>SUM(J67:J68)</f>
        <v>285000</v>
      </c>
      <c r="L67" s="145">
        <v>40001.0</v>
      </c>
      <c r="M67" s="51"/>
      <c r="N67" s="117">
        <v>20001.0</v>
      </c>
      <c r="O67" s="53">
        <f t="shared" si="11"/>
        <v>305000</v>
      </c>
      <c r="P67" s="99" t="s">
        <v>449</v>
      </c>
      <c r="Q67" s="99" t="s">
        <v>31</v>
      </c>
      <c r="R67" s="144"/>
      <c r="S67" s="119"/>
      <c r="T67" s="57" t="s">
        <v>33</v>
      </c>
      <c r="U67" s="147"/>
      <c r="V67" s="147"/>
      <c r="W67" s="147"/>
      <c r="X67" s="106"/>
      <c r="Y67" s="556"/>
      <c r="Z67" s="579"/>
      <c r="AA67" s="107"/>
      <c r="AB67" s="107"/>
      <c r="AC67" s="107"/>
      <c r="AD67" s="106"/>
    </row>
    <row r="68" ht="30.75" customHeight="1">
      <c r="A68" s="67"/>
      <c r="B68" s="67"/>
      <c r="C68" s="67"/>
      <c r="D68" s="67"/>
      <c r="E68" s="67"/>
      <c r="F68" s="67"/>
      <c r="G68" s="571" t="s">
        <v>477</v>
      </c>
      <c r="H68" s="572">
        <v>1.0</v>
      </c>
      <c r="I68" s="573">
        <f t="shared" si="12"/>
        <v>65000</v>
      </c>
      <c r="J68" s="574">
        <f t="shared" si="7"/>
        <v>65000</v>
      </c>
      <c r="K68" s="67"/>
      <c r="L68" s="67"/>
      <c r="M68" s="67"/>
      <c r="N68" s="67"/>
      <c r="O68" s="67"/>
      <c r="P68" s="67"/>
      <c r="Q68" s="67"/>
      <c r="R68" s="67"/>
      <c r="S68" s="67"/>
      <c r="T68" s="67"/>
      <c r="U68" s="67"/>
      <c r="V68" s="67"/>
      <c r="W68" s="67"/>
      <c r="X68" s="106"/>
      <c r="Y68" s="556"/>
      <c r="Z68" s="579"/>
      <c r="AA68" s="107"/>
      <c r="AB68" s="107"/>
      <c r="AC68" s="107"/>
      <c r="AD68" s="106"/>
    </row>
    <row r="69" ht="30.75" customHeight="1">
      <c r="A69" s="104">
        <v>52.0</v>
      </c>
      <c r="B69" s="120">
        <v>45209.0</v>
      </c>
      <c r="C69" s="93">
        <v>1.719680077804E12</v>
      </c>
      <c r="D69" s="586" t="s">
        <v>603</v>
      </c>
      <c r="E69" s="105" t="s">
        <v>712</v>
      </c>
      <c r="F69" s="92" t="s">
        <v>768</v>
      </c>
      <c r="G69" s="63" t="s">
        <v>30</v>
      </c>
      <c r="H69" s="64">
        <v>6.0</v>
      </c>
      <c r="I69" s="47">
        <f t="shared" si="12"/>
        <v>220000</v>
      </c>
      <c r="J69" s="48">
        <f t="shared" si="7"/>
        <v>1320000</v>
      </c>
      <c r="K69" s="76">
        <f t="shared" ref="K69:K71" si="13">SUM(J69)</f>
        <v>1320000</v>
      </c>
      <c r="L69" s="109"/>
      <c r="M69" s="78"/>
      <c r="N69" s="79"/>
      <c r="O69" s="80">
        <f t="shared" ref="O69:O72" si="14">K69+L69-M69-N69</f>
        <v>1320000</v>
      </c>
      <c r="P69" s="81" t="s">
        <v>449</v>
      </c>
      <c r="Q69" s="81" t="s">
        <v>31</v>
      </c>
      <c r="R69" s="108">
        <v>51002.0</v>
      </c>
      <c r="S69" s="83" t="s">
        <v>32</v>
      </c>
      <c r="T69" s="84" t="s">
        <v>33</v>
      </c>
      <c r="U69" s="122"/>
      <c r="V69" s="122"/>
      <c r="W69" s="565"/>
      <c r="X69" s="106"/>
      <c r="Y69" s="556"/>
      <c r="Z69" s="579"/>
      <c r="AA69" s="107"/>
      <c r="AB69" s="107"/>
      <c r="AC69" s="107"/>
      <c r="AD69" s="106"/>
    </row>
    <row r="70" ht="30.75" customHeight="1">
      <c r="A70" s="104">
        <v>53.0</v>
      </c>
      <c r="B70" s="120">
        <v>45209.0</v>
      </c>
      <c r="C70" s="93" t="s">
        <v>774</v>
      </c>
      <c r="D70" s="92" t="s">
        <v>50</v>
      </c>
      <c r="E70" s="105" t="s">
        <v>775</v>
      </c>
      <c r="F70" s="92" t="s">
        <v>193</v>
      </c>
      <c r="G70" s="63" t="s">
        <v>30</v>
      </c>
      <c r="H70" s="64">
        <v>2.0</v>
      </c>
      <c r="I70" s="47">
        <f t="shared" si="12"/>
        <v>220000</v>
      </c>
      <c r="J70" s="48">
        <f t="shared" si="7"/>
        <v>440000</v>
      </c>
      <c r="K70" s="76">
        <f t="shared" si="13"/>
        <v>440000</v>
      </c>
      <c r="L70" s="109"/>
      <c r="M70" s="78">
        <f>27240</f>
        <v>27240</v>
      </c>
      <c r="N70" s="79"/>
      <c r="O70" s="80">
        <f t="shared" si="14"/>
        <v>412760</v>
      </c>
      <c r="P70" s="81" t="s">
        <v>449</v>
      </c>
      <c r="Q70" s="81" t="s">
        <v>31</v>
      </c>
      <c r="R70" s="109"/>
      <c r="S70" s="91"/>
      <c r="T70" s="84" t="s">
        <v>33</v>
      </c>
      <c r="U70" s="122"/>
      <c r="V70" s="122"/>
      <c r="W70" s="565" t="s">
        <v>53</v>
      </c>
      <c r="X70" s="106"/>
      <c r="Y70" s="556"/>
      <c r="Z70" s="579"/>
      <c r="AA70" s="107"/>
      <c r="AB70" s="107"/>
      <c r="AC70" s="107"/>
      <c r="AD70" s="106"/>
    </row>
    <row r="71" ht="30.75" customHeight="1">
      <c r="A71" s="104">
        <v>54.0</v>
      </c>
      <c r="B71" s="120">
        <v>45209.0</v>
      </c>
      <c r="C71" s="93" t="s">
        <v>776</v>
      </c>
      <c r="D71" s="92" t="s">
        <v>50</v>
      </c>
      <c r="E71" s="105" t="s">
        <v>777</v>
      </c>
      <c r="F71" s="92" t="s">
        <v>74</v>
      </c>
      <c r="G71" s="63" t="s">
        <v>30</v>
      </c>
      <c r="H71" s="64">
        <v>2.0</v>
      </c>
      <c r="I71" s="47">
        <f t="shared" si="12"/>
        <v>220000</v>
      </c>
      <c r="J71" s="48">
        <f t="shared" si="7"/>
        <v>440000</v>
      </c>
      <c r="K71" s="76">
        <f t="shared" si="13"/>
        <v>440000</v>
      </c>
      <c r="L71" s="109"/>
      <c r="M71" s="78">
        <f>64576</f>
        <v>64576</v>
      </c>
      <c r="N71" s="79"/>
      <c r="O71" s="80">
        <f t="shared" si="14"/>
        <v>375424</v>
      </c>
      <c r="P71" s="81" t="s">
        <v>449</v>
      </c>
      <c r="Q71" s="81" t="s">
        <v>31</v>
      </c>
      <c r="R71" s="109"/>
      <c r="S71" s="91"/>
      <c r="T71" s="84" t="s">
        <v>33</v>
      </c>
      <c r="U71" s="122"/>
      <c r="V71" s="122"/>
      <c r="W71" s="565" t="s">
        <v>53</v>
      </c>
      <c r="X71" s="106"/>
      <c r="Y71" s="556"/>
      <c r="Z71" s="579"/>
      <c r="AA71" s="107"/>
      <c r="AB71" s="107"/>
      <c r="AC71" s="107"/>
      <c r="AD71" s="106"/>
    </row>
    <row r="72" ht="30.75" customHeight="1">
      <c r="A72" s="152">
        <v>55.0</v>
      </c>
      <c r="B72" s="40">
        <v>45209.0</v>
      </c>
      <c r="C72" s="111" t="s">
        <v>778</v>
      </c>
      <c r="D72" s="142" t="s">
        <v>118</v>
      </c>
      <c r="E72" s="146"/>
      <c r="F72" s="142" t="s">
        <v>180</v>
      </c>
      <c r="G72" s="63" t="s">
        <v>30</v>
      </c>
      <c r="H72" s="64">
        <v>1.0</v>
      </c>
      <c r="I72" s="47">
        <f t="shared" si="12"/>
        <v>220000</v>
      </c>
      <c r="J72" s="48">
        <f t="shared" si="7"/>
        <v>220000</v>
      </c>
      <c r="K72" s="49">
        <f>sum(J72:J73)</f>
        <v>440000</v>
      </c>
      <c r="L72" s="144"/>
      <c r="M72" s="51">
        <f>30200</f>
        <v>30200</v>
      </c>
      <c r="N72" s="52"/>
      <c r="O72" s="53">
        <f t="shared" si="14"/>
        <v>409800</v>
      </c>
      <c r="P72" s="99" t="s">
        <v>449</v>
      </c>
      <c r="Q72" s="99" t="s">
        <v>31</v>
      </c>
      <c r="R72" s="144"/>
      <c r="S72" s="119"/>
      <c r="T72" s="57" t="s">
        <v>33</v>
      </c>
      <c r="U72" s="147"/>
      <c r="V72" s="147"/>
      <c r="W72" s="142" t="s">
        <v>703</v>
      </c>
      <c r="X72" s="106"/>
      <c r="Y72" s="556"/>
      <c r="Z72" s="579"/>
      <c r="AA72" s="107"/>
      <c r="AB72" s="107"/>
      <c r="AC72" s="107"/>
      <c r="AD72" s="106"/>
    </row>
    <row r="73" ht="30.75" customHeight="1">
      <c r="A73" s="67"/>
      <c r="B73" s="67"/>
      <c r="C73" s="67"/>
      <c r="D73" s="67"/>
      <c r="E73" s="67"/>
      <c r="F73" s="67"/>
      <c r="G73" s="63" t="s">
        <v>35</v>
      </c>
      <c r="H73" s="64">
        <v>1.0</v>
      </c>
      <c r="I73" s="47">
        <f t="shared" si="12"/>
        <v>220000</v>
      </c>
      <c r="J73" s="48">
        <f t="shared" si="7"/>
        <v>220000</v>
      </c>
      <c r="K73" s="67"/>
      <c r="L73" s="67"/>
      <c r="M73" s="67"/>
      <c r="N73" s="67"/>
      <c r="O73" s="67"/>
      <c r="P73" s="67"/>
      <c r="Q73" s="67"/>
      <c r="R73" s="67"/>
      <c r="S73" s="67"/>
      <c r="T73" s="67"/>
      <c r="U73" s="67"/>
      <c r="V73" s="67"/>
      <c r="W73" s="67"/>
      <c r="X73" s="106"/>
      <c r="Y73" s="556"/>
      <c r="Z73" s="579"/>
      <c r="AA73" s="107"/>
      <c r="AB73" s="107"/>
      <c r="AC73" s="107"/>
      <c r="AD73" s="106"/>
    </row>
    <row r="74" ht="42.0" customHeight="1">
      <c r="A74" s="104">
        <v>56.0</v>
      </c>
      <c r="B74" s="103">
        <v>45209.0</v>
      </c>
      <c r="C74" s="93">
        <v>1.729683452759E12</v>
      </c>
      <c r="D74" s="121" t="s">
        <v>779</v>
      </c>
      <c r="E74" s="105" t="s">
        <v>780</v>
      </c>
      <c r="F74" s="92" t="s">
        <v>781</v>
      </c>
      <c r="G74" s="63" t="s">
        <v>30</v>
      </c>
      <c r="H74" s="64">
        <v>5.0</v>
      </c>
      <c r="I74" s="47">
        <f t="shared" si="12"/>
        <v>220000</v>
      </c>
      <c r="J74" s="48">
        <f t="shared" si="7"/>
        <v>1100000</v>
      </c>
      <c r="K74" s="76">
        <f t="shared" ref="K74:K85" si="15">SUM(J74)</f>
        <v>1100000</v>
      </c>
      <c r="L74" s="109"/>
      <c r="M74" s="78"/>
      <c r="N74" s="79"/>
      <c r="O74" s="80">
        <f t="shared" ref="O74:O86" si="16">K74+L74-M74-N74</f>
        <v>1100000</v>
      </c>
      <c r="P74" s="81" t="s">
        <v>449</v>
      </c>
      <c r="Q74" s="81" t="s">
        <v>31</v>
      </c>
      <c r="R74" s="108">
        <v>55002.0</v>
      </c>
      <c r="S74" s="83" t="s">
        <v>32</v>
      </c>
      <c r="T74" s="84" t="s">
        <v>33</v>
      </c>
      <c r="U74" s="122"/>
      <c r="V74" s="122"/>
      <c r="W74" s="284"/>
      <c r="X74" s="106"/>
      <c r="Y74" s="556"/>
      <c r="Z74" s="579"/>
      <c r="AA74" s="107"/>
      <c r="AB74" s="107"/>
      <c r="AC74" s="107"/>
      <c r="AD74" s="106"/>
    </row>
    <row r="75" ht="30.75" customHeight="1">
      <c r="A75" s="104">
        <v>57.0</v>
      </c>
      <c r="B75" s="103">
        <v>45210.0</v>
      </c>
      <c r="C75" s="323" t="s">
        <v>782</v>
      </c>
      <c r="D75" s="92" t="s">
        <v>50</v>
      </c>
      <c r="E75" s="105" t="s">
        <v>783</v>
      </c>
      <c r="F75" s="92" t="s">
        <v>119</v>
      </c>
      <c r="G75" s="63" t="s">
        <v>30</v>
      </c>
      <c r="H75" s="64">
        <v>2.0</v>
      </c>
      <c r="I75" s="47">
        <f t="shared" si="12"/>
        <v>220000</v>
      </c>
      <c r="J75" s="48">
        <f t="shared" si="7"/>
        <v>440000</v>
      </c>
      <c r="K75" s="76">
        <f t="shared" si="15"/>
        <v>440000</v>
      </c>
      <c r="L75" s="109"/>
      <c r="M75" s="78">
        <f>60600</f>
        <v>60600</v>
      </c>
      <c r="N75" s="79"/>
      <c r="O75" s="80">
        <f t="shared" si="16"/>
        <v>379400</v>
      </c>
      <c r="P75" s="81" t="s">
        <v>449</v>
      </c>
      <c r="Q75" s="81" t="s">
        <v>31</v>
      </c>
      <c r="R75" s="109"/>
      <c r="S75" s="91"/>
      <c r="T75" s="84" t="s">
        <v>33</v>
      </c>
      <c r="U75" s="122"/>
      <c r="V75" s="122"/>
      <c r="W75" s="565" t="s">
        <v>53</v>
      </c>
      <c r="X75" s="106"/>
      <c r="Y75" s="556"/>
      <c r="Z75" s="579"/>
      <c r="AA75" s="107"/>
      <c r="AB75" s="107"/>
      <c r="AC75" s="107"/>
      <c r="AD75" s="106"/>
    </row>
    <row r="76" ht="30.75" customHeight="1">
      <c r="A76" s="104">
        <v>58.0</v>
      </c>
      <c r="B76" s="103">
        <v>45210.0</v>
      </c>
      <c r="C76" s="93" t="s">
        <v>784</v>
      </c>
      <c r="D76" s="92" t="s">
        <v>50</v>
      </c>
      <c r="E76" s="105" t="s">
        <v>785</v>
      </c>
      <c r="F76" s="92" t="s">
        <v>84</v>
      </c>
      <c r="G76" s="63" t="s">
        <v>30</v>
      </c>
      <c r="H76" s="64">
        <v>1.0</v>
      </c>
      <c r="I76" s="47">
        <f t="shared" si="12"/>
        <v>220000</v>
      </c>
      <c r="J76" s="48">
        <f t="shared" si="7"/>
        <v>220000</v>
      </c>
      <c r="K76" s="76">
        <f t="shared" si="15"/>
        <v>220000</v>
      </c>
      <c r="L76" s="109"/>
      <c r="M76" s="78">
        <f>37516</f>
        <v>37516</v>
      </c>
      <c r="N76" s="79"/>
      <c r="O76" s="80">
        <f t="shared" si="16"/>
        <v>182484</v>
      </c>
      <c r="P76" s="81" t="s">
        <v>449</v>
      </c>
      <c r="Q76" s="81" t="s">
        <v>31</v>
      </c>
      <c r="R76" s="109"/>
      <c r="S76" s="91"/>
      <c r="T76" s="84" t="s">
        <v>33</v>
      </c>
      <c r="U76" s="122"/>
      <c r="V76" s="122"/>
      <c r="W76" s="565" t="s">
        <v>53</v>
      </c>
      <c r="X76" s="106"/>
      <c r="Y76" s="556"/>
      <c r="Z76" s="579"/>
      <c r="AA76" s="107"/>
      <c r="AB76" s="107"/>
      <c r="AC76" s="107"/>
      <c r="AD76" s="106"/>
    </row>
    <row r="77" ht="30.75" customHeight="1">
      <c r="A77" s="104">
        <v>59.0</v>
      </c>
      <c r="B77" s="103">
        <v>45210.0</v>
      </c>
      <c r="C77" s="93" t="s">
        <v>786</v>
      </c>
      <c r="D77" s="92" t="s">
        <v>50</v>
      </c>
      <c r="E77" s="105" t="s">
        <v>787</v>
      </c>
      <c r="F77" s="92" t="s">
        <v>180</v>
      </c>
      <c r="G77" s="63" t="s">
        <v>30</v>
      </c>
      <c r="H77" s="64">
        <v>2.0</v>
      </c>
      <c r="I77" s="47">
        <f t="shared" si="12"/>
        <v>220000</v>
      </c>
      <c r="J77" s="48">
        <f t="shared" si="7"/>
        <v>440000</v>
      </c>
      <c r="K77" s="76">
        <f t="shared" si="15"/>
        <v>440000</v>
      </c>
      <c r="L77" s="109"/>
      <c r="M77" s="78">
        <f>25128</f>
        <v>25128</v>
      </c>
      <c r="N77" s="79"/>
      <c r="O77" s="80">
        <f t="shared" si="16"/>
        <v>414872</v>
      </c>
      <c r="P77" s="81" t="s">
        <v>449</v>
      </c>
      <c r="Q77" s="81" t="s">
        <v>31</v>
      </c>
      <c r="R77" s="109"/>
      <c r="S77" s="91"/>
      <c r="T77" s="84" t="s">
        <v>33</v>
      </c>
      <c r="U77" s="122"/>
      <c r="V77" s="122"/>
      <c r="W77" s="565" t="s">
        <v>53</v>
      </c>
      <c r="X77" s="106"/>
      <c r="Y77" s="556"/>
      <c r="Z77" s="579"/>
      <c r="AA77" s="107"/>
      <c r="AB77" s="107"/>
      <c r="AC77" s="107"/>
      <c r="AD77" s="106"/>
    </row>
    <row r="78" ht="30.75" customHeight="1">
      <c r="A78" s="104">
        <v>60.0</v>
      </c>
      <c r="B78" s="103">
        <v>45210.0</v>
      </c>
      <c r="C78" s="93" t="s">
        <v>788</v>
      </c>
      <c r="D78" s="92" t="s">
        <v>50</v>
      </c>
      <c r="E78" s="105" t="s">
        <v>789</v>
      </c>
      <c r="F78" s="92" t="s">
        <v>790</v>
      </c>
      <c r="G78" s="63" t="s">
        <v>30</v>
      </c>
      <c r="H78" s="64">
        <v>1.0</v>
      </c>
      <c r="I78" s="47">
        <f t="shared" si="12"/>
        <v>220000</v>
      </c>
      <c r="J78" s="48">
        <f t="shared" si="7"/>
        <v>220000</v>
      </c>
      <c r="K78" s="76">
        <f t="shared" si="15"/>
        <v>220000</v>
      </c>
      <c r="L78" s="109"/>
      <c r="M78" s="78">
        <f>13796</f>
        <v>13796</v>
      </c>
      <c r="N78" s="79"/>
      <c r="O78" s="80">
        <f t="shared" si="16"/>
        <v>206204</v>
      </c>
      <c r="P78" s="81" t="s">
        <v>449</v>
      </c>
      <c r="Q78" s="81" t="s">
        <v>31</v>
      </c>
      <c r="R78" s="109"/>
      <c r="S78" s="91"/>
      <c r="T78" s="84" t="s">
        <v>33</v>
      </c>
      <c r="U78" s="122"/>
      <c r="V78" s="122"/>
      <c r="W78" s="565" t="s">
        <v>53</v>
      </c>
      <c r="X78" s="106"/>
      <c r="Y78" s="556"/>
      <c r="Z78" s="579"/>
      <c r="AA78" s="107"/>
      <c r="AB78" s="107"/>
      <c r="AC78" s="107"/>
      <c r="AD78" s="106"/>
    </row>
    <row r="79" ht="30.75" customHeight="1">
      <c r="A79" s="104">
        <v>61.0</v>
      </c>
      <c r="B79" s="103">
        <v>45210.0</v>
      </c>
      <c r="C79" s="93" t="s">
        <v>791</v>
      </c>
      <c r="D79" s="92" t="s">
        <v>50</v>
      </c>
      <c r="E79" s="105" t="s">
        <v>792</v>
      </c>
      <c r="F79" s="92" t="s">
        <v>156</v>
      </c>
      <c r="G79" s="63" t="s">
        <v>30</v>
      </c>
      <c r="H79" s="64">
        <v>1.0</v>
      </c>
      <c r="I79" s="47">
        <f t="shared" si="12"/>
        <v>220000</v>
      </c>
      <c r="J79" s="48">
        <f t="shared" si="7"/>
        <v>220000</v>
      </c>
      <c r="K79" s="76">
        <f t="shared" si="15"/>
        <v>220000</v>
      </c>
      <c r="L79" s="109"/>
      <c r="M79" s="78">
        <f>14876</f>
        <v>14876</v>
      </c>
      <c r="N79" s="79"/>
      <c r="O79" s="80">
        <f t="shared" si="16"/>
        <v>205124</v>
      </c>
      <c r="P79" s="81" t="s">
        <v>449</v>
      </c>
      <c r="Q79" s="81" t="s">
        <v>31</v>
      </c>
      <c r="R79" s="109"/>
      <c r="S79" s="91"/>
      <c r="T79" s="84" t="s">
        <v>33</v>
      </c>
      <c r="U79" s="122"/>
      <c r="V79" s="122"/>
      <c r="W79" s="565" t="s">
        <v>53</v>
      </c>
      <c r="X79" s="106"/>
      <c r="Y79" s="556"/>
      <c r="Z79" s="579"/>
      <c r="AA79" s="107"/>
      <c r="AB79" s="107"/>
      <c r="AC79" s="107"/>
      <c r="AD79" s="106"/>
    </row>
    <row r="80" ht="30.75" customHeight="1">
      <c r="A80" s="93">
        <v>62.0</v>
      </c>
      <c r="B80" s="103">
        <v>45210.0</v>
      </c>
      <c r="C80" s="93">
        <v>1.719528496349E12</v>
      </c>
      <c r="D80" s="92" t="s">
        <v>793</v>
      </c>
      <c r="E80" s="105" t="s">
        <v>794</v>
      </c>
      <c r="F80" s="92" t="s">
        <v>795</v>
      </c>
      <c r="G80" s="63" t="s">
        <v>30</v>
      </c>
      <c r="H80" s="64">
        <v>1.0</v>
      </c>
      <c r="I80" s="47">
        <f t="shared" si="12"/>
        <v>220000</v>
      </c>
      <c r="J80" s="48">
        <f t="shared" si="7"/>
        <v>220000</v>
      </c>
      <c r="K80" s="76">
        <f t="shared" si="15"/>
        <v>220000</v>
      </c>
      <c r="L80" s="108">
        <v>37000.0</v>
      </c>
      <c r="M80" s="78"/>
      <c r="N80" s="115">
        <v>17000.0</v>
      </c>
      <c r="O80" s="80">
        <f t="shared" si="16"/>
        <v>240000</v>
      </c>
      <c r="P80" s="81" t="s">
        <v>449</v>
      </c>
      <c r="Q80" s="81" t="s">
        <v>31</v>
      </c>
      <c r="R80" s="109"/>
      <c r="S80" s="91"/>
      <c r="T80" s="84" t="s">
        <v>33</v>
      </c>
      <c r="U80" s="122"/>
      <c r="V80" s="122"/>
      <c r="W80" s="565"/>
      <c r="X80" s="106"/>
      <c r="Y80" s="556"/>
      <c r="Z80" s="579"/>
      <c r="AA80" s="107"/>
      <c r="AB80" s="107"/>
      <c r="AC80" s="107"/>
      <c r="AD80" s="106"/>
    </row>
    <row r="81" ht="30.75" customHeight="1">
      <c r="A81" s="93">
        <v>63.0</v>
      </c>
      <c r="B81" s="103">
        <v>45211.0</v>
      </c>
      <c r="C81" s="93">
        <v>1.719462703853E12</v>
      </c>
      <c r="D81" s="92" t="s">
        <v>167</v>
      </c>
      <c r="E81" s="105" t="s">
        <v>168</v>
      </c>
      <c r="F81" s="92" t="s">
        <v>796</v>
      </c>
      <c r="G81" s="63" t="s">
        <v>30</v>
      </c>
      <c r="H81" s="64">
        <v>3.0</v>
      </c>
      <c r="I81" s="47">
        <f t="shared" si="12"/>
        <v>220000</v>
      </c>
      <c r="J81" s="48">
        <f t="shared" si="7"/>
        <v>660000</v>
      </c>
      <c r="K81" s="76">
        <f t="shared" si="15"/>
        <v>660000</v>
      </c>
      <c r="L81" s="109"/>
      <c r="M81" s="78"/>
      <c r="N81" s="79"/>
      <c r="O81" s="80">
        <f t="shared" si="16"/>
        <v>660000</v>
      </c>
      <c r="P81" s="81" t="s">
        <v>449</v>
      </c>
      <c r="Q81" s="81" t="s">
        <v>31</v>
      </c>
      <c r="R81" s="108">
        <v>49002.0</v>
      </c>
      <c r="S81" s="83" t="s">
        <v>32</v>
      </c>
      <c r="T81" s="84" t="s">
        <v>33</v>
      </c>
      <c r="U81" s="122"/>
      <c r="V81" s="122"/>
      <c r="W81" s="284"/>
      <c r="X81" s="106"/>
      <c r="Y81" s="556"/>
      <c r="Z81" s="579"/>
      <c r="AA81" s="107"/>
      <c r="AB81" s="107"/>
      <c r="AC81" s="107"/>
      <c r="AD81" s="106"/>
    </row>
    <row r="82" ht="30.75" customHeight="1">
      <c r="A82" s="93">
        <v>64.0</v>
      </c>
      <c r="B82" s="103">
        <v>45211.0</v>
      </c>
      <c r="C82" s="93">
        <v>1.71960599441E12</v>
      </c>
      <c r="D82" s="92" t="s">
        <v>797</v>
      </c>
      <c r="E82" s="105" t="s">
        <v>798</v>
      </c>
      <c r="F82" s="92" t="s">
        <v>799</v>
      </c>
      <c r="G82" s="63" t="s">
        <v>47</v>
      </c>
      <c r="H82" s="64">
        <v>1.0</v>
      </c>
      <c r="I82" s="47">
        <f t="shared" si="12"/>
        <v>220000</v>
      </c>
      <c r="J82" s="48">
        <f t="shared" si="7"/>
        <v>220000</v>
      </c>
      <c r="K82" s="76">
        <f t="shared" si="15"/>
        <v>220000</v>
      </c>
      <c r="L82" s="108">
        <v>40001.0</v>
      </c>
      <c r="M82" s="78"/>
      <c r="N82" s="115">
        <v>20001.0</v>
      </c>
      <c r="O82" s="80">
        <f t="shared" si="16"/>
        <v>240000</v>
      </c>
      <c r="P82" s="81" t="s">
        <v>449</v>
      </c>
      <c r="Q82" s="81" t="s">
        <v>31</v>
      </c>
      <c r="R82" s="109"/>
      <c r="S82" s="91"/>
      <c r="T82" s="84" t="s">
        <v>33</v>
      </c>
      <c r="U82" s="122"/>
      <c r="V82" s="122"/>
      <c r="W82" s="284"/>
      <c r="X82" s="106"/>
      <c r="Y82" s="556"/>
      <c r="Z82" s="579"/>
      <c r="AA82" s="107"/>
      <c r="AB82" s="107"/>
      <c r="AC82" s="107"/>
      <c r="AD82" s="106"/>
    </row>
    <row r="83" ht="30.75" customHeight="1">
      <c r="A83" s="104">
        <v>65.0</v>
      </c>
      <c r="B83" s="103">
        <v>45212.0</v>
      </c>
      <c r="C83" s="93" t="s">
        <v>800</v>
      </c>
      <c r="D83" s="92" t="s">
        <v>50</v>
      </c>
      <c r="E83" s="105" t="s">
        <v>801</v>
      </c>
      <c r="F83" s="92" t="s">
        <v>802</v>
      </c>
      <c r="G83" s="63" t="s">
        <v>30</v>
      </c>
      <c r="H83" s="64">
        <v>1.0</v>
      </c>
      <c r="I83" s="47">
        <f t="shared" si="12"/>
        <v>220000</v>
      </c>
      <c r="J83" s="48">
        <f t="shared" si="7"/>
        <v>220000</v>
      </c>
      <c r="K83" s="76">
        <f t="shared" si="15"/>
        <v>220000</v>
      </c>
      <c r="L83" s="109"/>
      <c r="M83" s="78">
        <f>14516</f>
        <v>14516</v>
      </c>
      <c r="N83" s="79"/>
      <c r="O83" s="80">
        <f t="shared" si="16"/>
        <v>205484</v>
      </c>
      <c r="P83" s="81" t="s">
        <v>449</v>
      </c>
      <c r="Q83" s="81" t="s">
        <v>31</v>
      </c>
      <c r="R83" s="109"/>
      <c r="S83" s="91"/>
      <c r="T83" s="84" t="s">
        <v>33</v>
      </c>
      <c r="U83" s="122"/>
      <c r="V83" s="122"/>
      <c r="W83" s="565" t="s">
        <v>53</v>
      </c>
      <c r="X83" s="106"/>
      <c r="Y83" s="556"/>
      <c r="Z83" s="579"/>
      <c r="AA83" s="107"/>
      <c r="AB83" s="107"/>
      <c r="AC83" s="107"/>
      <c r="AD83" s="106"/>
    </row>
    <row r="84" ht="30.75" customHeight="1">
      <c r="A84" s="104">
        <v>66.0</v>
      </c>
      <c r="B84" s="103">
        <v>45212.0</v>
      </c>
      <c r="C84" s="93" t="s">
        <v>803</v>
      </c>
      <c r="D84" s="92" t="s">
        <v>50</v>
      </c>
      <c r="E84" s="105" t="s">
        <v>804</v>
      </c>
      <c r="F84" s="92" t="s">
        <v>119</v>
      </c>
      <c r="G84" s="63" t="s">
        <v>30</v>
      </c>
      <c r="H84" s="64">
        <v>1.0</v>
      </c>
      <c r="I84" s="47">
        <f t="shared" si="12"/>
        <v>220000</v>
      </c>
      <c r="J84" s="48">
        <f t="shared" si="7"/>
        <v>220000</v>
      </c>
      <c r="K84" s="76">
        <f t="shared" si="15"/>
        <v>220000</v>
      </c>
      <c r="L84" s="109"/>
      <c r="M84" s="78">
        <f>13876</f>
        <v>13876</v>
      </c>
      <c r="N84" s="79"/>
      <c r="O84" s="80">
        <f t="shared" si="16"/>
        <v>206124</v>
      </c>
      <c r="P84" s="81" t="s">
        <v>449</v>
      </c>
      <c r="Q84" s="81" t="s">
        <v>31</v>
      </c>
      <c r="R84" s="109"/>
      <c r="S84" s="91"/>
      <c r="T84" s="84" t="s">
        <v>33</v>
      </c>
      <c r="U84" s="122"/>
      <c r="V84" s="122"/>
      <c r="W84" s="565" t="s">
        <v>53</v>
      </c>
      <c r="X84" s="106"/>
      <c r="Y84" s="556"/>
      <c r="Z84" s="579"/>
      <c r="AA84" s="107"/>
      <c r="AB84" s="107"/>
      <c r="AC84" s="107"/>
      <c r="AD84" s="106"/>
    </row>
    <row r="85" ht="30.75" customHeight="1">
      <c r="A85" s="104">
        <v>67.0</v>
      </c>
      <c r="B85" s="103">
        <v>45212.0</v>
      </c>
      <c r="C85" s="93" t="s">
        <v>805</v>
      </c>
      <c r="D85" s="92" t="s">
        <v>50</v>
      </c>
      <c r="E85" s="105" t="s">
        <v>334</v>
      </c>
      <c r="F85" s="156" t="s">
        <v>104</v>
      </c>
      <c r="G85" s="63" t="s">
        <v>30</v>
      </c>
      <c r="H85" s="64">
        <v>1.0</v>
      </c>
      <c r="I85" s="47">
        <f t="shared" si="12"/>
        <v>220000</v>
      </c>
      <c r="J85" s="48">
        <f t="shared" si="7"/>
        <v>220000</v>
      </c>
      <c r="K85" s="76">
        <f t="shared" si="15"/>
        <v>220000</v>
      </c>
      <c r="L85" s="109"/>
      <c r="M85" s="78">
        <f>12876</f>
        <v>12876</v>
      </c>
      <c r="N85" s="115"/>
      <c r="O85" s="80">
        <f t="shared" si="16"/>
        <v>207124</v>
      </c>
      <c r="P85" s="81" t="s">
        <v>449</v>
      </c>
      <c r="Q85" s="81" t="s">
        <v>31</v>
      </c>
      <c r="R85" s="108"/>
      <c r="S85" s="83"/>
      <c r="T85" s="84" t="s">
        <v>33</v>
      </c>
      <c r="U85" s="122"/>
      <c r="V85" s="122"/>
      <c r="W85" s="565" t="s">
        <v>53</v>
      </c>
      <c r="X85" s="106"/>
      <c r="Y85" s="556"/>
      <c r="Z85" s="579"/>
      <c r="AA85" s="107"/>
      <c r="AB85" s="107"/>
      <c r="AC85" s="107"/>
      <c r="AD85" s="106"/>
    </row>
    <row r="86" ht="30.75" customHeight="1">
      <c r="A86" s="111">
        <v>68.0</v>
      </c>
      <c r="B86" s="112">
        <v>45212.0</v>
      </c>
      <c r="C86" s="111">
        <v>1.703641764191E12</v>
      </c>
      <c r="D86" s="148" t="s">
        <v>806</v>
      </c>
      <c r="E86" s="143" t="s">
        <v>40</v>
      </c>
      <c r="F86" s="149" t="s">
        <v>41</v>
      </c>
      <c r="G86" s="63" t="s">
        <v>516</v>
      </c>
      <c r="H86" s="64">
        <v>38.0</v>
      </c>
      <c r="I86" s="47">
        <f t="shared" si="12"/>
        <v>220000</v>
      </c>
      <c r="J86" s="48">
        <f t="shared" si="7"/>
        <v>8360000</v>
      </c>
      <c r="K86" s="49">
        <f>sum(J86:J88)</f>
        <v>10770000</v>
      </c>
      <c r="L86" s="144"/>
      <c r="M86" s="51"/>
      <c r="N86" s="117"/>
      <c r="O86" s="53">
        <f t="shared" si="16"/>
        <v>10770000</v>
      </c>
      <c r="P86" s="99" t="s">
        <v>449</v>
      </c>
      <c r="Q86" s="99" t="s">
        <v>31</v>
      </c>
      <c r="R86" s="145">
        <v>266005.0</v>
      </c>
      <c r="S86" s="56" t="s">
        <v>32</v>
      </c>
      <c r="T86" s="57" t="s">
        <v>33</v>
      </c>
      <c r="U86" s="142" t="s">
        <v>516</v>
      </c>
      <c r="V86" s="111">
        <v>2.0</v>
      </c>
      <c r="W86" s="148" t="s">
        <v>807</v>
      </c>
      <c r="X86" s="106"/>
      <c r="Y86" s="556"/>
      <c r="Z86" s="579"/>
      <c r="AA86" s="107"/>
      <c r="AB86" s="107"/>
      <c r="AC86" s="107"/>
      <c r="AD86" s="106"/>
    </row>
    <row r="87" ht="30.75" customHeight="1">
      <c r="A87" s="62"/>
      <c r="B87" s="62"/>
      <c r="C87" s="62"/>
      <c r="D87" s="62"/>
      <c r="E87" s="62"/>
      <c r="F87" s="62"/>
      <c r="G87" s="63" t="s">
        <v>35</v>
      </c>
      <c r="H87" s="64">
        <v>4.0</v>
      </c>
      <c r="I87" s="47">
        <f t="shared" si="12"/>
        <v>220000</v>
      </c>
      <c r="J87" s="48">
        <f t="shared" si="7"/>
        <v>880000</v>
      </c>
      <c r="K87" s="62"/>
      <c r="L87" s="62"/>
      <c r="M87" s="62"/>
      <c r="N87" s="62"/>
      <c r="O87" s="62"/>
      <c r="P87" s="62"/>
      <c r="Q87" s="62"/>
      <c r="R87" s="62"/>
      <c r="S87" s="62"/>
      <c r="T87" s="62"/>
      <c r="U87" s="62"/>
      <c r="V87" s="62"/>
      <c r="W87" s="62"/>
      <c r="X87" s="106"/>
      <c r="Y87" s="556"/>
      <c r="Z87" s="579"/>
      <c r="AA87" s="107"/>
      <c r="AB87" s="107"/>
      <c r="AC87" s="107"/>
      <c r="AD87" s="106"/>
    </row>
    <row r="88" ht="30.75" customHeight="1">
      <c r="A88" s="67"/>
      <c r="B88" s="67"/>
      <c r="C88" s="67"/>
      <c r="D88" s="67"/>
      <c r="E88" s="67"/>
      <c r="F88" s="67"/>
      <c r="G88" s="571" t="s">
        <v>67</v>
      </c>
      <c r="H88" s="572">
        <v>34.0</v>
      </c>
      <c r="I88" s="573">
        <f t="shared" si="12"/>
        <v>45000</v>
      </c>
      <c r="J88" s="574">
        <f t="shared" si="7"/>
        <v>1530000</v>
      </c>
      <c r="K88" s="67"/>
      <c r="L88" s="67"/>
      <c r="M88" s="67"/>
      <c r="N88" s="67"/>
      <c r="O88" s="67"/>
      <c r="P88" s="67"/>
      <c r="Q88" s="67"/>
      <c r="R88" s="67"/>
      <c r="S88" s="67"/>
      <c r="T88" s="67"/>
      <c r="U88" s="67"/>
      <c r="V88" s="67"/>
      <c r="W88" s="67"/>
      <c r="X88" s="106"/>
      <c r="Y88" s="556"/>
      <c r="Z88" s="579"/>
      <c r="AA88" s="107"/>
      <c r="AB88" s="107"/>
      <c r="AC88" s="107"/>
      <c r="AD88" s="106"/>
    </row>
    <row r="89" ht="36.75" customHeight="1">
      <c r="A89" s="93">
        <v>69.0</v>
      </c>
      <c r="B89" s="103">
        <v>45212.0</v>
      </c>
      <c r="C89" s="93">
        <v>1.703713645134E12</v>
      </c>
      <c r="D89" s="92" t="s">
        <v>808</v>
      </c>
      <c r="E89" s="105" t="s">
        <v>809</v>
      </c>
      <c r="F89" s="121" t="s">
        <v>810</v>
      </c>
      <c r="G89" s="63" t="s">
        <v>30</v>
      </c>
      <c r="H89" s="64">
        <v>2.0</v>
      </c>
      <c r="I89" s="47">
        <f t="shared" si="12"/>
        <v>220000</v>
      </c>
      <c r="J89" s="48">
        <f t="shared" si="7"/>
        <v>440000</v>
      </c>
      <c r="K89" s="76">
        <f t="shared" ref="K89:K90" si="17">SUM(J89)</f>
        <v>440000</v>
      </c>
      <c r="L89" s="108">
        <v>36001.0</v>
      </c>
      <c r="M89" s="78"/>
      <c r="N89" s="115">
        <v>6001.0</v>
      </c>
      <c r="O89" s="80">
        <f t="shared" ref="O89:O91" si="18">K89+L89-M89-N89</f>
        <v>470000</v>
      </c>
      <c r="P89" s="81" t="s">
        <v>449</v>
      </c>
      <c r="Q89" s="81" t="s">
        <v>31</v>
      </c>
      <c r="R89" s="109"/>
      <c r="S89" s="91"/>
      <c r="T89" s="84" t="s">
        <v>33</v>
      </c>
      <c r="U89" s="122"/>
      <c r="V89" s="122"/>
      <c r="W89" s="284"/>
      <c r="X89" s="106"/>
      <c r="Y89" s="556"/>
      <c r="Z89" s="579"/>
      <c r="AA89" s="107"/>
      <c r="AB89" s="107"/>
      <c r="AC89" s="107"/>
      <c r="AD89" s="106"/>
    </row>
    <row r="90" ht="30.75" customHeight="1">
      <c r="A90" s="104">
        <v>70.0</v>
      </c>
      <c r="B90" s="103">
        <v>45213.0</v>
      </c>
      <c r="C90" s="93" t="s">
        <v>811</v>
      </c>
      <c r="D90" s="92" t="s">
        <v>50</v>
      </c>
      <c r="E90" s="105" t="s">
        <v>812</v>
      </c>
      <c r="F90" s="92" t="s">
        <v>180</v>
      </c>
      <c r="G90" s="63" t="s">
        <v>30</v>
      </c>
      <c r="H90" s="64">
        <v>1.0</v>
      </c>
      <c r="I90" s="47">
        <f t="shared" si="12"/>
        <v>220000</v>
      </c>
      <c r="J90" s="48">
        <f t="shared" si="7"/>
        <v>220000</v>
      </c>
      <c r="K90" s="76">
        <f t="shared" si="17"/>
        <v>220000</v>
      </c>
      <c r="L90" s="109"/>
      <c r="M90" s="78">
        <f>35876</f>
        <v>35876</v>
      </c>
      <c r="N90" s="79"/>
      <c r="O90" s="80">
        <f t="shared" si="18"/>
        <v>184124</v>
      </c>
      <c r="P90" s="81" t="s">
        <v>449</v>
      </c>
      <c r="Q90" s="81" t="s">
        <v>31</v>
      </c>
      <c r="R90" s="109"/>
      <c r="S90" s="91"/>
      <c r="T90" s="84" t="s">
        <v>33</v>
      </c>
      <c r="U90" s="122"/>
      <c r="V90" s="122"/>
      <c r="W90" s="565" t="s">
        <v>53</v>
      </c>
      <c r="X90" s="106"/>
      <c r="Y90" s="556"/>
      <c r="Z90" s="579"/>
      <c r="AA90" s="107"/>
      <c r="AB90" s="107"/>
      <c r="AC90" s="107"/>
      <c r="AD90" s="106"/>
    </row>
    <row r="91" ht="30.75" customHeight="1">
      <c r="A91" s="152">
        <v>71.0</v>
      </c>
      <c r="B91" s="112">
        <v>45213.0</v>
      </c>
      <c r="C91" s="111" t="s">
        <v>813</v>
      </c>
      <c r="D91" s="142" t="s">
        <v>50</v>
      </c>
      <c r="E91" s="143" t="s">
        <v>507</v>
      </c>
      <c r="F91" s="142" t="s">
        <v>193</v>
      </c>
      <c r="G91" s="63" t="s">
        <v>37</v>
      </c>
      <c r="H91" s="64">
        <v>1.0</v>
      </c>
      <c r="I91" s="47">
        <f t="shared" si="12"/>
        <v>220000</v>
      </c>
      <c r="J91" s="48">
        <f t="shared" si="7"/>
        <v>220000</v>
      </c>
      <c r="K91" s="49">
        <f>sum(J91:J92)</f>
        <v>440000</v>
      </c>
      <c r="L91" s="144"/>
      <c r="M91" s="51">
        <f>27240</f>
        <v>27240</v>
      </c>
      <c r="N91" s="52"/>
      <c r="O91" s="53">
        <f t="shared" si="18"/>
        <v>412760</v>
      </c>
      <c r="P91" s="99" t="s">
        <v>449</v>
      </c>
      <c r="Q91" s="99" t="s">
        <v>31</v>
      </c>
      <c r="R91" s="144"/>
      <c r="S91" s="119"/>
      <c r="T91" s="57" t="s">
        <v>33</v>
      </c>
      <c r="U91" s="147"/>
      <c r="V91" s="147"/>
      <c r="W91" s="587" t="s">
        <v>53</v>
      </c>
      <c r="X91" s="106"/>
      <c r="Y91" s="556"/>
      <c r="Z91" s="579"/>
      <c r="AA91" s="107"/>
      <c r="AB91" s="107"/>
      <c r="AC91" s="107"/>
      <c r="AD91" s="106"/>
    </row>
    <row r="92" ht="30.75" customHeight="1">
      <c r="A92" s="67"/>
      <c r="B92" s="67"/>
      <c r="C92" s="67"/>
      <c r="D92" s="67"/>
      <c r="E92" s="67"/>
      <c r="F92" s="67"/>
      <c r="G92" s="63" t="s">
        <v>122</v>
      </c>
      <c r="H92" s="64">
        <v>1.0</v>
      </c>
      <c r="I92" s="47">
        <f t="shared" si="12"/>
        <v>220000</v>
      </c>
      <c r="J92" s="48">
        <f t="shared" si="7"/>
        <v>220000</v>
      </c>
      <c r="K92" s="67"/>
      <c r="L92" s="67"/>
      <c r="M92" s="67"/>
      <c r="N92" s="67"/>
      <c r="O92" s="67"/>
      <c r="P92" s="67"/>
      <c r="Q92" s="67"/>
      <c r="R92" s="67"/>
      <c r="S92" s="67"/>
      <c r="T92" s="67"/>
      <c r="U92" s="67"/>
      <c r="V92" s="67"/>
      <c r="W92" s="67"/>
      <c r="X92" s="106"/>
      <c r="Y92" s="556"/>
      <c r="Z92" s="579"/>
      <c r="AA92" s="107"/>
      <c r="AB92" s="107"/>
      <c r="AC92" s="107"/>
      <c r="AD92" s="106"/>
    </row>
    <row r="93" ht="30.75" customHeight="1">
      <c r="A93" s="104">
        <v>72.0</v>
      </c>
      <c r="B93" s="103">
        <v>45213.0</v>
      </c>
      <c r="C93" s="93" t="s">
        <v>814</v>
      </c>
      <c r="D93" s="92" t="s">
        <v>50</v>
      </c>
      <c r="E93" s="105" t="s">
        <v>815</v>
      </c>
      <c r="F93" s="92" t="s">
        <v>84</v>
      </c>
      <c r="G93" s="63" t="s">
        <v>30</v>
      </c>
      <c r="H93" s="64">
        <v>1.0</v>
      </c>
      <c r="I93" s="47">
        <f t="shared" si="12"/>
        <v>220000</v>
      </c>
      <c r="J93" s="48">
        <f t="shared" si="7"/>
        <v>220000</v>
      </c>
      <c r="K93" s="76">
        <f t="shared" ref="K93:K98" si="19">SUM(J93)</f>
        <v>220000</v>
      </c>
      <c r="L93" s="109"/>
      <c r="M93" s="78">
        <f>14516</f>
        <v>14516</v>
      </c>
      <c r="N93" s="79"/>
      <c r="O93" s="80">
        <f t="shared" ref="O93:O99" si="20">K93+L93-M93-N93</f>
        <v>205484</v>
      </c>
      <c r="P93" s="81" t="s">
        <v>449</v>
      </c>
      <c r="Q93" s="81" t="s">
        <v>31</v>
      </c>
      <c r="R93" s="109"/>
      <c r="S93" s="91"/>
      <c r="T93" s="84" t="s">
        <v>33</v>
      </c>
      <c r="U93" s="122"/>
      <c r="V93" s="122"/>
      <c r="W93" s="565" t="s">
        <v>53</v>
      </c>
      <c r="X93" s="106"/>
      <c r="Y93" s="556"/>
      <c r="Z93" s="579"/>
      <c r="AA93" s="107"/>
      <c r="AB93" s="107"/>
      <c r="AC93" s="107"/>
      <c r="AD93" s="106"/>
    </row>
    <row r="94" ht="33.0" customHeight="1">
      <c r="A94" s="104">
        <v>73.0</v>
      </c>
      <c r="B94" s="103">
        <v>45215.0</v>
      </c>
      <c r="C94" s="93">
        <v>1.710761343788E12</v>
      </c>
      <c r="D94" s="92" t="s">
        <v>816</v>
      </c>
      <c r="E94" s="105" t="s">
        <v>817</v>
      </c>
      <c r="F94" s="121" t="s">
        <v>818</v>
      </c>
      <c r="G94" s="63" t="s">
        <v>30</v>
      </c>
      <c r="H94" s="64">
        <v>2.0</v>
      </c>
      <c r="I94" s="47">
        <f t="shared" si="12"/>
        <v>220000</v>
      </c>
      <c r="J94" s="48">
        <f t="shared" si="7"/>
        <v>440000</v>
      </c>
      <c r="K94" s="76">
        <f t="shared" si="19"/>
        <v>440000</v>
      </c>
      <c r="L94" s="108">
        <v>43001.0</v>
      </c>
      <c r="M94" s="78"/>
      <c r="N94" s="115">
        <v>13001.0</v>
      </c>
      <c r="O94" s="80">
        <f t="shared" si="20"/>
        <v>470000</v>
      </c>
      <c r="P94" s="81" t="s">
        <v>449</v>
      </c>
      <c r="Q94" s="81" t="s">
        <v>31</v>
      </c>
      <c r="R94" s="109"/>
      <c r="S94" s="91"/>
      <c r="T94" s="84" t="s">
        <v>33</v>
      </c>
      <c r="U94" s="122"/>
      <c r="V94" s="122"/>
      <c r="W94" s="284"/>
      <c r="X94" s="106"/>
      <c r="Y94" s="556"/>
      <c r="Z94" s="579"/>
      <c r="AA94" s="107"/>
      <c r="AB94" s="107"/>
      <c r="AC94" s="107"/>
      <c r="AD94" s="106"/>
    </row>
    <row r="95" ht="30.75" customHeight="1">
      <c r="A95" s="104">
        <v>74.0</v>
      </c>
      <c r="B95" s="103">
        <v>45215.0</v>
      </c>
      <c r="C95" s="93">
        <v>1.70006478216E12</v>
      </c>
      <c r="D95" s="92" t="s">
        <v>206</v>
      </c>
      <c r="E95" s="105" t="s">
        <v>207</v>
      </c>
      <c r="F95" s="92" t="s">
        <v>819</v>
      </c>
      <c r="G95" s="63" t="s">
        <v>290</v>
      </c>
      <c r="H95" s="64">
        <v>6.0</v>
      </c>
      <c r="I95" s="47">
        <f t="shared" si="12"/>
        <v>220000</v>
      </c>
      <c r="J95" s="48">
        <f t="shared" si="7"/>
        <v>1320000</v>
      </c>
      <c r="K95" s="76">
        <f t="shared" si="19"/>
        <v>1320000</v>
      </c>
      <c r="L95" s="109"/>
      <c r="M95" s="78"/>
      <c r="N95" s="79"/>
      <c r="O95" s="80">
        <f t="shared" si="20"/>
        <v>1320000</v>
      </c>
      <c r="P95" s="81" t="s">
        <v>449</v>
      </c>
      <c r="Q95" s="81" t="s">
        <v>31</v>
      </c>
      <c r="R95" s="108">
        <v>61003.0</v>
      </c>
      <c r="S95" s="83" t="s">
        <v>32</v>
      </c>
      <c r="T95" s="84" t="s">
        <v>33</v>
      </c>
      <c r="U95" s="122"/>
      <c r="V95" s="122"/>
      <c r="W95" s="284"/>
      <c r="X95" s="106"/>
      <c r="Y95" s="556"/>
      <c r="Z95" s="579"/>
      <c r="AA95" s="107"/>
      <c r="AB95" s="107"/>
      <c r="AC95" s="107"/>
      <c r="AD95" s="106"/>
    </row>
    <row r="96" ht="30.75" customHeight="1">
      <c r="A96" s="104">
        <v>75.0</v>
      </c>
      <c r="B96" s="103">
        <v>45215.0</v>
      </c>
      <c r="C96" s="93" t="s">
        <v>820</v>
      </c>
      <c r="D96" s="92" t="s">
        <v>50</v>
      </c>
      <c r="E96" s="105" t="s">
        <v>821</v>
      </c>
      <c r="F96" s="92" t="s">
        <v>74</v>
      </c>
      <c r="G96" s="63" t="s">
        <v>30</v>
      </c>
      <c r="H96" s="64">
        <v>1.0</v>
      </c>
      <c r="I96" s="47">
        <f t="shared" si="12"/>
        <v>220000</v>
      </c>
      <c r="J96" s="48">
        <f t="shared" si="7"/>
        <v>220000</v>
      </c>
      <c r="K96" s="76">
        <f t="shared" si="19"/>
        <v>220000</v>
      </c>
      <c r="L96" s="109"/>
      <c r="M96" s="78">
        <f t="shared" ref="M96:M98" si="21">K96*5%</f>
        <v>11000</v>
      </c>
      <c r="N96" s="79"/>
      <c r="O96" s="80">
        <f t="shared" si="20"/>
        <v>209000</v>
      </c>
      <c r="P96" s="176"/>
      <c r="Q96" s="176"/>
      <c r="R96" s="109"/>
      <c r="S96" s="91"/>
      <c r="T96" s="183"/>
      <c r="U96" s="122"/>
      <c r="V96" s="122"/>
      <c r="W96" s="565" t="s">
        <v>53</v>
      </c>
      <c r="X96" s="106"/>
      <c r="Y96" s="556"/>
      <c r="Z96" s="579"/>
      <c r="AA96" s="107"/>
      <c r="AB96" s="107"/>
      <c r="AC96" s="107"/>
      <c r="AD96" s="106"/>
    </row>
    <row r="97" ht="30.75" customHeight="1">
      <c r="A97" s="104">
        <v>76.0</v>
      </c>
      <c r="B97" s="103">
        <v>45215.0</v>
      </c>
      <c r="C97" s="93" t="s">
        <v>822</v>
      </c>
      <c r="D97" s="92" t="s">
        <v>50</v>
      </c>
      <c r="E97" s="105" t="s">
        <v>823</v>
      </c>
      <c r="F97" s="92" t="s">
        <v>84</v>
      </c>
      <c r="G97" s="63" t="s">
        <v>30</v>
      </c>
      <c r="H97" s="64">
        <v>4.0</v>
      </c>
      <c r="I97" s="47">
        <f t="shared" si="12"/>
        <v>220000</v>
      </c>
      <c r="J97" s="48">
        <f t="shared" si="7"/>
        <v>880000</v>
      </c>
      <c r="K97" s="76">
        <f t="shared" si="19"/>
        <v>880000</v>
      </c>
      <c r="L97" s="109"/>
      <c r="M97" s="78">
        <f t="shared" si="21"/>
        <v>44000</v>
      </c>
      <c r="N97" s="79"/>
      <c r="O97" s="80">
        <f t="shared" si="20"/>
        <v>836000</v>
      </c>
      <c r="P97" s="176"/>
      <c r="Q97" s="176"/>
      <c r="R97" s="109"/>
      <c r="S97" s="91"/>
      <c r="T97" s="91"/>
      <c r="U97" s="122"/>
      <c r="V97" s="122"/>
      <c r="W97" s="565" t="s">
        <v>53</v>
      </c>
      <c r="X97" s="106"/>
      <c r="Y97" s="556"/>
      <c r="Z97" s="579"/>
      <c r="AA97" s="107"/>
      <c r="AB97" s="107"/>
      <c r="AC97" s="107"/>
      <c r="AD97" s="106"/>
    </row>
    <row r="98" ht="30.75" customHeight="1">
      <c r="A98" s="104">
        <v>77.0</v>
      </c>
      <c r="B98" s="103">
        <v>45215.0</v>
      </c>
      <c r="C98" s="93" t="s">
        <v>824</v>
      </c>
      <c r="D98" s="92" t="s">
        <v>50</v>
      </c>
      <c r="E98" s="105" t="s">
        <v>825</v>
      </c>
      <c r="F98" s="92" t="s">
        <v>74</v>
      </c>
      <c r="G98" s="63" t="s">
        <v>30</v>
      </c>
      <c r="H98" s="64">
        <v>1.0</v>
      </c>
      <c r="I98" s="47">
        <f t="shared" si="12"/>
        <v>220000</v>
      </c>
      <c r="J98" s="48">
        <f t="shared" si="7"/>
        <v>220000</v>
      </c>
      <c r="K98" s="76">
        <f t="shared" si="19"/>
        <v>220000</v>
      </c>
      <c r="L98" s="109"/>
      <c r="M98" s="78">
        <f t="shared" si="21"/>
        <v>11000</v>
      </c>
      <c r="N98" s="79"/>
      <c r="O98" s="80">
        <f t="shared" si="20"/>
        <v>209000</v>
      </c>
      <c r="P98" s="176"/>
      <c r="Q98" s="176"/>
      <c r="R98" s="109"/>
      <c r="S98" s="91"/>
      <c r="T98" s="183"/>
      <c r="U98" s="122"/>
      <c r="V98" s="122"/>
      <c r="W98" s="565" t="s">
        <v>53</v>
      </c>
      <c r="X98" s="106"/>
      <c r="Y98" s="556"/>
      <c r="Z98" s="579"/>
      <c r="AA98" s="107"/>
      <c r="AB98" s="107"/>
      <c r="AC98" s="107"/>
      <c r="AD98" s="106"/>
    </row>
    <row r="99" ht="30.75" customHeight="1">
      <c r="A99" s="152">
        <v>78.0</v>
      </c>
      <c r="B99" s="112">
        <v>45215.0</v>
      </c>
      <c r="C99" s="111" t="s">
        <v>826</v>
      </c>
      <c r="D99" s="142" t="s">
        <v>50</v>
      </c>
      <c r="E99" s="143" t="s">
        <v>827</v>
      </c>
      <c r="F99" s="142" t="s">
        <v>104</v>
      </c>
      <c r="G99" s="63" t="s">
        <v>30</v>
      </c>
      <c r="H99" s="64">
        <v>1.0</v>
      </c>
      <c r="I99" s="47">
        <f t="shared" si="12"/>
        <v>220000</v>
      </c>
      <c r="J99" s="48">
        <f t="shared" si="7"/>
        <v>220000</v>
      </c>
      <c r="K99" s="49">
        <f>SUM(J99:J100)</f>
        <v>440000</v>
      </c>
      <c r="L99" s="144"/>
      <c r="M99" s="51">
        <f>27240</f>
        <v>27240</v>
      </c>
      <c r="N99" s="52"/>
      <c r="O99" s="53">
        <f t="shared" si="20"/>
        <v>412760</v>
      </c>
      <c r="P99" s="99" t="s">
        <v>449</v>
      </c>
      <c r="Q99" s="99" t="s">
        <v>31</v>
      </c>
      <c r="R99" s="144"/>
      <c r="S99" s="119"/>
      <c r="T99" s="57" t="s">
        <v>33</v>
      </c>
      <c r="U99" s="147"/>
      <c r="V99" s="147"/>
      <c r="W99" s="587" t="s">
        <v>53</v>
      </c>
      <c r="X99" s="106"/>
      <c r="Y99" s="556"/>
      <c r="Z99" s="579"/>
      <c r="AA99" s="107"/>
      <c r="AB99" s="107"/>
      <c r="AC99" s="107"/>
      <c r="AD99" s="106"/>
    </row>
    <row r="100" ht="30.75" customHeight="1">
      <c r="A100" s="67"/>
      <c r="B100" s="67"/>
      <c r="C100" s="67"/>
      <c r="D100" s="67"/>
      <c r="E100" s="67"/>
      <c r="F100" s="67"/>
      <c r="G100" s="63" t="s">
        <v>35</v>
      </c>
      <c r="H100" s="64">
        <v>1.0</v>
      </c>
      <c r="I100" s="47">
        <f t="shared" si="12"/>
        <v>220000</v>
      </c>
      <c r="J100" s="48">
        <f t="shared" si="7"/>
        <v>220000</v>
      </c>
      <c r="K100" s="67"/>
      <c r="L100" s="67"/>
      <c r="M100" s="67"/>
      <c r="N100" s="67"/>
      <c r="O100" s="67"/>
      <c r="P100" s="67"/>
      <c r="Q100" s="67"/>
      <c r="R100" s="67"/>
      <c r="S100" s="67"/>
      <c r="T100" s="67"/>
      <c r="U100" s="67"/>
      <c r="V100" s="67"/>
      <c r="W100" s="67"/>
      <c r="X100" s="106"/>
      <c r="Y100" s="556"/>
      <c r="Z100" s="579"/>
      <c r="AA100" s="107"/>
      <c r="AB100" s="107"/>
      <c r="AC100" s="107"/>
      <c r="AD100" s="106"/>
    </row>
    <row r="101" ht="30.75" customHeight="1">
      <c r="A101" s="104">
        <v>79.0</v>
      </c>
      <c r="B101" s="103">
        <v>45215.0</v>
      </c>
      <c r="C101" s="93" t="s">
        <v>828</v>
      </c>
      <c r="D101" s="92" t="s">
        <v>50</v>
      </c>
      <c r="E101" s="105" t="s">
        <v>721</v>
      </c>
      <c r="F101" s="92" t="s">
        <v>156</v>
      </c>
      <c r="G101" s="63" t="s">
        <v>35</v>
      </c>
      <c r="H101" s="64">
        <v>2.0</v>
      </c>
      <c r="I101" s="47">
        <f t="shared" si="12"/>
        <v>220000</v>
      </c>
      <c r="J101" s="48">
        <f t="shared" si="7"/>
        <v>440000</v>
      </c>
      <c r="K101" s="76">
        <f t="shared" ref="K101:K102" si="22">SUM(J101)</f>
        <v>440000</v>
      </c>
      <c r="L101" s="109"/>
      <c r="M101" s="78">
        <f>72240</f>
        <v>72240</v>
      </c>
      <c r="N101" s="79"/>
      <c r="O101" s="80">
        <f t="shared" ref="O101:O103" si="23">K101+L101-M101-N101</f>
        <v>367760</v>
      </c>
      <c r="P101" s="81" t="s">
        <v>449</v>
      </c>
      <c r="Q101" s="81" t="s">
        <v>31</v>
      </c>
      <c r="R101" s="109"/>
      <c r="S101" s="91"/>
      <c r="T101" s="84" t="s">
        <v>33</v>
      </c>
      <c r="U101" s="122"/>
      <c r="V101" s="122"/>
      <c r="W101" s="565" t="s">
        <v>53</v>
      </c>
      <c r="X101" s="106"/>
      <c r="Y101" s="556"/>
      <c r="Z101" s="579"/>
      <c r="AA101" s="107"/>
      <c r="AB101" s="107"/>
      <c r="AC101" s="107"/>
      <c r="AD101" s="106"/>
    </row>
    <row r="102" ht="30.75" customHeight="1">
      <c r="A102" s="93">
        <v>80.0</v>
      </c>
      <c r="B102" s="103">
        <v>45215.0</v>
      </c>
      <c r="C102" s="104" t="s">
        <v>829</v>
      </c>
      <c r="D102" s="92" t="s">
        <v>50</v>
      </c>
      <c r="E102" s="110" t="s">
        <v>830</v>
      </c>
      <c r="F102" s="122" t="s">
        <v>74</v>
      </c>
      <c r="G102" s="63" t="s">
        <v>30</v>
      </c>
      <c r="H102" s="64">
        <v>1.0</v>
      </c>
      <c r="I102" s="47">
        <f t="shared" si="12"/>
        <v>220000</v>
      </c>
      <c r="J102" s="48">
        <f t="shared" si="7"/>
        <v>220000</v>
      </c>
      <c r="K102" s="76">
        <f t="shared" si="22"/>
        <v>220000</v>
      </c>
      <c r="L102" s="109"/>
      <c r="M102" s="78">
        <f>K102*5%</f>
        <v>11000</v>
      </c>
      <c r="N102" s="79"/>
      <c r="O102" s="80">
        <f t="shared" si="23"/>
        <v>209000</v>
      </c>
      <c r="P102" s="176"/>
      <c r="Q102" s="176"/>
      <c r="R102" s="109"/>
      <c r="S102" s="91"/>
      <c r="T102" s="183"/>
      <c r="U102" s="122"/>
      <c r="V102" s="122"/>
      <c r="W102" s="565" t="s">
        <v>53</v>
      </c>
      <c r="X102" s="106"/>
      <c r="Y102" s="556"/>
      <c r="Z102" s="579"/>
      <c r="AA102" s="107"/>
      <c r="AB102" s="107"/>
      <c r="AC102" s="107"/>
      <c r="AD102" s="106"/>
    </row>
    <row r="103" ht="30.75" customHeight="1">
      <c r="A103" s="111">
        <v>81.0</v>
      </c>
      <c r="B103" s="112">
        <v>45216.0</v>
      </c>
      <c r="C103" s="111">
        <v>1.719958857761E12</v>
      </c>
      <c r="D103" s="142" t="s">
        <v>440</v>
      </c>
      <c r="E103" s="143" t="s">
        <v>531</v>
      </c>
      <c r="F103" s="142" t="s">
        <v>831</v>
      </c>
      <c r="G103" s="63" t="s">
        <v>30</v>
      </c>
      <c r="H103" s="64">
        <v>15.0</v>
      </c>
      <c r="I103" s="47">
        <f t="shared" si="12"/>
        <v>220000</v>
      </c>
      <c r="J103" s="48">
        <f t="shared" si="7"/>
        <v>3300000</v>
      </c>
      <c r="K103" s="49">
        <f>SUM(J103:J104)</f>
        <v>5060000</v>
      </c>
      <c r="L103" s="144"/>
      <c r="M103" s="51"/>
      <c r="N103" s="52"/>
      <c r="O103" s="53">
        <f t="shared" si="23"/>
        <v>5060000</v>
      </c>
      <c r="P103" s="99" t="s">
        <v>449</v>
      </c>
      <c r="Q103" s="99" t="s">
        <v>31</v>
      </c>
      <c r="R103" s="145">
        <v>219120.0</v>
      </c>
      <c r="S103" s="56" t="s">
        <v>32</v>
      </c>
      <c r="T103" s="57" t="s">
        <v>33</v>
      </c>
      <c r="U103" s="147"/>
      <c r="V103" s="147"/>
      <c r="W103" s="147"/>
      <c r="X103" s="106"/>
      <c r="Y103" s="556"/>
      <c r="Z103" s="579"/>
      <c r="AA103" s="107"/>
      <c r="AB103" s="107"/>
      <c r="AC103" s="107"/>
      <c r="AD103" s="106"/>
    </row>
    <row r="104" ht="30.75" customHeight="1">
      <c r="A104" s="67"/>
      <c r="B104" s="67"/>
      <c r="C104" s="67"/>
      <c r="D104" s="67"/>
      <c r="E104" s="67"/>
      <c r="F104" s="67"/>
      <c r="G104" s="63" t="s">
        <v>290</v>
      </c>
      <c r="H104" s="64">
        <v>8.0</v>
      </c>
      <c r="I104" s="47">
        <f t="shared" si="12"/>
        <v>220000</v>
      </c>
      <c r="J104" s="48">
        <f t="shared" si="7"/>
        <v>1760000</v>
      </c>
      <c r="K104" s="67"/>
      <c r="L104" s="67"/>
      <c r="M104" s="67"/>
      <c r="N104" s="67"/>
      <c r="O104" s="67"/>
      <c r="P104" s="67"/>
      <c r="Q104" s="67"/>
      <c r="R104" s="67"/>
      <c r="S104" s="67"/>
      <c r="T104" s="67"/>
      <c r="U104" s="67"/>
      <c r="V104" s="67"/>
      <c r="W104" s="67"/>
      <c r="X104" s="106"/>
      <c r="Y104" s="556"/>
      <c r="Z104" s="579"/>
      <c r="AA104" s="107"/>
      <c r="AB104" s="107"/>
      <c r="AC104" s="107"/>
      <c r="AD104" s="106"/>
    </row>
    <row r="105" ht="30.75" customHeight="1">
      <c r="A105" s="111">
        <v>82.0</v>
      </c>
      <c r="B105" s="112">
        <v>45216.0</v>
      </c>
      <c r="C105" s="111">
        <v>1.720017263238E12</v>
      </c>
      <c r="D105" s="148" t="s">
        <v>44</v>
      </c>
      <c r="E105" s="143" t="s">
        <v>45</v>
      </c>
      <c r="F105" s="148" t="s">
        <v>324</v>
      </c>
      <c r="G105" s="63" t="s">
        <v>30</v>
      </c>
      <c r="H105" s="64">
        <v>5.0</v>
      </c>
      <c r="I105" s="47">
        <f t="shared" si="12"/>
        <v>220000</v>
      </c>
      <c r="J105" s="48">
        <f t="shared" si="7"/>
        <v>1100000</v>
      </c>
      <c r="K105" s="49">
        <f>SUM(J105:J107)</f>
        <v>2200000</v>
      </c>
      <c r="L105" s="144"/>
      <c r="M105" s="51"/>
      <c r="N105" s="52"/>
      <c r="O105" s="53">
        <f>K105+L105-M105-N105</f>
        <v>2200000</v>
      </c>
      <c r="P105" s="99" t="s">
        <v>449</v>
      </c>
      <c r="Q105" s="99" t="s">
        <v>31</v>
      </c>
      <c r="R105" s="145">
        <v>78004.0</v>
      </c>
      <c r="S105" s="56" t="s">
        <v>32</v>
      </c>
      <c r="T105" s="57" t="s">
        <v>33</v>
      </c>
      <c r="U105" s="147"/>
      <c r="V105" s="147"/>
      <c r="W105" s="147"/>
      <c r="X105" s="106"/>
      <c r="Y105" s="556"/>
      <c r="Z105" s="579"/>
      <c r="AA105" s="107"/>
      <c r="AB105" s="107"/>
      <c r="AC105" s="107"/>
      <c r="AD105" s="106"/>
    </row>
    <row r="106" ht="30.75" customHeight="1">
      <c r="A106" s="62"/>
      <c r="B106" s="62"/>
      <c r="C106" s="62"/>
      <c r="D106" s="62"/>
      <c r="E106" s="62"/>
      <c r="F106" s="62"/>
      <c r="G106" s="63" t="s">
        <v>47</v>
      </c>
      <c r="H106" s="64">
        <v>2.0</v>
      </c>
      <c r="I106" s="47">
        <f t="shared" si="12"/>
        <v>220000</v>
      </c>
      <c r="J106" s="48">
        <f t="shared" si="7"/>
        <v>440000</v>
      </c>
      <c r="K106" s="62"/>
      <c r="L106" s="62"/>
      <c r="M106" s="62"/>
      <c r="N106" s="62"/>
      <c r="O106" s="62"/>
      <c r="P106" s="62"/>
      <c r="Q106" s="62"/>
      <c r="R106" s="62"/>
      <c r="S106" s="62"/>
      <c r="T106" s="62"/>
      <c r="U106" s="62"/>
      <c r="V106" s="62"/>
      <c r="W106" s="62"/>
      <c r="X106" s="106"/>
      <c r="Y106" s="556"/>
      <c r="Z106" s="579"/>
      <c r="AA106" s="107"/>
      <c r="AB106" s="107"/>
      <c r="AC106" s="107"/>
      <c r="AD106" s="106"/>
    </row>
    <row r="107" ht="30.75" customHeight="1">
      <c r="A107" s="67"/>
      <c r="B107" s="67"/>
      <c r="C107" s="67"/>
      <c r="D107" s="67"/>
      <c r="E107" s="67"/>
      <c r="F107" s="67"/>
      <c r="G107" s="63" t="s">
        <v>122</v>
      </c>
      <c r="H107" s="64">
        <v>3.0</v>
      </c>
      <c r="I107" s="47">
        <f t="shared" si="12"/>
        <v>220000</v>
      </c>
      <c r="J107" s="48">
        <f t="shared" si="7"/>
        <v>660000</v>
      </c>
      <c r="K107" s="67"/>
      <c r="L107" s="67"/>
      <c r="M107" s="67"/>
      <c r="N107" s="67"/>
      <c r="O107" s="67"/>
      <c r="P107" s="67"/>
      <c r="Q107" s="67"/>
      <c r="R107" s="67"/>
      <c r="S107" s="67"/>
      <c r="T107" s="67"/>
      <c r="U107" s="67"/>
      <c r="V107" s="67"/>
      <c r="W107" s="67"/>
      <c r="X107" s="106"/>
      <c r="Y107" s="556"/>
      <c r="Z107" s="579"/>
      <c r="AA107" s="107"/>
      <c r="AB107" s="107"/>
      <c r="AC107" s="107"/>
      <c r="AD107" s="106"/>
    </row>
    <row r="108" ht="30.75" customHeight="1">
      <c r="A108" s="93">
        <v>83.0</v>
      </c>
      <c r="B108" s="103">
        <v>45218.0</v>
      </c>
      <c r="C108" s="93" t="s">
        <v>832</v>
      </c>
      <c r="D108" s="92" t="s">
        <v>50</v>
      </c>
      <c r="E108" s="105" t="s">
        <v>833</v>
      </c>
      <c r="F108" s="92" t="s">
        <v>65</v>
      </c>
      <c r="G108" s="63" t="s">
        <v>35</v>
      </c>
      <c r="H108" s="64">
        <v>1.0</v>
      </c>
      <c r="I108" s="47">
        <f t="shared" si="12"/>
        <v>220000</v>
      </c>
      <c r="J108" s="48">
        <f t="shared" si="7"/>
        <v>220000</v>
      </c>
      <c r="K108" s="76">
        <f t="shared" ref="K108:K109" si="24">SUM(J108)</f>
        <v>220000</v>
      </c>
      <c r="L108" s="109"/>
      <c r="M108" s="78">
        <f t="shared" ref="M108:M109" si="25">K108*5%</f>
        <v>11000</v>
      </c>
      <c r="N108" s="79"/>
      <c r="O108" s="80">
        <f t="shared" ref="O108:O110" si="26">K108+L108-M108-N108</f>
        <v>209000</v>
      </c>
      <c r="P108" s="176"/>
      <c r="Q108" s="176"/>
      <c r="R108" s="109"/>
      <c r="S108" s="91"/>
      <c r="T108" s="183"/>
      <c r="U108" s="122"/>
      <c r="V108" s="122"/>
      <c r="W108" s="565" t="s">
        <v>53</v>
      </c>
      <c r="X108" s="106"/>
      <c r="Y108" s="556"/>
      <c r="Z108" s="579"/>
      <c r="AA108" s="107"/>
      <c r="AB108" s="107"/>
      <c r="AC108" s="107"/>
      <c r="AD108" s="106"/>
    </row>
    <row r="109" ht="30.75" customHeight="1">
      <c r="A109" s="93">
        <v>84.0</v>
      </c>
      <c r="B109" s="103">
        <v>45218.0</v>
      </c>
      <c r="C109" s="93" t="s">
        <v>834</v>
      </c>
      <c r="D109" s="92" t="s">
        <v>50</v>
      </c>
      <c r="E109" s="105" t="s">
        <v>835</v>
      </c>
      <c r="F109" s="92" t="s">
        <v>461</v>
      </c>
      <c r="G109" s="63" t="s">
        <v>30</v>
      </c>
      <c r="H109" s="64">
        <v>1.0</v>
      </c>
      <c r="I109" s="47">
        <f t="shared" si="12"/>
        <v>220000</v>
      </c>
      <c r="J109" s="48">
        <f t="shared" si="7"/>
        <v>220000</v>
      </c>
      <c r="K109" s="76">
        <f t="shared" si="24"/>
        <v>220000</v>
      </c>
      <c r="L109" s="109"/>
      <c r="M109" s="78">
        <f t="shared" si="25"/>
        <v>11000</v>
      </c>
      <c r="N109" s="79"/>
      <c r="O109" s="80">
        <f t="shared" si="26"/>
        <v>209000</v>
      </c>
      <c r="P109" s="176"/>
      <c r="Q109" s="176"/>
      <c r="R109" s="109"/>
      <c r="S109" s="91"/>
      <c r="T109" s="183"/>
      <c r="U109" s="122"/>
      <c r="V109" s="122"/>
      <c r="W109" s="565" t="s">
        <v>53</v>
      </c>
      <c r="X109" s="106"/>
      <c r="Y109" s="556"/>
      <c r="Z109" s="579"/>
      <c r="AA109" s="107"/>
      <c r="AB109" s="107"/>
      <c r="AC109" s="107"/>
      <c r="AD109" s="106"/>
    </row>
    <row r="110" ht="30.75" customHeight="1">
      <c r="A110" s="111">
        <v>85.0</v>
      </c>
      <c r="B110" s="112">
        <v>45219.0</v>
      </c>
      <c r="C110" s="111">
        <v>1.699390302055E12</v>
      </c>
      <c r="D110" s="142" t="s">
        <v>136</v>
      </c>
      <c r="E110" s="143" t="s">
        <v>137</v>
      </c>
      <c r="F110" s="142" t="s">
        <v>138</v>
      </c>
      <c r="G110" s="63" t="s">
        <v>47</v>
      </c>
      <c r="H110" s="64">
        <v>1.0</v>
      </c>
      <c r="I110" s="47">
        <f t="shared" si="12"/>
        <v>220000</v>
      </c>
      <c r="J110" s="48">
        <f t="shared" si="7"/>
        <v>220000</v>
      </c>
      <c r="K110" s="49">
        <f>SUM(J110:J111)</f>
        <v>880000</v>
      </c>
      <c r="L110" s="144"/>
      <c r="M110" s="51"/>
      <c r="N110" s="52"/>
      <c r="O110" s="53">
        <f t="shared" si="26"/>
        <v>880000</v>
      </c>
      <c r="P110" s="99" t="s">
        <v>449</v>
      </c>
      <c r="Q110" s="99" t="s">
        <v>31</v>
      </c>
      <c r="R110" s="145">
        <v>16500.0</v>
      </c>
      <c r="S110" s="56" t="s">
        <v>32</v>
      </c>
      <c r="T110" s="57" t="s">
        <v>33</v>
      </c>
      <c r="U110" s="147"/>
      <c r="V110" s="147"/>
      <c r="W110" s="147"/>
      <c r="X110" s="106"/>
      <c r="Y110" s="556"/>
      <c r="Z110" s="579"/>
      <c r="AA110" s="107"/>
      <c r="AB110" s="107"/>
      <c r="AC110" s="107"/>
      <c r="AD110" s="106"/>
    </row>
    <row r="111" ht="30.75" customHeight="1">
      <c r="A111" s="67"/>
      <c r="B111" s="67"/>
      <c r="C111" s="67"/>
      <c r="D111" s="67"/>
      <c r="E111" s="67"/>
      <c r="F111" s="67"/>
      <c r="G111" s="63" t="s">
        <v>30</v>
      </c>
      <c r="H111" s="64">
        <v>3.0</v>
      </c>
      <c r="I111" s="47">
        <f t="shared" si="12"/>
        <v>220000</v>
      </c>
      <c r="J111" s="48">
        <f t="shared" si="7"/>
        <v>660000</v>
      </c>
      <c r="K111" s="67"/>
      <c r="L111" s="67"/>
      <c r="M111" s="67"/>
      <c r="N111" s="67"/>
      <c r="O111" s="67"/>
      <c r="P111" s="67"/>
      <c r="Q111" s="67"/>
      <c r="R111" s="67"/>
      <c r="S111" s="67"/>
      <c r="T111" s="67"/>
      <c r="U111" s="67"/>
      <c r="V111" s="67"/>
      <c r="W111" s="67"/>
      <c r="X111" s="106"/>
      <c r="Y111" s="556"/>
      <c r="Z111" s="579"/>
      <c r="AA111" s="107"/>
      <c r="AB111" s="107"/>
      <c r="AC111" s="107"/>
      <c r="AD111" s="106"/>
    </row>
    <row r="112" ht="30.75" customHeight="1">
      <c r="A112" s="93">
        <v>86.0</v>
      </c>
      <c r="B112" s="103">
        <v>45219.0</v>
      </c>
      <c r="C112" s="93">
        <v>1.720825773774E12</v>
      </c>
      <c r="D112" s="92" t="s">
        <v>836</v>
      </c>
      <c r="E112" s="105" t="s">
        <v>837</v>
      </c>
      <c r="F112" s="92" t="s">
        <v>838</v>
      </c>
      <c r="G112" s="63" t="s">
        <v>30</v>
      </c>
      <c r="H112" s="64">
        <v>10.0</v>
      </c>
      <c r="I112" s="47">
        <f t="shared" si="12"/>
        <v>220000</v>
      </c>
      <c r="J112" s="48">
        <f t="shared" si="7"/>
        <v>2200000</v>
      </c>
      <c r="K112" s="76">
        <f>J112</f>
        <v>2200000</v>
      </c>
      <c r="L112" s="109"/>
      <c r="M112" s="78"/>
      <c r="N112" s="79"/>
      <c r="O112" s="80">
        <f t="shared" ref="O112:O119" si="27">K112+L112-M112-N112</f>
        <v>2200000</v>
      </c>
      <c r="P112" s="81" t="s">
        <v>449</v>
      </c>
      <c r="Q112" s="81" t="s">
        <v>31</v>
      </c>
      <c r="R112" s="108">
        <v>78004.0</v>
      </c>
      <c r="S112" s="83" t="s">
        <v>32</v>
      </c>
      <c r="T112" s="84" t="s">
        <v>33</v>
      </c>
      <c r="U112" s="122"/>
      <c r="V112" s="122"/>
      <c r="W112" s="565"/>
      <c r="X112" s="106"/>
      <c r="Y112" s="556"/>
      <c r="Z112" s="579"/>
      <c r="AA112" s="107"/>
      <c r="AB112" s="107"/>
      <c r="AC112" s="107"/>
      <c r="AD112" s="106"/>
    </row>
    <row r="113" ht="30.75" customHeight="1">
      <c r="A113" s="93">
        <v>87.0</v>
      </c>
      <c r="B113" s="103">
        <v>45219.0</v>
      </c>
      <c r="C113" s="93" t="s">
        <v>839</v>
      </c>
      <c r="D113" s="92" t="s">
        <v>50</v>
      </c>
      <c r="E113" s="105" t="s">
        <v>840</v>
      </c>
      <c r="F113" s="92" t="s">
        <v>841</v>
      </c>
      <c r="G113" s="63" t="s">
        <v>35</v>
      </c>
      <c r="H113" s="64">
        <v>1.0</v>
      </c>
      <c r="I113" s="47">
        <f t="shared" si="12"/>
        <v>220000</v>
      </c>
      <c r="J113" s="48">
        <f t="shared" si="7"/>
        <v>220000</v>
      </c>
      <c r="K113" s="76">
        <f t="shared" ref="K113:K118" si="28">SUM(J113)</f>
        <v>220000</v>
      </c>
      <c r="L113" s="109"/>
      <c r="M113" s="78">
        <f t="shared" ref="M113:M115" si="29">K113*5%</f>
        <v>11000</v>
      </c>
      <c r="N113" s="79"/>
      <c r="O113" s="80">
        <f t="shared" si="27"/>
        <v>209000</v>
      </c>
      <c r="P113" s="176"/>
      <c r="Q113" s="176"/>
      <c r="R113" s="109"/>
      <c r="S113" s="91"/>
      <c r="T113" s="183"/>
      <c r="U113" s="122"/>
      <c r="V113" s="122"/>
      <c r="W113" s="565" t="s">
        <v>53</v>
      </c>
      <c r="X113" s="106"/>
      <c r="Y113" s="556"/>
      <c r="Z113" s="579"/>
      <c r="AA113" s="107"/>
      <c r="AB113" s="107"/>
      <c r="AC113" s="107"/>
      <c r="AD113" s="106"/>
    </row>
    <row r="114" ht="30.75" customHeight="1">
      <c r="A114" s="93">
        <v>88.0</v>
      </c>
      <c r="B114" s="103">
        <v>45220.0</v>
      </c>
      <c r="C114" s="93" t="s">
        <v>842</v>
      </c>
      <c r="D114" s="92" t="s">
        <v>50</v>
      </c>
      <c r="E114" s="105" t="s">
        <v>843</v>
      </c>
      <c r="F114" s="92" t="s">
        <v>132</v>
      </c>
      <c r="G114" s="63" t="s">
        <v>30</v>
      </c>
      <c r="H114" s="64">
        <v>1.0</v>
      </c>
      <c r="I114" s="47">
        <f t="shared" si="12"/>
        <v>220000</v>
      </c>
      <c r="J114" s="48">
        <f t="shared" si="7"/>
        <v>220000</v>
      </c>
      <c r="K114" s="76">
        <f t="shared" si="28"/>
        <v>220000</v>
      </c>
      <c r="L114" s="109"/>
      <c r="M114" s="78">
        <f t="shared" si="29"/>
        <v>11000</v>
      </c>
      <c r="N114" s="79"/>
      <c r="O114" s="80">
        <f t="shared" si="27"/>
        <v>209000</v>
      </c>
      <c r="P114" s="176"/>
      <c r="Q114" s="176"/>
      <c r="R114" s="109"/>
      <c r="S114" s="91"/>
      <c r="T114" s="183"/>
      <c r="U114" s="122"/>
      <c r="V114" s="122"/>
      <c r="W114" s="565" t="s">
        <v>53</v>
      </c>
      <c r="X114" s="106"/>
      <c r="Y114" s="556"/>
      <c r="Z114" s="579"/>
      <c r="AA114" s="107"/>
      <c r="AB114" s="107"/>
      <c r="AC114" s="107"/>
      <c r="AD114" s="106"/>
    </row>
    <row r="115" ht="30.75" customHeight="1">
      <c r="A115" s="93">
        <v>89.0</v>
      </c>
      <c r="B115" s="103">
        <v>45220.0</v>
      </c>
      <c r="C115" s="93" t="s">
        <v>662</v>
      </c>
      <c r="D115" s="92" t="s">
        <v>50</v>
      </c>
      <c r="E115" s="105" t="s">
        <v>663</v>
      </c>
      <c r="F115" s="92" t="s">
        <v>70</v>
      </c>
      <c r="G115" s="63" t="s">
        <v>30</v>
      </c>
      <c r="H115" s="64">
        <v>1.0</v>
      </c>
      <c r="I115" s="47">
        <f t="shared" si="12"/>
        <v>220000</v>
      </c>
      <c r="J115" s="48">
        <f t="shared" si="7"/>
        <v>220000</v>
      </c>
      <c r="K115" s="76">
        <f t="shared" si="28"/>
        <v>220000</v>
      </c>
      <c r="L115" s="109"/>
      <c r="M115" s="78">
        <f t="shared" si="29"/>
        <v>11000</v>
      </c>
      <c r="N115" s="79"/>
      <c r="O115" s="80">
        <f t="shared" si="27"/>
        <v>209000</v>
      </c>
      <c r="P115" s="176"/>
      <c r="Q115" s="176"/>
      <c r="R115" s="109"/>
      <c r="S115" s="91"/>
      <c r="T115" s="183"/>
      <c r="U115" s="122"/>
      <c r="V115" s="122"/>
      <c r="W115" s="565" t="s">
        <v>53</v>
      </c>
      <c r="X115" s="106"/>
      <c r="Y115" s="556"/>
      <c r="Z115" s="579"/>
      <c r="AA115" s="107"/>
      <c r="AB115" s="107"/>
      <c r="AC115" s="107"/>
      <c r="AD115" s="106"/>
    </row>
    <row r="116" ht="36.75" customHeight="1">
      <c r="A116" s="93">
        <v>90.0</v>
      </c>
      <c r="B116" s="103">
        <v>45222.0</v>
      </c>
      <c r="C116" s="93">
        <v>1.702365214637E12</v>
      </c>
      <c r="D116" s="92" t="s">
        <v>44</v>
      </c>
      <c r="E116" s="105" t="s">
        <v>45</v>
      </c>
      <c r="F116" s="121" t="s">
        <v>46</v>
      </c>
      <c r="G116" s="63" t="s">
        <v>30</v>
      </c>
      <c r="H116" s="64">
        <v>3.0</v>
      </c>
      <c r="I116" s="47">
        <f t="shared" si="12"/>
        <v>220000</v>
      </c>
      <c r="J116" s="48">
        <f t="shared" si="7"/>
        <v>660000</v>
      </c>
      <c r="K116" s="76">
        <f t="shared" si="28"/>
        <v>660000</v>
      </c>
      <c r="L116" s="109"/>
      <c r="M116" s="78"/>
      <c r="N116" s="79"/>
      <c r="O116" s="80">
        <f t="shared" si="27"/>
        <v>660000</v>
      </c>
      <c r="P116" s="81" t="s">
        <v>449</v>
      </c>
      <c r="Q116" s="176"/>
      <c r="R116" s="108">
        <v>49002.0</v>
      </c>
      <c r="S116" s="83" t="s">
        <v>32</v>
      </c>
      <c r="T116" s="183"/>
      <c r="U116" s="122"/>
      <c r="V116" s="122"/>
      <c r="W116" s="284"/>
      <c r="X116" s="106"/>
      <c r="Y116" s="556"/>
      <c r="Z116" s="579"/>
      <c r="AA116" s="107"/>
      <c r="AB116" s="107"/>
      <c r="AC116" s="107"/>
      <c r="AD116" s="106"/>
    </row>
    <row r="117" ht="30.75" customHeight="1">
      <c r="A117" s="93">
        <v>91.0</v>
      </c>
      <c r="B117" s="103">
        <v>45222.0</v>
      </c>
      <c r="C117" s="93" t="s">
        <v>844</v>
      </c>
      <c r="D117" s="92" t="s">
        <v>50</v>
      </c>
      <c r="E117" s="105" t="s">
        <v>845</v>
      </c>
      <c r="F117" s="92" t="s">
        <v>841</v>
      </c>
      <c r="G117" s="63" t="s">
        <v>30</v>
      </c>
      <c r="H117" s="64">
        <v>1.0</v>
      </c>
      <c r="I117" s="47">
        <f t="shared" si="12"/>
        <v>220000</v>
      </c>
      <c r="J117" s="48">
        <f t="shared" si="7"/>
        <v>220000</v>
      </c>
      <c r="K117" s="76">
        <f t="shared" si="28"/>
        <v>220000</v>
      </c>
      <c r="L117" s="109"/>
      <c r="M117" s="78">
        <f t="shared" ref="M117:M119" si="30">K117*5%</f>
        <v>11000</v>
      </c>
      <c r="N117" s="79"/>
      <c r="O117" s="80">
        <f t="shared" si="27"/>
        <v>209000</v>
      </c>
      <c r="P117" s="176"/>
      <c r="Q117" s="176"/>
      <c r="R117" s="109"/>
      <c r="S117" s="91"/>
      <c r="T117" s="183"/>
      <c r="U117" s="122"/>
      <c r="V117" s="122"/>
      <c r="W117" s="565" t="s">
        <v>53</v>
      </c>
      <c r="X117" s="106"/>
      <c r="Y117" s="556"/>
      <c r="Z117" s="579"/>
      <c r="AA117" s="107"/>
      <c r="AB117" s="107"/>
      <c r="AC117" s="107"/>
      <c r="AD117" s="106"/>
    </row>
    <row r="118" ht="30.75" customHeight="1">
      <c r="A118" s="93">
        <v>92.0</v>
      </c>
      <c r="B118" s="103">
        <v>45222.0</v>
      </c>
      <c r="C118" s="93" t="s">
        <v>846</v>
      </c>
      <c r="D118" s="92" t="s">
        <v>50</v>
      </c>
      <c r="E118" s="105" t="s">
        <v>709</v>
      </c>
      <c r="F118" s="92" t="s">
        <v>613</v>
      </c>
      <c r="G118" s="63" t="s">
        <v>30</v>
      </c>
      <c r="H118" s="64">
        <v>1.0</v>
      </c>
      <c r="I118" s="47">
        <f t="shared" si="12"/>
        <v>220000</v>
      </c>
      <c r="J118" s="48">
        <f t="shared" si="7"/>
        <v>220000</v>
      </c>
      <c r="K118" s="76">
        <f t="shared" si="28"/>
        <v>220000</v>
      </c>
      <c r="L118" s="109"/>
      <c r="M118" s="78">
        <f t="shared" si="30"/>
        <v>11000</v>
      </c>
      <c r="N118" s="79"/>
      <c r="O118" s="80">
        <f t="shared" si="27"/>
        <v>209000</v>
      </c>
      <c r="P118" s="176"/>
      <c r="Q118" s="176"/>
      <c r="R118" s="109"/>
      <c r="S118" s="91"/>
      <c r="T118" s="183"/>
      <c r="U118" s="122"/>
      <c r="V118" s="122"/>
      <c r="W118" s="565" t="s">
        <v>53</v>
      </c>
      <c r="X118" s="106"/>
      <c r="Y118" s="556"/>
      <c r="Z118" s="579"/>
      <c r="AA118" s="107"/>
      <c r="AB118" s="107"/>
      <c r="AC118" s="107"/>
      <c r="AD118" s="106"/>
    </row>
    <row r="119" ht="30.75" customHeight="1">
      <c r="A119" s="111">
        <v>93.0</v>
      </c>
      <c r="B119" s="112">
        <v>45222.0</v>
      </c>
      <c r="C119" s="111" t="s">
        <v>847</v>
      </c>
      <c r="D119" s="142" t="s">
        <v>50</v>
      </c>
      <c r="E119" s="143" t="s">
        <v>743</v>
      </c>
      <c r="F119" s="142" t="s">
        <v>74</v>
      </c>
      <c r="G119" s="63" t="s">
        <v>30</v>
      </c>
      <c r="H119" s="64">
        <v>1.0</v>
      </c>
      <c r="I119" s="47">
        <f t="shared" si="12"/>
        <v>220000</v>
      </c>
      <c r="J119" s="48">
        <f t="shared" si="7"/>
        <v>220000</v>
      </c>
      <c r="K119" s="49">
        <f>sum(J119:J120)</f>
        <v>440000</v>
      </c>
      <c r="L119" s="144"/>
      <c r="M119" s="51">
        <f t="shared" si="30"/>
        <v>22000</v>
      </c>
      <c r="N119" s="52"/>
      <c r="O119" s="53">
        <f t="shared" si="27"/>
        <v>418000</v>
      </c>
      <c r="P119" s="196"/>
      <c r="Q119" s="196"/>
      <c r="R119" s="144"/>
      <c r="S119" s="119"/>
      <c r="T119" s="197"/>
      <c r="U119" s="147"/>
      <c r="V119" s="147"/>
      <c r="W119" s="587" t="s">
        <v>53</v>
      </c>
      <c r="X119" s="106"/>
      <c r="Y119" s="556"/>
      <c r="Z119" s="579"/>
      <c r="AA119" s="107"/>
      <c r="AB119" s="107"/>
      <c r="AC119" s="107"/>
      <c r="AD119" s="106"/>
    </row>
    <row r="120" ht="30.75" customHeight="1">
      <c r="A120" s="67"/>
      <c r="B120" s="67"/>
      <c r="C120" s="67"/>
      <c r="D120" s="67"/>
      <c r="E120" s="67"/>
      <c r="F120" s="67"/>
      <c r="G120" s="63" t="s">
        <v>290</v>
      </c>
      <c r="H120" s="64">
        <v>1.0</v>
      </c>
      <c r="I120" s="47">
        <f t="shared" si="12"/>
        <v>220000</v>
      </c>
      <c r="J120" s="48">
        <f t="shared" si="7"/>
        <v>220000</v>
      </c>
      <c r="K120" s="67"/>
      <c r="L120" s="67"/>
      <c r="M120" s="67"/>
      <c r="N120" s="67"/>
      <c r="O120" s="67"/>
      <c r="P120" s="67"/>
      <c r="Q120" s="67"/>
      <c r="R120" s="67"/>
      <c r="S120" s="67"/>
      <c r="T120" s="67"/>
      <c r="U120" s="67"/>
      <c r="V120" s="67"/>
      <c r="W120" s="67"/>
      <c r="X120" s="106"/>
      <c r="Y120" s="556"/>
      <c r="Z120" s="579"/>
      <c r="AA120" s="107"/>
      <c r="AB120" s="107"/>
      <c r="AC120" s="107"/>
      <c r="AD120" s="106"/>
    </row>
    <row r="121" ht="30.75" customHeight="1">
      <c r="A121" s="93">
        <v>94.0</v>
      </c>
      <c r="B121" s="103">
        <v>45222.0</v>
      </c>
      <c r="C121" s="93" t="s">
        <v>848</v>
      </c>
      <c r="D121" s="92" t="s">
        <v>50</v>
      </c>
      <c r="E121" s="105" t="s">
        <v>849</v>
      </c>
      <c r="F121" s="92" t="s">
        <v>271</v>
      </c>
      <c r="G121" s="63" t="s">
        <v>30</v>
      </c>
      <c r="H121" s="64">
        <v>1.0</v>
      </c>
      <c r="I121" s="47">
        <f t="shared" si="12"/>
        <v>220000</v>
      </c>
      <c r="J121" s="48">
        <f t="shared" si="7"/>
        <v>220000</v>
      </c>
      <c r="K121" s="76">
        <f t="shared" ref="K121:K123" si="31">SUM(J121)</f>
        <v>220000</v>
      </c>
      <c r="L121" s="109"/>
      <c r="M121" s="78">
        <f t="shared" ref="M121:M122" si="32">K121*5%</f>
        <v>11000</v>
      </c>
      <c r="N121" s="79"/>
      <c r="O121" s="80">
        <f t="shared" ref="O121:O124" si="33">K121+L121-M121-N121</f>
        <v>209000</v>
      </c>
      <c r="P121" s="176"/>
      <c r="Q121" s="176"/>
      <c r="R121" s="109"/>
      <c r="S121" s="91"/>
      <c r="T121" s="183"/>
      <c r="U121" s="122"/>
      <c r="V121" s="122"/>
      <c r="W121" s="565" t="s">
        <v>53</v>
      </c>
      <c r="X121" s="106"/>
      <c r="Y121" s="556"/>
      <c r="Z121" s="579"/>
      <c r="AA121" s="107"/>
      <c r="AB121" s="107"/>
      <c r="AC121" s="107"/>
      <c r="AD121" s="106"/>
    </row>
    <row r="122" ht="30.75" customHeight="1">
      <c r="A122" s="93">
        <v>95.0</v>
      </c>
      <c r="B122" s="103">
        <v>45222.0</v>
      </c>
      <c r="C122" s="93" t="s">
        <v>850</v>
      </c>
      <c r="D122" s="92" t="s">
        <v>50</v>
      </c>
      <c r="E122" s="105" t="s">
        <v>851</v>
      </c>
      <c r="F122" s="92" t="s">
        <v>522</v>
      </c>
      <c r="G122" s="63" t="s">
        <v>30</v>
      </c>
      <c r="H122" s="64">
        <v>1.0</v>
      </c>
      <c r="I122" s="47">
        <f t="shared" si="12"/>
        <v>220000</v>
      </c>
      <c r="J122" s="48">
        <f t="shared" si="7"/>
        <v>220000</v>
      </c>
      <c r="K122" s="76">
        <f t="shared" si="31"/>
        <v>220000</v>
      </c>
      <c r="L122" s="109"/>
      <c r="M122" s="78">
        <f t="shared" si="32"/>
        <v>11000</v>
      </c>
      <c r="N122" s="79"/>
      <c r="O122" s="80">
        <f t="shared" si="33"/>
        <v>209000</v>
      </c>
      <c r="P122" s="176"/>
      <c r="Q122" s="176"/>
      <c r="R122" s="109"/>
      <c r="S122" s="91"/>
      <c r="T122" s="183"/>
      <c r="U122" s="122"/>
      <c r="V122" s="122"/>
      <c r="W122" s="565" t="s">
        <v>53</v>
      </c>
      <c r="X122" s="106"/>
      <c r="Y122" s="556"/>
      <c r="Z122" s="579"/>
      <c r="AA122" s="107"/>
      <c r="AB122" s="107"/>
      <c r="AC122" s="107"/>
      <c r="AD122" s="106"/>
    </row>
    <row r="123" ht="30.75" customHeight="1">
      <c r="A123" s="93">
        <v>96.0</v>
      </c>
      <c r="B123" s="103">
        <v>45222.0</v>
      </c>
      <c r="C123" s="93" t="s">
        <v>852</v>
      </c>
      <c r="D123" s="92" t="s">
        <v>118</v>
      </c>
      <c r="E123" s="65"/>
      <c r="F123" s="92" t="s">
        <v>119</v>
      </c>
      <c r="G123" s="63" t="s">
        <v>30</v>
      </c>
      <c r="H123" s="64">
        <v>1.0</v>
      </c>
      <c r="I123" s="47">
        <f t="shared" si="12"/>
        <v>220000</v>
      </c>
      <c r="J123" s="48">
        <f t="shared" si="7"/>
        <v>220000</v>
      </c>
      <c r="K123" s="76">
        <f t="shared" si="31"/>
        <v>220000</v>
      </c>
      <c r="L123" s="109"/>
      <c r="M123" s="78"/>
      <c r="N123" s="79"/>
      <c r="O123" s="80">
        <f t="shared" si="33"/>
        <v>220000</v>
      </c>
      <c r="P123" s="176"/>
      <c r="Q123" s="176"/>
      <c r="R123" s="109"/>
      <c r="S123" s="91"/>
      <c r="T123" s="183"/>
      <c r="U123" s="122"/>
      <c r="V123" s="122"/>
      <c r="W123" s="155" t="s">
        <v>703</v>
      </c>
      <c r="X123" s="106"/>
      <c r="Y123" s="556"/>
      <c r="Z123" s="579"/>
      <c r="AA123" s="107"/>
      <c r="AB123" s="107"/>
      <c r="AC123" s="107"/>
      <c r="AD123" s="106"/>
    </row>
    <row r="124" ht="30.75" customHeight="1">
      <c r="A124" s="111">
        <v>97.0</v>
      </c>
      <c r="B124" s="112">
        <v>45223.0</v>
      </c>
      <c r="C124" s="588">
        <v>1.720466338175E12</v>
      </c>
      <c r="D124" s="142" t="s">
        <v>357</v>
      </c>
      <c r="E124" s="143" t="s">
        <v>358</v>
      </c>
      <c r="F124" s="44" t="s">
        <v>853</v>
      </c>
      <c r="G124" s="571" t="s">
        <v>476</v>
      </c>
      <c r="H124" s="572">
        <v>2.0</v>
      </c>
      <c r="I124" s="573">
        <f t="shared" si="12"/>
        <v>55000</v>
      </c>
      <c r="J124" s="574">
        <f t="shared" si="7"/>
        <v>110000</v>
      </c>
      <c r="K124" s="49">
        <f>sum(J124:J127)</f>
        <v>480000</v>
      </c>
      <c r="L124" s="145">
        <v>63002.0</v>
      </c>
      <c r="M124" s="433"/>
      <c r="N124" s="117">
        <v>33002.0</v>
      </c>
      <c r="O124" s="53">
        <f t="shared" si="33"/>
        <v>510000</v>
      </c>
      <c r="P124" s="196"/>
      <c r="Q124" s="196"/>
      <c r="R124" s="144"/>
      <c r="S124" s="119"/>
      <c r="T124" s="197"/>
      <c r="U124" s="142" t="s">
        <v>112</v>
      </c>
      <c r="V124" s="142">
        <v>1.0</v>
      </c>
      <c r="W124" s="44" t="s">
        <v>854</v>
      </c>
      <c r="X124" s="106"/>
      <c r="Y124" s="556"/>
      <c r="Z124" s="579"/>
      <c r="AA124" s="107"/>
      <c r="AB124" s="107"/>
      <c r="AC124" s="107"/>
      <c r="AD124" s="106"/>
    </row>
    <row r="125" ht="30.75" customHeight="1">
      <c r="A125" s="62"/>
      <c r="B125" s="62"/>
      <c r="C125" s="62"/>
      <c r="D125" s="62"/>
      <c r="E125" s="62"/>
      <c r="F125" s="62"/>
      <c r="G125" s="571" t="s">
        <v>478</v>
      </c>
      <c r="H125" s="572">
        <v>2.0</v>
      </c>
      <c r="I125" s="573">
        <f t="shared" si="12"/>
        <v>65000</v>
      </c>
      <c r="J125" s="574">
        <f t="shared" si="7"/>
        <v>130000</v>
      </c>
      <c r="K125" s="62"/>
      <c r="L125" s="62"/>
      <c r="M125" s="62"/>
      <c r="N125" s="62"/>
      <c r="O125" s="62"/>
      <c r="P125" s="62"/>
      <c r="Q125" s="62"/>
      <c r="R125" s="62"/>
      <c r="S125" s="62"/>
      <c r="T125" s="62"/>
      <c r="U125" s="67"/>
      <c r="V125" s="67"/>
      <c r="W125" s="62"/>
      <c r="X125" s="106"/>
      <c r="Y125" s="556"/>
      <c r="Z125" s="579"/>
      <c r="AA125" s="107"/>
      <c r="AB125" s="107"/>
      <c r="AC125" s="107"/>
      <c r="AD125" s="106"/>
    </row>
    <row r="126" ht="30.75" customHeight="1">
      <c r="A126" s="62"/>
      <c r="B126" s="62"/>
      <c r="C126" s="62"/>
      <c r="D126" s="62"/>
      <c r="E126" s="62"/>
      <c r="F126" s="62"/>
      <c r="G126" s="571" t="s">
        <v>477</v>
      </c>
      <c r="H126" s="572">
        <v>2.0</v>
      </c>
      <c r="I126" s="573">
        <f t="shared" si="12"/>
        <v>65000</v>
      </c>
      <c r="J126" s="574">
        <f t="shared" si="7"/>
        <v>130000</v>
      </c>
      <c r="K126" s="62"/>
      <c r="L126" s="62"/>
      <c r="M126" s="62"/>
      <c r="N126" s="62"/>
      <c r="O126" s="62"/>
      <c r="P126" s="62"/>
      <c r="Q126" s="62"/>
      <c r="R126" s="62"/>
      <c r="S126" s="62"/>
      <c r="T126" s="62"/>
      <c r="U126" s="142" t="s">
        <v>744</v>
      </c>
      <c r="V126" s="142">
        <v>1.0</v>
      </c>
      <c r="W126" s="62"/>
      <c r="X126" s="106"/>
      <c r="Y126" s="556"/>
      <c r="Z126" s="579"/>
      <c r="AA126" s="107"/>
      <c r="AB126" s="107"/>
      <c r="AC126" s="107"/>
      <c r="AD126" s="106"/>
    </row>
    <row r="127" ht="30.75" customHeight="1">
      <c r="A127" s="67"/>
      <c r="B127" s="67"/>
      <c r="C127" s="67"/>
      <c r="D127" s="67"/>
      <c r="E127" s="67"/>
      <c r="F127" s="67"/>
      <c r="G127" s="571" t="s">
        <v>62</v>
      </c>
      <c r="H127" s="572">
        <v>2.0</v>
      </c>
      <c r="I127" s="573">
        <f t="shared" si="12"/>
        <v>55000</v>
      </c>
      <c r="J127" s="574">
        <f t="shared" si="7"/>
        <v>110000</v>
      </c>
      <c r="K127" s="67"/>
      <c r="L127" s="67"/>
      <c r="M127" s="67"/>
      <c r="N127" s="67"/>
      <c r="O127" s="67"/>
      <c r="P127" s="67"/>
      <c r="Q127" s="67"/>
      <c r="R127" s="67"/>
      <c r="S127" s="67"/>
      <c r="T127" s="67"/>
      <c r="U127" s="67"/>
      <c r="V127" s="67"/>
      <c r="W127" s="67"/>
      <c r="X127" s="106"/>
      <c r="Y127" s="556"/>
      <c r="Z127" s="579"/>
      <c r="AA127" s="107"/>
      <c r="AB127" s="107"/>
      <c r="AC127" s="107"/>
      <c r="AD127" s="106"/>
    </row>
    <row r="128" ht="30.75" customHeight="1">
      <c r="A128" s="93">
        <v>98.0</v>
      </c>
      <c r="B128" s="103">
        <v>45224.0</v>
      </c>
      <c r="C128" s="93" t="s">
        <v>855</v>
      </c>
      <c r="D128" s="92" t="s">
        <v>50</v>
      </c>
      <c r="E128" s="105" t="s">
        <v>856</v>
      </c>
      <c r="F128" s="92" t="s">
        <v>613</v>
      </c>
      <c r="G128" s="63" t="s">
        <v>30</v>
      </c>
      <c r="H128" s="64">
        <v>1.0</v>
      </c>
      <c r="I128" s="47">
        <f t="shared" si="12"/>
        <v>220000</v>
      </c>
      <c r="J128" s="48">
        <f t="shared" si="7"/>
        <v>220000</v>
      </c>
      <c r="K128" s="76">
        <f t="shared" ref="K128:K131" si="34">SUM(J128)</f>
        <v>220000</v>
      </c>
      <c r="L128" s="109"/>
      <c r="M128" s="78">
        <f t="shared" ref="M128:M129" si="35">K128*5%</f>
        <v>11000</v>
      </c>
      <c r="N128" s="79"/>
      <c r="O128" s="80">
        <f t="shared" ref="O128:O131" si="36">K128+L128-M128-N128</f>
        <v>209000</v>
      </c>
      <c r="P128" s="176"/>
      <c r="Q128" s="176"/>
      <c r="R128" s="109"/>
      <c r="S128" s="91"/>
      <c r="T128" s="183"/>
      <c r="U128" s="122"/>
      <c r="V128" s="122"/>
      <c r="W128" s="565" t="s">
        <v>53</v>
      </c>
      <c r="X128" s="106"/>
      <c r="Y128" s="556"/>
      <c r="Z128" s="579"/>
      <c r="AA128" s="107"/>
      <c r="AB128" s="107"/>
      <c r="AC128" s="107"/>
      <c r="AD128" s="106"/>
    </row>
    <row r="129" ht="30.75" customHeight="1">
      <c r="A129" s="93">
        <v>99.0</v>
      </c>
      <c r="B129" s="103">
        <v>45224.0</v>
      </c>
      <c r="C129" s="93" t="s">
        <v>857</v>
      </c>
      <c r="D129" s="92" t="s">
        <v>50</v>
      </c>
      <c r="E129" s="105" t="s">
        <v>858</v>
      </c>
      <c r="F129" s="92" t="s">
        <v>548</v>
      </c>
      <c r="G129" s="63" t="s">
        <v>30</v>
      </c>
      <c r="H129" s="64">
        <v>2.0</v>
      </c>
      <c r="I129" s="47">
        <f t="shared" si="12"/>
        <v>220000</v>
      </c>
      <c r="J129" s="48">
        <f t="shared" si="7"/>
        <v>440000</v>
      </c>
      <c r="K129" s="76">
        <f t="shared" si="34"/>
        <v>440000</v>
      </c>
      <c r="L129" s="109"/>
      <c r="M129" s="78">
        <f t="shared" si="35"/>
        <v>22000</v>
      </c>
      <c r="N129" s="79"/>
      <c r="O129" s="80">
        <f t="shared" si="36"/>
        <v>418000</v>
      </c>
      <c r="P129" s="176"/>
      <c r="Q129" s="176"/>
      <c r="R129" s="109"/>
      <c r="S129" s="91"/>
      <c r="T129" s="183"/>
      <c r="U129" s="122"/>
      <c r="V129" s="122"/>
      <c r="W129" s="565" t="s">
        <v>53</v>
      </c>
      <c r="X129" s="106"/>
      <c r="Y129" s="556"/>
      <c r="Z129" s="579"/>
      <c r="AA129" s="107"/>
      <c r="AB129" s="107"/>
      <c r="AC129" s="107"/>
      <c r="AD129" s="106"/>
    </row>
    <row r="130" ht="34.5" customHeight="1">
      <c r="A130" s="93">
        <v>100.0</v>
      </c>
      <c r="B130" s="103">
        <v>45224.0</v>
      </c>
      <c r="C130" s="93">
        <v>1.712054690157E12</v>
      </c>
      <c r="D130" s="121" t="s">
        <v>859</v>
      </c>
      <c r="E130" s="105" t="s">
        <v>860</v>
      </c>
      <c r="F130" s="92" t="s">
        <v>324</v>
      </c>
      <c r="G130" s="63" t="s">
        <v>30</v>
      </c>
      <c r="H130" s="64">
        <v>10.0</v>
      </c>
      <c r="I130" s="47">
        <f t="shared" si="12"/>
        <v>220000</v>
      </c>
      <c r="J130" s="48">
        <f t="shared" si="7"/>
        <v>2200000</v>
      </c>
      <c r="K130" s="76">
        <f t="shared" si="34"/>
        <v>2200000</v>
      </c>
      <c r="L130" s="109"/>
      <c r="M130" s="78"/>
      <c r="N130" s="79"/>
      <c r="O130" s="80">
        <f t="shared" si="36"/>
        <v>2200000</v>
      </c>
      <c r="P130" s="176"/>
      <c r="Q130" s="176"/>
      <c r="R130" s="108">
        <v>78004.0</v>
      </c>
      <c r="S130" s="83" t="s">
        <v>32</v>
      </c>
      <c r="T130" s="183"/>
      <c r="U130" s="122"/>
      <c r="V130" s="122"/>
      <c r="W130" s="284"/>
      <c r="X130" s="106"/>
      <c r="Y130" s="556"/>
      <c r="Z130" s="579"/>
      <c r="AA130" s="107"/>
      <c r="AB130" s="107"/>
      <c r="AC130" s="107"/>
      <c r="AD130" s="106"/>
    </row>
    <row r="131" ht="36.0" customHeight="1">
      <c r="A131" s="93">
        <v>101.0</v>
      </c>
      <c r="B131" s="103">
        <v>45224.0</v>
      </c>
      <c r="C131" s="93">
        <v>1.711940715581E12</v>
      </c>
      <c r="D131" s="92" t="s">
        <v>861</v>
      </c>
      <c r="E131" s="105" t="s">
        <v>862</v>
      </c>
      <c r="F131" s="121" t="s">
        <v>863</v>
      </c>
      <c r="G131" s="63" t="s">
        <v>30</v>
      </c>
      <c r="H131" s="64">
        <v>10.0</v>
      </c>
      <c r="I131" s="47">
        <f t="shared" si="12"/>
        <v>220000</v>
      </c>
      <c r="J131" s="48">
        <f t="shared" si="7"/>
        <v>2200000</v>
      </c>
      <c r="K131" s="76">
        <f t="shared" si="34"/>
        <v>2200000</v>
      </c>
      <c r="L131" s="109"/>
      <c r="M131" s="78"/>
      <c r="N131" s="79"/>
      <c r="O131" s="80">
        <f t="shared" si="36"/>
        <v>2200000</v>
      </c>
      <c r="P131" s="176"/>
      <c r="Q131" s="176"/>
      <c r="R131" s="108">
        <v>69003.0</v>
      </c>
      <c r="S131" s="83" t="s">
        <v>32</v>
      </c>
      <c r="T131" s="183"/>
      <c r="U131" s="122"/>
      <c r="V131" s="122"/>
      <c r="W131" s="284"/>
      <c r="X131" s="106"/>
      <c r="Y131" s="556"/>
      <c r="Z131" s="579"/>
      <c r="AA131" s="107"/>
      <c r="AB131" s="107"/>
      <c r="AC131" s="107"/>
      <c r="AD131" s="106"/>
    </row>
    <row r="132" ht="30.75" customHeight="1">
      <c r="A132" s="65"/>
      <c r="B132" s="65"/>
      <c r="C132" s="65"/>
      <c r="D132" s="122"/>
      <c r="E132" s="65"/>
      <c r="F132" s="122"/>
      <c r="G132" s="457"/>
      <c r="H132" s="85"/>
      <c r="I132" s="455"/>
      <c r="J132" s="48"/>
      <c r="K132" s="76"/>
      <c r="L132" s="109"/>
      <c r="M132" s="78"/>
      <c r="N132" s="79"/>
      <c r="O132" s="80"/>
      <c r="P132" s="176"/>
      <c r="Q132" s="176"/>
      <c r="R132" s="109"/>
      <c r="S132" s="91"/>
      <c r="T132" s="183"/>
      <c r="U132" s="122"/>
      <c r="V132" s="122"/>
      <c r="W132" s="284"/>
      <c r="X132" s="106"/>
      <c r="Y132" s="556"/>
      <c r="Z132" s="579"/>
      <c r="AA132" s="107"/>
      <c r="AB132" s="107"/>
      <c r="AC132" s="107"/>
      <c r="AD132" s="106"/>
    </row>
    <row r="133" ht="30.75" customHeight="1">
      <c r="A133" s="589"/>
      <c r="B133" s="198" t="s">
        <v>384</v>
      </c>
      <c r="C133" s="16"/>
      <c r="D133" s="16"/>
      <c r="E133" s="16"/>
      <c r="F133" s="16"/>
      <c r="G133" s="16"/>
      <c r="H133" s="16"/>
      <c r="I133" s="17"/>
      <c r="J133" s="590">
        <f t="shared" ref="J133:M133" si="37">sum(J4:J132)</f>
        <v>65580000</v>
      </c>
      <c r="K133" s="199">
        <f t="shared" si="37"/>
        <v>65580000</v>
      </c>
      <c r="L133" s="590">
        <f t="shared" si="37"/>
        <v>332007</v>
      </c>
      <c r="M133" s="590">
        <f t="shared" si="37"/>
        <v>1749660</v>
      </c>
      <c r="N133" s="201">
        <f>SUM(N4:N132)</f>
        <v>122007</v>
      </c>
      <c r="O133" s="203">
        <f>K133+L133-N133-M133</f>
        <v>64040340</v>
      </c>
      <c r="P133" s="201"/>
      <c r="Q133" s="201">
        <f t="shared" ref="Q133:W133" si="38">SUM(Q4:Q132)</f>
        <v>0</v>
      </c>
      <c r="R133" s="201">
        <f t="shared" si="38"/>
        <v>1577558</v>
      </c>
      <c r="S133" s="201">
        <f t="shared" si="38"/>
        <v>0</v>
      </c>
      <c r="T133" s="201">
        <f t="shared" si="38"/>
        <v>0</v>
      </c>
      <c r="U133" s="201">
        <f t="shared" si="38"/>
        <v>0</v>
      </c>
      <c r="V133" s="201">
        <f t="shared" si="38"/>
        <v>5</v>
      </c>
      <c r="W133" s="591">
        <f t="shared" si="38"/>
        <v>0</v>
      </c>
      <c r="X133" s="556"/>
      <c r="Y133" s="556"/>
      <c r="Z133" s="579"/>
      <c r="AA133" s="592"/>
      <c r="AB133" s="592"/>
      <c r="AC133" s="592"/>
      <c r="AD133" s="556"/>
    </row>
    <row r="134" ht="30.75" customHeight="1">
      <c r="A134" s="589"/>
      <c r="B134" s="463" t="s">
        <v>385</v>
      </c>
      <c r="C134" s="16"/>
      <c r="D134" s="16"/>
      <c r="E134" s="16"/>
      <c r="F134" s="16"/>
      <c r="G134" s="16"/>
      <c r="H134" s="16"/>
      <c r="I134" s="17"/>
      <c r="J134" s="207">
        <f>SUMIF(G4:G132, "&lt;&gt;*Omi*", J4:J132)</f>
        <v>2760000</v>
      </c>
      <c r="K134" s="208"/>
      <c r="L134" s="208"/>
      <c r="M134" s="209"/>
      <c r="N134" s="210"/>
      <c r="O134" s="211"/>
      <c r="P134" s="210"/>
      <c r="Q134" s="210"/>
      <c r="R134" s="23"/>
      <c r="S134" s="23"/>
      <c r="T134" s="23"/>
      <c r="U134" s="23"/>
      <c r="V134" s="464"/>
      <c r="W134" s="464"/>
      <c r="X134" s="556"/>
      <c r="Y134" s="556"/>
      <c r="Z134" s="579"/>
      <c r="AA134" s="592"/>
      <c r="AB134" s="592"/>
      <c r="AC134" s="592"/>
      <c r="AD134" s="556"/>
    </row>
    <row r="135" ht="24.75" customHeight="1">
      <c r="A135" s="589"/>
      <c r="B135" s="214" t="s">
        <v>386</v>
      </c>
      <c r="C135" s="16"/>
      <c r="D135" s="16"/>
      <c r="E135" s="16"/>
      <c r="F135" s="16"/>
      <c r="G135" s="16"/>
      <c r="H135" s="16"/>
      <c r="I135" s="17"/>
      <c r="J135" s="593">
        <f>J133-J134</f>
        <v>62820000</v>
      </c>
      <c r="K135" s="208"/>
      <c r="L135" s="216"/>
      <c r="M135" s="216"/>
      <c r="N135" s="216"/>
      <c r="O135" s="216"/>
      <c r="P135" s="216"/>
      <c r="Q135" s="23"/>
      <c r="R135" s="23"/>
      <c r="S135" s="23"/>
      <c r="T135" s="23"/>
      <c r="U135" s="23"/>
      <c r="V135" s="464"/>
      <c r="W135" s="464"/>
      <c r="X135" s="556"/>
      <c r="Y135" s="556"/>
      <c r="Z135" s="579"/>
      <c r="AA135" s="592"/>
      <c r="AB135" s="592"/>
      <c r="AC135" s="592"/>
      <c r="AD135" s="556"/>
    </row>
    <row r="136" ht="30.0" customHeight="1">
      <c r="A136" s="589"/>
      <c r="B136" s="217" t="s">
        <v>387</v>
      </c>
      <c r="C136" s="16"/>
      <c r="D136" s="16"/>
      <c r="E136" s="16"/>
      <c r="F136" s="16"/>
      <c r="G136" s="16"/>
      <c r="H136" s="16"/>
      <c r="I136" s="17"/>
      <c r="J136" s="207">
        <f>SUMIF(S4:S62,"Cty trả ship",R4:R62)</f>
        <v>404904</v>
      </c>
      <c r="K136" s="208"/>
      <c r="L136" s="216"/>
      <c r="M136" s="216"/>
      <c r="N136" s="216"/>
      <c r="O136" s="216"/>
      <c r="P136" s="216"/>
      <c r="Q136" s="23"/>
      <c r="R136" s="23"/>
      <c r="S136" s="23"/>
      <c r="T136" s="23"/>
      <c r="U136" s="23"/>
      <c r="V136" s="464"/>
      <c r="W136" s="464"/>
      <c r="X136" s="556"/>
      <c r="Y136" s="218"/>
      <c r="Z136" s="219"/>
      <c r="AA136" s="592"/>
      <c r="AB136" s="592"/>
      <c r="AC136" s="592"/>
      <c r="AD136" s="556"/>
    </row>
    <row r="137" ht="24.75" customHeight="1">
      <c r="A137" s="589"/>
      <c r="B137" s="220" t="s">
        <v>388</v>
      </c>
      <c r="C137" s="16"/>
      <c r="D137" s="16"/>
      <c r="E137" s="16"/>
      <c r="F137" s="16"/>
      <c r="G137" s="16"/>
      <c r="H137" s="16"/>
      <c r="I137" s="17"/>
      <c r="J137" s="221">
        <f>N133</f>
        <v>122007</v>
      </c>
      <c r="K137" s="208"/>
      <c r="L137" s="208"/>
      <c r="M137" s="210"/>
      <c r="N137" s="210"/>
      <c r="O137" s="211"/>
      <c r="P137" s="210"/>
      <c r="Q137" s="210"/>
      <c r="R137" s="23"/>
      <c r="S137" s="23"/>
      <c r="T137" s="210"/>
      <c r="U137" s="210"/>
      <c r="V137" s="466"/>
      <c r="W137" s="466"/>
      <c r="X137" s="210"/>
      <c r="Y137" s="218"/>
      <c r="Z137" s="219"/>
      <c r="AA137" s="592"/>
      <c r="AB137" s="592"/>
      <c r="AC137" s="592"/>
      <c r="AD137" s="556"/>
    </row>
    <row r="138" ht="15.75" customHeight="1">
      <c r="A138" s="594"/>
      <c r="B138" s="556"/>
      <c r="C138" s="556"/>
      <c r="D138" s="556"/>
      <c r="E138" s="556"/>
      <c r="F138" s="595"/>
      <c r="G138" s="596"/>
      <c r="H138" s="597"/>
      <c r="I138" s="598"/>
      <c r="J138" s="598"/>
      <c r="K138" s="106"/>
      <c r="L138" s="556"/>
      <c r="M138" s="556"/>
      <c r="N138" s="556"/>
      <c r="O138" s="402"/>
      <c r="P138" s="556"/>
      <c r="Q138" s="556"/>
      <c r="R138" s="556"/>
      <c r="S138" s="556"/>
      <c r="T138" s="556"/>
      <c r="U138" s="556"/>
      <c r="V138" s="599"/>
      <c r="W138" s="599"/>
      <c r="X138" s="556"/>
      <c r="Y138" s="556"/>
      <c r="Z138" s="579"/>
      <c r="AA138" s="592"/>
      <c r="AB138" s="592"/>
      <c r="AC138" s="592"/>
      <c r="AD138" s="556"/>
    </row>
    <row r="139" ht="15.75" customHeight="1">
      <c r="A139" s="600"/>
      <c r="B139" s="227"/>
      <c r="C139" s="228"/>
      <c r="D139" s="229"/>
      <c r="E139" s="230"/>
      <c r="F139" s="229"/>
      <c r="G139" s="231"/>
      <c r="H139" s="231"/>
      <c r="I139" s="231"/>
      <c r="J139" s="232"/>
      <c r="K139" s="233"/>
      <c r="L139" s="232"/>
      <c r="M139" s="232"/>
      <c r="N139" s="232"/>
      <c r="O139" s="234"/>
      <c r="P139" s="218"/>
      <c r="Q139" s="218"/>
      <c r="R139" s="218"/>
      <c r="S139" s="218"/>
      <c r="T139" s="218"/>
      <c r="U139" s="218"/>
      <c r="V139" s="601"/>
      <c r="W139" s="601"/>
      <c r="X139" s="235"/>
      <c r="Y139" s="218"/>
      <c r="Z139" s="219"/>
      <c r="AA139" s="592"/>
      <c r="AB139" s="592"/>
      <c r="AC139" s="592"/>
      <c r="AD139" s="556"/>
    </row>
    <row r="140" ht="15.75" customHeight="1">
      <c r="A140" s="600"/>
      <c r="B140" s="236"/>
      <c r="C140" s="16"/>
      <c r="D140" s="17"/>
      <c r="E140" s="237" t="s">
        <v>389</v>
      </c>
      <c r="F140" s="16"/>
      <c r="G140" s="16"/>
      <c r="H140" s="16"/>
      <c r="I140" s="16"/>
      <c r="J140" s="17"/>
      <c r="K140" s="23"/>
      <c r="L140" s="218"/>
      <c r="M140" s="238"/>
      <c r="N140" s="602" t="s">
        <v>864</v>
      </c>
      <c r="O140" s="16"/>
      <c r="P140" s="16"/>
      <c r="Q140" s="16"/>
      <c r="R140" s="16"/>
      <c r="S140" s="16"/>
      <c r="T140" s="17"/>
      <c r="U140" s="275"/>
      <c r="V140" s="603"/>
      <c r="W140" s="604"/>
      <c r="X140" s="240"/>
      <c r="Y140" s="218"/>
      <c r="Z140" s="219"/>
      <c r="AA140" s="592"/>
      <c r="AB140" s="592"/>
      <c r="AC140" s="592"/>
      <c r="AD140" s="556"/>
    </row>
    <row r="141" ht="15.75" customHeight="1">
      <c r="A141" s="600"/>
      <c r="B141" s="241" t="s">
        <v>391</v>
      </c>
      <c r="C141" s="242" t="s">
        <v>392</v>
      </c>
      <c r="D141" s="243" t="s">
        <v>393</v>
      </c>
      <c r="E141" s="244" t="s">
        <v>394</v>
      </c>
      <c r="F141" s="245" t="s">
        <v>395</v>
      </c>
      <c r="G141" s="201" t="s">
        <v>396</v>
      </c>
      <c r="H141" s="243" t="s">
        <v>397</v>
      </c>
      <c r="I141" s="246" t="s">
        <v>398</v>
      </c>
      <c r="J141" s="247" t="s">
        <v>399</v>
      </c>
      <c r="K141" s="23"/>
      <c r="L141" s="218"/>
      <c r="M141" s="248"/>
      <c r="N141" s="605" t="s">
        <v>400</v>
      </c>
      <c r="O141" s="250" t="s">
        <v>865</v>
      </c>
      <c r="P141" s="250" t="s">
        <v>657</v>
      </c>
      <c r="Q141" s="251" t="s">
        <v>866</v>
      </c>
      <c r="R141" s="251" t="s">
        <v>658</v>
      </c>
      <c r="S141" s="252" t="s">
        <v>405</v>
      </c>
      <c r="T141" s="253" t="s">
        <v>406</v>
      </c>
      <c r="U141" s="606"/>
      <c r="V141" s="607"/>
      <c r="W141" s="608"/>
      <c r="X141" s="240"/>
      <c r="Y141" s="218"/>
      <c r="Z141" s="219"/>
      <c r="AA141" s="592"/>
      <c r="AB141" s="592"/>
      <c r="AC141" s="592"/>
      <c r="AD141" s="556"/>
    </row>
    <row r="142" ht="25.5" customHeight="1">
      <c r="A142" s="600"/>
      <c r="B142" s="254" t="s">
        <v>407</v>
      </c>
      <c r="C142" s="85" t="s">
        <v>121</v>
      </c>
      <c r="D142" s="255">
        <f t="shared" ref="D142:D183" si="39">SUMIF($G$4:$G$135,C142,$H$4:$H$135)</f>
        <v>15</v>
      </c>
      <c r="E142" s="65"/>
      <c r="F142" s="255"/>
      <c r="G142" s="256">
        <f t="shared" ref="G142:G183" si="40">D142-E142-F142</f>
        <v>15</v>
      </c>
      <c r="H142" s="128">
        <v>220000.0</v>
      </c>
      <c r="I142" s="217">
        <f t="shared" ref="I142:I183" si="41">G142*H142</f>
        <v>3300000</v>
      </c>
      <c r="J142" s="257">
        <f t="shared" ref="J142:J183" si="42">SUMIF($U$4:$U$132,C142,$V$4:$V$132)</f>
        <v>0</v>
      </c>
      <c r="K142" s="23"/>
      <c r="L142" s="218"/>
      <c r="M142" s="258"/>
      <c r="N142" s="103">
        <v>45196.0</v>
      </c>
      <c r="O142" s="261">
        <f>660000+3610000</f>
        <v>4270000</v>
      </c>
      <c r="P142" s="261"/>
      <c r="Q142" s="263">
        <f>49002</f>
        <v>49002</v>
      </c>
      <c r="R142" s="262"/>
      <c r="S142" s="609">
        <f t="shared" ref="S142:S157" si="43">O142+P142-Q142-R142</f>
        <v>4220998</v>
      </c>
      <c r="T142" s="488"/>
      <c r="U142" s="583"/>
      <c r="V142" s="610"/>
      <c r="W142" s="611"/>
      <c r="X142" s="266"/>
      <c r="Y142" s="218"/>
      <c r="Z142" s="219"/>
      <c r="AA142" s="592"/>
      <c r="AB142" s="592"/>
      <c r="AC142" s="592"/>
      <c r="AD142" s="556"/>
    </row>
    <row r="143" ht="25.5" customHeight="1">
      <c r="A143" s="600"/>
      <c r="B143" s="62"/>
      <c r="C143" s="85" t="s">
        <v>123</v>
      </c>
      <c r="D143" s="255">
        <f t="shared" si="39"/>
        <v>1</v>
      </c>
      <c r="E143" s="65"/>
      <c r="F143" s="255"/>
      <c r="G143" s="256">
        <f t="shared" si="40"/>
        <v>1</v>
      </c>
      <c r="H143" s="128">
        <v>220000.0</v>
      </c>
      <c r="I143" s="217">
        <f t="shared" si="41"/>
        <v>220000</v>
      </c>
      <c r="J143" s="257">
        <f t="shared" si="42"/>
        <v>0</v>
      </c>
      <c r="K143" s="23"/>
      <c r="L143" s="218"/>
      <c r="M143" s="258"/>
      <c r="N143" s="103" t="s">
        <v>867</v>
      </c>
      <c r="O143" s="261">
        <f>1942752</f>
        <v>1942752</v>
      </c>
      <c r="P143" s="261"/>
      <c r="Q143" s="487"/>
      <c r="R143" s="262"/>
      <c r="S143" s="609">
        <f t="shared" si="43"/>
        <v>1942752</v>
      </c>
      <c r="T143" s="483" t="s">
        <v>659</v>
      </c>
      <c r="U143" s="583"/>
      <c r="V143" s="610"/>
      <c r="W143" s="611"/>
      <c r="X143" s="266"/>
      <c r="Y143" s="218"/>
      <c r="Z143" s="219"/>
      <c r="AA143" s="592"/>
      <c r="AB143" s="592"/>
      <c r="AC143" s="592"/>
      <c r="AD143" s="556"/>
    </row>
    <row r="144" ht="25.5" customHeight="1">
      <c r="A144" s="600"/>
      <c r="B144" s="62"/>
      <c r="C144" s="85" t="s">
        <v>124</v>
      </c>
      <c r="D144" s="255">
        <f t="shared" si="39"/>
        <v>9</v>
      </c>
      <c r="E144" s="65"/>
      <c r="F144" s="255"/>
      <c r="G144" s="256">
        <f t="shared" si="40"/>
        <v>9</v>
      </c>
      <c r="H144" s="128">
        <v>220000.0</v>
      </c>
      <c r="I144" s="217">
        <f t="shared" si="41"/>
        <v>1980000</v>
      </c>
      <c r="J144" s="257">
        <f t="shared" si="42"/>
        <v>0</v>
      </c>
      <c r="K144" s="23"/>
      <c r="L144" s="218"/>
      <c r="M144" s="612"/>
      <c r="N144" s="103">
        <v>45197.0</v>
      </c>
      <c r="O144" s="261">
        <f>3918533</f>
        <v>3918533</v>
      </c>
      <c r="P144" s="261"/>
      <c r="Q144" s="487"/>
      <c r="R144" s="262"/>
      <c r="S144" s="609">
        <f t="shared" si="43"/>
        <v>3918533</v>
      </c>
      <c r="T144" s="483" t="s">
        <v>659</v>
      </c>
      <c r="U144" s="583"/>
      <c r="V144" s="610"/>
      <c r="W144" s="611"/>
      <c r="X144" s="266"/>
      <c r="Y144" s="218"/>
      <c r="Z144" s="219"/>
      <c r="AA144" s="592"/>
      <c r="AB144" s="592"/>
      <c r="AC144" s="592"/>
      <c r="AD144" s="556"/>
    </row>
    <row r="145" ht="25.5" customHeight="1">
      <c r="A145" s="600"/>
      <c r="B145" s="62"/>
      <c r="C145" s="129" t="s">
        <v>125</v>
      </c>
      <c r="D145" s="255">
        <f t="shared" si="39"/>
        <v>0</v>
      </c>
      <c r="E145" s="65"/>
      <c r="F145" s="255"/>
      <c r="G145" s="256">
        <f t="shared" si="40"/>
        <v>0</v>
      </c>
      <c r="H145" s="80">
        <v>220000.0</v>
      </c>
      <c r="I145" s="217">
        <f t="shared" si="41"/>
        <v>0</v>
      </c>
      <c r="J145" s="257">
        <f t="shared" si="42"/>
        <v>0</v>
      </c>
      <c r="K145" s="23"/>
      <c r="L145" s="218"/>
      <c r="M145" s="258"/>
      <c r="N145" s="103">
        <v>45198.0</v>
      </c>
      <c r="O145" s="261">
        <f>470000+660000+45000</f>
        <v>1175000</v>
      </c>
      <c r="P145" s="261"/>
      <c r="Q145" s="487">
        <f>6500</f>
        <v>6500</v>
      </c>
      <c r="R145" s="262"/>
      <c r="S145" s="609">
        <f t="shared" si="43"/>
        <v>1168500</v>
      </c>
      <c r="T145" s="483" t="s">
        <v>868</v>
      </c>
      <c r="U145" s="583"/>
      <c r="V145" s="610"/>
      <c r="W145" s="611"/>
      <c r="X145" s="266"/>
      <c r="Y145" s="218"/>
      <c r="Z145" s="219"/>
      <c r="AA145" s="592"/>
      <c r="AB145" s="592"/>
      <c r="AC145" s="592"/>
      <c r="AD145" s="556"/>
    </row>
    <row r="146" ht="25.5" customHeight="1">
      <c r="A146" s="600"/>
      <c r="B146" s="62"/>
      <c r="C146" s="129" t="s">
        <v>129</v>
      </c>
      <c r="D146" s="255">
        <f t="shared" si="39"/>
        <v>5</v>
      </c>
      <c r="E146" s="268"/>
      <c r="F146" s="269"/>
      <c r="G146" s="256">
        <f t="shared" si="40"/>
        <v>5</v>
      </c>
      <c r="H146" s="80">
        <v>220000.0</v>
      </c>
      <c r="I146" s="217">
        <f t="shared" si="41"/>
        <v>1100000</v>
      </c>
      <c r="J146" s="257">
        <f t="shared" si="42"/>
        <v>0</v>
      </c>
      <c r="K146" s="23"/>
      <c r="L146" s="218"/>
      <c r="M146" s="258"/>
      <c r="N146" s="103">
        <v>45199.0</v>
      </c>
      <c r="O146" s="261">
        <f>208493+190783+208493+835247+209543+208493+208013+188093+190783</f>
        <v>2447941</v>
      </c>
      <c r="P146" s="261"/>
      <c r="Q146" s="487"/>
      <c r="R146" s="262"/>
      <c r="S146" s="609">
        <f t="shared" si="43"/>
        <v>2447941</v>
      </c>
      <c r="T146" s="483" t="s">
        <v>659</v>
      </c>
      <c r="U146" s="583"/>
      <c r="V146" s="610"/>
      <c r="W146" s="611"/>
      <c r="X146" s="266"/>
      <c r="Y146" s="218"/>
      <c r="Z146" s="219"/>
      <c r="AA146" s="592"/>
      <c r="AB146" s="592"/>
      <c r="AC146" s="592"/>
      <c r="AD146" s="556"/>
    </row>
    <row r="147" ht="25.5" customHeight="1">
      <c r="A147" s="600"/>
      <c r="B147" s="62"/>
      <c r="C147" s="85" t="s">
        <v>133</v>
      </c>
      <c r="D147" s="255">
        <f t="shared" si="39"/>
        <v>21</v>
      </c>
      <c r="E147" s="65"/>
      <c r="F147" s="270"/>
      <c r="G147" s="256">
        <f t="shared" si="40"/>
        <v>21</v>
      </c>
      <c r="H147" s="128">
        <v>220000.0</v>
      </c>
      <c r="I147" s="217">
        <f t="shared" si="41"/>
        <v>4620000</v>
      </c>
      <c r="J147" s="257">
        <f t="shared" si="42"/>
        <v>0</v>
      </c>
      <c r="K147" s="23"/>
      <c r="L147" s="218"/>
      <c r="M147" s="258"/>
      <c r="N147" s="103">
        <v>45201.0</v>
      </c>
      <c r="O147" s="261"/>
      <c r="P147" s="261">
        <f>470000</f>
        <v>470000</v>
      </c>
      <c r="Q147" s="487"/>
      <c r="R147" s="262"/>
      <c r="S147" s="609">
        <f t="shared" si="43"/>
        <v>470000</v>
      </c>
      <c r="T147" s="483" t="s">
        <v>869</v>
      </c>
      <c r="U147" s="583"/>
      <c r="V147" s="610"/>
      <c r="W147" s="611"/>
      <c r="X147" s="266"/>
      <c r="Y147" s="218"/>
      <c r="Z147" s="219"/>
      <c r="AA147" s="592"/>
      <c r="AB147" s="592"/>
      <c r="AC147" s="592"/>
      <c r="AD147" s="556"/>
    </row>
    <row r="148" ht="25.5" customHeight="1">
      <c r="A148" s="600"/>
      <c r="B148" s="62"/>
      <c r="C148" s="85" t="s">
        <v>135</v>
      </c>
      <c r="D148" s="255">
        <f t="shared" si="39"/>
        <v>0</v>
      </c>
      <c r="E148" s="268"/>
      <c r="F148" s="269"/>
      <c r="G148" s="256">
        <f t="shared" si="40"/>
        <v>0</v>
      </c>
      <c r="H148" s="128">
        <v>220000.0</v>
      </c>
      <c r="I148" s="217">
        <f t="shared" si="41"/>
        <v>0</v>
      </c>
      <c r="J148" s="257">
        <f t="shared" si="42"/>
        <v>0</v>
      </c>
      <c r="K148" s="23"/>
      <c r="L148" s="218"/>
      <c r="M148" s="258"/>
      <c r="N148" s="103">
        <v>45201.0</v>
      </c>
      <c r="O148" s="261">
        <f>208013+208493+626967+208493+208013+188833</f>
        <v>1648812</v>
      </c>
      <c r="P148" s="261"/>
      <c r="Q148" s="487"/>
      <c r="R148" s="262"/>
      <c r="S148" s="609">
        <f t="shared" si="43"/>
        <v>1648812</v>
      </c>
      <c r="T148" s="483" t="s">
        <v>659</v>
      </c>
      <c r="U148" s="583"/>
      <c r="V148" s="610"/>
      <c r="W148" s="611"/>
      <c r="X148" s="266"/>
      <c r="Y148" s="218"/>
      <c r="Z148" s="219"/>
      <c r="AA148" s="592"/>
      <c r="AB148" s="592"/>
      <c r="AC148" s="592"/>
      <c r="AD148" s="556"/>
    </row>
    <row r="149" ht="25.5" customHeight="1">
      <c r="A149" s="600"/>
      <c r="B149" s="62"/>
      <c r="C149" s="85" t="s">
        <v>139</v>
      </c>
      <c r="D149" s="255">
        <f t="shared" si="39"/>
        <v>2</v>
      </c>
      <c r="E149" s="65"/>
      <c r="F149" s="269"/>
      <c r="G149" s="256">
        <f t="shared" si="40"/>
        <v>2</v>
      </c>
      <c r="H149" s="128">
        <v>80000.0</v>
      </c>
      <c r="I149" s="217">
        <f t="shared" si="41"/>
        <v>160000</v>
      </c>
      <c r="J149" s="257">
        <f t="shared" si="42"/>
        <v>0</v>
      </c>
      <c r="K149" s="23"/>
      <c r="L149" s="218"/>
      <c r="M149" s="258"/>
      <c r="N149" s="103">
        <v>45203.0</v>
      </c>
      <c r="O149" s="261">
        <f>208493+192200+42237+208493+187923+417016+208433+208013</f>
        <v>1672808</v>
      </c>
      <c r="P149" s="261">
        <f>O7+O9+O10+O12</f>
        <v>1027591</v>
      </c>
      <c r="Q149" s="487"/>
      <c r="R149" s="262"/>
      <c r="S149" s="609">
        <f t="shared" si="43"/>
        <v>2700399</v>
      </c>
      <c r="T149" s="483" t="s">
        <v>659</v>
      </c>
      <c r="U149" s="583"/>
      <c r="V149" s="610"/>
      <c r="W149" s="611"/>
      <c r="X149" s="266"/>
      <c r="Y149" s="218"/>
      <c r="Z149" s="219"/>
      <c r="AA149" s="592"/>
      <c r="AB149" s="592"/>
      <c r="AC149" s="592"/>
      <c r="AD149" s="556"/>
    </row>
    <row r="150" ht="25.5" customHeight="1">
      <c r="A150" s="600"/>
      <c r="B150" s="62"/>
      <c r="C150" s="85" t="s">
        <v>142</v>
      </c>
      <c r="D150" s="255">
        <f t="shared" si="39"/>
        <v>38</v>
      </c>
      <c r="E150" s="65"/>
      <c r="F150" s="269"/>
      <c r="G150" s="256">
        <f t="shared" si="40"/>
        <v>38</v>
      </c>
      <c r="H150" s="128">
        <v>220000.0</v>
      </c>
      <c r="I150" s="217">
        <f t="shared" si="41"/>
        <v>8360000</v>
      </c>
      <c r="J150" s="257">
        <f t="shared" si="42"/>
        <v>2</v>
      </c>
      <c r="K150" s="23"/>
      <c r="L150" s="218"/>
      <c r="M150" s="258"/>
      <c r="N150" s="103">
        <v>45204.0</v>
      </c>
      <c r="O150" s="261"/>
      <c r="P150" s="261">
        <f>1450000</f>
        <v>1450000</v>
      </c>
      <c r="Q150" s="487"/>
      <c r="R150" s="262"/>
      <c r="S150" s="609">
        <f t="shared" si="43"/>
        <v>1450000</v>
      </c>
      <c r="T150" s="483" t="s">
        <v>870</v>
      </c>
      <c r="U150" s="583"/>
      <c r="V150" s="610"/>
      <c r="W150" s="611"/>
      <c r="X150" s="266"/>
      <c r="Y150" s="218"/>
      <c r="Z150" s="219"/>
      <c r="AA150" s="592"/>
      <c r="AB150" s="592"/>
      <c r="AC150" s="592"/>
      <c r="AD150" s="556"/>
    </row>
    <row r="151" ht="25.5" customHeight="1">
      <c r="A151" s="600"/>
      <c r="B151" s="62"/>
      <c r="C151" s="85" t="s">
        <v>145</v>
      </c>
      <c r="D151" s="255">
        <f t="shared" si="39"/>
        <v>191</v>
      </c>
      <c r="E151" s="65"/>
      <c r="F151" s="613">
        <v>1.0</v>
      </c>
      <c r="G151" s="256">
        <f t="shared" si="40"/>
        <v>190</v>
      </c>
      <c r="H151" s="128">
        <v>220000.0</v>
      </c>
      <c r="I151" s="217">
        <f t="shared" si="41"/>
        <v>41800000</v>
      </c>
      <c r="J151" s="257">
        <f t="shared" si="42"/>
        <v>1</v>
      </c>
      <c r="K151" s="23"/>
      <c r="L151" s="218"/>
      <c r="M151" s="258"/>
      <c r="N151" s="103">
        <v>45205.0</v>
      </c>
      <c r="O151" s="261">
        <f>208343</f>
        <v>208343</v>
      </c>
      <c r="P151" s="261">
        <f>O8+O11+O13+O14+O15+O16+O17+O18+O20</f>
        <v>2286019</v>
      </c>
      <c r="Q151" s="487"/>
      <c r="R151" s="262"/>
      <c r="S151" s="609">
        <f t="shared" si="43"/>
        <v>2494362</v>
      </c>
      <c r="T151" s="483" t="s">
        <v>659</v>
      </c>
      <c r="U151" s="583"/>
      <c r="V151" s="610"/>
      <c r="W151" s="611"/>
      <c r="X151" s="266"/>
      <c r="Y151" s="218"/>
      <c r="Z151" s="219"/>
      <c r="AA151" s="592"/>
      <c r="AB151" s="592"/>
      <c r="AC151" s="592"/>
      <c r="AD151" s="556"/>
    </row>
    <row r="152" ht="25.5" customHeight="1">
      <c r="A152" s="600"/>
      <c r="B152" s="62"/>
      <c r="C152" s="85" t="s">
        <v>153</v>
      </c>
      <c r="D152" s="255">
        <f t="shared" si="39"/>
        <v>2</v>
      </c>
      <c r="E152" s="65"/>
      <c r="F152" s="269"/>
      <c r="G152" s="256">
        <f t="shared" si="40"/>
        <v>2</v>
      </c>
      <c r="H152" s="128">
        <v>45000.0</v>
      </c>
      <c r="I152" s="217">
        <f t="shared" si="41"/>
        <v>90000</v>
      </c>
      <c r="J152" s="257">
        <f t="shared" si="42"/>
        <v>0</v>
      </c>
      <c r="K152" s="23"/>
      <c r="L152" s="218"/>
      <c r="M152" s="258"/>
      <c r="N152" s="103">
        <v>45205.0</v>
      </c>
      <c r="O152" s="261">
        <f>880000</f>
        <v>880000</v>
      </c>
      <c r="P152" s="261">
        <f>O37+O4+O28</f>
        <v>1455000</v>
      </c>
      <c r="Q152" s="487"/>
      <c r="R152" s="262">
        <f>R39+R29+R37+R41+R45+R28</f>
        <v>263502</v>
      </c>
      <c r="S152" s="609">
        <f t="shared" si="43"/>
        <v>2071498</v>
      </c>
      <c r="T152" s="488"/>
      <c r="U152" s="583"/>
      <c r="V152" s="610"/>
      <c r="W152" s="611"/>
      <c r="X152" s="266"/>
      <c r="Y152" s="218"/>
      <c r="Z152" s="219"/>
      <c r="AA152" s="592"/>
      <c r="AB152" s="592"/>
      <c r="AC152" s="592"/>
      <c r="AD152" s="556"/>
    </row>
    <row r="153" ht="25.5" customHeight="1">
      <c r="A153" s="600"/>
      <c r="B153" s="62"/>
      <c r="C153" s="273" t="s">
        <v>161</v>
      </c>
      <c r="D153" s="255">
        <f t="shared" si="39"/>
        <v>1</v>
      </c>
      <c r="E153" s="65"/>
      <c r="F153" s="269"/>
      <c r="G153" s="256">
        <f t="shared" si="40"/>
        <v>1</v>
      </c>
      <c r="H153" s="274">
        <v>220000.0</v>
      </c>
      <c r="I153" s="217">
        <f t="shared" si="41"/>
        <v>220000</v>
      </c>
      <c r="J153" s="257">
        <f t="shared" si="42"/>
        <v>0</v>
      </c>
      <c r="K153" s="23"/>
      <c r="L153" s="218"/>
      <c r="M153" s="258"/>
      <c r="N153" s="103">
        <v>45208.0</v>
      </c>
      <c r="O153" s="261"/>
      <c r="P153" s="261">
        <f>O21+O22+O26+O27</f>
        <v>1032808</v>
      </c>
      <c r="Q153" s="487"/>
      <c r="R153" s="262"/>
      <c r="S153" s="609">
        <f t="shared" si="43"/>
        <v>1032808</v>
      </c>
      <c r="T153" s="483" t="s">
        <v>659</v>
      </c>
      <c r="U153" s="583"/>
      <c r="V153" s="610"/>
      <c r="W153" s="611"/>
      <c r="X153" s="266"/>
      <c r="Y153" s="218"/>
      <c r="Z153" s="219"/>
      <c r="AA153" s="592"/>
      <c r="AB153" s="592"/>
      <c r="AC153" s="592"/>
      <c r="AD153" s="556"/>
    </row>
    <row r="154" ht="25.5" customHeight="1">
      <c r="A154" s="600"/>
      <c r="B154" s="62"/>
      <c r="C154" s="273" t="s">
        <v>488</v>
      </c>
      <c r="D154" s="255">
        <f t="shared" si="39"/>
        <v>1</v>
      </c>
      <c r="E154" s="65"/>
      <c r="F154" s="269"/>
      <c r="G154" s="256">
        <f t="shared" si="40"/>
        <v>1</v>
      </c>
      <c r="H154" s="274">
        <v>45000.0</v>
      </c>
      <c r="I154" s="217">
        <f t="shared" si="41"/>
        <v>45000</v>
      </c>
      <c r="J154" s="257">
        <f t="shared" si="42"/>
        <v>0</v>
      </c>
      <c r="K154" s="23"/>
      <c r="L154" s="218"/>
      <c r="M154" s="258"/>
      <c r="N154" s="103">
        <v>45208.0</v>
      </c>
      <c r="O154" s="261"/>
      <c r="P154" s="261">
        <f>O57+O39+O41+O56</f>
        <v>3885000</v>
      </c>
      <c r="Q154" s="487"/>
      <c r="R154" s="262">
        <f>R61+R49+R56+L57</f>
        <v>184403</v>
      </c>
      <c r="S154" s="609">
        <f t="shared" si="43"/>
        <v>3700597</v>
      </c>
      <c r="T154" s="488"/>
      <c r="U154" s="583"/>
      <c r="V154" s="610"/>
      <c r="W154" s="611"/>
      <c r="X154" s="266"/>
      <c r="Y154" s="218"/>
      <c r="Z154" s="219"/>
      <c r="AA154" s="592"/>
      <c r="AB154" s="592"/>
      <c r="AC154" s="592"/>
      <c r="AD154" s="556"/>
    </row>
    <row r="155" ht="33.0" customHeight="1">
      <c r="A155" s="600"/>
      <c r="B155" s="62"/>
      <c r="C155" s="273" t="s">
        <v>412</v>
      </c>
      <c r="D155" s="255">
        <f t="shared" si="39"/>
        <v>1</v>
      </c>
      <c r="E155" s="65"/>
      <c r="F155" s="269"/>
      <c r="G155" s="256">
        <f t="shared" si="40"/>
        <v>1</v>
      </c>
      <c r="H155" s="274">
        <v>45000.0</v>
      </c>
      <c r="I155" s="217">
        <f t="shared" si="41"/>
        <v>45000</v>
      </c>
      <c r="J155" s="257">
        <f t="shared" si="42"/>
        <v>0</v>
      </c>
      <c r="K155" s="23"/>
      <c r="L155" s="218"/>
      <c r="M155" s="258"/>
      <c r="N155" s="103">
        <v>45208.0</v>
      </c>
      <c r="O155" s="261"/>
      <c r="P155" s="261">
        <f>O23+O24</f>
        <v>354016</v>
      </c>
      <c r="Q155" s="487"/>
      <c r="R155" s="262">
        <f>11000</f>
        <v>11000</v>
      </c>
      <c r="S155" s="609">
        <f t="shared" si="43"/>
        <v>343016</v>
      </c>
      <c r="T155" s="614" t="s">
        <v>871</v>
      </c>
      <c r="U155" s="583"/>
      <c r="V155" s="610"/>
      <c r="W155" s="611"/>
      <c r="X155" s="266"/>
      <c r="Y155" s="218"/>
      <c r="Z155" s="219"/>
      <c r="AA155" s="592"/>
      <c r="AB155" s="592"/>
      <c r="AC155" s="592"/>
      <c r="AD155" s="556"/>
    </row>
    <row r="156" ht="25.5" customHeight="1">
      <c r="A156" s="600"/>
      <c r="B156" s="62"/>
      <c r="C156" s="273" t="s">
        <v>151</v>
      </c>
      <c r="D156" s="255">
        <f t="shared" si="39"/>
        <v>2</v>
      </c>
      <c r="E156" s="65"/>
      <c r="F156" s="269"/>
      <c r="G156" s="256">
        <f t="shared" si="40"/>
        <v>2</v>
      </c>
      <c r="H156" s="274">
        <v>220000.0</v>
      </c>
      <c r="I156" s="217">
        <f t="shared" si="41"/>
        <v>440000</v>
      </c>
      <c r="J156" s="257">
        <f t="shared" si="42"/>
        <v>0</v>
      </c>
      <c r="K156" s="23"/>
      <c r="L156" s="218"/>
      <c r="M156" s="258"/>
      <c r="N156" s="103">
        <v>45209.0</v>
      </c>
      <c r="O156" s="261"/>
      <c r="P156" s="261">
        <f>O25</f>
        <v>371532</v>
      </c>
      <c r="Q156" s="487"/>
      <c r="R156" s="262"/>
      <c r="S156" s="609">
        <f t="shared" si="43"/>
        <v>371532</v>
      </c>
      <c r="T156" s="483" t="s">
        <v>659</v>
      </c>
      <c r="U156" s="583"/>
      <c r="V156" s="610"/>
      <c r="W156" s="611"/>
      <c r="X156" s="266"/>
      <c r="Y156" s="218"/>
      <c r="Z156" s="219"/>
      <c r="AA156" s="592"/>
      <c r="AB156" s="592"/>
      <c r="AC156" s="592"/>
      <c r="AD156" s="556"/>
    </row>
    <row r="157" ht="25.5" customHeight="1">
      <c r="A157" s="600"/>
      <c r="B157" s="62"/>
      <c r="C157" s="65" t="s">
        <v>148</v>
      </c>
      <c r="D157" s="255">
        <f t="shared" si="39"/>
        <v>2</v>
      </c>
      <c r="E157" s="65"/>
      <c r="F157" s="269"/>
      <c r="G157" s="256">
        <f t="shared" si="40"/>
        <v>2</v>
      </c>
      <c r="H157" s="66">
        <v>220000.0</v>
      </c>
      <c r="I157" s="217">
        <f t="shared" si="41"/>
        <v>440000</v>
      </c>
      <c r="J157" s="257">
        <f t="shared" si="42"/>
        <v>0</v>
      </c>
      <c r="K157" s="23"/>
      <c r="L157" s="218"/>
      <c r="M157" s="258"/>
      <c r="N157" s="103">
        <v>45210.0</v>
      </c>
      <c r="O157" s="261"/>
      <c r="P157" s="261">
        <f>O65+O61</f>
        <v>3080000</v>
      </c>
      <c r="Q157" s="487"/>
      <c r="R157" s="262">
        <f>R64+R65</f>
        <v>103003</v>
      </c>
      <c r="S157" s="609">
        <f t="shared" si="43"/>
        <v>2976997</v>
      </c>
      <c r="T157" s="483"/>
      <c r="U157" s="583"/>
      <c r="V157" s="610"/>
      <c r="W157" s="611"/>
      <c r="X157" s="266"/>
      <c r="Y157" s="218"/>
      <c r="Z157" s="219"/>
      <c r="AA157" s="592"/>
      <c r="AB157" s="592"/>
      <c r="AC157" s="592"/>
      <c r="AD157" s="556"/>
    </row>
    <row r="158" ht="25.5" customHeight="1">
      <c r="A158" s="600"/>
      <c r="B158" s="62"/>
      <c r="C158" s="287" t="s">
        <v>166</v>
      </c>
      <c r="D158" s="255">
        <f t="shared" si="39"/>
        <v>0</v>
      </c>
      <c r="E158" s="65"/>
      <c r="F158" s="269"/>
      <c r="G158" s="256">
        <f t="shared" si="40"/>
        <v>0</v>
      </c>
      <c r="H158" s="87">
        <v>160000.0</v>
      </c>
      <c r="I158" s="217">
        <f t="shared" si="41"/>
        <v>0</v>
      </c>
      <c r="J158" s="257">
        <f t="shared" si="42"/>
        <v>1</v>
      </c>
      <c r="K158" s="23"/>
      <c r="L158" s="218"/>
      <c r="M158" s="258"/>
      <c r="N158" s="103">
        <v>45211.0</v>
      </c>
      <c r="O158" s="261"/>
      <c r="P158" s="261">
        <f>O32+O33+O36+O19+O31+O34</f>
        <v>2207238</v>
      </c>
      <c r="Q158" s="487"/>
      <c r="R158" s="262"/>
      <c r="S158" s="609"/>
      <c r="T158" s="483" t="s">
        <v>659</v>
      </c>
      <c r="U158" s="583"/>
      <c r="V158" s="610"/>
      <c r="W158" s="611"/>
      <c r="X158" s="266"/>
      <c r="Y158" s="218"/>
      <c r="Z158" s="219"/>
      <c r="AA158" s="592"/>
      <c r="AB158" s="592"/>
      <c r="AC158" s="592"/>
      <c r="AD158" s="556"/>
    </row>
    <row r="159" ht="25.5" customHeight="1">
      <c r="A159" s="600"/>
      <c r="B159" s="62"/>
      <c r="C159" s="287" t="s">
        <v>170</v>
      </c>
      <c r="D159" s="255">
        <f t="shared" si="39"/>
        <v>0</v>
      </c>
      <c r="E159" s="65"/>
      <c r="F159" s="269"/>
      <c r="G159" s="256">
        <f t="shared" si="40"/>
        <v>0</v>
      </c>
      <c r="H159" s="66">
        <v>220000.0</v>
      </c>
      <c r="I159" s="217">
        <f t="shared" si="41"/>
        <v>0</v>
      </c>
      <c r="J159" s="257">
        <f t="shared" si="42"/>
        <v>1</v>
      </c>
      <c r="K159" s="23"/>
      <c r="L159" s="218"/>
      <c r="M159" s="258"/>
      <c r="N159" s="103">
        <v>45212.0</v>
      </c>
      <c r="O159" s="261"/>
      <c r="P159" s="261">
        <f>10770000</f>
        <v>10770000</v>
      </c>
      <c r="Q159" s="487"/>
      <c r="R159" s="262"/>
      <c r="S159" s="609"/>
      <c r="T159" s="483" t="s">
        <v>408</v>
      </c>
      <c r="U159" s="583"/>
      <c r="V159" s="610"/>
      <c r="W159" s="611"/>
      <c r="X159" s="266"/>
      <c r="Y159" s="218"/>
      <c r="Z159" s="219"/>
      <c r="AA159" s="592"/>
      <c r="AB159" s="592"/>
      <c r="AC159" s="592"/>
      <c r="AD159" s="556"/>
    </row>
    <row r="160" ht="25.5" customHeight="1">
      <c r="A160" s="600"/>
      <c r="B160" s="254" t="s">
        <v>415</v>
      </c>
      <c r="C160" s="283" t="s">
        <v>34</v>
      </c>
      <c r="D160" s="255">
        <f t="shared" si="39"/>
        <v>8</v>
      </c>
      <c r="E160" s="284"/>
      <c r="F160" s="269"/>
      <c r="G160" s="256">
        <f t="shared" si="40"/>
        <v>8</v>
      </c>
      <c r="H160" s="61">
        <v>65000.0</v>
      </c>
      <c r="I160" s="217">
        <f t="shared" si="41"/>
        <v>520000</v>
      </c>
      <c r="J160" s="257">
        <f t="shared" si="42"/>
        <v>0</v>
      </c>
      <c r="K160" s="23"/>
      <c r="L160" s="218"/>
      <c r="M160" s="258"/>
      <c r="N160" s="103">
        <v>45212.0</v>
      </c>
      <c r="O160" s="261"/>
      <c r="P160" s="261">
        <f>O69+O74+O64+O67</f>
        <v>4045000</v>
      </c>
      <c r="Q160" s="487"/>
      <c r="R160" s="262">
        <f>L67+L80+R74+R69</f>
        <v>183005</v>
      </c>
      <c r="S160" s="609">
        <f>O160+P160-Q160-R160</f>
        <v>3861995</v>
      </c>
      <c r="T160" s="483"/>
      <c r="U160" s="615"/>
      <c r="V160" s="607"/>
      <c r="W160" s="616"/>
      <c r="X160" s="266"/>
      <c r="Y160" s="218"/>
      <c r="Z160" s="219"/>
      <c r="AA160" s="592"/>
      <c r="AB160" s="592"/>
      <c r="AC160" s="592"/>
      <c r="AD160" s="556"/>
    </row>
    <row r="161" ht="25.5" customHeight="1">
      <c r="A161" s="600"/>
      <c r="B161" s="62"/>
      <c r="C161" s="285" t="s">
        <v>36</v>
      </c>
      <c r="D161" s="255">
        <f t="shared" si="39"/>
        <v>0</v>
      </c>
      <c r="E161" s="284"/>
      <c r="F161" s="269"/>
      <c r="G161" s="256">
        <f t="shared" si="40"/>
        <v>0</v>
      </c>
      <c r="H161" s="66">
        <v>180000.0</v>
      </c>
      <c r="I161" s="217">
        <f t="shared" si="41"/>
        <v>0</v>
      </c>
      <c r="J161" s="257">
        <f t="shared" si="42"/>
        <v>0</v>
      </c>
      <c r="K161" s="23"/>
      <c r="L161" s="218"/>
      <c r="M161" s="286"/>
      <c r="N161" s="103">
        <v>45215.0</v>
      </c>
      <c r="O161" s="261"/>
      <c r="P161" s="261">
        <f>O30+O35+O46+O47+O48+O60</f>
        <v>1749772</v>
      </c>
      <c r="Q161" s="487"/>
      <c r="R161" s="262"/>
      <c r="S161" s="609"/>
      <c r="T161" s="483" t="s">
        <v>659</v>
      </c>
      <c r="U161" s="615"/>
      <c r="V161" s="607"/>
      <c r="W161" s="616"/>
      <c r="X161" s="266"/>
      <c r="Y161" s="218"/>
      <c r="Z161" s="219"/>
      <c r="AA161" s="592"/>
      <c r="AB161" s="592"/>
      <c r="AC161" s="592"/>
      <c r="AD161" s="556"/>
    </row>
    <row r="162" ht="25.5" customHeight="1">
      <c r="A162" s="600"/>
      <c r="B162" s="62"/>
      <c r="C162" s="285" t="s">
        <v>38</v>
      </c>
      <c r="D162" s="255">
        <f t="shared" si="39"/>
        <v>0</v>
      </c>
      <c r="E162" s="284"/>
      <c r="F162" s="269"/>
      <c r="G162" s="256">
        <f t="shared" si="40"/>
        <v>0</v>
      </c>
      <c r="H162" s="66">
        <v>160000.0</v>
      </c>
      <c r="I162" s="217">
        <f t="shared" si="41"/>
        <v>0</v>
      </c>
      <c r="J162" s="257">
        <f t="shared" si="42"/>
        <v>0</v>
      </c>
      <c r="K162" s="23"/>
      <c r="L162" s="218"/>
      <c r="M162" s="218"/>
      <c r="N162" s="103">
        <v>45215.0</v>
      </c>
      <c r="O162" s="261"/>
      <c r="P162" s="261">
        <f>O80+O81+O82+O89</f>
        <v>1610000</v>
      </c>
      <c r="Q162" s="487"/>
      <c r="R162" s="262">
        <f>R81+R86+L89+L82</f>
        <v>391009</v>
      </c>
      <c r="S162" s="609">
        <f t="shared" ref="S162:S173" si="44">O162+P162-Q162-R162</f>
        <v>1218991</v>
      </c>
      <c r="T162" s="488"/>
      <c r="U162" s="617"/>
      <c r="V162" s="618"/>
      <c r="W162" s="616"/>
      <c r="X162" s="266"/>
      <c r="Y162" s="218"/>
      <c r="Z162" s="219"/>
      <c r="AA162" s="592"/>
      <c r="AB162" s="592"/>
      <c r="AC162" s="592"/>
      <c r="AD162" s="556"/>
    </row>
    <row r="163" ht="25.5" customHeight="1">
      <c r="A163" s="600"/>
      <c r="B163" s="62"/>
      <c r="C163" s="285" t="s">
        <v>43</v>
      </c>
      <c r="D163" s="255">
        <f t="shared" si="39"/>
        <v>5</v>
      </c>
      <c r="E163" s="284"/>
      <c r="F163" s="269"/>
      <c r="G163" s="256">
        <f t="shared" si="40"/>
        <v>5</v>
      </c>
      <c r="H163" s="87">
        <v>65000.0</v>
      </c>
      <c r="I163" s="217">
        <f t="shared" si="41"/>
        <v>325000</v>
      </c>
      <c r="J163" s="257">
        <f t="shared" si="42"/>
        <v>0</v>
      </c>
      <c r="K163" s="23"/>
      <c r="L163" s="218"/>
      <c r="M163" s="218"/>
      <c r="N163" s="103">
        <v>45218.0</v>
      </c>
      <c r="O163" s="261"/>
      <c r="P163" s="261">
        <f>O62+O63+O66+O70</f>
        <v>1194404</v>
      </c>
      <c r="Q163" s="487"/>
      <c r="R163" s="262"/>
      <c r="S163" s="609">
        <f t="shared" si="44"/>
        <v>1194404</v>
      </c>
      <c r="T163" s="483" t="s">
        <v>659</v>
      </c>
      <c r="U163" s="617"/>
      <c r="V163" s="618"/>
      <c r="W163" s="616"/>
      <c r="X163" s="266"/>
      <c r="Y163" s="218"/>
      <c r="Z163" s="219"/>
      <c r="AA163" s="592"/>
      <c r="AB163" s="592"/>
      <c r="AC163" s="592"/>
      <c r="AD163" s="556"/>
    </row>
    <row r="164" ht="25.5" customHeight="1">
      <c r="A164" s="600"/>
      <c r="B164" s="62"/>
      <c r="C164" s="285" t="s">
        <v>48</v>
      </c>
      <c r="D164" s="255">
        <f t="shared" si="39"/>
        <v>5</v>
      </c>
      <c r="E164" s="284"/>
      <c r="F164" s="269"/>
      <c r="G164" s="256">
        <f t="shared" si="40"/>
        <v>5</v>
      </c>
      <c r="H164" s="66">
        <v>55000.0</v>
      </c>
      <c r="I164" s="217">
        <f t="shared" si="41"/>
        <v>275000</v>
      </c>
      <c r="J164" s="257">
        <f t="shared" si="42"/>
        <v>0</v>
      </c>
      <c r="K164" s="23"/>
      <c r="L164" s="218"/>
      <c r="M164" s="218"/>
      <c r="N164" s="103">
        <v>45218.0</v>
      </c>
      <c r="O164" s="261"/>
      <c r="P164" s="261">
        <f>O72</f>
        <v>409800</v>
      </c>
      <c r="Q164" s="487"/>
      <c r="R164" s="262">
        <f>11000</f>
        <v>11000</v>
      </c>
      <c r="S164" s="609">
        <f t="shared" si="44"/>
        <v>398800</v>
      </c>
      <c r="T164" s="614" t="s">
        <v>871</v>
      </c>
      <c r="U164" s="617"/>
      <c r="V164" s="618"/>
      <c r="W164" s="616"/>
      <c r="X164" s="266"/>
      <c r="Y164" s="218"/>
      <c r="Z164" s="219"/>
      <c r="AA164" s="592"/>
      <c r="AB164" s="592"/>
      <c r="AC164" s="592"/>
      <c r="AD164" s="556"/>
    </row>
    <row r="165" ht="25.5" customHeight="1">
      <c r="A165" s="600"/>
      <c r="B165" s="62"/>
      <c r="C165" s="287" t="s">
        <v>54</v>
      </c>
      <c r="D165" s="255">
        <f t="shared" si="39"/>
        <v>0</v>
      </c>
      <c r="E165" s="284"/>
      <c r="F165" s="269"/>
      <c r="G165" s="256">
        <f t="shared" si="40"/>
        <v>0</v>
      </c>
      <c r="H165" s="87">
        <v>40000.0</v>
      </c>
      <c r="I165" s="217">
        <f t="shared" si="41"/>
        <v>0</v>
      </c>
      <c r="J165" s="257">
        <f t="shared" si="42"/>
        <v>0</v>
      </c>
      <c r="K165" s="23"/>
      <c r="L165" s="218"/>
      <c r="M165" s="218"/>
      <c r="N165" s="103">
        <v>45219.0</v>
      </c>
      <c r="O165" s="261"/>
      <c r="P165" s="261">
        <f>O94+O105+O95</f>
        <v>3990000</v>
      </c>
      <c r="Q165" s="487"/>
      <c r="R165" s="262">
        <f>L94+R105+R95+R103</f>
        <v>401128</v>
      </c>
      <c r="S165" s="609">
        <f t="shared" si="44"/>
        <v>3588872</v>
      </c>
      <c r="T165" s="483"/>
      <c r="U165" s="617"/>
      <c r="V165" s="618"/>
      <c r="W165" s="616"/>
      <c r="X165" s="266"/>
      <c r="Y165" s="218"/>
      <c r="Z165" s="219"/>
      <c r="AA165" s="592"/>
      <c r="AB165" s="592"/>
      <c r="AC165" s="592"/>
      <c r="AD165" s="556"/>
    </row>
    <row r="166" ht="25.5" customHeight="1">
      <c r="A166" s="600"/>
      <c r="B166" s="62"/>
      <c r="C166" s="287" t="s">
        <v>62</v>
      </c>
      <c r="D166" s="255">
        <f t="shared" si="39"/>
        <v>2</v>
      </c>
      <c r="E166" s="284"/>
      <c r="F166" s="269"/>
      <c r="G166" s="256">
        <f t="shared" si="40"/>
        <v>2</v>
      </c>
      <c r="H166" s="87">
        <v>55000.0</v>
      </c>
      <c r="I166" s="217">
        <f t="shared" si="41"/>
        <v>110000</v>
      </c>
      <c r="J166" s="257">
        <f t="shared" si="42"/>
        <v>0</v>
      </c>
      <c r="K166" s="23"/>
      <c r="L166" s="218"/>
      <c r="M166" s="218"/>
      <c r="N166" s="103">
        <v>45219.0</v>
      </c>
      <c r="O166" s="261"/>
      <c r="P166" s="261">
        <f>O71+O75+O76+O77+O79</f>
        <v>1557304</v>
      </c>
      <c r="Q166" s="487"/>
      <c r="R166" s="262"/>
      <c r="S166" s="609">
        <f t="shared" si="44"/>
        <v>1557304</v>
      </c>
      <c r="T166" s="483" t="s">
        <v>659</v>
      </c>
      <c r="U166" s="617"/>
      <c r="V166" s="618"/>
      <c r="W166" s="616"/>
      <c r="X166" s="266"/>
      <c r="Y166" s="218"/>
      <c r="Z166" s="219"/>
      <c r="AA166" s="592"/>
      <c r="AB166" s="592"/>
      <c r="AC166" s="592"/>
      <c r="AD166" s="556"/>
    </row>
    <row r="167" ht="25.5" customHeight="1">
      <c r="A167" s="600"/>
      <c r="B167" s="62"/>
      <c r="C167" s="285" t="s">
        <v>679</v>
      </c>
      <c r="D167" s="255">
        <f t="shared" si="39"/>
        <v>0</v>
      </c>
      <c r="E167" s="284"/>
      <c r="F167" s="269"/>
      <c r="G167" s="256">
        <f t="shared" si="40"/>
        <v>0</v>
      </c>
      <c r="H167" s="66">
        <v>110000.0</v>
      </c>
      <c r="I167" s="217">
        <f t="shared" si="41"/>
        <v>0</v>
      </c>
      <c r="J167" s="257">
        <f t="shared" si="42"/>
        <v>0</v>
      </c>
      <c r="K167" s="23"/>
      <c r="L167" s="218"/>
      <c r="M167" s="218"/>
      <c r="N167" s="103">
        <v>45222.0</v>
      </c>
      <c r="O167" s="261"/>
      <c r="P167" s="261">
        <f>O59+O84+O85+O90</f>
        <v>965404</v>
      </c>
      <c r="Q167" s="487"/>
      <c r="R167" s="262"/>
      <c r="S167" s="609">
        <f t="shared" si="44"/>
        <v>965404</v>
      </c>
      <c r="T167" s="483" t="s">
        <v>659</v>
      </c>
      <c r="U167" s="617"/>
      <c r="V167" s="618"/>
      <c r="W167" s="616"/>
      <c r="X167" s="266"/>
      <c r="Y167" s="218"/>
      <c r="Z167" s="219"/>
      <c r="AA167" s="592"/>
      <c r="AB167" s="592"/>
      <c r="AC167" s="592"/>
      <c r="AD167" s="556"/>
    </row>
    <row r="168" ht="27.0" customHeight="1">
      <c r="A168" s="600"/>
      <c r="B168" s="62"/>
      <c r="C168" s="285" t="s">
        <v>66</v>
      </c>
      <c r="D168" s="255">
        <f t="shared" si="39"/>
        <v>0</v>
      </c>
      <c r="E168" s="284"/>
      <c r="F168" s="269"/>
      <c r="G168" s="256">
        <f t="shared" si="40"/>
        <v>0</v>
      </c>
      <c r="H168" s="66">
        <v>205000.0</v>
      </c>
      <c r="I168" s="217">
        <f t="shared" si="41"/>
        <v>0</v>
      </c>
      <c r="J168" s="257">
        <f t="shared" si="42"/>
        <v>0</v>
      </c>
      <c r="K168" s="23"/>
      <c r="L168" s="218"/>
      <c r="M168" s="218"/>
      <c r="N168" s="103">
        <v>45222.0</v>
      </c>
      <c r="O168" s="261"/>
      <c r="P168" s="261">
        <f>O110+O103</f>
        <v>5940000</v>
      </c>
      <c r="Q168" s="487"/>
      <c r="R168" s="262">
        <f>R110+R112</f>
        <v>94504</v>
      </c>
      <c r="S168" s="609">
        <f t="shared" si="44"/>
        <v>5845496</v>
      </c>
      <c r="T168" s="483"/>
      <c r="U168" s="617"/>
      <c r="V168" s="618"/>
      <c r="W168" s="616"/>
      <c r="X168" s="266"/>
      <c r="Y168" s="218"/>
      <c r="Z168" s="219"/>
      <c r="AA168" s="592"/>
      <c r="AB168" s="592"/>
      <c r="AC168" s="592"/>
      <c r="AD168" s="556"/>
    </row>
    <row r="169" ht="27.0" customHeight="1">
      <c r="A169" s="600"/>
      <c r="B169" s="62"/>
      <c r="C169" s="287" t="s">
        <v>67</v>
      </c>
      <c r="D169" s="255">
        <f t="shared" si="39"/>
        <v>34</v>
      </c>
      <c r="E169" s="284"/>
      <c r="F169" s="269"/>
      <c r="G169" s="256">
        <f t="shared" si="40"/>
        <v>34</v>
      </c>
      <c r="H169" s="619">
        <v>45000.0</v>
      </c>
      <c r="I169" s="217">
        <f t="shared" si="41"/>
        <v>1530000</v>
      </c>
      <c r="J169" s="257">
        <f t="shared" si="42"/>
        <v>0</v>
      </c>
      <c r="K169" s="23"/>
      <c r="L169" s="218"/>
      <c r="M169" s="218"/>
      <c r="N169" s="103">
        <v>45223.0</v>
      </c>
      <c r="O169" s="261"/>
      <c r="P169" s="261">
        <f>O78+O91</f>
        <v>618964</v>
      </c>
      <c r="Q169" s="487"/>
      <c r="R169" s="262"/>
      <c r="S169" s="609">
        <f t="shared" si="44"/>
        <v>618964</v>
      </c>
      <c r="T169" s="483" t="s">
        <v>659</v>
      </c>
      <c r="U169" s="617"/>
      <c r="V169" s="618"/>
      <c r="W169" s="616"/>
      <c r="X169" s="266"/>
      <c r="Y169" s="218"/>
      <c r="Z169" s="219"/>
      <c r="AA169" s="592"/>
      <c r="AB169" s="592"/>
      <c r="AC169" s="592"/>
      <c r="AD169" s="556"/>
    </row>
    <row r="170" ht="27.0" customHeight="1">
      <c r="A170" s="600"/>
      <c r="B170" s="62"/>
      <c r="C170" s="288" t="s">
        <v>71</v>
      </c>
      <c r="D170" s="255">
        <f t="shared" si="39"/>
        <v>0</v>
      </c>
      <c r="E170" s="284"/>
      <c r="F170" s="269"/>
      <c r="G170" s="256">
        <f t="shared" si="40"/>
        <v>0</v>
      </c>
      <c r="H170" s="66">
        <v>85000.0</v>
      </c>
      <c r="I170" s="217">
        <f t="shared" si="41"/>
        <v>0</v>
      </c>
      <c r="J170" s="257">
        <f t="shared" si="42"/>
        <v>0</v>
      </c>
      <c r="K170" s="23"/>
      <c r="L170" s="218"/>
      <c r="M170" s="218"/>
      <c r="N170" s="103">
        <v>45223.0</v>
      </c>
      <c r="O170" s="261"/>
      <c r="P170" s="261">
        <f>O83+O93+O99+O101</f>
        <v>1191488</v>
      </c>
      <c r="Q170" s="487"/>
      <c r="R170" s="262"/>
      <c r="S170" s="609">
        <f t="shared" si="44"/>
        <v>1191488</v>
      </c>
      <c r="T170" s="483" t="s">
        <v>659</v>
      </c>
      <c r="U170" s="617"/>
      <c r="V170" s="618"/>
      <c r="W170" s="616"/>
      <c r="X170" s="266"/>
      <c r="Y170" s="218"/>
      <c r="Z170" s="219"/>
      <c r="AA170" s="592"/>
      <c r="AB170" s="592"/>
      <c r="AC170" s="592"/>
      <c r="AD170" s="556"/>
    </row>
    <row r="171" ht="27.0" customHeight="1">
      <c r="A171" s="600"/>
      <c r="B171" s="62"/>
      <c r="C171" s="285" t="s">
        <v>76</v>
      </c>
      <c r="D171" s="255">
        <f t="shared" si="39"/>
        <v>0</v>
      </c>
      <c r="E171" s="284"/>
      <c r="F171" s="269"/>
      <c r="G171" s="256">
        <f t="shared" si="40"/>
        <v>0</v>
      </c>
      <c r="H171" s="66">
        <v>90000.0</v>
      </c>
      <c r="I171" s="217">
        <f t="shared" si="41"/>
        <v>0</v>
      </c>
      <c r="J171" s="257">
        <f t="shared" si="42"/>
        <v>0</v>
      </c>
      <c r="K171" s="23"/>
      <c r="L171" s="218"/>
      <c r="M171" s="218"/>
      <c r="N171" s="103">
        <v>45224.0</v>
      </c>
      <c r="O171" s="261"/>
      <c r="P171" s="261">
        <f>O112</f>
        <v>2200000</v>
      </c>
      <c r="Q171" s="487"/>
      <c r="R171" s="262">
        <f>R116</f>
        <v>49002</v>
      </c>
      <c r="S171" s="609">
        <f t="shared" si="44"/>
        <v>2150998</v>
      </c>
      <c r="T171" s="488"/>
      <c r="U171" s="617"/>
      <c r="V171" s="618"/>
      <c r="W171" s="616"/>
      <c r="X171" s="266"/>
      <c r="Y171" s="218"/>
      <c r="Z171" s="219"/>
      <c r="AA171" s="592"/>
      <c r="AB171" s="592"/>
      <c r="AC171" s="592"/>
      <c r="AD171" s="556"/>
    </row>
    <row r="172" ht="27.0" customHeight="1">
      <c r="A172" s="600"/>
      <c r="B172" s="62"/>
      <c r="C172" s="285" t="s">
        <v>80</v>
      </c>
      <c r="D172" s="255">
        <f t="shared" si="39"/>
        <v>0</v>
      </c>
      <c r="E172" s="284"/>
      <c r="F172" s="269"/>
      <c r="G172" s="256">
        <f t="shared" si="40"/>
        <v>0</v>
      </c>
      <c r="H172" s="66">
        <v>85000.0</v>
      </c>
      <c r="I172" s="217">
        <f t="shared" si="41"/>
        <v>0</v>
      </c>
      <c r="J172" s="257">
        <f t="shared" si="42"/>
        <v>0</v>
      </c>
      <c r="K172" s="23"/>
      <c r="L172" s="218"/>
      <c r="M172" s="218"/>
      <c r="N172" s="620"/>
      <c r="O172" s="261"/>
      <c r="P172" s="261"/>
      <c r="Q172" s="487"/>
      <c r="R172" s="262"/>
      <c r="S172" s="609">
        <f t="shared" si="44"/>
        <v>0</v>
      </c>
      <c r="T172" s="488"/>
      <c r="U172" s="617"/>
      <c r="V172" s="618"/>
      <c r="W172" s="616"/>
      <c r="X172" s="266"/>
      <c r="Y172" s="218"/>
      <c r="Z172" s="219"/>
      <c r="AA172" s="592"/>
      <c r="AB172" s="592"/>
      <c r="AC172" s="592"/>
      <c r="AD172" s="556"/>
    </row>
    <row r="173" ht="27.0" customHeight="1">
      <c r="A173" s="600"/>
      <c r="B173" s="62"/>
      <c r="C173" s="285" t="s">
        <v>81</v>
      </c>
      <c r="D173" s="255">
        <f t="shared" si="39"/>
        <v>0</v>
      </c>
      <c r="E173" s="284"/>
      <c r="F173" s="269"/>
      <c r="G173" s="256">
        <f t="shared" si="40"/>
        <v>0</v>
      </c>
      <c r="H173" s="66">
        <v>150000.0</v>
      </c>
      <c r="I173" s="217">
        <f t="shared" si="41"/>
        <v>0</v>
      </c>
      <c r="J173" s="257">
        <f t="shared" si="42"/>
        <v>0</v>
      </c>
      <c r="K173" s="23"/>
      <c r="L173" s="218"/>
      <c r="M173" s="218"/>
      <c r="N173" s="620"/>
      <c r="O173" s="261"/>
      <c r="P173" s="261"/>
      <c r="Q173" s="487"/>
      <c r="R173" s="262"/>
      <c r="S173" s="609">
        <f t="shared" si="44"/>
        <v>0</v>
      </c>
      <c r="T173" s="488"/>
      <c r="U173" s="617"/>
      <c r="V173" s="618"/>
      <c r="W173" s="616"/>
      <c r="X173" s="266"/>
      <c r="Y173" s="218"/>
      <c r="Z173" s="219"/>
      <c r="AA173" s="592"/>
      <c r="AB173" s="592"/>
      <c r="AC173" s="592"/>
      <c r="AD173" s="556"/>
    </row>
    <row r="174" ht="27.0" customHeight="1">
      <c r="A174" s="600"/>
      <c r="B174" s="62"/>
      <c r="C174" s="285" t="s">
        <v>85</v>
      </c>
      <c r="D174" s="255">
        <f t="shared" si="39"/>
        <v>0</v>
      </c>
      <c r="E174" s="284"/>
      <c r="F174" s="269"/>
      <c r="G174" s="256">
        <f t="shared" si="40"/>
        <v>0</v>
      </c>
      <c r="H174" s="66">
        <v>125000.0</v>
      </c>
      <c r="I174" s="217">
        <f t="shared" si="41"/>
        <v>0</v>
      </c>
      <c r="J174" s="257">
        <f t="shared" si="42"/>
        <v>0</v>
      </c>
      <c r="K174" s="23"/>
      <c r="L174" s="218"/>
      <c r="M174" s="218"/>
      <c r="N174" s="621" t="s">
        <v>418</v>
      </c>
      <c r="O174" s="291">
        <f t="shared" ref="O174:S174" si="45">sum(O142:O173)</f>
        <v>18164189</v>
      </c>
      <c r="P174" s="291">
        <f t="shared" si="45"/>
        <v>53861340</v>
      </c>
      <c r="Q174" s="291">
        <f t="shared" si="45"/>
        <v>55502</v>
      </c>
      <c r="R174" s="291">
        <f t="shared" si="45"/>
        <v>1691556</v>
      </c>
      <c r="S174" s="291">
        <f t="shared" si="45"/>
        <v>55551461</v>
      </c>
      <c r="T174" s="291">
        <f>sum(T146:T173)</f>
        <v>0</v>
      </c>
      <c r="U174" s="617"/>
      <c r="V174" s="618"/>
      <c r="W174" s="622"/>
      <c r="X174" s="235"/>
      <c r="Y174" s="218"/>
      <c r="Z174" s="219"/>
      <c r="AA174" s="592"/>
      <c r="AB174" s="592"/>
      <c r="AC174" s="592"/>
      <c r="AD174" s="556"/>
    </row>
    <row r="175" ht="27.0" customHeight="1">
      <c r="A175" s="600"/>
      <c r="B175" s="62"/>
      <c r="C175" s="285" t="s">
        <v>89</v>
      </c>
      <c r="D175" s="255">
        <f t="shared" si="39"/>
        <v>0</v>
      </c>
      <c r="E175" s="284"/>
      <c r="F175" s="269"/>
      <c r="G175" s="256">
        <f t="shared" si="40"/>
        <v>0</v>
      </c>
      <c r="H175" s="66">
        <v>35000.0</v>
      </c>
      <c r="I175" s="217">
        <f t="shared" si="41"/>
        <v>0</v>
      </c>
      <c r="J175" s="257">
        <f t="shared" si="42"/>
        <v>0</v>
      </c>
      <c r="K175" s="23"/>
      <c r="L175" s="218"/>
      <c r="M175" s="218"/>
      <c r="N175" s="218"/>
      <c r="O175" s="298"/>
      <c r="P175" s="299"/>
      <c r="Q175" s="299"/>
      <c r="R175" s="299"/>
      <c r="S175" s="299"/>
      <c r="T175" s="299"/>
      <c r="U175" s="617"/>
      <c r="V175" s="618"/>
      <c r="W175" s="616"/>
      <c r="X175" s="266"/>
      <c r="Y175" s="218"/>
      <c r="Z175" s="219"/>
      <c r="AA175" s="592"/>
      <c r="AB175" s="592"/>
      <c r="AC175" s="592"/>
      <c r="AD175" s="556"/>
    </row>
    <row r="176" ht="27.0" customHeight="1">
      <c r="A176" s="600"/>
      <c r="B176" s="62"/>
      <c r="C176" s="285" t="s">
        <v>93</v>
      </c>
      <c r="D176" s="255">
        <f t="shared" si="39"/>
        <v>0</v>
      </c>
      <c r="E176" s="284"/>
      <c r="F176" s="270"/>
      <c r="G176" s="256">
        <f t="shared" si="40"/>
        <v>0</v>
      </c>
      <c r="H176" s="66">
        <v>90000.0</v>
      </c>
      <c r="I176" s="217">
        <f t="shared" si="41"/>
        <v>0</v>
      </c>
      <c r="J176" s="257">
        <f t="shared" si="42"/>
        <v>0</v>
      </c>
      <c r="K176" s="23"/>
      <c r="L176" s="218"/>
      <c r="M176" s="218"/>
      <c r="N176" s="218"/>
      <c r="O176" s="298"/>
      <c r="P176" s="299"/>
      <c r="Q176" s="299"/>
      <c r="R176" s="299"/>
      <c r="S176" s="299"/>
      <c r="T176" s="299"/>
      <c r="U176" s="617"/>
      <c r="V176" s="618"/>
      <c r="W176" s="616"/>
      <c r="X176" s="266"/>
      <c r="Y176" s="218"/>
      <c r="Z176" s="219"/>
      <c r="AA176" s="592"/>
      <c r="AB176" s="592"/>
      <c r="AC176" s="592"/>
      <c r="AD176" s="556"/>
    </row>
    <row r="177" ht="27.0" customHeight="1">
      <c r="A177" s="600"/>
      <c r="B177" s="62"/>
      <c r="C177" s="285" t="s">
        <v>94</v>
      </c>
      <c r="D177" s="255">
        <f t="shared" si="39"/>
        <v>0</v>
      </c>
      <c r="E177" s="284"/>
      <c r="F177" s="269"/>
      <c r="G177" s="256">
        <f t="shared" si="40"/>
        <v>0</v>
      </c>
      <c r="H177" s="66">
        <v>140000.0</v>
      </c>
      <c r="I177" s="217">
        <f t="shared" si="41"/>
        <v>0</v>
      </c>
      <c r="J177" s="257">
        <f t="shared" si="42"/>
        <v>0</v>
      </c>
      <c r="K177" s="23"/>
      <c r="L177" s="218"/>
      <c r="M177" s="218"/>
      <c r="N177" s="218"/>
      <c r="O177" s="298"/>
      <c r="P177" s="299"/>
      <c r="Q177" s="299"/>
      <c r="R177" s="299"/>
      <c r="S177" s="299"/>
      <c r="T177" s="299"/>
      <c r="U177" s="617"/>
      <c r="V177" s="618"/>
      <c r="W177" s="611"/>
      <c r="X177" s="266"/>
      <c r="Y177" s="218"/>
      <c r="Z177" s="219"/>
      <c r="AA177" s="592"/>
      <c r="AB177" s="592"/>
      <c r="AC177" s="592"/>
      <c r="AD177" s="556"/>
    </row>
    <row r="178" ht="27.0" customHeight="1">
      <c r="A178" s="600"/>
      <c r="B178" s="62"/>
      <c r="C178" s="285" t="s">
        <v>97</v>
      </c>
      <c r="D178" s="255">
        <f t="shared" si="39"/>
        <v>0</v>
      </c>
      <c r="E178" s="284"/>
      <c r="F178" s="269"/>
      <c r="G178" s="256">
        <f t="shared" si="40"/>
        <v>0</v>
      </c>
      <c r="H178" s="66">
        <v>95000.0</v>
      </c>
      <c r="I178" s="217">
        <f t="shared" si="41"/>
        <v>0</v>
      </c>
      <c r="J178" s="257">
        <f t="shared" si="42"/>
        <v>0</v>
      </c>
      <c r="K178" s="23"/>
      <c r="L178" s="218"/>
      <c r="M178" s="218"/>
      <c r="N178" s="218"/>
      <c r="O178" s="298"/>
      <c r="P178" s="299"/>
      <c r="Q178" s="299"/>
      <c r="R178" s="299"/>
      <c r="S178" s="299"/>
      <c r="T178" s="299"/>
      <c r="U178" s="617"/>
      <c r="V178" s="608"/>
      <c r="W178" s="611"/>
      <c r="X178" s="266"/>
      <c r="Y178" s="218"/>
      <c r="Z178" s="219"/>
      <c r="AA178" s="592"/>
      <c r="AB178" s="592"/>
      <c r="AC178" s="592"/>
      <c r="AD178" s="556"/>
    </row>
    <row r="179" ht="27.0" customHeight="1">
      <c r="A179" s="600"/>
      <c r="B179" s="62"/>
      <c r="C179" s="285" t="s">
        <v>99</v>
      </c>
      <c r="D179" s="255">
        <f t="shared" si="39"/>
        <v>0</v>
      </c>
      <c r="E179" s="284"/>
      <c r="F179" s="269"/>
      <c r="G179" s="256">
        <f t="shared" si="40"/>
        <v>0</v>
      </c>
      <c r="H179" s="66">
        <v>140000.0</v>
      </c>
      <c r="I179" s="217">
        <f t="shared" si="41"/>
        <v>0</v>
      </c>
      <c r="J179" s="257">
        <f t="shared" si="42"/>
        <v>0</v>
      </c>
      <c r="K179" s="23"/>
      <c r="L179" s="218"/>
      <c r="M179" s="218"/>
      <c r="N179" s="218"/>
      <c r="O179" s="298"/>
      <c r="P179" s="299"/>
      <c r="Q179" s="299"/>
      <c r="R179" s="299"/>
      <c r="S179" s="299"/>
      <c r="T179" s="299"/>
      <c r="U179" s="218"/>
      <c r="V179" s="608"/>
      <c r="W179" s="611"/>
      <c r="X179" s="266"/>
      <c r="Y179" s="218"/>
      <c r="Z179" s="219"/>
      <c r="AA179" s="592"/>
      <c r="AB179" s="592"/>
      <c r="AC179" s="592"/>
      <c r="AD179" s="556"/>
    </row>
    <row r="180" ht="27.0" customHeight="1">
      <c r="A180" s="600"/>
      <c r="B180" s="62"/>
      <c r="C180" s="285" t="s">
        <v>101</v>
      </c>
      <c r="D180" s="255">
        <f t="shared" si="39"/>
        <v>0</v>
      </c>
      <c r="E180" s="284"/>
      <c r="F180" s="269"/>
      <c r="G180" s="256">
        <f t="shared" si="40"/>
        <v>0</v>
      </c>
      <c r="H180" s="66">
        <v>150000.0</v>
      </c>
      <c r="I180" s="217">
        <f t="shared" si="41"/>
        <v>0</v>
      </c>
      <c r="J180" s="257">
        <f t="shared" si="42"/>
        <v>0</v>
      </c>
      <c r="K180" s="23"/>
      <c r="L180" s="218"/>
      <c r="M180" s="218"/>
      <c r="N180" s="218"/>
      <c r="O180" s="298"/>
      <c r="P180" s="299"/>
      <c r="Q180" s="299"/>
      <c r="R180" s="299"/>
      <c r="S180" s="299"/>
      <c r="T180" s="299"/>
      <c r="U180" s="218"/>
      <c r="V180" s="608"/>
      <c r="W180" s="611"/>
      <c r="X180" s="266"/>
      <c r="Y180" s="218"/>
      <c r="Z180" s="219"/>
      <c r="AA180" s="592"/>
      <c r="AB180" s="592"/>
      <c r="AC180" s="592"/>
      <c r="AD180" s="556"/>
    </row>
    <row r="181" ht="27.0" customHeight="1">
      <c r="A181" s="600"/>
      <c r="B181" s="62"/>
      <c r="C181" s="285" t="s">
        <v>109</v>
      </c>
      <c r="D181" s="255">
        <f t="shared" si="39"/>
        <v>0</v>
      </c>
      <c r="E181" s="284"/>
      <c r="F181" s="269"/>
      <c r="G181" s="256">
        <f t="shared" si="40"/>
        <v>0</v>
      </c>
      <c r="H181" s="66">
        <v>125000.0</v>
      </c>
      <c r="I181" s="217">
        <f t="shared" si="41"/>
        <v>0</v>
      </c>
      <c r="J181" s="257">
        <f t="shared" si="42"/>
        <v>0</v>
      </c>
      <c r="K181" s="23"/>
      <c r="L181" s="623" t="s">
        <v>872</v>
      </c>
      <c r="M181" s="218"/>
      <c r="N181" s="218"/>
      <c r="O181" s="298"/>
      <c r="P181" s="299"/>
      <c r="Q181" s="299"/>
      <c r="R181" s="299"/>
      <c r="S181" s="299"/>
      <c r="T181" s="299"/>
      <c r="U181" s="218"/>
      <c r="V181" s="608"/>
      <c r="W181" s="622"/>
      <c r="X181" s="235"/>
      <c r="Y181" s="218"/>
      <c r="Z181" s="219"/>
      <c r="AA181" s="592"/>
      <c r="AB181" s="592"/>
      <c r="AC181" s="592"/>
      <c r="AD181" s="556"/>
    </row>
    <row r="182" ht="27.0" customHeight="1">
      <c r="A182" s="600"/>
      <c r="B182" s="62"/>
      <c r="C182" s="285" t="s">
        <v>113</v>
      </c>
      <c r="D182" s="255">
        <f t="shared" si="39"/>
        <v>0</v>
      </c>
      <c r="E182" s="284"/>
      <c r="F182" s="269"/>
      <c r="G182" s="256">
        <f t="shared" si="40"/>
        <v>0</v>
      </c>
      <c r="H182" s="66">
        <v>75000.0</v>
      </c>
      <c r="I182" s="217">
        <f t="shared" si="41"/>
        <v>0</v>
      </c>
      <c r="J182" s="257">
        <f t="shared" si="42"/>
        <v>0</v>
      </c>
      <c r="K182" s="23"/>
      <c r="L182" s="218"/>
      <c r="M182" s="218"/>
      <c r="N182" s="218"/>
      <c r="O182" s="298"/>
      <c r="P182" s="299"/>
      <c r="Q182" s="299"/>
      <c r="R182" s="299"/>
      <c r="S182" s="299"/>
      <c r="T182" s="299"/>
      <c r="U182" s="218"/>
      <c r="V182" s="608"/>
      <c r="W182" s="622"/>
      <c r="X182" s="235"/>
      <c r="Y182" s="218"/>
      <c r="Z182" s="219"/>
      <c r="AA182" s="592"/>
      <c r="AB182" s="592"/>
      <c r="AC182" s="592"/>
      <c r="AD182" s="556"/>
    </row>
    <row r="183" ht="27.0" customHeight="1">
      <c r="A183" s="600"/>
      <c r="B183" s="67"/>
      <c r="C183" s="300" t="s">
        <v>116</v>
      </c>
      <c r="D183" s="301">
        <f t="shared" si="39"/>
        <v>0</v>
      </c>
      <c r="E183" s="501"/>
      <c r="F183" s="305"/>
      <c r="G183" s="624">
        <f t="shared" si="40"/>
        <v>0</v>
      </c>
      <c r="H183" s="302">
        <v>475000.0</v>
      </c>
      <c r="I183" s="217">
        <f t="shared" si="41"/>
        <v>0</v>
      </c>
      <c r="J183" s="257">
        <f t="shared" si="42"/>
        <v>0</v>
      </c>
      <c r="K183" s="23"/>
      <c r="L183" s="218"/>
      <c r="M183" s="218"/>
      <c r="N183" s="218"/>
      <c r="O183" s="298"/>
      <c r="P183" s="299"/>
      <c r="Q183" s="299"/>
      <c r="R183" s="299"/>
      <c r="S183" s="299"/>
      <c r="T183" s="299"/>
      <c r="U183" s="218"/>
      <c r="V183" s="608"/>
      <c r="W183" s="622"/>
      <c r="X183" s="235"/>
      <c r="Y183" s="218"/>
      <c r="Z183" s="219"/>
      <c r="AA183" s="592"/>
      <c r="AB183" s="592"/>
      <c r="AC183" s="592"/>
      <c r="AD183" s="556"/>
    </row>
    <row r="184" ht="27.75" customHeight="1">
      <c r="A184" s="600"/>
      <c r="B184" s="308" t="s">
        <v>419</v>
      </c>
      <c r="C184" s="16"/>
      <c r="D184" s="16"/>
      <c r="E184" s="16"/>
      <c r="F184" s="16"/>
      <c r="G184" s="16"/>
      <c r="H184" s="17"/>
      <c r="I184" s="309">
        <f>SUM(I142:I157)</f>
        <v>62820000</v>
      </c>
      <c r="J184" s="23"/>
      <c r="K184" s="23"/>
      <c r="L184" s="218"/>
      <c r="M184" s="218"/>
      <c r="N184" s="218"/>
      <c r="O184" s="298"/>
      <c r="P184" s="299"/>
      <c r="Q184" s="299"/>
      <c r="R184" s="299"/>
      <c r="S184" s="299"/>
      <c r="T184" s="299"/>
      <c r="U184" s="299"/>
      <c r="V184" s="608"/>
      <c r="W184" s="601"/>
      <c r="X184" s="235"/>
      <c r="Y184" s="218"/>
      <c r="Z184" s="219"/>
      <c r="AA184" s="592"/>
      <c r="AB184" s="592"/>
      <c r="AC184" s="592"/>
      <c r="AD184" s="556"/>
    </row>
    <row r="185" ht="27.75" customHeight="1">
      <c r="A185" s="600"/>
      <c r="B185" s="308" t="s">
        <v>385</v>
      </c>
      <c r="C185" s="16"/>
      <c r="D185" s="16"/>
      <c r="E185" s="16"/>
      <c r="F185" s="16"/>
      <c r="G185" s="16"/>
      <c r="H185" s="17"/>
      <c r="I185" s="309">
        <f>SUM(I160:I183)</f>
        <v>2760000</v>
      </c>
      <c r="J185" s="23"/>
      <c r="K185" s="310" t="s">
        <v>420</v>
      </c>
      <c r="L185" s="16"/>
      <c r="M185" s="17"/>
      <c r="N185" s="311"/>
      <c r="O185" s="298"/>
      <c r="P185" s="299"/>
      <c r="Q185" s="299"/>
      <c r="R185" s="299"/>
      <c r="S185" s="299"/>
      <c r="T185" s="299"/>
      <c r="U185" s="299"/>
      <c r="V185" s="608"/>
      <c r="W185" s="601"/>
      <c r="X185" s="235"/>
      <c r="Y185" s="218"/>
      <c r="Z185" s="219"/>
      <c r="AA185" s="592"/>
      <c r="AB185" s="592"/>
      <c r="AC185" s="592"/>
      <c r="AD185" s="556"/>
    </row>
    <row r="186" ht="27.75" customHeight="1">
      <c r="A186" s="600"/>
      <c r="B186" s="312" t="s">
        <v>421</v>
      </c>
      <c r="C186" s="16"/>
      <c r="D186" s="16"/>
      <c r="E186" s="16"/>
      <c r="F186" s="16"/>
      <c r="G186" s="16"/>
      <c r="H186" s="17"/>
      <c r="I186" s="313">
        <f>SUM(I184:I185)</f>
        <v>65580000</v>
      </c>
      <c r="J186" s="23"/>
      <c r="K186" s="314" t="s">
        <v>422</v>
      </c>
      <c r="L186" s="625">
        <v>1.787E7</v>
      </c>
      <c r="M186" s="316"/>
      <c r="N186" s="218"/>
      <c r="O186" s="234"/>
      <c r="P186" s="218"/>
      <c r="Q186" s="218"/>
      <c r="R186" s="218"/>
      <c r="S186" s="218"/>
      <c r="T186" s="218"/>
      <c r="U186" s="218"/>
      <c r="V186" s="601"/>
      <c r="W186" s="601"/>
      <c r="X186" s="235"/>
      <c r="Y186" s="218"/>
      <c r="Z186" s="219"/>
      <c r="AA186" s="592"/>
      <c r="AB186" s="592"/>
      <c r="AC186" s="592"/>
      <c r="AD186" s="556"/>
    </row>
    <row r="187" ht="27.75" customHeight="1">
      <c r="A187" s="600"/>
      <c r="B187" s="317"/>
      <c r="C187" s="16"/>
      <c r="D187" s="17"/>
      <c r="E187" s="318" t="s">
        <v>423</v>
      </c>
      <c r="F187" s="16"/>
      <c r="G187" s="16"/>
      <c r="H187" s="17"/>
      <c r="I187" s="319">
        <f>O133</f>
        <v>64040340</v>
      </c>
      <c r="J187" s="23"/>
      <c r="K187" s="320" t="s">
        <v>424</v>
      </c>
      <c r="L187" s="316">
        <f>sumif(Q4:Q132,"Đã thu",K4:K132)</f>
        <v>55200000</v>
      </c>
      <c r="M187" s="316"/>
      <c r="N187" s="218"/>
      <c r="O187" s="234"/>
      <c r="P187" s="218"/>
      <c r="Q187" s="218"/>
      <c r="R187" s="218"/>
      <c r="S187" s="218"/>
      <c r="T187" s="218"/>
      <c r="U187" s="218"/>
      <c r="V187" s="601"/>
      <c r="W187" s="601"/>
      <c r="X187" s="235"/>
      <c r="Y187" s="218"/>
      <c r="Z187" s="219"/>
      <c r="AA187" s="592"/>
      <c r="AB187" s="592"/>
      <c r="AC187" s="592"/>
      <c r="AD187" s="556"/>
    </row>
    <row r="188" ht="27.75" customHeight="1">
      <c r="A188" s="600"/>
      <c r="B188" s="321" t="s">
        <v>425</v>
      </c>
      <c r="C188" s="16"/>
      <c r="D188" s="16"/>
      <c r="E188" s="16"/>
      <c r="F188" s="16"/>
      <c r="G188" s="16"/>
      <c r="H188" s="17"/>
      <c r="I188" s="322">
        <f>SUMIF(Q4:Q132,"Đã thu",O4:O132)</f>
        <v>53861340</v>
      </c>
      <c r="J188" s="23">
        <f>P174-I188</f>
        <v>0</v>
      </c>
      <c r="K188" s="507" t="s">
        <v>415</v>
      </c>
      <c r="L188" s="315">
        <f>I185</f>
        <v>2760000</v>
      </c>
      <c r="M188" s="324"/>
      <c r="N188" s="235"/>
      <c r="O188" s="234"/>
      <c r="P188" s="218"/>
      <c r="Q188" s="218"/>
      <c r="R188" s="218"/>
      <c r="S188" s="218"/>
      <c r="T188" s="218"/>
      <c r="U188" s="218"/>
      <c r="V188" s="601"/>
      <c r="W188" s="601"/>
      <c r="X188" s="235"/>
      <c r="Y188" s="218"/>
      <c r="Z188" s="219"/>
      <c r="AA188" s="592"/>
      <c r="AB188" s="592"/>
      <c r="AC188" s="592"/>
      <c r="AD188" s="556"/>
    </row>
    <row r="189" ht="27.75" customHeight="1">
      <c r="A189" s="626"/>
      <c r="B189" s="326" t="s">
        <v>426</v>
      </c>
      <c r="C189" s="16"/>
      <c r="D189" s="16"/>
      <c r="E189" s="16"/>
      <c r="F189" s="16"/>
      <c r="G189" s="16"/>
      <c r="H189" s="17"/>
      <c r="I189" s="327">
        <f>I187-I188</f>
        <v>10179000</v>
      </c>
      <c r="J189" s="23"/>
      <c r="K189" s="328" t="s">
        <v>407</v>
      </c>
      <c r="L189" s="315">
        <f>sum(L186:L187)-L188</f>
        <v>70310000</v>
      </c>
      <c r="M189" s="324"/>
      <c r="N189" s="235"/>
      <c r="O189" s="234"/>
      <c r="P189" s="218"/>
      <c r="Q189" s="218"/>
      <c r="R189" s="218"/>
      <c r="S189" s="218"/>
      <c r="T189" s="218"/>
      <c r="U189" s="218"/>
      <c r="V189" s="601"/>
      <c r="W189" s="601"/>
      <c r="X189" s="235"/>
      <c r="Y189" s="218"/>
      <c r="Z189" s="219"/>
      <c r="AA189" s="592"/>
      <c r="AB189" s="592"/>
      <c r="AC189" s="592"/>
      <c r="AD189" s="556"/>
    </row>
    <row r="190" ht="27.75" customHeight="1">
      <c r="A190" s="626"/>
      <c r="B190" s="330" t="s">
        <v>427</v>
      </c>
      <c r="C190" s="16"/>
      <c r="D190" s="16"/>
      <c r="E190" s="16"/>
      <c r="F190" s="16"/>
      <c r="G190" s="16"/>
      <c r="H190" s="17"/>
      <c r="I190" s="331">
        <f>L133+R133</f>
        <v>1909565</v>
      </c>
      <c r="J190" s="23"/>
      <c r="K190" s="335"/>
      <c r="L190" s="299"/>
      <c r="M190" s="218"/>
      <c r="N190" s="218"/>
      <c r="O190" s="234"/>
      <c r="P190" s="218"/>
      <c r="Q190" s="218"/>
      <c r="R190" s="218"/>
      <c r="S190" s="218"/>
      <c r="T190" s="218"/>
      <c r="U190" s="218"/>
      <c r="V190" s="601"/>
      <c r="W190" s="601"/>
      <c r="X190" s="235"/>
      <c r="Y190" s="218"/>
      <c r="Z190" s="219"/>
      <c r="AA190" s="592"/>
      <c r="AB190" s="592"/>
      <c r="AC190" s="592"/>
      <c r="AD190" s="556"/>
    </row>
    <row r="191" ht="27.75" customHeight="1">
      <c r="A191" s="600"/>
      <c r="B191" s="321" t="s">
        <v>428</v>
      </c>
      <c r="C191" s="16"/>
      <c r="D191" s="16"/>
      <c r="E191" s="16"/>
      <c r="F191" s="16"/>
      <c r="G191" s="16"/>
      <c r="H191" s="17"/>
      <c r="I191" s="207">
        <f>SUMIF($T$4:$T$132,"x",R4:R132)+SUMIF($T$4:$T$132,"x",$L$4:$L$132)</f>
        <v>1650554</v>
      </c>
      <c r="J191" s="23"/>
      <c r="K191" s="335"/>
      <c r="L191" s="299">
        <f>I186-L187-L188</f>
        <v>7620000</v>
      </c>
      <c r="M191" s="299"/>
      <c r="N191" s="299"/>
      <c r="O191" s="234"/>
      <c r="P191" s="218"/>
      <c r="Q191" s="218"/>
      <c r="R191" s="218"/>
      <c r="S191" s="218"/>
      <c r="T191" s="218"/>
      <c r="U191" s="218"/>
      <c r="V191" s="601"/>
      <c r="W191" s="601"/>
      <c r="X191" s="235"/>
      <c r="Y191" s="218"/>
      <c r="Z191" s="219"/>
      <c r="AA191" s="592"/>
      <c r="AB191" s="592"/>
      <c r="AC191" s="592"/>
      <c r="AD191" s="556"/>
    </row>
    <row r="192" ht="27.75" customHeight="1">
      <c r="A192" s="600"/>
      <c r="B192" s="326" t="s">
        <v>429</v>
      </c>
      <c r="C192" s="16"/>
      <c r="D192" s="16"/>
      <c r="E192" s="16"/>
      <c r="F192" s="16"/>
      <c r="G192" s="16"/>
      <c r="H192" s="17"/>
      <c r="I192" s="327">
        <f>I190-I191</f>
        <v>259011</v>
      </c>
      <c r="J192" s="23"/>
      <c r="K192" s="335"/>
      <c r="L192" s="299">
        <f>I184-L187+L188</f>
        <v>10380000</v>
      </c>
      <c r="M192" s="218"/>
      <c r="N192" s="218"/>
      <c r="O192" s="234"/>
      <c r="P192" s="218"/>
      <c r="Q192" s="218"/>
      <c r="R192" s="218"/>
      <c r="S192" s="218"/>
      <c r="T192" s="218"/>
      <c r="U192" s="218"/>
      <c r="V192" s="601"/>
      <c r="W192" s="601"/>
      <c r="X192" s="235"/>
      <c r="Y192" s="218"/>
      <c r="Z192" s="219"/>
      <c r="AA192" s="592"/>
      <c r="AB192" s="592"/>
      <c r="AC192" s="592"/>
      <c r="AD192" s="556"/>
    </row>
    <row r="193" ht="15.75" customHeight="1">
      <c r="A193" s="600"/>
      <c r="B193" s="336"/>
      <c r="C193" s="336"/>
      <c r="D193" s="336"/>
      <c r="E193" s="337"/>
      <c r="F193" s="338"/>
      <c r="G193" s="218"/>
      <c r="H193" s="218"/>
      <c r="I193" s="218"/>
      <c r="J193" s="218"/>
      <c r="K193" s="23"/>
      <c r="L193" s="218"/>
      <c r="M193" s="218"/>
      <c r="N193" s="218"/>
      <c r="O193" s="234"/>
      <c r="P193" s="218"/>
      <c r="Q193" s="218"/>
      <c r="R193" s="218"/>
      <c r="S193" s="218"/>
      <c r="T193" s="218"/>
      <c r="U193" s="218"/>
      <c r="V193" s="601"/>
      <c r="W193" s="601"/>
      <c r="X193" s="235"/>
      <c r="Y193" s="218"/>
      <c r="Z193" s="219"/>
      <c r="AA193" s="592"/>
      <c r="AB193" s="592"/>
      <c r="AC193" s="592"/>
      <c r="AD193" s="556"/>
    </row>
    <row r="194" ht="15.75" customHeight="1">
      <c r="A194" s="627"/>
      <c r="B194" s="339"/>
      <c r="C194" s="339"/>
      <c r="D194" s="339"/>
      <c r="E194" s="337"/>
      <c r="F194" s="338"/>
      <c r="G194" s="218"/>
      <c r="H194" s="218"/>
      <c r="I194" s="218"/>
      <c r="J194" s="218"/>
      <c r="K194" s="23"/>
      <c r="L194" s="218"/>
      <c r="M194" s="218"/>
      <c r="N194" s="218"/>
      <c r="O194" s="234"/>
      <c r="P194" s="218"/>
      <c r="Q194" s="218"/>
      <c r="R194" s="218"/>
      <c r="S194" s="218"/>
      <c r="T194" s="218"/>
      <c r="U194" s="218"/>
      <c r="V194" s="601"/>
      <c r="W194" s="601"/>
      <c r="X194" s="235"/>
      <c r="Y194" s="218"/>
      <c r="Z194" s="219"/>
      <c r="AA194" s="592"/>
      <c r="AB194" s="592"/>
      <c r="AC194" s="592"/>
      <c r="AD194" s="556"/>
    </row>
    <row r="195" ht="26.25" customHeight="1">
      <c r="A195" s="627" t="s">
        <v>430</v>
      </c>
      <c r="E195" s="337"/>
      <c r="F195" s="338"/>
      <c r="G195" s="218"/>
      <c r="H195" s="218"/>
      <c r="I195" s="218"/>
      <c r="J195" s="218"/>
      <c r="K195" s="23"/>
      <c r="L195" s="218"/>
      <c r="M195" s="218"/>
      <c r="N195" s="218"/>
      <c r="O195" s="234"/>
      <c r="P195" s="218"/>
      <c r="Q195" s="218"/>
      <c r="R195" s="218"/>
      <c r="S195" s="218"/>
      <c r="T195" s="218"/>
      <c r="U195" s="218"/>
      <c r="V195" s="601"/>
      <c r="W195" s="601"/>
      <c r="X195" s="235"/>
      <c r="Y195" s="218"/>
      <c r="Z195" s="219"/>
      <c r="AA195" s="592"/>
      <c r="AB195" s="592"/>
      <c r="AC195" s="592"/>
      <c r="AD195" s="556"/>
    </row>
    <row r="196" ht="15.75" customHeight="1">
      <c r="A196" s="628"/>
      <c r="B196" s="341"/>
      <c r="C196" s="341"/>
      <c r="D196" s="341"/>
      <c r="E196" s="341"/>
      <c r="F196" s="341"/>
      <c r="G196" s="341"/>
      <c r="H196" s="341"/>
      <c r="I196" s="341"/>
      <c r="J196" s="341"/>
      <c r="K196" s="341"/>
      <c r="L196" s="341"/>
      <c r="M196" s="341"/>
      <c r="N196" s="341"/>
      <c r="O196" s="343"/>
      <c r="P196" s="344"/>
      <c r="Q196" s="344"/>
      <c r="R196" s="344"/>
      <c r="S196" s="344"/>
      <c r="T196" s="344"/>
      <c r="U196" s="344"/>
      <c r="V196" s="629"/>
      <c r="W196" s="629"/>
      <c r="X196" s="344"/>
      <c r="Y196" s="344"/>
      <c r="Z196" s="219"/>
      <c r="AA196" s="592"/>
      <c r="AB196" s="592"/>
      <c r="AC196" s="592"/>
      <c r="AD196" s="556"/>
    </row>
    <row r="197" ht="15.75" customHeight="1">
      <c r="A197" s="628"/>
      <c r="B197" s="346" t="s">
        <v>431</v>
      </c>
      <c r="C197" s="347" t="s">
        <v>432</v>
      </c>
      <c r="D197" s="348" t="s">
        <v>433</v>
      </c>
      <c r="E197" s="348" t="s">
        <v>434</v>
      </c>
      <c r="F197" s="349" t="s">
        <v>5</v>
      </c>
      <c r="G197" s="348" t="s">
        <v>435</v>
      </c>
      <c r="H197" s="348" t="s">
        <v>25</v>
      </c>
      <c r="I197" s="349" t="s">
        <v>26</v>
      </c>
      <c r="J197" s="349" t="s">
        <v>436</v>
      </c>
      <c r="K197" s="349" t="s">
        <v>437</v>
      </c>
      <c r="L197" s="349" t="s">
        <v>438</v>
      </c>
      <c r="M197" s="630" t="s">
        <v>9</v>
      </c>
      <c r="N197" s="630" t="s">
        <v>439</v>
      </c>
      <c r="O197" s="362"/>
      <c r="Q197" s="344"/>
      <c r="R197" s="340"/>
      <c r="S197" s="340"/>
      <c r="T197" s="340"/>
      <c r="U197" s="340"/>
      <c r="V197" s="631"/>
      <c r="W197" s="632"/>
      <c r="X197" s="340"/>
      <c r="Y197" s="299"/>
      <c r="Z197" s="353"/>
      <c r="AA197" s="592"/>
      <c r="AB197" s="592"/>
      <c r="AC197" s="592"/>
      <c r="AD197" s="556"/>
    </row>
    <row r="198" ht="31.5" customHeight="1">
      <c r="A198" s="633"/>
      <c r="B198" s="634">
        <v>9.0</v>
      </c>
      <c r="C198" s="635">
        <v>45183.0</v>
      </c>
      <c r="D198" s="94">
        <v>1.705752251313E12</v>
      </c>
      <c r="E198" s="94" t="s">
        <v>510</v>
      </c>
      <c r="F198" s="97" t="s">
        <v>873</v>
      </c>
      <c r="G198" s="417" t="s">
        <v>512</v>
      </c>
      <c r="H198" s="69" t="s">
        <v>30</v>
      </c>
      <c r="I198" s="355">
        <v>3.0</v>
      </c>
      <c r="J198" s="367">
        <v>220000.0</v>
      </c>
      <c r="K198" s="368">
        <f t="shared" ref="K198:K201" si="46">J198*I198</f>
        <v>660000</v>
      </c>
      <c r="L198" s="94" t="s">
        <v>443</v>
      </c>
      <c r="M198" s="636">
        <f>67503+6500</f>
        <v>74003</v>
      </c>
      <c r="N198" s="637" t="s">
        <v>874</v>
      </c>
      <c r="O198" s="638"/>
      <c r="P198" s="638"/>
      <c r="Q198" s="344"/>
      <c r="R198" s="639"/>
      <c r="S198" s="639"/>
      <c r="T198" s="639"/>
      <c r="U198" s="639"/>
      <c r="V198" s="275"/>
      <c r="W198" s="334"/>
      <c r="X198" s="639"/>
      <c r="Y198" s="639"/>
      <c r="Z198" s="640"/>
      <c r="AA198" s="592"/>
      <c r="AB198" s="592"/>
      <c r="AC198" s="592"/>
      <c r="AD198" s="556"/>
    </row>
    <row r="199" ht="30.0" customHeight="1">
      <c r="A199" s="633"/>
      <c r="B199" s="62"/>
      <c r="C199" s="62"/>
      <c r="D199" s="62"/>
      <c r="E199" s="62"/>
      <c r="F199" s="62"/>
      <c r="G199" s="62"/>
      <c r="H199" s="69" t="s">
        <v>35</v>
      </c>
      <c r="I199" s="355">
        <v>2.0</v>
      </c>
      <c r="J199" s="367">
        <v>220000.0</v>
      </c>
      <c r="K199" s="368">
        <f t="shared" si="46"/>
        <v>440000</v>
      </c>
      <c r="L199" s="62"/>
      <c r="M199" s="641"/>
      <c r="N199" s="62"/>
      <c r="O199" s="362"/>
      <c r="Q199" s="642"/>
      <c r="R199" s="643"/>
      <c r="S199" s="639"/>
      <c r="T199" s="639"/>
      <c r="U199" s="639"/>
      <c r="V199" s="275"/>
      <c r="W199" s="275"/>
      <c r="X199" s="644"/>
      <c r="Y199" s="639"/>
      <c r="Z199" s="640"/>
      <c r="AA199" s="592"/>
      <c r="AB199" s="592"/>
      <c r="AC199" s="592"/>
      <c r="AD199" s="556"/>
    </row>
    <row r="200" ht="33.0" customHeight="1">
      <c r="A200" s="645"/>
      <c r="B200" s="67"/>
      <c r="C200" s="67"/>
      <c r="D200" s="67"/>
      <c r="E200" s="67"/>
      <c r="F200" s="67"/>
      <c r="G200" s="67"/>
      <c r="H200" s="373" t="s">
        <v>61</v>
      </c>
      <c r="I200" s="371">
        <v>1.0</v>
      </c>
      <c r="J200" s="646">
        <v>90000.0</v>
      </c>
      <c r="K200" s="368">
        <f t="shared" si="46"/>
        <v>90000</v>
      </c>
      <c r="L200" s="67"/>
      <c r="M200" s="154"/>
      <c r="N200" s="67"/>
      <c r="O200" s="362"/>
      <c r="Q200" s="642"/>
      <c r="R200" s="643"/>
      <c r="S200" s="639"/>
      <c r="T200" s="639"/>
      <c r="U200" s="639"/>
      <c r="V200" s="275"/>
      <c r="W200" s="275"/>
      <c r="X200" s="644"/>
      <c r="Y200" s="639"/>
      <c r="Z200" s="640"/>
      <c r="AA200" s="592"/>
      <c r="AB200" s="592"/>
      <c r="AC200" s="592"/>
      <c r="AD200" s="556"/>
    </row>
    <row r="201" ht="31.5" customHeight="1">
      <c r="A201" s="647"/>
      <c r="B201" s="377">
        <v>10.0</v>
      </c>
      <c r="C201" s="378">
        <v>45205.0</v>
      </c>
      <c r="D201" s="377" t="s">
        <v>755</v>
      </c>
      <c r="E201" s="377" t="s">
        <v>50</v>
      </c>
      <c r="F201" s="379" t="s">
        <v>756</v>
      </c>
      <c r="G201" s="648" t="s">
        <v>180</v>
      </c>
      <c r="H201" s="377" t="s">
        <v>30</v>
      </c>
      <c r="I201" s="377">
        <v>1.0</v>
      </c>
      <c r="J201" s="649">
        <v>220000.0</v>
      </c>
      <c r="K201" s="368">
        <f t="shared" si="46"/>
        <v>220000</v>
      </c>
      <c r="L201" s="265" t="s">
        <v>443</v>
      </c>
      <c r="M201" s="650"/>
      <c r="N201" s="265" t="s">
        <v>875</v>
      </c>
      <c r="O201" s="393"/>
      <c r="P201" s="393"/>
      <c r="Q201" s="651"/>
      <c r="R201" s="275"/>
      <c r="S201" s="275"/>
      <c r="T201" s="275"/>
      <c r="U201" s="275"/>
      <c r="V201" s="275"/>
      <c r="W201" s="275"/>
      <c r="X201" s="334"/>
      <c r="Y201" s="275"/>
      <c r="Z201" s="280"/>
      <c r="AA201" s="652"/>
      <c r="AB201" s="652"/>
      <c r="AC201" s="652"/>
      <c r="AD201" s="583"/>
    </row>
    <row r="202" ht="31.5" customHeight="1">
      <c r="A202" s="653"/>
      <c r="B202" s="389" t="s">
        <v>421</v>
      </c>
      <c r="C202" s="16"/>
      <c r="D202" s="16"/>
      <c r="E202" s="16"/>
      <c r="F202" s="16"/>
      <c r="G202" s="16"/>
      <c r="H202" s="16"/>
      <c r="I202" s="16"/>
      <c r="J202" s="17"/>
      <c r="K202" s="391">
        <f>SUM(K198:K201)</f>
        <v>1410000</v>
      </c>
      <c r="L202" s="391"/>
      <c r="M202" s="391">
        <f>SUM(M198:M200)</f>
        <v>74003</v>
      </c>
      <c r="N202" s="392"/>
      <c r="O202" s="393"/>
      <c r="Q202" s="344"/>
      <c r="R202" s="654"/>
      <c r="S202" s="654"/>
      <c r="T202" s="654"/>
      <c r="U202" s="654"/>
      <c r="V202" s="655"/>
      <c r="W202" s="655"/>
      <c r="X202" s="656"/>
      <c r="Y202" s="654"/>
      <c r="Z202" s="657"/>
      <c r="AA202" s="592"/>
      <c r="AB202" s="592"/>
      <c r="AC202" s="592"/>
      <c r="AD202" s="556"/>
    </row>
    <row r="203" ht="15.75" customHeight="1">
      <c r="A203" s="658"/>
      <c r="B203" s="658"/>
      <c r="C203" s="658"/>
      <c r="D203" s="658"/>
      <c r="E203" s="659"/>
      <c r="F203" s="660"/>
      <c r="G203" s="661"/>
      <c r="H203" s="345"/>
      <c r="I203" s="344"/>
      <c r="J203" s="344"/>
      <c r="K203" s="107"/>
      <c r="L203" s="344"/>
      <c r="M203" s="344"/>
      <c r="N203" s="344"/>
      <c r="O203" s="343"/>
      <c r="P203" s="344"/>
      <c r="Q203" s="344"/>
      <c r="R203" s="344"/>
      <c r="S203" s="344"/>
      <c r="T203" s="344"/>
      <c r="U203" s="344"/>
      <c r="V203" s="662"/>
      <c r="W203" s="662"/>
      <c r="X203" s="344"/>
      <c r="Y203" s="344"/>
      <c r="Z203" s="219"/>
      <c r="AA203" s="592"/>
      <c r="AB203" s="592"/>
      <c r="AC203" s="592"/>
      <c r="AD203" s="556"/>
    </row>
    <row r="204" ht="15.75" customHeight="1">
      <c r="A204" s="658"/>
      <c r="B204" s="658"/>
      <c r="C204" s="658"/>
      <c r="D204" s="658"/>
      <c r="E204" s="663"/>
      <c r="F204" s="664"/>
      <c r="G204" s="665"/>
      <c r="H204" s="597"/>
      <c r="I204" s="598"/>
      <c r="J204" s="598"/>
      <c r="K204" s="106"/>
      <c r="L204" s="556"/>
      <c r="M204" s="556"/>
      <c r="N204" s="556"/>
      <c r="O204" s="402"/>
      <c r="P204" s="556"/>
      <c r="Q204" s="556"/>
      <c r="R204" s="556"/>
      <c r="S204" s="556"/>
      <c r="T204" s="556"/>
      <c r="U204" s="556"/>
      <c r="V204" s="599"/>
      <c r="W204" s="599"/>
      <c r="X204" s="556"/>
      <c r="Y204" s="556"/>
      <c r="Z204" s="579"/>
      <c r="AA204" s="592"/>
      <c r="AB204" s="592"/>
      <c r="AC204" s="592"/>
      <c r="AD204" s="556"/>
    </row>
    <row r="205" ht="15.75" customHeight="1">
      <c r="A205" s="658"/>
      <c r="B205" s="658"/>
      <c r="C205" s="658"/>
      <c r="D205" s="658"/>
      <c r="E205" s="666"/>
      <c r="F205" s="667"/>
      <c r="G205" s="668"/>
      <c r="H205" s="597"/>
      <c r="I205" s="598"/>
      <c r="J205" s="598"/>
      <c r="K205" s="106"/>
      <c r="L205" s="556"/>
      <c r="M205" s="556"/>
      <c r="N205" s="556"/>
      <c r="O205" s="402"/>
      <c r="P205" s="556"/>
      <c r="Q205" s="556"/>
      <c r="R205" s="556"/>
      <c r="S205" s="556"/>
      <c r="T205" s="556"/>
      <c r="U205" s="556"/>
      <c r="V205" s="599"/>
      <c r="W205" s="599"/>
      <c r="X205" s="556"/>
      <c r="Y205" s="556"/>
      <c r="Z205" s="579"/>
      <c r="AA205" s="556"/>
      <c r="AB205" s="556"/>
      <c r="AC205" s="556"/>
      <c r="AD205" s="556"/>
    </row>
    <row r="206" ht="15.75" customHeight="1">
      <c r="A206" s="594"/>
      <c r="B206" s="596"/>
      <c r="C206" s="669"/>
      <c r="D206" s="556"/>
      <c r="E206" s="556"/>
      <c r="F206" s="595"/>
      <c r="G206" s="596"/>
      <c r="H206" s="597"/>
      <c r="I206" s="598"/>
      <c r="J206" s="598"/>
      <c r="K206" s="106"/>
      <c r="L206" s="556"/>
      <c r="M206" s="556"/>
      <c r="N206" s="556"/>
      <c r="O206" s="402"/>
      <c r="P206" s="556"/>
      <c r="Q206" s="556"/>
      <c r="R206" s="556"/>
      <c r="S206" s="556"/>
      <c r="T206" s="556"/>
      <c r="U206" s="556"/>
      <c r="V206" s="599"/>
      <c r="W206" s="599"/>
      <c r="X206" s="556"/>
      <c r="Y206" s="556"/>
      <c r="Z206" s="579"/>
      <c r="AA206" s="556"/>
      <c r="AB206" s="556"/>
      <c r="AC206" s="556"/>
      <c r="AD206" s="556"/>
    </row>
    <row r="207" ht="15.75" customHeight="1">
      <c r="A207" s="594"/>
      <c r="B207" s="596"/>
      <c r="C207" s="669"/>
      <c r="D207" s="556"/>
      <c r="E207" s="556"/>
      <c r="F207" s="595"/>
      <c r="G207" s="596"/>
      <c r="H207" s="597"/>
      <c r="I207" s="598"/>
      <c r="J207" s="598"/>
      <c r="K207" s="106"/>
      <c r="L207" s="556"/>
      <c r="M207" s="556"/>
      <c r="N207" s="556"/>
      <c r="O207" s="402"/>
      <c r="P207" s="556"/>
      <c r="Q207" s="556"/>
      <c r="R207" s="556"/>
      <c r="S207" s="556"/>
      <c r="T207" s="556"/>
      <c r="U207" s="556"/>
      <c r="V207" s="599"/>
      <c r="W207" s="599"/>
      <c r="X207" s="556"/>
      <c r="Y207" s="556"/>
      <c r="Z207" s="579"/>
      <c r="AA207" s="556"/>
      <c r="AB207" s="556"/>
      <c r="AC207" s="556"/>
      <c r="AD207" s="556"/>
    </row>
    <row r="208" ht="15.75" customHeight="1">
      <c r="A208" s="594"/>
      <c r="B208" s="596"/>
      <c r="C208" s="669"/>
      <c r="D208" s="556"/>
      <c r="E208" s="556"/>
      <c r="F208" s="595"/>
      <c r="G208" s="596"/>
      <c r="H208" s="597"/>
      <c r="I208" s="598"/>
      <c r="J208" s="598"/>
      <c r="K208" s="106"/>
      <c r="L208" s="556"/>
      <c r="M208" s="556"/>
      <c r="N208" s="556"/>
      <c r="O208" s="402"/>
      <c r="P208" s="556"/>
      <c r="Q208" s="556"/>
      <c r="R208" s="556"/>
      <c r="S208" s="556"/>
      <c r="T208" s="556"/>
      <c r="U208" s="556"/>
      <c r="V208" s="599"/>
      <c r="W208" s="599"/>
      <c r="X208" s="556"/>
      <c r="Y208" s="556"/>
      <c r="Z208" s="579"/>
      <c r="AA208" s="556"/>
      <c r="AB208" s="556"/>
      <c r="AC208" s="556"/>
      <c r="AD208" s="556"/>
    </row>
    <row r="209" ht="15.75" customHeight="1">
      <c r="A209" s="594"/>
      <c r="B209" s="596"/>
      <c r="C209" s="669"/>
      <c r="D209" s="556"/>
      <c r="E209" s="556"/>
      <c r="F209" s="595"/>
      <c r="G209" s="596"/>
      <c r="H209" s="597"/>
      <c r="I209" s="598"/>
      <c r="J209" s="598"/>
      <c r="K209" s="106"/>
      <c r="L209" s="556"/>
      <c r="M209" s="556"/>
      <c r="N209" s="556"/>
      <c r="O209" s="402"/>
      <c r="P209" s="556"/>
      <c r="Q209" s="556"/>
      <c r="R209" s="556"/>
      <c r="S209" s="556"/>
      <c r="T209" s="556"/>
      <c r="U209" s="556"/>
      <c r="V209" s="599"/>
      <c r="W209" s="599"/>
      <c r="X209" s="556"/>
      <c r="Y209" s="556"/>
      <c r="Z209" s="579"/>
      <c r="AA209" s="556"/>
      <c r="AB209" s="556"/>
      <c r="AC209" s="556"/>
      <c r="AD209" s="556"/>
    </row>
    <row r="210" ht="24.0" customHeight="1">
      <c r="A210" s="594"/>
      <c r="B210" s="556"/>
      <c r="C210" s="556"/>
      <c r="D210" s="556"/>
      <c r="E210" s="556"/>
      <c r="F210" s="556"/>
      <c r="G210" s="556"/>
      <c r="H210" s="556"/>
      <c r="I210" s="556"/>
      <c r="J210" s="556"/>
      <c r="K210" s="556"/>
      <c r="L210" s="556"/>
      <c r="M210" s="556"/>
      <c r="N210" s="556"/>
      <c r="O210" s="556"/>
      <c r="P210" s="556"/>
      <c r="Q210" s="556"/>
      <c r="R210" s="556"/>
      <c r="S210" s="556"/>
      <c r="T210" s="556"/>
      <c r="U210" s="556"/>
      <c r="V210" s="556"/>
      <c r="W210" s="556"/>
      <c r="X210" s="556"/>
      <c r="Y210" s="556"/>
      <c r="Z210" s="579"/>
      <c r="AA210" s="556"/>
      <c r="AB210" s="556"/>
      <c r="AC210" s="556"/>
      <c r="AD210" s="556"/>
    </row>
    <row r="211" ht="15.75" customHeight="1">
      <c r="A211" s="594"/>
      <c r="B211" s="556"/>
      <c r="C211" s="556"/>
      <c r="D211" s="556"/>
      <c r="E211" s="556"/>
      <c r="F211" s="556"/>
      <c r="G211" s="556"/>
      <c r="H211" s="556"/>
      <c r="I211" s="556"/>
      <c r="J211" s="556"/>
      <c r="K211" s="556"/>
      <c r="L211" s="556"/>
      <c r="M211" s="556"/>
      <c r="N211" s="556"/>
      <c r="O211" s="556"/>
      <c r="P211" s="556"/>
      <c r="Q211" s="556"/>
      <c r="R211" s="556"/>
      <c r="S211" s="556"/>
      <c r="T211" s="556"/>
      <c r="U211" s="556"/>
      <c r="V211" s="556"/>
      <c r="W211" s="556"/>
      <c r="X211" s="556"/>
      <c r="Y211" s="556"/>
      <c r="Z211" s="579"/>
      <c r="AA211" s="556"/>
      <c r="AB211" s="556"/>
      <c r="AC211" s="556"/>
      <c r="AD211" s="556"/>
    </row>
    <row r="212" ht="15.75" customHeight="1">
      <c r="A212" s="594"/>
      <c r="B212" s="556"/>
      <c r="C212" s="556"/>
      <c r="D212" s="556"/>
      <c r="E212" s="556"/>
      <c r="F212" s="556"/>
      <c r="G212" s="556"/>
      <c r="H212" s="556"/>
      <c r="I212" s="556"/>
      <c r="J212" s="556"/>
      <c r="K212" s="556"/>
      <c r="L212" s="556"/>
      <c r="M212" s="556"/>
      <c r="N212" s="556"/>
      <c r="O212" s="556"/>
      <c r="P212" s="556"/>
      <c r="Q212" s="556"/>
      <c r="R212" s="556"/>
      <c r="S212" s="556"/>
      <c r="T212" s="556"/>
      <c r="U212" s="556"/>
      <c r="V212" s="556"/>
      <c r="W212" s="556"/>
      <c r="X212" s="556"/>
      <c r="Y212" s="556"/>
      <c r="Z212" s="579"/>
      <c r="AA212" s="556"/>
      <c r="AB212" s="556"/>
      <c r="AC212" s="556"/>
      <c r="AD212" s="556"/>
    </row>
    <row r="213" ht="15.75" customHeight="1">
      <c r="A213" s="594"/>
      <c r="B213" s="556"/>
      <c r="C213" s="556"/>
      <c r="D213" s="556"/>
      <c r="E213" s="556"/>
      <c r="F213" s="556"/>
      <c r="G213" s="556"/>
      <c r="H213" s="556"/>
      <c r="I213" s="556"/>
      <c r="J213" s="556"/>
      <c r="K213" s="556"/>
      <c r="L213" s="556"/>
      <c r="M213" s="556"/>
      <c r="N213" s="556"/>
      <c r="O213" s="556"/>
      <c r="P213" s="556"/>
      <c r="Q213" s="556"/>
      <c r="R213" s="556"/>
      <c r="S213" s="556"/>
      <c r="T213" s="556"/>
      <c r="U213" s="556"/>
      <c r="V213" s="556"/>
      <c r="W213" s="556"/>
      <c r="X213" s="556"/>
      <c r="Y213" s="556"/>
      <c r="Z213" s="579"/>
      <c r="AA213" s="556"/>
      <c r="AB213" s="556"/>
      <c r="AC213" s="556"/>
      <c r="AD213" s="556"/>
    </row>
    <row r="214" ht="15.75" customHeight="1">
      <c r="A214" s="594"/>
      <c r="B214" s="556"/>
      <c r="C214" s="556"/>
      <c r="D214" s="556"/>
      <c r="E214" s="556"/>
      <c r="F214" s="556"/>
      <c r="G214" s="556"/>
      <c r="H214" s="556"/>
      <c r="I214" s="556"/>
      <c r="J214" s="556"/>
      <c r="K214" s="556"/>
      <c r="L214" s="556"/>
      <c r="M214" s="556"/>
      <c r="N214" s="556"/>
      <c r="O214" s="556"/>
      <c r="P214" s="556"/>
      <c r="Q214" s="556"/>
      <c r="R214" s="556"/>
      <c r="S214" s="556"/>
      <c r="T214" s="556"/>
      <c r="U214" s="556"/>
      <c r="V214" s="556"/>
      <c r="W214" s="556"/>
      <c r="X214" s="556"/>
      <c r="Y214" s="556"/>
      <c r="Z214" s="579"/>
      <c r="AA214" s="556"/>
      <c r="AB214" s="556"/>
      <c r="AC214" s="556"/>
      <c r="AD214" s="556"/>
    </row>
    <row r="215" ht="15.75" customHeight="1">
      <c r="A215" s="594"/>
      <c r="B215" s="556"/>
      <c r="C215" s="556"/>
      <c r="D215" s="556"/>
      <c r="E215" s="556"/>
      <c r="F215" s="556"/>
      <c r="G215" s="556"/>
      <c r="H215" s="556"/>
      <c r="I215" s="556"/>
      <c r="J215" s="556"/>
      <c r="K215" s="556"/>
      <c r="L215" s="556"/>
      <c r="M215" s="556"/>
      <c r="N215" s="556"/>
      <c r="O215" s="556"/>
      <c r="P215" s="556"/>
      <c r="Q215" s="556"/>
      <c r="R215" s="556"/>
      <c r="S215" s="556"/>
      <c r="T215" s="556"/>
      <c r="U215" s="556"/>
      <c r="V215" s="556"/>
      <c r="W215" s="556"/>
      <c r="X215" s="556"/>
      <c r="Y215" s="556"/>
      <c r="Z215" s="579"/>
      <c r="AA215" s="556"/>
      <c r="AB215" s="556"/>
      <c r="AC215" s="556"/>
      <c r="AD215" s="556"/>
    </row>
    <row r="216" ht="15.75" customHeight="1">
      <c r="A216" s="594"/>
      <c r="B216" s="556"/>
      <c r="C216" s="556"/>
      <c r="D216" s="556"/>
      <c r="E216" s="556"/>
      <c r="F216" s="556"/>
      <c r="G216" s="556"/>
      <c r="H216" s="556"/>
      <c r="I216" s="556"/>
      <c r="J216" s="556"/>
      <c r="K216" s="556"/>
      <c r="L216" s="556"/>
      <c r="M216" s="556"/>
      <c r="N216" s="556"/>
      <c r="O216" s="556"/>
      <c r="P216" s="556"/>
      <c r="Q216" s="556"/>
      <c r="R216" s="556"/>
      <c r="S216" s="556"/>
      <c r="T216" s="556"/>
      <c r="U216" s="556"/>
      <c r="V216" s="556"/>
      <c r="W216" s="556"/>
      <c r="X216" s="556"/>
      <c r="Y216" s="556"/>
      <c r="Z216" s="579"/>
      <c r="AA216" s="556"/>
      <c r="AB216" s="556"/>
      <c r="AC216" s="556"/>
      <c r="AD216" s="556"/>
    </row>
    <row r="217" ht="15.75" customHeight="1">
      <c r="A217" s="594"/>
      <c r="B217" s="556"/>
      <c r="C217" s="556"/>
      <c r="D217" s="556"/>
      <c r="E217" s="556"/>
      <c r="F217" s="556"/>
      <c r="G217" s="556"/>
      <c r="H217" s="556"/>
      <c r="I217" s="556"/>
      <c r="J217" s="556"/>
      <c r="K217" s="556"/>
      <c r="L217" s="556"/>
      <c r="M217" s="556"/>
      <c r="N217" s="556"/>
      <c r="O217" s="556"/>
      <c r="P217" s="556"/>
      <c r="Q217" s="556"/>
      <c r="R217" s="556"/>
      <c r="S217" s="556"/>
      <c r="T217" s="556"/>
      <c r="U217" s="556"/>
      <c r="V217" s="556"/>
      <c r="W217" s="556"/>
      <c r="X217" s="556"/>
      <c r="Y217" s="556"/>
      <c r="Z217" s="579"/>
      <c r="AA217" s="556"/>
      <c r="AB217" s="556"/>
      <c r="AC217" s="556"/>
      <c r="AD217" s="556"/>
    </row>
    <row r="218" ht="15.75" customHeight="1">
      <c r="A218" s="594"/>
      <c r="B218" s="556"/>
      <c r="C218" s="556"/>
      <c r="D218" s="556"/>
      <c r="E218" s="556"/>
      <c r="F218" s="556"/>
      <c r="G218" s="556"/>
      <c r="H218" s="556"/>
      <c r="I218" s="556"/>
      <c r="J218" s="556"/>
      <c r="K218" s="556"/>
      <c r="L218" s="556"/>
      <c r="M218" s="556"/>
      <c r="N218" s="556"/>
      <c r="O218" s="556"/>
      <c r="P218" s="556"/>
      <c r="Q218" s="556"/>
      <c r="R218" s="556"/>
      <c r="S218" s="556"/>
      <c r="T218" s="556"/>
      <c r="U218" s="556"/>
      <c r="V218" s="556"/>
      <c r="W218" s="556"/>
      <c r="X218" s="556"/>
      <c r="Y218" s="556"/>
      <c r="Z218" s="579"/>
      <c r="AA218" s="556"/>
      <c r="AB218" s="556"/>
      <c r="AC218" s="556"/>
      <c r="AD218" s="556"/>
    </row>
    <row r="219" ht="15.75" customHeight="1">
      <c r="A219" s="594"/>
      <c r="B219" s="556"/>
      <c r="C219" s="556"/>
      <c r="D219" s="556"/>
      <c r="E219" s="556"/>
      <c r="F219" s="556"/>
      <c r="G219" s="556"/>
      <c r="H219" s="556"/>
      <c r="I219" s="556"/>
      <c r="J219" s="556"/>
      <c r="K219" s="556"/>
      <c r="L219" s="556"/>
      <c r="M219" s="556"/>
      <c r="N219" s="556"/>
      <c r="O219" s="556"/>
      <c r="P219" s="556"/>
      <c r="Q219" s="556"/>
      <c r="R219" s="556"/>
      <c r="S219" s="556"/>
      <c r="T219" s="556"/>
      <c r="U219" s="556"/>
      <c r="V219" s="556"/>
      <c r="W219" s="556"/>
      <c r="X219" s="556"/>
      <c r="Y219" s="556"/>
      <c r="Z219" s="579"/>
      <c r="AA219" s="556"/>
      <c r="AB219" s="556"/>
      <c r="AC219" s="556"/>
      <c r="AD219" s="556"/>
    </row>
    <row r="220" ht="15.75" customHeight="1">
      <c r="A220" s="594"/>
      <c r="B220" s="556"/>
      <c r="C220" s="556"/>
      <c r="D220" s="556"/>
      <c r="E220" s="556"/>
      <c r="F220" s="556"/>
      <c r="G220" s="556"/>
      <c r="H220" s="556"/>
      <c r="I220" s="556"/>
      <c r="J220" s="556"/>
      <c r="K220" s="556"/>
      <c r="L220" s="556"/>
      <c r="M220" s="556"/>
      <c r="N220" s="556"/>
      <c r="O220" s="556"/>
      <c r="P220" s="556"/>
      <c r="Q220" s="556"/>
      <c r="R220" s="556"/>
      <c r="S220" s="556"/>
      <c r="T220" s="556"/>
      <c r="U220" s="556"/>
      <c r="V220" s="556"/>
      <c r="W220" s="556"/>
      <c r="X220" s="556"/>
      <c r="Y220" s="556"/>
      <c r="Z220" s="579"/>
      <c r="AA220" s="556"/>
      <c r="AB220" s="556"/>
      <c r="AC220" s="556"/>
      <c r="AD220" s="556"/>
    </row>
    <row r="221" ht="15.75" customHeight="1">
      <c r="A221" s="594"/>
      <c r="B221" s="556"/>
      <c r="C221" s="556"/>
      <c r="D221" s="556"/>
      <c r="E221" s="556"/>
      <c r="F221" s="556"/>
      <c r="G221" s="556"/>
      <c r="H221" s="556"/>
      <c r="I221" s="556"/>
      <c r="J221" s="556"/>
      <c r="K221" s="556"/>
      <c r="L221" s="556"/>
      <c r="M221" s="556"/>
      <c r="N221" s="556"/>
      <c r="O221" s="556"/>
      <c r="P221" s="556"/>
      <c r="Q221" s="556"/>
      <c r="R221" s="556"/>
      <c r="S221" s="556"/>
      <c r="T221" s="556"/>
      <c r="U221" s="556"/>
      <c r="V221" s="556"/>
      <c r="W221" s="556"/>
      <c r="X221" s="556"/>
      <c r="Y221" s="556"/>
      <c r="Z221" s="579"/>
      <c r="AA221" s="556"/>
      <c r="AB221" s="556"/>
      <c r="AC221" s="556"/>
      <c r="AD221" s="556"/>
    </row>
    <row r="222" ht="15.75" customHeight="1">
      <c r="A222" s="594"/>
      <c r="B222" s="556"/>
      <c r="C222" s="556"/>
      <c r="D222" s="556"/>
      <c r="E222" s="556"/>
      <c r="F222" s="556"/>
      <c r="G222" s="556"/>
      <c r="H222" s="556"/>
      <c r="I222" s="556"/>
      <c r="J222" s="556"/>
      <c r="K222" s="556"/>
      <c r="L222" s="556"/>
      <c r="M222" s="556"/>
      <c r="N222" s="556"/>
      <c r="O222" s="556"/>
      <c r="P222" s="556"/>
      <c r="Q222" s="556"/>
      <c r="R222" s="556"/>
      <c r="S222" s="556"/>
      <c r="T222" s="556"/>
      <c r="U222" s="556"/>
      <c r="V222" s="556"/>
      <c r="W222" s="556"/>
      <c r="X222" s="556"/>
      <c r="Y222" s="556"/>
      <c r="Z222" s="579"/>
      <c r="AA222" s="556"/>
      <c r="AB222" s="556"/>
      <c r="AC222" s="556"/>
      <c r="AD222" s="556"/>
    </row>
    <row r="223" ht="15.75" customHeight="1">
      <c r="A223" s="594"/>
      <c r="B223" s="556"/>
      <c r="C223" s="556"/>
      <c r="D223" s="556"/>
      <c r="E223" s="556"/>
      <c r="F223" s="556"/>
      <c r="G223" s="556"/>
      <c r="H223" s="556"/>
      <c r="I223" s="556"/>
      <c r="J223" s="556"/>
      <c r="K223" s="556"/>
      <c r="L223" s="556"/>
      <c r="M223" s="556"/>
      <c r="N223" s="556"/>
      <c r="O223" s="556"/>
      <c r="P223" s="556"/>
      <c r="Q223" s="556"/>
      <c r="R223" s="556"/>
      <c r="S223" s="556"/>
      <c r="T223" s="556"/>
      <c r="U223" s="556"/>
      <c r="V223" s="556"/>
      <c r="W223" s="556"/>
      <c r="X223" s="556"/>
      <c r="Y223" s="556"/>
      <c r="Z223" s="579"/>
      <c r="AA223" s="556"/>
      <c r="AB223" s="556"/>
      <c r="AC223" s="556"/>
      <c r="AD223" s="556"/>
    </row>
    <row r="224" ht="15.75" customHeight="1">
      <c r="A224" s="594"/>
      <c r="B224" s="556"/>
      <c r="C224" s="556"/>
      <c r="D224" s="556"/>
      <c r="E224" s="556"/>
      <c r="F224" s="556"/>
      <c r="G224" s="556"/>
      <c r="H224" s="556"/>
      <c r="I224" s="556"/>
      <c r="J224" s="556"/>
      <c r="K224" s="556"/>
      <c r="L224" s="556"/>
      <c r="M224" s="556"/>
      <c r="N224" s="556"/>
      <c r="O224" s="556"/>
      <c r="P224" s="556"/>
      <c r="Q224" s="556"/>
      <c r="R224" s="556"/>
      <c r="S224" s="556"/>
      <c r="T224" s="556"/>
      <c r="U224" s="556"/>
      <c r="V224" s="556"/>
      <c r="W224" s="556"/>
      <c r="X224" s="556"/>
      <c r="Y224" s="556"/>
      <c r="Z224" s="579"/>
      <c r="AA224" s="556"/>
      <c r="AB224" s="556"/>
      <c r="AC224" s="556"/>
      <c r="AD224" s="556"/>
    </row>
    <row r="225" ht="15.75" customHeight="1">
      <c r="A225" s="594"/>
      <c r="B225" s="556"/>
      <c r="C225" s="556"/>
      <c r="D225" s="556"/>
      <c r="E225" s="556"/>
      <c r="F225" s="556"/>
      <c r="G225" s="556"/>
      <c r="H225" s="556"/>
      <c r="I225" s="556"/>
      <c r="J225" s="556"/>
      <c r="K225" s="556"/>
      <c r="L225" s="556"/>
      <c r="M225" s="556"/>
      <c r="N225" s="556"/>
      <c r="O225" s="556"/>
      <c r="P225" s="556"/>
      <c r="Q225" s="556"/>
      <c r="R225" s="556"/>
      <c r="S225" s="556"/>
      <c r="T225" s="556"/>
      <c r="U225" s="556"/>
      <c r="V225" s="556"/>
      <c r="W225" s="556"/>
      <c r="X225" s="556"/>
      <c r="Y225" s="556"/>
      <c r="Z225" s="579"/>
      <c r="AA225" s="556"/>
      <c r="AB225" s="556"/>
      <c r="AC225" s="556"/>
      <c r="AD225" s="556"/>
    </row>
    <row r="226" ht="15.75" customHeight="1">
      <c r="A226" s="594"/>
      <c r="B226" s="556"/>
      <c r="C226" s="556"/>
      <c r="D226" s="556"/>
      <c r="E226" s="556"/>
      <c r="F226" s="556"/>
      <c r="G226" s="556"/>
      <c r="H226" s="556"/>
      <c r="I226" s="556"/>
      <c r="J226" s="556"/>
      <c r="K226" s="556"/>
      <c r="L226" s="556"/>
      <c r="M226" s="556"/>
      <c r="N226" s="556"/>
      <c r="O226" s="556"/>
      <c r="P226" s="556"/>
      <c r="Q226" s="556"/>
      <c r="R226" s="556"/>
      <c r="S226" s="556"/>
      <c r="T226" s="556"/>
      <c r="U226" s="556"/>
      <c r="V226" s="556"/>
      <c r="W226" s="556"/>
      <c r="X226" s="556"/>
      <c r="Y226" s="556"/>
      <c r="Z226" s="579"/>
      <c r="AA226" s="556"/>
      <c r="AB226" s="556"/>
      <c r="AC226" s="556"/>
      <c r="AD226" s="556"/>
    </row>
    <row r="227" ht="15.75" customHeight="1">
      <c r="A227" s="594"/>
      <c r="B227" s="556"/>
      <c r="C227" s="556"/>
      <c r="D227" s="556"/>
      <c r="E227" s="556"/>
      <c r="F227" s="556"/>
      <c r="G227" s="556"/>
      <c r="H227" s="556"/>
      <c r="I227" s="556"/>
      <c r="J227" s="556"/>
      <c r="K227" s="556"/>
      <c r="L227" s="556"/>
      <c r="M227" s="556"/>
      <c r="N227" s="556"/>
      <c r="O227" s="556"/>
      <c r="P227" s="556"/>
      <c r="Q227" s="556"/>
      <c r="R227" s="556"/>
      <c r="S227" s="556"/>
      <c r="T227" s="556"/>
      <c r="U227" s="556"/>
      <c r="V227" s="556"/>
      <c r="W227" s="556"/>
      <c r="X227" s="556"/>
      <c r="Y227" s="556"/>
      <c r="Z227" s="579"/>
      <c r="AA227" s="556"/>
      <c r="AB227" s="556"/>
      <c r="AC227" s="556"/>
      <c r="AD227" s="556"/>
    </row>
    <row r="228" ht="15.75" customHeight="1">
      <c r="A228" s="594"/>
      <c r="B228" s="556"/>
      <c r="C228" s="556"/>
      <c r="D228" s="556"/>
      <c r="E228" s="556"/>
      <c r="F228" s="556"/>
      <c r="G228" s="556"/>
      <c r="H228" s="556"/>
      <c r="I228" s="556"/>
      <c r="J228" s="556"/>
      <c r="K228" s="556"/>
      <c r="L228" s="556"/>
      <c r="M228" s="556"/>
      <c r="N228" s="556"/>
      <c r="O228" s="556"/>
      <c r="P228" s="556"/>
      <c r="Q228" s="556"/>
      <c r="R228" s="556"/>
      <c r="S228" s="556"/>
      <c r="T228" s="556"/>
      <c r="U228" s="556"/>
      <c r="V228" s="556"/>
      <c r="W228" s="556"/>
      <c r="X228" s="556"/>
      <c r="Y228" s="556"/>
      <c r="Z228" s="579"/>
      <c r="AA228" s="556"/>
      <c r="AB228" s="556"/>
      <c r="AC228" s="556"/>
      <c r="AD228" s="556"/>
    </row>
    <row r="229" ht="15.75" customHeight="1">
      <c r="A229" s="594"/>
      <c r="B229" s="556"/>
      <c r="C229" s="556"/>
      <c r="D229" s="556"/>
      <c r="E229" s="556"/>
      <c r="F229" s="556"/>
      <c r="G229" s="556"/>
      <c r="H229" s="556"/>
      <c r="I229" s="556"/>
      <c r="J229" s="556"/>
      <c r="K229" s="556"/>
      <c r="L229" s="556"/>
      <c r="M229" s="556"/>
      <c r="N229" s="556"/>
      <c r="O229" s="556"/>
      <c r="P229" s="556"/>
      <c r="Q229" s="556"/>
      <c r="R229" s="556"/>
      <c r="S229" s="556"/>
      <c r="T229" s="556"/>
      <c r="U229" s="556"/>
      <c r="V229" s="556"/>
      <c r="W229" s="556"/>
      <c r="X229" s="556"/>
      <c r="Y229" s="556"/>
      <c r="Z229" s="579"/>
      <c r="AA229" s="556"/>
      <c r="AB229" s="556"/>
      <c r="AC229" s="556"/>
      <c r="AD229" s="556"/>
    </row>
    <row r="230" ht="15.75" customHeight="1">
      <c r="A230" s="594"/>
      <c r="B230" s="556"/>
      <c r="C230" s="556"/>
      <c r="D230" s="556"/>
      <c r="E230" s="556"/>
      <c r="F230" s="556"/>
      <c r="G230" s="556"/>
      <c r="H230" s="556"/>
      <c r="I230" s="556"/>
      <c r="J230" s="556"/>
      <c r="K230" s="556"/>
      <c r="L230" s="556"/>
      <c r="M230" s="556"/>
      <c r="N230" s="556"/>
      <c r="O230" s="556"/>
      <c r="P230" s="556"/>
      <c r="Q230" s="556"/>
      <c r="R230" s="556"/>
      <c r="S230" s="556"/>
      <c r="T230" s="556"/>
      <c r="U230" s="556"/>
      <c r="V230" s="556"/>
      <c r="W230" s="556"/>
      <c r="X230" s="556"/>
      <c r="Y230" s="556"/>
      <c r="Z230" s="579"/>
      <c r="AA230" s="556"/>
      <c r="AB230" s="556"/>
      <c r="AC230" s="556"/>
      <c r="AD230" s="556"/>
    </row>
    <row r="231" ht="15.75" customHeight="1">
      <c r="A231" s="594"/>
      <c r="B231" s="556"/>
      <c r="C231" s="556"/>
      <c r="D231" s="556"/>
      <c r="E231" s="556"/>
      <c r="F231" s="556"/>
      <c r="G231" s="556"/>
      <c r="H231" s="556"/>
      <c r="I231" s="556"/>
      <c r="J231" s="556"/>
      <c r="K231" s="556"/>
      <c r="L231" s="556"/>
      <c r="M231" s="556"/>
      <c r="N231" s="556"/>
      <c r="O231" s="556"/>
      <c r="P231" s="556"/>
      <c r="Q231" s="556"/>
      <c r="R231" s="556"/>
      <c r="S231" s="556"/>
      <c r="T231" s="556"/>
      <c r="U231" s="556"/>
      <c r="V231" s="556"/>
      <c r="W231" s="556"/>
      <c r="X231" s="556"/>
      <c r="Y231" s="556"/>
      <c r="Z231" s="579"/>
      <c r="AA231" s="556"/>
      <c r="AB231" s="556"/>
      <c r="AC231" s="556"/>
      <c r="AD231" s="556"/>
    </row>
    <row r="232" ht="15.75" customHeight="1">
      <c r="A232" s="594"/>
      <c r="B232" s="556"/>
      <c r="C232" s="556"/>
      <c r="D232" s="556"/>
      <c r="E232" s="556"/>
      <c r="F232" s="556"/>
      <c r="G232" s="556"/>
      <c r="H232" s="556"/>
      <c r="I232" s="556"/>
      <c r="J232" s="556"/>
      <c r="K232" s="556"/>
      <c r="L232" s="556"/>
      <c r="M232" s="556"/>
      <c r="N232" s="556"/>
      <c r="O232" s="556"/>
      <c r="P232" s="556"/>
      <c r="Q232" s="556"/>
      <c r="R232" s="556"/>
      <c r="S232" s="556"/>
      <c r="T232" s="556"/>
      <c r="U232" s="556"/>
      <c r="V232" s="556"/>
      <c r="W232" s="556"/>
      <c r="X232" s="556"/>
      <c r="Y232" s="556"/>
      <c r="Z232" s="579"/>
      <c r="AA232" s="556"/>
      <c r="AB232" s="556"/>
      <c r="AC232" s="556"/>
      <c r="AD232" s="556"/>
    </row>
    <row r="233" ht="15.75" customHeight="1">
      <c r="A233" s="594"/>
      <c r="B233" s="556"/>
      <c r="C233" s="556"/>
      <c r="D233" s="556"/>
      <c r="E233" s="556"/>
      <c r="F233" s="556"/>
      <c r="G233" s="556"/>
      <c r="H233" s="556"/>
      <c r="I233" s="556"/>
      <c r="J233" s="556"/>
      <c r="K233" s="556"/>
      <c r="L233" s="556"/>
      <c r="M233" s="556"/>
      <c r="N233" s="556"/>
      <c r="O233" s="556"/>
      <c r="P233" s="556"/>
      <c r="Q233" s="556"/>
      <c r="R233" s="556"/>
      <c r="S233" s="556"/>
      <c r="T233" s="556"/>
      <c r="U233" s="556"/>
      <c r="V233" s="556"/>
      <c r="W233" s="556"/>
      <c r="X233" s="556"/>
      <c r="Y233" s="556"/>
      <c r="Z233" s="579"/>
      <c r="AA233" s="556"/>
      <c r="AB233" s="556"/>
      <c r="AC233" s="556"/>
      <c r="AD233" s="556"/>
    </row>
    <row r="234" ht="15.75" customHeight="1">
      <c r="A234" s="594"/>
      <c r="B234" s="556"/>
      <c r="C234" s="556"/>
      <c r="D234" s="556"/>
      <c r="E234" s="556"/>
      <c r="F234" s="556"/>
      <c r="G234" s="556"/>
      <c r="H234" s="556"/>
      <c r="I234" s="556"/>
      <c r="J234" s="556"/>
      <c r="K234" s="556"/>
      <c r="L234" s="556"/>
      <c r="M234" s="556"/>
      <c r="N234" s="556"/>
      <c r="O234" s="556"/>
      <c r="P234" s="556"/>
      <c r="Q234" s="556"/>
      <c r="R234" s="556"/>
      <c r="S234" s="556"/>
      <c r="T234" s="556"/>
      <c r="U234" s="556"/>
      <c r="V234" s="556"/>
      <c r="W234" s="556"/>
      <c r="X234" s="556"/>
      <c r="Y234" s="556"/>
      <c r="Z234" s="579"/>
      <c r="AA234" s="556"/>
      <c r="AB234" s="556"/>
      <c r="AC234" s="556"/>
      <c r="AD234" s="556"/>
    </row>
    <row r="235" ht="15.75" customHeight="1">
      <c r="A235" s="594"/>
      <c r="B235" s="556"/>
      <c r="C235" s="556"/>
      <c r="D235" s="556"/>
      <c r="E235" s="556"/>
      <c r="F235" s="556"/>
      <c r="G235" s="556"/>
      <c r="H235" s="556"/>
      <c r="I235" s="556"/>
      <c r="J235" s="556"/>
      <c r="K235" s="556"/>
      <c r="L235" s="556"/>
      <c r="M235" s="556"/>
      <c r="N235" s="556"/>
      <c r="O235" s="556"/>
      <c r="P235" s="556"/>
      <c r="Q235" s="556"/>
      <c r="R235" s="556"/>
      <c r="S235" s="556"/>
      <c r="T235" s="556"/>
      <c r="U235" s="556"/>
      <c r="V235" s="556"/>
      <c r="W235" s="556"/>
      <c r="X235" s="556"/>
      <c r="Y235" s="556"/>
      <c r="Z235" s="579"/>
      <c r="AA235" s="556"/>
      <c r="AB235" s="556"/>
      <c r="AC235" s="556"/>
      <c r="AD235" s="556"/>
    </row>
    <row r="236" ht="15.75" customHeight="1">
      <c r="A236" s="594"/>
      <c r="B236" s="556"/>
      <c r="C236" s="556"/>
      <c r="D236" s="556"/>
      <c r="E236" s="556"/>
      <c r="F236" s="556"/>
      <c r="G236" s="556"/>
      <c r="H236" s="556"/>
      <c r="I236" s="556"/>
      <c r="J236" s="556"/>
      <c r="K236" s="556"/>
      <c r="L236" s="556"/>
      <c r="M236" s="556"/>
      <c r="N236" s="556"/>
      <c r="O236" s="556"/>
      <c r="P236" s="556"/>
      <c r="Q236" s="556"/>
      <c r="R236" s="556"/>
      <c r="S236" s="556"/>
      <c r="T236" s="556"/>
      <c r="U236" s="556"/>
      <c r="V236" s="556"/>
      <c r="W236" s="556"/>
      <c r="X236" s="556"/>
      <c r="Y236" s="556"/>
      <c r="Z236" s="579"/>
      <c r="AA236" s="556"/>
      <c r="AB236" s="556"/>
      <c r="AC236" s="556"/>
      <c r="AD236" s="556"/>
    </row>
    <row r="237" ht="15.75" customHeight="1">
      <c r="A237" s="594"/>
      <c r="B237" s="556"/>
      <c r="C237" s="556"/>
      <c r="D237" s="556"/>
      <c r="E237" s="556"/>
      <c r="F237" s="556"/>
      <c r="G237" s="556"/>
      <c r="H237" s="556"/>
      <c r="I237" s="556"/>
      <c r="J237" s="556"/>
      <c r="K237" s="556"/>
      <c r="L237" s="556"/>
      <c r="M237" s="556"/>
      <c r="N237" s="556"/>
      <c r="O237" s="556"/>
      <c r="P237" s="556"/>
      <c r="Q237" s="556"/>
      <c r="R237" s="556"/>
      <c r="S237" s="556"/>
      <c r="T237" s="556"/>
      <c r="U237" s="556"/>
      <c r="V237" s="556"/>
      <c r="W237" s="556"/>
      <c r="X237" s="556"/>
      <c r="Y237" s="556"/>
      <c r="Z237" s="579"/>
      <c r="AA237" s="556"/>
      <c r="AB237" s="556"/>
      <c r="AC237" s="556"/>
      <c r="AD237" s="556"/>
    </row>
    <row r="238" ht="15.75" customHeight="1">
      <c r="A238" s="594"/>
      <c r="B238" s="556"/>
      <c r="C238" s="556"/>
      <c r="D238" s="556"/>
      <c r="E238" s="556"/>
      <c r="F238" s="556"/>
      <c r="G238" s="556"/>
      <c r="H238" s="556"/>
      <c r="I238" s="556"/>
      <c r="J238" s="556"/>
      <c r="K238" s="556"/>
      <c r="L238" s="556"/>
      <c r="M238" s="556"/>
      <c r="N238" s="556"/>
      <c r="O238" s="556"/>
      <c r="P238" s="556"/>
      <c r="Q238" s="556"/>
      <c r="R238" s="556"/>
      <c r="S238" s="556"/>
      <c r="T238" s="556"/>
      <c r="U238" s="556"/>
      <c r="V238" s="556"/>
      <c r="W238" s="556"/>
      <c r="X238" s="556"/>
      <c r="Y238" s="556"/>
      <c r="Z238" s="579"/>
      <c r="AA238" s="556"/>
      <c r="AB238" s="556"/>
      <c r="AC238" s="556"/>
      <c r="AD238" s="556"/>
    </row>
    <row r="239" ht="15.75" customHeight="1">
      <c r="A239" s="594"/>
      <c r="B239" s="556"/>
      <c r="C239" s="556"/>
      <c r="D239" s="556"/>
      <c r="E239" s="556"/>
      <c r="F239" s="556"/>
      <c r="G239" s="556"/>
      <c r="H239" s="556"/>
      <c r="I239" s="556"/>
      <c r="J239" s="556"/>
      <c r="K239" s="556"/>
      <c r="L239" s="556"/>
      <c r="M239" s="556"/>
      <c r="N239" s="556"/>
      <c r="O239" s="556"/>
      <c r="P239" s="556"/>
      <c r="Q239" s="556"/>
      <c r="R239" s="556"/>
      <c r="S239" s="556"/>
      <c r="T239" s="556"/>
      <c r="U239" s="556"/>
      <c r="V239" s="556"/>
      <c r="W239" s="556"/>
      <c r="X239" s="556"/>
      <c r="Y239" s="556"/>
      <c r="Z239" s="579"/>
      <c r="AA239" s="556"/>
      <c r="AB239" s="556"/>
      <c r="AC239" s="556"/>
      <c r="AD239" s="556"/>
    </row>
    <row r="240" ht="15.75" customHeight="1">
      <c r="A240" s="594"/>
      <c r="B240" s="556"/>
      <c r="C240" s="556"/>
      <c r="D240" s="556"/>
      <c r="E240" s="556"/>
      <c r="F240" s="556"/>
      <c r="G240" s="556"/>
      <c r="H240" s="556"/>
      <c r="I240" s="556"/>
      <c r="J240" s="556"/>
      <c r="K240" s="556"/>
      <c r="L240" s="556"/>
      <c r="M240" s="556"/>
      <c r="N240" s="556"/>
      <c r="O240" s="556"/>
      <c r="P240" s="556"/>
      <c r="Q240" s="556"/>
      <c r="R240" s="556"/>
      <c r="S240" s="556"/>
      <c r="T240" s="556"/>
      <c r="U240" s="556"/>
      <c r="V240" s="556"/>
      <c r="W240" s="556"/>
      <c r="X240" s="556"/>
      <c r="Y240" s="556"/>
      <c r="Z240" s="579"/>
      <c r="AA240" s="556"/>
      <c r="AB240" s="556"/>
      <c r="AC240" s="556"/>
      <c r="AD240" s="556"/>
    </row>
    <row r="241" ht="15.75" customHeight="1">
      <c r="A241" s="594"/>
      <c r="B241" s="556"/>
      <c r="C241" s="556"/>
      <c r="D241" s="556"/>
      <c r="E241" s="556"/>
      <c r="F241" s="556"/>
      <c r="G241" s="556"/>
      <c r="H241" s="556"/>
      <c r="I241" s="556"/>
      <c r="J241" s="556"/>
      <c r="K241" s="556"/>
      <c r="L241" s="556"/>
      <c r="M241" s="556"/>
      <c r="N241" s="556"/>
      <c r="O241" s="556"/>
      <c r="P241" s="556"/>
      <c r="Q241" s="556"/>
      <c r="R241" s="556"/>
      <c r="S241" s="556"/>
      <c r="T241" s="556"/>
      <c r="U241" s="556"/>
      <c r="V241" s="556"/>
      <c r="W241" s="556"/>
      <c r="X241" s="556"/>
      <c r="Y241" s="556"/>
      <c r="Z241" s="579"/>
      <c r="AA241" s="556"/>
      <c r="AB241" s="556"/>
      <c r="AC241" s="556"/>
      <c r="AD241" s="556"/>
    </row>
    <row r="242" ht="15.75" customHeight="1">
      <c r="A242" s="594"/>
      <c r="B242" s="556"/>
      <c r="C242" s="556"/>
      <c r="D242" s="556"/>
      <c r="E242" s="556"/>
      <c r="F242" s="556"/>
      <c r="G242" s="556"/>
      <c r="H242" s="556"/>
      <c r="I242" s="556"/>
      <c r="J242" s="556"/>
      <c r="K242" s="556"/>
      <c r="L242" s="556"/>
      <c r="M242" s="556"/>
      <c r="N242" s="556"/>
      <c r="O242" s="556"/>
      <c r="P242" s="556"/>
      <c r="Q242" s="556"/>
      <c r="R242" s="556"/>
      <c r="S242" s="556"/>
      <c r="T242" s="556"/>
      <c r="U242" s="556"/>
      <c r="V242" s="556"/>
      <c r="W242" s="556"/>
      <c r="X242" s="556"/>
      <c r="Y242" s="556"/>
      <c r="Z242" s="579"/>
      <c r="AA242" s="556"/>
      <c r="AB242" s="556"/>
      <c r="AC242" s="556"/>
      <c r="AD242" s="556"/>
    </row>
    <row r="243" ht="15.75" customHeight="1">
      <c r="A243" s="594"/>
      <c r="B243" s="556"/>
      <c r="C243" s="556"/>
      <c r="D243" s="556"/>
      <c r="E243" s="556"/>
      <c r="F243" s="556"/>
      <c r="G243" s="556"/>
      <c r="H243" s="556"/>
      <c r="I243" s="556"/>
      <c r="J243" s="556"/>
      <c r="K243" s="556"/>
      <c r="L243" s="556"/>
      <c r="M243" s="556"/>
      <c r="N243" s="556"/>
      <c r="O243" s="556"/>
      <c r="P243" s="556"/>
      <c r="Q243" s="556"/>
      <c r="R243" s="556"/>
      <c r="S243" s="556"/>
      <c r="T243" s="556"/>
      <c r="U243" s="556"/>
      <c r="V243" s="556"/>
      <c r="W243" s="556"/>
      <c r="X243" s="556"/>
      <c r="Y243" s="556"/>
      <c r="Z243" s="579"/>
      <c r="AA243" s="556"/>
      <c r="AB243" s="556"/>
      <c r="AC243" s="556"/>
      <c r="AD243" s="556"/>
    </row>
    <row r="244" ht="15.75" customHeight="1">
      <c r="A244" s="594"/>
      <c r="B244" s="556"/>
      <c r="C244" s="556"/>
      <c r="D244" s="556"/>
      <c r="E244" s="556"/>
      <c r="F244" s="556"/>
      <c r="G244" s="556"/>
      <c r="H244" s="556"/>
      <c r="I244" s="556"/>
      <c r="J244" s="556"/>
      <c r="K244" s="556"/>
      <c r="L244" s="556"/>
      <c r="M244" s="556"/>
      <c r="N244" s="556"/>
      <c r="O244" s="556"/>
      <c r="P244" s="556"/>
      <c r="Q244" s="556"/>
      <c r="R244" s="556"/>
      <c r="S244" s="556"/>
      <c r="T244" s="556"/>
      <c r="U244" s="556"/>
      <c r="V244" s="556"/>
      <c r="W244" s="556"/>
      <c r="X244" s="556"/>
      <c r="Y244" s="556"/>
      <c r="Z244" s="579"/>
      <c r="AA244" s="556"/>
      <c r="AB244" s="556"/>
      <c r="AC244" s="556"/>
      <c r="AD244" s="556"/>
    </row>
    <row r="245" ht="15.75" customHeight="1">
      <c r="A245" s="594"/>
      <c r="B245" s="556"/>
      <c r="C245" s="556"/>
      <c r="D245" s="556"/>
      <c r="E245" s="556"/>
      <c r="F245" s="556"/>
      <c r="G245" s="556"/>
      <c r="H245" s="556"/>
      <c r="I245" s="556"/>
      <c r="J245" s="556"/>
      <c r="K245" s="556"/>
      <c r="L245" s="556"/>
      <c r="M245" s="556"/>
      <c r="N245" s="556"/>
      <c r="O245" s="556"/>
      <c r="P245" s="556"/>
      <c r="Q245" s="556"/>
      <c r="R245" s="556"/>
      <c r="S245" s="556"/>
      <c r="T245" s="556"/>
      <c r="U245" s="556"/>
      <c r="V245" s="556"/>
      <c r="W245" s="556"/>
      <c r="X245" s="556"/>
      <c r="Y245" s="556"/>
      <c r="Z245" s="579"/>
      <c r="AA245" s="556"/>
      <c r="AB245" s="556"/>
      <c r="AC245" s="556"/>
      <c r="AD245" s="556"/>
    </row>
    <row r="246" ht="15.75" customHeight="1">
      <c r="A246" s="594"/>
      <c r="B246" s="556"/>
      <c r="C246" s="556"/>
      <c r="D246" s="556"/>
      <c r="E246" s="556"/>
      <c r="F246" s="556"/>
      <c r="G246" s="556"/>
      <c r="H246" s="556"/>
      <c r="I246" s="556"/>
      <c r="J246" s="556"/>
      <c r="K246" s="556"/>
      <c r="L246" s="556"/>
      <c r="M246" s="556"/>
      <c r="N246" s="556"/>
      <c r="O246" s="556"/>
      <c r="P246" s="556"/>
      <c r="Q246" s="556"/>
      <c r="R246" s="556"/>
      <c r="S246" s="556"/>
      <c r="T246" s="556"/>
      <c r="U246" s="556"/>
      <c r="V246" s="556"/>
      <c r="W246" s="556"/>
      <c r="X246" s="556"/>
      <c r="Y246" s="556"/>
      <c r="Z246" s="579"/>
      <c r="AA246" s="556"/>
      <c r="AB246" s="556"/>
      <c r="AC246" s="556"/>
      <c r="AD246" s="556"/>
    </row>
    <row r="247" ht="15.75" customHeight="1">
      <c r="A247" s="594"/>
      <c r="B247" s="556"/>
      <c r="C247" s="556"/>
      <c r="D247" s="556"/>
      <c r="E247" s="556"/>
      <c r="F247" s="556"/>
      <c r="G247" s="556"/>
      <c r="H247" s="556"/>
      <c r="I247" s="556"/>
      <c r="J247" s="556"/>
      <c r="K247" s="556"/>
      <c r="L247" s="556"/>
      <c r="M247" s="556"/>
      <c r="N247" s="556"/>
      <c r="O247" s="556"/>
      <c r="P247" s="556"/>
      <c r="Q247" s="556"/>
      <c r="R247" s="556"/>
      <c r="S247" s="556"/>
      <c r="T247" s="556"/>
      <c r="U247" s="556"/>
      <c r="V247" s="556"/>
      <c r="W247" s="556"/>
      <c r="X247" s="556"/>
      <c r="Y247" s="556"/>
      <c r="Z247" s="579"/>
      <c r="AA247" s="556"/>
      <c r="AB247" s="556"/>
      <c r="AC247" s="556"/>
      <c r="AD247" s="556"/>
    </row>
    <row r="248" ht="15.75" customHeight="1">
      <c r="A248" s="594"/>
      <c r="B248" s="556"/>
      <c r="C248" s="556"/>
      <c r="D248" s="556"/>
      <c r="E248" s="556"/>
      <c r="F248" s="556"/>
      <c r="G248" s="556"/>
      <c r="H248" s="556"/>
      <c r="I248" s="556"/>
      <c r="J248" s="556"/>
      <c r="K248" s="556"/>
      <c r="L248" s="556"/>
      <c r="M248" s="556"/>
      <c r="N248" s="556"/>
      <c r="O248" s="556"/>
      <c r="P248" s="556"/>
      <c r="Q248" s="556"/>
      <c r="R248" s="556"/>
      <c r="S248" s="556"/>
      <c r="T248" s="556"/>
      <c r="U248" s="556"/>
      <c r="V248" s="556"/>
      <c r="W248" s="556"/>
      <c r="X248" s="556"/>
      <c r="Y248" s="556"/>
      <c r="Z248" s="579"/>
      <c r="AA248" s="556"/>
      <c r="AB248" s="556"/>
      <c r="AC248" s="556"/>
      <c r="AD248" s="556"/>
    </row>
    <row r="249" ht="15.75" customHeight="1">
      <c r="A249" s="594"/>
      <c r="B249" s="556"/>
      <c r="C249" s="556"/>
      <c r="D249" s="556"/>
      <c r="E249" s="556"/>
      <c r="F249" s="556"/>
      <c r="G249" s="556"/>
      <c r="H249" s="556"/>
      <c r="I249" s="556"/>
      <c r="J249" s="556"/>
      <c r="K249" s="556"/>
      <c r="L249" s="556"/>
      <c r="M249" s="556"/>
      <c r="N249" s="556"/>
      <c r="O249" s="556"/>
      <c r="P249" s="556"/>
      <c r="Q249" s="556"/>
      <c r="R249" s="556"/>
      <c r="S249" s="556"/>
      <c r="T249" s="556"/>
      <c r="U249" s="556"/>
      <c r="V249" s="556"/>
      <c r="W249" s="556"/>
      <c r="X249" s="556"/>
      <c r="Y249" s="556"/>
      <c r="Z249" s="579"/>
      <c r="AA249" s="556"/>
      <c r="AB249" s="556"/>
      <c r="AC249" s="556"/>
      <c r="AD249" s="556"/>
    </row>
    <row r="250" ht="15.75" customHeight="1">
      <c r="A250" s="594"/>
      <c r="B250" s="556"/>
      <c r="C250" s="556"/>
      <c r="D250" s="556"/>
      <c r="E250" s="556"/>
      <c r="F250" s="556"/>
      <c r="G250" s="556"/>
      <c r="H250" s="556"/>
      <c r="I250" s="556"/>
      <c r="J250" s="556"/>
      <c r="K250" s="556"/>
      <c r="L250" s="556"/>
      <c r="M250" s="556"/>
      <c r="N250" s="556"/>
      <c r="O250" s="556"/>
      <c r="P250" s="556"/>
      <c r="Q250" s="556"/>
      <c r="R250" s="556"/>
      <c r="S250" s="556"/>
      <c r="T250" s="556"/>
      <c r="U250" s="556"/>
      <c r="V250" s="556"/>
      <c r="W250" s="556"/>
      <c r="X250" s="556"/>
      <c r="Y250" s="556"/>
      <c r="Z250" s="579"/>
      <c r="AA250" s="556"/>
      <c r="AB250" s="556"/>
      <c r="AC250" s="556"/>
      <c r="AD250" s="556"/>
    </row>
    <row r="251" ht="15.75" customHeight="1">
      <c r="A251" s="594"/>
      <c r="B251" s="556"/>
      <c r="C251" s="556"/>
      <c r="D251" s="556"/>
      <c r="E251" s="556"/>
      <c r="F251" s="556"/>
      <c r="G251" s="556"/>
      <c r="H251" s="556"/>
      <c r="I251" s="556"/>
      <c r="J251" s="556"/>
      <c r="K251" s="556"/>
      <c r="L251" s="556"/>
      <c r="M251" s="556"/>
      <c r="N251" s="556"/>
      <c r="O251" s="556"/>
      <c r="P251" s="556"/>
      <c r="Q251" s="556"/>
      <c r="R251" s="556"/>
      <c r="S251" s="556"/>
      <c r="T251" s="556"/>
      <c r="U251" s="556"/>
      <c r="V251" s="556"/>
      <c r="W251" s="556"/>
      <c r="X251" s="556"/>
      <c r="Y251" s="556"/>
      <c r="Z251" s="579"/>
      <c r="AA251" s="556"/>
      <c r="AB251" s="556"/>
      <c r="AC251" s="556"/>
      <c r="AD251" s="556"/>
    </row>
    <row r="252" ht="15.75" customHeight="1">
      <c r="A252" s="594"/>
      <c r="B252" s="556"/>
      <c r="C252" s="556"/>
      <c r="D252" s="556"/>
      <c r="E252" s="556"/>
      <c r="F252" s="556"/>
      <c r="G252" s="556"/>
      <c r="H252" s="556"/>
      <c r="I252" s="556"/>
      <c r="J252" s="556"/>
      <c r="K252" s="556"/>
      <c r="L252" s="556"/>
      <c r="M252" s="556"/>
      <c r="N252" s="556"/>
      <c r="O252" s="556"/>
      <c r="P252" s="556"/>
      <c r="Q252" s="556"/>
      <c r="R252" s="556"/>
      <c r="S252" s="556"/>
      <c r="T252" s="556"/>
      <c r="U252" s="556"/>
      <c r="V252" s="556"/>
      <c r="W252" s="556"/>
      <c r="X252" s="556"/>
      <c r="Y252" s="556"/>
      <c r="Z252" s="579"/>
      <c r="AA252" s="556"/>
      <c r="AB252" s="556"/>
      <c r="AC252" s="556"/>
      <c r="AD252" s="556"/>
    </row>
    <row r="253" ht="15.75" customHeight="1">
      <c r="A253" s="594"/>
      <c r="B253" s="556"/>
      <c r="C253" s="556"/>
      <c r="D253" s="556"/>
      <c r="E253" s="556"/>
      <c r="F253" s="556"/>
      <c r="G253" s="556"/>
      <c r="H253" s="556"/>
      <c r="I253" s="556"/>
      <c r="J253" s="556"/>
      <c r="K253" s="556"/>
      <c r="L253" s="556"/>
      <c r="M253" s="556"/>
      <c r="N253" s="556"/>
      <c r="O253" s="556"/>
      <c r="P253" s="556"/>
      <c r="Q253" s="556"/>
      <c r="R253" s="556"/>
      <c r="S253" s="556"/>
      <c r="T253" s="556"/>
      <c r="U253" s="556"/>
      <c r="V253" s="556"/>
      <c r="W253" s="556"/>
      <c r="X253" s="556"/>
      <c r="Y253" s="556"/>
      <c r="Z253" s="579"/>
      <c r="AA253" s="556"/>
      <c r="AB253" s="556"/>
      <c r="AC253" s="556"/>
      <c r="AD253" s="556"/>
    </row>
    <row r="254" ht="15.75" customHeight="1">
      <c r="A254" s="594"/>
      <c r="B254" s="556"/>
      <c r="C254" s="556"/>
      <c r="D254" s="556"/>
      <c r="E254" s="556"/>
      <c r="F254" s="556"/>
      <c r="G254" s="556"/>
      <c r="H254" s="556"/>
      <c r="I254" s="556"/>
      <c r="J254" s="556"/>
      <c r="K254" s="556"/>
      <c r="L254" s="556"/>
      <c r="M254" s="556"/>
      <c r="N254" s="556"/>
      <c r="O254" s="556"/>
      <c r="P254" s="556"/>
      <c r="Q254" s="556"/>
      <c r="R254" s="556"/>
      <c r="S254" s="556"/>
      <c r="T254" s="556"/>
      <c r="U254" s="556"/>
      <c r="V254" s="556"/>
      <c r="W254" s="556"/>
      <c r="X254" s="556"/>
      <c r="Y254" s="556"/>
      <c r="Z254" s="579"/>
      <c r="AA254" s="556"/>
      <c r="AB254" s="556"/>
      <c r="AC254" s="556"/>
      <c r="AD254" s="556"/>
    </row>
    <row r="255" ht="15.75" customHeight="1">
      <c r="A255" s="594"/>
      <c r="B255" s="556"/>
      <c r="C255" s="556"/>
      <c r="D255" s="556"/>
      <c r="E255" s="556"/>
      <c r="F255" s="556"/>
      <c r="G255" s="556"/>
      <c r="H255" s="556"/>
      <c r="I255" s="556"/>
      <c r="J255" s="556"/>
      <c r="K255" s="556"/>
      <c r="L255" s="556"/>
      <c r="M255" s="556"/>
      <c r="N255" s="556"/>
      <c r="O255" s="556"/>
      <c r="P255" s="556"/>
      <c r="Q255" s="556"/>
      <c r="R255" s="556"/>
      <c r="S255" s="556"/>
      <c r="T255" s="556"/>
      <c r="U255" s="556"/>
      <c r="V255" s="556"/>
      <c r="W255" s="556"/>
      <c r="X255" s="556"/>
      <c r="Y255" s="556"/>
      <c r="Z255" s="579"/>
      <c r="AA255" s="556"/>
      <c r="AB255" s="556"/>
      <c r="AC255" s="556"/>
      <c r="AD255" s="556"/>
    </row>
    <row r="256" ht="15.75" customHeight="1">
      <c r="A256" s="594"/>
      <c r="B256" s="556"/>
      <c r="C256" s="556"/>
      <c r="D256" s="556"/>
      <c r="E256" s="556"/>
      <c r="F256" s="556"/>
      <c r="G256" s="556"/>
      <c r="H256" s="556"/>
      <c r="I256" s="556"/>
      <c r="J256" s="556"/>
      <c r="K256" s="556"/>
      <c r="L256" s="556"/>
      <c r="M256" s="556"/>
      <c r="N256" s="556"/>
      <c r="O256" s="556"/>
      <c r="P256" s="556"/>
      <c r="Q256" s="556"/>
      <c r="R256" s="556"/>
      <c r="S256" s="556"/>
      <c r="T256" s="556"/>
      <c r="U256" s="556"/>
      <c r="V256" s="556"/>
      <c r="W256" s="556"/>
      <c r="X256" s="556"/>
      <c r="Y256" s="556"/>
      <c r="Z256" s="579"/>
      <c r="AA256" s="556"/>
      <c r="AB256" s="556"/>
      <c r="AC256" s="556"/>
      <c r="AD256" s="556"/>
    </row>
    <row r="257" ht="15.75" customHeight="1">
      <c r="A257" s="594"/>
      <c r="B257" s="556"/>
      <c r="C257" s="556"/>
      <c r="D257" s="556"/>
      <c r="E257" s="556"/>
      <c r="F257" s="556"/>
      <c r="G257" s="556"/>
      <c r="H257" s="556"/>
      <c r="I257" s="556"/>
      <c r="J257" s="556"/>
      <c r="K257" s="556"/>
      <c r="L257" s="556"/>
      <c r="M257" s="556"/>
      <c r="N257" s="556"/>
      <c r="O257" s="556"/>
      <c r="P257" s="556"/>
      <c r="Q257" s="556"/>
      <c r="R257" s="556"/>
      <c r="S257" s="556"/>
      <c r="T257" s="556"/>
      <c r="U257" s="556"/>
      <c r="V257" s="556"/>
      <c r="W257" s="556"/>
      <c r="X257" s="556"/>
      <c r="Y257" s="556"/>
      <c r="Z257" s="579"/>
      <c r="AA257" s="556"/>
      <c r="AB257" s="556"/>
      <c r="AC257" s="556"/>
      <c r="AD257" s="556"/>
    </row>
    <row r="258" ht="15.75" customHeight="1">
      <c r="A258" s="594"/>
      <c r="B258" s="556"/>
      <c r="C258" s="556"/>
      <c r="D258" s="556"/>
      <c r="E258" s="556"/>
      <c r="F258" s="556"/>
      <c r="G258" s="556"/>
      <c r="H258" s="556"/>
      <c r="I258" s="556"/>
      <c r="J258" s="556"/>
      <c r="K258" s="556"/>
      <c r="L258" s="556"/>
      <c r="M258" s="556"/>
      <c r="N258" s="556"/>
      <c r="O258" s="556"/>
      <c r="P258" s="556"/>
      <c r="Q258" s="556"/>
      <c r="R258" s="556"/>
      <c r="S258" s="556"/>
      <c r="T258" s="556"/>
      <c r="U258" s="556"/>
      <c r="V258" s="556"/>
      <c r="W258" s="556"/>
      <c r="X258" s="556"/>
      <c r="Y258" s="556"/>
      <c r="Z258" s="579"/>
      <c r="AA258" s="556"/>
      <c r="AB258" s="556"/>
      <c r="AC258" s="556"/>
      <c r="AD258" s="556"/>
    </row>
    <row r="259" ht="15.75" customHeight="1">
      <c r="A259" s="594"/>
      <c r="B259" s="556"/>
      <c r="C259" s="556"/>
      <c r="D259" s="556"/>
      <c r="E259" s="556"/>
      <c r="F259" s="556"/>
      <c r="G259" s="556"/>
      <c r="H259" s="556"/>
      <c r="I259" s="556"/>
      <c r="J259" s="556"/>
      <c r="K259" s="556"/>
      <c r="L259" s="556"/>
      <c r="M259" s="556"/>
      <c r="N259" s="556"/>
      <c r="O259" s="556"/>
      <c r="P259" s="556"/>
      <c r="Q259" s="556"/>
      <c r="R259" s="556"/>
      <c r="S259" s="556"/>
      <c r="T259" s="556"/>
      <c r="U259" s="556"/>
      <c r="V259" s="556"/>
      <c r="W259" s="556"/>
      <c r="X259" s="556"/>
      <c r="Y259" s="556"/>
      <c r="Z259" s="579"/>
      <c r="AA259" s="556"/>
      <c r="AB259" s="556"/>
      <c r="AC259" s="556"/>
      <c r="AD259" s="556"/>
    </row>
    <row r="260" ht="15.75" customHeight="1">
      <c r="A260" s="594"/>
      <c r="B260" s="556"/>
      <c r="C260" s="556"/>
      <c r="D260" s="556"/>
      <c r="E260" s="556"/>
      <c r="F260" s="556"/>
      <c r="G260" s="556"/>
      <c r="H260" s="556"/>
      <c r="I260" s="556"/>
      <c r="J260" s="556"/>
      <c r="K260" s="556"/>
      <c r="L260" s="556"/>
      <c r="M260" s="556"/>
      <c r="N260" s="556"/>
      <c r="O260" s="556"/>
      <c r="P260" s="556"/>
      <c r="Q260" s="556"/>
      <c r="R260" s="556"/>
      <c r="S260" s="556"/>
      <c r="T260" s="556"/>
      <c r="U260" s="556"/>
      <c r="V260" s="556"/>
      <c r="W260" s="556"/>
      <c r="X260" s="556"/>
      <c r="Y260" s="556"/>
      <c r="Z260" s="579"/>
      <c r="AA260" s="556"/>
      <c r="AB260" s="556"/>
      <c r="AC260" s="556"/>
      <c r="AD260" s="556"/>
    </row>
    <row r="261" ht="15.75" customHeight="1">
      <c r="A261" s="594"/>
      <c r="B261" s="556"/>
      <c r="C261" s="556"/>
      <c r="D261" s="556"/>
      <c r="E261" s="556"/>
      <c r="F261" s="556"/>
      <c r="G261" s="556"/>
      <c r="H261" s="556"/>
      <c r="I261" s="556"/>
      <c r="J261" s="556"/>
      <c r="K261" s="556"/>
      <c r="L261" s="556"/>
      <c r="M261" s="556"/>
      <c r="N261" s="556"/>
      <c r="O261" s="556"/>
      <c r="P261" s="556"/>
      <c r="Q261" s="556"/>
      <c r="R261" s="556"/>
      <c r="S261" s="556"/>
      <c r="T261" s="556"/>
      <c r="U261" s="556"/>
      <c r="V261" s="556"/>
      <c r="W261" s="556"/>
      <c r="X261" s="556"/>
      <c r="Y261" s="556"/>
      <c r="Z261" s="579"/>
      <c r="AA261" s="556"/>
      <c r="AB261" s="556"/>
      <c r="AC261" s="556"/>
      <c r="AD261" s="556"/>
    </row>
    <row r="262" ht="15.75" customHeight="1">
      <c r="A262" s="594"/>
      <c r="B262" s="556"/>
      <c r="C262" s="556"/>
      <c r="D262" s="556"/>
      <c r="E262" s="556"/>
      <c r="F262" s="556"/>
      <c r="G262" s="556"/>
      <c r="H262" s="556"/>
      <c r="I262" s="556"/>
      <c r="J262" s="556"/>
      <c r="K262" s="556"/>
      <c r="L262" s="556"/>
      <c r="M262" s="556"/>
      <c r="N262" s="556"/>
      <c r="O262" s="556"/>
      <c r="P262" s="556"/>
      <c r="Q262" s="556"/>
      <c r="R262" s="556"/>
      <c r="S262" s="556"/>
      <c r="T262" s="556"/>
      <c r="U262" s="556"/>
      <c r="V262" s="556"/>
      <c r="W262" s="556"/>
      <c r="X262" s="556"/>
      <c r="Y262" s="556"/>
      <c r="Z262" s="579"/>
      <c r="AA262" s="556"/>
      <c r="AB262" s="556"/>
      <c r="AC262" s="556"/>
      <c r="AD262" s="556"/>
    </row>
    <row r="263" ht="15.75" customHeight="1">
      <c r="A263" s="594"/>
      <c r="B263" s="556"/>
      <c r="C263" s="556"/>
      <c r="D263" s="556"/>
      <c r="E263" s="556"/>
      <c r="F263" s="556"/>
      <c r="G263" s="556"/>
      <c r="H263" s="556"/>
      <c r="I263" s="556"/>
      <c r="J263" s="556"/>
      <c r="K263" s="556"/>
      <c r="L263" s="556"/>
      <c r="M263" s="556"/>
      <c r="N263" s="556"/>
      <c r="O263" s="556"/>
      <c r="P263" s="556"/>
      <c r="Q263" s="556"/>
      <c r="R263" s="556"/>
      <c r="S263" s="556"/>
      <c r="T263" s="556"/>
      <c r="U263" s="556"/>
      <c r="V263" s="556"/>
      <c r="W263" s="556"/>
      <c r="X263" s="556"/>
      <c r="Y263" s="556"/>
      <c r="Z263" s="579"/>
      <c r="AA263" s="556"/>
      <c r="AB263" s="556"/>
      <c r="AC263" s="556"/>
      <c r="AD263" s="556"/>
    </row>
    <row r="264" ht="15.75" customHeight="1">
      <c r="A264" s="594"/>
      <c r="B264" s="556"/>
      <c r="C264" s="556"/>
      <c r="D264" s="556"/>
      <c r="E264" s="556"/>
      <c r="F264" s="556"/>
      <c r="G264" s="556"/>
      <c r="H264" s="556"/>
      <c r="I264" s="556"/>
      <c r="J264" s="556"/>
      <c r="K264" s="556"/>
      <c r="L264" s="556"/>
      <c r="M264" s="556"/>
      <c r="N264" s="556"/>
      <c r="O264" s="556"/>
      <c r="P264" s="556"/>
      <c r="Q264" s="556"/>
      <c r="R264" s="556"/>
      <c r="S264" s="556"/>
      <c r="T264" s="556"/>
      <c r="U264" s="556"/>
      <c r="V264" s="556"/>
      <c r="W264" s="556"/>
      <c r="X264" s="556"/>
      <c r="Y264" s="556"/>
      <c r="Z264" s="579"/>
      <c r="AA264" s="556"/>
      <c r="AB264" s="556"/>
      <c r="AC264" s="556"/>
      <c r="AD264" s="556"/>
    </row>
    <row r="265" ht="15.75" customHeight="1">
      <c r="A265" s="594"/>
      <c r="B265" s="556"/>
      <c r="C265" s="556"/>
      <c r="D265" s="556"/>
      <c r="E265" s="556"/>
      <c r="F265" s="556"/>
      <c r="G265" s="556"/>
      <c r="H265" s="556"/>
      <c r="I265" s="556"/>
      <c r="J265" s="556"/>
      <c r="K265" s="556"/>
      <c r="L265" s="556"/>
      <c r="M265" s="556"/>
      <c r="N265" s="556"/>
      <c r="O265" s="556"/>
      <c r="P265" s="556"/>
      <c r="Q265" s="556"/>
      <c r="R265" s="556"/>
      <c r="S265" s="556"/>
      <c r="T265" s="556"/>
      <c r="U265" s="556"/>
      <c r="V265" s="556"/>
      <c r="W265" s="556"/>
      <c r="X265" s="556"/>
      <c r="Y265" s="556"/>
      <c r="Z265" s="579"/>
      <c r="AA265" s="556"/>
      <c r="AB265" s="556"/>
      <c r="AC265" s="556"/>
      <c r="AD265" s="556"/>
    </row>
    <row r="266" ht="15.75" customHeight="1">
      <c r="A266" s="594"/>
      <c r="B266" s="556"/>
      <c r="C266" s="556"/>
      <c r="D266" s="556"/>
      <c r="E266" s="556"/>
      <c r="F266" s="556"/>
      <c r="G266" s="556"/>
      <c r="H266" s="556"/>
      <c r="I266" s="556"/>
      <c r="J266" s="556"/>
      <c r="K266" s="556"/>
      <c r="L266" s="556"/>
      <c r="M266" s="556"/>
      <c r="N266" s="556"/>
      <c r="O266" s="556"/>
      <c r="P266" s="556"/>
      <c r="Q266" s="556"/>
      <c r="R266" s="556"/>
      <c r="S266" s="556"/>
      <c r="T266" s="556"/>
      <c r="U266" s="556"/>
      <c r="V266" s="556"/>
      <c r="W266" s="556"/>
      <c r="X266" s="556"/>
      <c r="Y266" s="556"/>
      <c r="Z266" s="579"/>
      <c r="AA266" s="556"/>
      <c r="AB266" s="556"/>
      <c r="AC266" s="556"/>
      <c r="AD266" s="556"/>
    </row>
    <row r="267" ht="15.75" customHeight="1">
      <c r="A267" s="594"/>
      <c r="B267" s="556"/>
      <c r="C267" s="556"/>
      <c r="D267" s="556"/>
      <c r="E267" s="556"/>
      <c r="F267" s="556"/>
      <c r="G267" s="556"/>
      <c r="H267" s="556"/>
      <c r="I267" s="556"/>
      <c r="J267" s="556"/>
      <c r="K267" s="556"/>
      <c r="L267" s="556"/>
      <c r="M267" s="556"/>
      <c r="N267" s="556"/>
      <c r="O267" s="556"/>
      <c r="P267" s="556"/>
      <c r="Q267" s="556"/>
      <c r="R267" s="556"/>
      <c r="S267" s="556"/>
      <c r="T267" s="556"/>
      <c r="U267" s="556"/>
      <c r="V267" s="556"/>
      <c r="W267" s="556"/>
      <c r="X267" s="556"/>
      <c r="Y267" s="556"/>
      <c r="Z267" s="579"/>
      <c r="AA267" s="556"/>
      <c r="AB267" s="556"/>
      <c r="AC267" s="556"/>
      <c r="AD267" s="556"/>
    </row>
    <row r="268" ht="15.75" customHeight="1">
      <c r="A268" s="594"/>
      <c r="B268" s="556"/>
      <c r="C268" s="556"/>
      <c r="D268" s="556"/>
      <c r="E268" s="556"/>
      <c r="F268" s="556"/>
      <c r="G268" s="556"/>
      <c r="H268" s="556"/>
      <c r="I268" s="556"/>
      <c r="J268" s="556"/>
      <c r="K268" s="556"/>
      <c r="L268" s="556"/>
      <c r="M268" s="556"/>
      <c r="N268" s="556"/>
      <c r="O268" s="556"/>
      <c r="P268" s="556"/>
      <c r="Q268" s="556"/>
      <c r="R268" s="556"/>
      <c r="S268" s="556"/>
      <c r="T268" s="556"/>
      <c r="U268" s="556"/>
      <c r="V268" s="556"/>
      <c r="W268" s="556"/>
      <c r="X268" s="556"/>
      <c r="Y268" s="556"/>
      <c r="Z268" s="579"/>
      <c r="AA268" s="556"/>
      <c r="AB268" s="556"/>
      <c r="AC268" s="556"/>
      <c r="AD268" s="556"/>
    </row>
    <row r="269" ht="15.75" customHeight="1">
      <c r="A269" s="594"/>
      <c r="B269" s="556"/>
      <c r="C269" s="556"/>
      <c r="D269" s="556"/>
      <c r="E269" s="556"/>
      <c r="F269" s="556"/>
      <c r="G269" s="556"/>
      <c r="H269" s="556"/>
      <c r="I269" s="556"/>
      <c r="J269" s="556"/>
      <c r="K269" s="556"/>
      <c r="L269" s="556"/>
      <c r="M269" s="556"/>
      <c r="N269" s="556"/>
      <c r="O269" s="556"/>
      <c r="P269" s="556"/>
      <c r="Q269" s="556"/>
      <c r="R269" s="556"/>
      <c r="S269" s="556"/>
      <c r="T269" s="556"/>
      <c r="U269" s="556"/>
      <c r="V269" s="556"/>
      <c r="W269" s="556"/>
      <c r="X269" s="556"/>
      <c r="Y269" s="556"/>
      <c r="Z269" s="579"/>
      <c r="AA269" s="556"/>
      <c r="AB269" s="556"/>
      <c r="AC269" s="556"/>
      <c r="AD269" s="556"/>
    </row>
    <row r="270" ht="15.75" customHeight="1">
      <c r="A270" s="594"/>
      <c r="B270" s="556"/>
      <c r="C270" s="556"/>
      <c r="D270" s="556"/>
      <c r="E270" s="556"/>
      <c r="F270" s="556"/>
      <c r="G270" s="556"/>
      <c r="H270" s="556"/>
      <c r="I270" s="556"/>
      <c r="J270" s="556"/>
      <c r="K270" s="556"/>
      <c r="L270" s="556"/>
      <c r="M270" s="556"/>
      <c r="N270" s="556"/>
      <c r="O270" s="556"/>
      <c r="P270" s="556"/>
      <c r="Q270" s="556"/>
      <c r="R270" s="556"/>
      <c r="S270" s="556"/>
      <c r="T270" s="556"/>
      <c r="U270" s="556"/>
      <c r="V270" s="556"/>
      <c r="W270" s="556"/>
      <c r="X270" s="556"/>
      <c r="Y270" s="556"/>
      <c r="Z270" s="579"/>
      <c r="AA270" s="556"/>
      <c r="AB270" s="556"/>
      <c r="AC270" s="556"/>
      <c r="AD270" s="556"/>
    </row>
    <row r="271" ht="15.75" customHeight="1">
      <c r="A271" s="594"/>
      <c r="B271" s="556"/>
      <c r="C271" s="556"/>
      <c r="D271" s="556"/>
      <c r="E271" s="556"/>
      <c r="F271" s="556"/>
      <c r="G271" s="556"/>
      <c r="H271" s="556"/>
      <c r="I271" s="556"/>
      <c r="J271" s="556"/>
      <c r="K271" s="556"/>
      <c r="L271" s="556"/>
      <c r="M271" s="556"/>
      <c r="N271" s="556"/>
      <c r="O271" s="556"/>
      <c r="P271" s="556"/>
      <c r="Q271" s="556"/>
      <c r="R271" s="556"/>
      <c r="S271" s="556"/>
      <c r="T271" s="556"/>
      <c r="U271" s="556"/>
      <c r="V271" s="556"/>
      <c r="W271" s="556"/>
      <c r="X271" s="556"/>
      <c r="Y271" s="556"/>
      <c r="Z271" s="579"/>
      <c r="AA271" s="556"/>
      <c r="AB271" s="556"/>
      <c r="AC271" s="556"/>
      <c r="AD271" s="556"/>
    </row>
    <row r="272" ht="15.75" customHeight="1">
      <c r="A272" s="594"/>
      <c r="B272" s="556"/>
      <c r="C272" s="556"/>
      <c r="D272" s="556"/>
      <c r="E272" s="556"/>
      <c r="F272" s="556"/>
      <c r="G272" s="556"/>
      <c r="H272" s="556"/>
      <c r="I272" s="556"/>
      <c r="J272" s="556"/>
      <c r="K272" s="556"/>
      <c r="L272" s="556"/>
      <c r="M272" s="556"/>
      <c r="N272" s="556"/>
      <c r="O272" s="556"/>
      <c r="P272" s="556"/>
      <c r="Q272" s="556"/>
      <c r="R272" s="556"/>
      <c r="S272" s="556"/>
      <c r="T272" s="556"/>
      <c r="U272" s="556"/>
      <c r="V272" s="556"/>
      <c r="W272" s="556"/>
      <c r="X272" s="556"/>
      <c r="Y272" s="556"/>
      <c r="Z272" s="579"/>
      <c r="AA272" s="556"/>
      <c r="AB272" s="556"/>
      <c r="AC272" s="556"/>
      <c r="AD272" s="556"/>
    </row>
    <row r="273" ht="15.75" customHeight="1">
      <c r="A273" s="594"/>
      <c r="B273" s="556"/>
      <c r="C273" s="556"/>
      <c r="D273" s="556"/>
      <c r="E273" s="556"/>
      <c r="F273" s="556"/>
      <c r="G273" s="556"/>
      <c r="H273" s="556"/>
      <c r="I273" s="556"/>
      <c r="J273" s="556"/>
      <c r="K273" s="556"/>
      <c r="L273" s="556"/>
      <c r="M273" s="556"/>
      <c r="N273" s="556"/>
      <c r="O273" s="556"/>
      <c r="P273" s="556"/>
      <c r="Q273" s="556"/>
      <c r="R273" s="556"/>
      <c r="S273" s="556"/>
      <c r="T273" s="556"/>
      <c r="U273" s="556"/>
      <c r="V273" s="556"/>
      <c r="W273" s="556"/>
      <c r="X273" s="556"/>
      <c r="Y273" s="556"/>
      <c r="Z273" s="579"/>
      <c r="AA273" s="556"/>
      <c r="AB273" s="556"/>
      <c r="AC273" s="556"/>
      <c r="AD273" s="556"/>
    </row>
    <row r="274" ht="15.75" customHeight="1">
      <c r="A274" s="594"/>
      <c r="B274" s="556"/>
      <c r="C274" s="556"/>
      <c r="D274" s="556"/>
      <c r="E274" s="556"/>
      <c r="F274" s="556"/>
      <c r="G274" s="556"/>
      <c r="H274" s="556"/>
      <c r="I274" s="556"/>
      <c r="J274" s="556"/>
      <c r="K274" s="556"/>
      <c r="L274" s="556"/>
      <c r="M274" s="556"/>
      <c r="N274" s="556"/>
      <c r="O274" s="556"/>
      <c r="P274" s="556"/>
      <c r="Q274" s="556"/>
      <c r="R274" s="556"/>
      <c r="S274" s="556"/>
      <c r="T274" s="556"/>
      <c r="U274" s="556"/>
      <c r="V274" s="556"/>
      <c r="W274" s="556"/>
      <c r="X274" s="556"/>
      <c r="Y274" s="556"/>
      <c r="Z274" s="579"/>
      <c r="AA274" s="556"/>
      <c r="AB274" s="556"/>
      <c r="AC274" s="556"/>
      <c r="AD274" s="556"/>
    </row>
    <row r="275" ht="15.75" customHeight="1">
      <c r="A275" s="594"/>
      <c r="B275" s="556"/>
      <c r="C275" s="556"/>
      <c r="D275" s="556"/>
      <c r="E275" s="556"/>
      <c r="F275" s="556"/>
      <c r="G275" s="556"/>
      <c r="H275" s="556"/>
      <c r="I275" s="556"/>
      <c r="J275" s="556"/>
      <c r="K275" s="556"/>
      <c r="L275" s="556"/>
      <c r="M275" s="556"/>
      <c r="N275" s="556"/>
      <c r="O275" s="556"/>
      <c r="P275" s="556"/>
      <c r="Q275" s="556"/>
      <c r="R275" s="556"/>
      <c r="S275" s="556"/>
      <c r="T275" s="556"/>
      <c r="U275" s="556"/>
      <c r="V275" s="556"/>
      <c r="W275" s="556"/>
      <c r="X275" s="556"/>
      <c r="Y275" s="556"/>
      <c r="Z275" s="579"/>
      <c r="AA275" s="556"/>
      <c r="AB275" s="556"/>
      <c r="AC275" s="556"/>
      <c r="AD275" s="556"/>
    </row>
    <row r="276" ht="15.75" customHeight="1">
      <c r="A276" s="594"/>
      <c r="B276" s="556"/>
      <c r="C276" s="556"/>
      <c r="D276" s="556"/>
      <c r="E276" s="556"/>
      <c r="F276" s="556"/>
      <c r="G276" s="556"/>
      <c r="H276" s="556"/>
      <c r="I276" s="556"/>
      <c r="J276" s="556"/>
      <c r="K276" s="556"/>
      <c r="L276" s="556"/>
      <c r="M276" s="556"/>
      <c r="N276" s="556"/>
      <c r="O276" s="556"/>
      <c r="P276" s="556"/>
      <c r="Q276" s="556"/>
      <c r="R276" s="556"/>
      <c r="S276" s="556"/>
      <c r="T276" s="556"/>
      <c r="U276" s="556"/>
      <c r="V276" s="556"/>
      <c r="W276" s="556"/>
      <c r="X276" s="556"/>
      <c r="Y276" s="556"/>
      <c r="Z276" s="579"/>
      <c r="AA276" s="556"/>
      <c r="AB276" s="556"/>
      <c r="AC276" s="556"/>
      <c r="AD276" s="556"/>
    </row>
    <row r="277" ht="15.75" customHeight="1">
      <c r="A277" s="594"/>
      <c r="B277" s="556"/>
      <c r="C277" s="556"/>
      <c r="D277" s="556"/>
      <c r="E277" s="556"/>
      <c r="F277" s="556"/>
      <c r="G277" s="556"/>
      <c r="H277" s="556"/>
      <c r="I277" s="556"/>
      <c r="J277" s="556"/>
      <c r="K277" s="556"/>
      <c r="L277" s="556"/>
      <c r="M277" s="556"/>
      <c r="N277" s="556"/>
      <c r="O277" s="556"/>
      <c r="P277" s="556"/>
      <c r="Q277" s="556"/>
      <c r="R277" s="556"/>
      <c r="S277" s="556"/>
      <c r="T277" s="556"/>
      <c r="U277" s="556"/>
      <c r="V277" s="556"/>
      <c r="W277" s="556"/>
      <c r="X277" s="556"/>
      <c r="Y277" s="556"/>
      <c r="Z277" s="579"/>
      <c r="AA277" s="556"/>
      <c r="AB277" s="556"/>
      <c r="AC277" s="556"/>
      <c r="AD277" s="556"/>
    </row>
    <row r="278" ht="15.75" customHeight="1">
      <c r="A278" s="594"/>
      <c r="B278" s="556"/>
      <c r="C278" s="556"/>
      <c r="D278" s="556"/>
      <c r="E278" s="556"/>
      <c r="F278" s="556"/>
      <c r="G278" s="556"/>
      <c r="H278" s="556"/>
      <c r="I278" s="556"/>
      <c r="J278" s="556"/>
      <c r="K278" s="556"/>
      <c r="L278" s="556"/>
      <c r="M278" s="556"/>
      <c r="N278" s="556"/>
      <c r="O278" s="556"/>
      <c r="P278" s="556"/>
      <c r="Q278" s="556"/>
      <c r="R278" s="556"/>
      <c r="S278" s="556"/>
      <c r="T278" s="556"/>
      <c r="U278" s="556"/>
      <c r="V278" s="556"/>
      <c r="W278" s="556"/>
      <c r="X278" s="556"/>
      <c r="Y278" s="556"/>
      <c r="Z278" s="579"/>
      <c r="AA278" s="556"/>
      <c r="AB278" s="556"/>
      <c r="AC278" s="556"/>
      <c r="AD278" s="556"/>
    </row>
    <row r="279" ht="15.75" customHeight="1">
      <c r="A279" s="594"/>
      <c r="B279" s="556"/>
      <c r="C279" s="556"/>
      <c r="D279" s="556"/>
      <c r="E279" s="556"/>
      <c r="F279" s="556"/>
      <c r="G279" s="556"/>
      <c r="H279" s="556"/>
      <c r="I279" s="556"/>
      <c r="J279" s="556"/>
      <c r="K279" s="556"/>
      <c r="L279" s="556"/>
      <c r="M279" s="556"/>
      <c r="N279" s="556"/>
      <c r="O279" s="556"/>
      <c r="P279" s="556"/>
      <c r="Q279" s="556"/>
      <c r="R279" s="556"/>
      <c r="S279" s="556"/>
      <c r="T279" s="556"/>
      <c r="U279" s="556"/>
      <c r="V279" s="556"/>
      <c r="W279" s="556"/>
      <c r="X279" s="556"/>
      <c r="Y279" s="556"/>
      <c r="Z279" s="579"/>
      <c r="AA279" s="556"/>
      <c r="AB279" s="556"/>
      <c r="AC279" s="556"/>
      <c r="AD279" s="556"/>
    </row>
    <row r="280" ht="15.75" customHeight="1">
      <c r="A280" s="594"/>
      <c r="B280" s="556"/>
      <c r="C280" s="556"/>
      <c r="D280" s="556"/>
      <c r="E280" s="556"/>
      <c r="F280" s="556"/>
      <c r="G280" s="556"/>
      <c r="H280" s="556"/>
      <c r="I280" s="556"/>
      <c r="J280" s="556"/>
      <c r="K280" s="556"/>
      <c r="L280" s="556"/>
      <c r="M280" s="556"/>
      <c r="N280" s="556"/>
      <c r="O280" s="556"/>
      <c r="P280" s="556"/>
      <c r="Q280" s="556"/>
      <c r="R280" s="556"/>
      <c r="S280" s="556"/>
      <c r="T280" s="556"/>
      <c r="U280" s="556"/>
      <c r="V280" s="556"/>
      <c r="W280" s="556"/>
      <c r="X280" s="556"/>
      <c r="Y280" s="556"/>
      <c r="Z280" s="579"/>
      <c r="AA280" s="556"/>
      <c r="AB280" s="556"/>
      <c r="AC280" s="556"/>
      <c r="AD280" s="556"/>
    </row>
    <row r="281" ht="15.75" customHeight="1">
      <c r="A281" s="594"/>
      <c r="B281" s="556"/>
      <c r="C281" s="556"/>
      <c r="D281" s="556"/>
      <c r="E281" s="556"/>
      <c r="F281" s="556"/>
      <c r="G281" s="556"/>
      <c r="H281" s="556"/>
      <c r="I281" s="556"/>
      <c r="J281" s="556"/>
      <c r="K281" s="556"/>
      <c r="L281" s="556"/>
      <c r="M281" s="556"/>
      <c r="N281" s="556"/>
      <c r="O281" s="556"/>
      <c r="P281" s="556"/>
      <c r="Q281" s="556"/>
      <c r="R281" s="556"/>
      <c r="S281" s="556"/>
      <c r="T281" s="556"/>
      <c r="U281" s="556"/>
      <c r="V281" s="556"/>
      <c r="W281" s="556"/>
      <c r="X281" s="556"/>
      <c r="Y281" s="556"/>
      <c r="Z281" s="579"/>
      <c r="AA281" s="556"/>
      <c r="AB281" s="556"/>
      <c r="AC281" s="556"/>
      <c r="AD281" s="556"/>
    </row>
    <row r="282" ht="15.75" customHeight="1">
      <c r="A282" s="594"/>
      <c r="B282" s="556"/>
      <c r="C282" s="556"/>
      <c r="D282" s="556"/>
      <c r="E282" s="556"/>
      <c r="F282" s="556"/>
      <c r="G282" s="556"/>
      <c r="H282" s="556"/>
      <c r="I282" s="556"/>
      <c r="J282" s="556"/>
      <c r="K282" s="556"/>
      <c r="L282" s="556"/>
      <c r="M282" s="556"/>
      <c r="N282" s="556"/>
      <c r="O282" s="556"/>
      <c r="P282" s="556"/>
      <c r="Q282" s="556"/>
      <c r="R282" s="556"/>
      <c r="S282" s="556"/>
      <c r="T282" s="556"/>
      <c r="U282" s="556"/>
      <c r="V282" s="556"/>
      <c r="W282" s="556"/>
      <c r="X282" s="556"/>
      <c r="Y282" s="556"/>
      <c r="Z282" s="579"/>
      <c r="AA282" s="556"/>
      <c r="AB282" s="556"/>
      <c r="AC282" s="556"/>
      <c r="AD282" s="556"/>
    </row>
    <row r="283" ht="15.75" customHeight="1">
      <c r="A283" s="594"/>
      <c r="B283" s="556"/>
      <c r="C283" s="556"/>
      <c r="D283" s="556"/>
      <c r="E283" s="556"/>
      <c r="F283" s="556"/>
      <c r="G283" s="556"/>
      <c r="H283" s="556"/>
      <c r="I283" s="556"/>
      <c r="J283" s="556"/>
      <c r="K283" s="556"/>
      <c r="L283" s="556"/>
      <c r="M283" s="556"/>
      <c r="N283" s="556"/>
      <c r="O283" s="556"/>
      <c r="P283" s="556"/>
      <c r="Q283" s="556"/>
      <c r="R283" s="556"/>
      <c r="S283" s="556"/>
      <c r="T283" s="556"/>
      <c r="U283" s="556"/>
      <c r="V283" s="556"/>
      <c r="W283" s="556"/>
      <c r="X283" s="556"/>
      <c r="Y283" s="556"/>
      <c r="Z283" s="579"/>
      <c r="AA283" s="556"/>
      <c r="AB283" s="556"/>
      <c r="AC283" s="556"/>
      <c r="AD283" s="556"/>
    </row>
    <row r="284" ht="15.75" customHeight="1">
      <c r="A284" s="594"/>
      <c r="B284" s="556"/>
      <c r="C284" s="556"/>
      <c r="D284" s="556"/>
      <c r="E284" s="556"/>
      <c r="F284" s="556"/>
      <c r="G284" s="556"/>
      <c r="H284" s="556"/>
      <c r="I284" s="556"/>
      <c r="J284" s="556"/>
      <c r="K284" s="556"/>
      <c r="L284" s="556"/>
      <c r="M284" s="556"/>
      <c r="N284" s="556"/>
      <c r="O284" s="556"/>
      <c r="P284" s="556"/>
      <c r="Q284" s="556"/>
      <c r="R284" s="556"/>
      <c r="S284" s="556"/>
      <c r="T284" s="556"/>
      <c r="U284" s="556"/>
      <c r="V284" s="556"/>
      <c r="W284" s="556"/>
      <c r="X284" s="556"/>
      <c r="Y284" s="556"/>
      <c r="Z284" s="579"/>
      <c r="AA284" s="556"/>
      <c r="AB284" s="556"/>
      <c r="AC284" s="556"/>
      <c r="AD284" s="556"/>
    </row>
    <row r="285" ht="15.75" customHeight="1">
      <c r="A285" s="594"/>
      <c r="B285" s="556"/>
      <c r="C285" s="556"/>
      <c r="D285" s="556"/>
      <c r="E285" s="556"/>
      <c r="F285" s="556"/>
      <c r="G285" s="556"/>
      <c r="H285" s="556"/>
      <c r="I285" s="556"/>
      <c r="J285" s="556"/>
      <c r="K285" s="556"/>
      <c r="L285" s="556"/>
      <c r="M285" s="556"/>
      <c r="N285" s="556"/>
      <c r="O285" s="556"/>
      <c r="P285" s="556"/>
      <c r="Q285" s="556"/>
      <c r="R285" s="556"/>
      <c r="S285" s="556"/>
      <c r="T285" s="556"/>
      <c r="U285" s="556"/>
      <c r="V285" s="556"/>
      <c r="W285" s="556"/>
      <c r="X285" s="556"/>
      <c r="Y285" s="556"/>
      <c r="Z285" s="579"/>
      <c r="AA285" s="556"/>
      <c r="AB285" s="556"/>
      <c r="AC285" s="556"/>
      <c r="AD285" s="556"/>
    </row>
    <row r="286" ht="15.75" customHeight="1">
      <c r="A286" s="594"/>
      <c r="B286" s="556"/>
      <c r="C286" s="556"/>
      <c r="D286" s="556"/>
      <c r="E286" s="556"/>
      <c r="F286" s="556"/>
      <c r="G286" s="556"/>
      <c r="H286" s="556"/>
      <c r="I286" s="556"/>
      <c r="J286" s="556"/>
      <c r="K286" s="556"/>
      <c r="L286" s="556"/>
      <c r="M286" s="556"/>
      <c r="N286" s="556"/>
      <c r="O286" s="556"/>
      <c r="P286" s="556"/>
      <c r="Q286" s="556"/>
      <c r="R286" s="556"/>
      <c r="S286" s="556"/>
      <c r="T286" s="556"/>
      <c r="U286" s="556"/>
      <c r="V286" s="556"/>
      <c r="W286" s="556"/>
      <c r="X286" s="556"/>
      <c r="Y286" s="556"/>
      <c r="Z286" s="579"/>
      <c r="AA286" s="556"/>
      <c r="AB286" s="556"/>
      <c r="AC286" s="556"/>
      <c r="AD286" s="556"/>
    </row>
    <row r="287" ht="15.75" customHeight="1">
      <c r="A287" s="594"/>
      <c r="B287" s="556"/>
      <c r="C287" s="556"/>
      <c r="D287" s="556"/>
      <c r="E287" s="556"/>
      <c r="F287" s="556"/>
      <c r="G287" s="556"/>
      <c r="H287" s="556"/>
      <c r="I287" s="556"/>
      <c r="J287" s="556"/>
      <c r="K287" s="556"/>
      <c r="L287" s="556"/>
      <c r="M287" s="556"/>
      <c r="N287" s="556"/>
      <c r="O287" s="556"/>
      <c r="P287" s="556"/>
      <c r="Q287" s="556"/>
      <c r="R287" s="556"/>
      <c r="S287" s="556"/>
      <c r="T287" s="556"/>
      <c r="U287" s="556"/>
      <c r="V287" s="556"/>
      <c r="W287" s="556"/>
      <c r="X287" s="556"/>
      <c r="Y287" s="556"/>
      <c r="Z287" s="579"/>
      <c r="AA287" s="556"/>
      <c r="AB287" s="556"/>
      <c r="AC287" s="556"/>
      <c r="AD287" s="556"/>
    </row>
    <row r="288" ht="15.75" customHeight="1">
      <c r="A288" s="594"/>
      <c r="B288" s="556"/>
      <c r="C288" s="556"/>
      <c r="D288" s="556"/>
      <c r="E288" s="556"/>
      <c r="F288" s="556"/>
      <c r="G288" s="556"/>
      <c r="H288" s="556"/>
      <c r="I288" s="556"/>
      <c r="J288" s="556"/>
      <c r="K288" s="556"/>
      <c r="L288" s="556"/>
      <c r="M288" s="556"/>
      <c r="N288" s="556"/>
      <c r="O288" s="556"/>
      <c r="P288" s="556"/>
      <c r="Q288" s="556"/>
      <c r="R288" s="556"/>
      <c r="S288" s="556"/>
      <c r="T288" s="556"/>
      <c r="U288" s="556"/>
      <c r="V288" s="556"/>
      <c r="W288" s="556"/>
      <c r="X288" s="556"/>
      <c r="Y288" s="556"/>
      <c r="Z288" s="579"/>
      <c r="AA288" s="556"/>
      <c r="AB288" s="556"/>
      <c r="AC288" s="556"/>
      <c r="AD288" s="556"/>
    </row>
    <row r="289" ht="15.75" customHeight="1">
      <c r="A289" s="594"/>
      <c r="B289" s="556"/>
      <c r="C289" s="556"/>
      <c r="D289" s="556"/>
      <c r="E289" s="556"/>
      <c r="F289" s="556"/>
      <c r="G289" s="556"/>
      <c r="H289" s="556"/>
      <c r="I289" s="556"/>
      <c r="J289" s="556"/>
      <c r="K289" s="556"/>
      <c r="L289" s="556"/>
      <c r="M289" s="556"/>
      <c r="N289" s="556"/>
      <c r="O289" s="556"/>
      <c r="P289" s="556"/>
      <c r="Q289" s="556"/>
      <c r="R289" s="556"/>
      <c r="S289" s="556"/>
      <c r="T289" s="556"/>
      <c r="U289" s="556"/>
      <c r="V289" s="556"/>
      <c r="W289" s="556"/>
      <c r="X289" s="556"/>
      <c r="Y289" s="556"/>
      <c r="Z289" s="579"/>
      <c r="AA289" s="556"/>
      <c r="AB289" s="556"/>
      <c r="AC289" s="556"/>
      <c r="AD289" s="556"/>
    </row>
    <row r="290" ht="15.75" customHeight="1">
      <c r="A290" s="594"/>
      <c r="B290" s="556"/>
      <c r="C290" s="556"/>
      <c r="D290" s="556"/>
      <c r="E290" s="556"/>
      <c r="F290" s="556"/>
      <c r="G290" s="556"/>
      <c r="H290" s="556"/>
      <c r="I290" s="556"/>
      <c r="J290" s="556"/>
      <c r="K290" s="556"/>
      <c r="L290" s="556"/>
      <c r="M290" s="556"/>
      <c r="N290" s="556"/>
      <c r="O290" s="556"/>
      <c r="P290" s="556"/>
      <c r="Q290" s="556"/>
      <c r="R290" s="556"/>
      <c r="S290" s="556"/>
      <c r="T290" s="556"/>
      <c r="U290" s="556"/>
      <c r="V290" s="556"/>
      <c r="W290" s="556"/>
      <c r="X290" s="556"/>
      <c r="Y290" s="556"/>
      <c r="Z290" s="579"/>
      <c r="AA290" s="556"/>
      <c r="AB290" s="556"/>
      <c r="AC290" s="556"/>
      <c r="AD290" s="556"/>
    </row>
    <row r="291" ht="15.75" customHeight="1">
      <c r="A291" s="594"/>
      <c r="B291" s="556"/>
      <c r="C291" s="556"/>
      <c r="D291" s="556"/>
      <c r="E291" s="556"/>
      <c r="F291" s="556"/>
      <c r="G291" s="556"/>
      <c r="H291" s="556"/>
      <c r="I291" s="556"/>
      <c r="J291" s="556"/>
      <c r="K291" s="556"/>
      <c r="L291" s="556"/>
      <c r="M291" s="556"/>
      <c r="N291" s="556"/>
      <c r="O291" s="556"/>
      <c r="P291" s="556"/>
      <c r="Q291" s="556"/>
      <c r="R291" s="556"/>
      <c r="S291" s="556"/>
      <c r="T291" s="556"/>
      <c r="U291" s="556"/>
      <c r="V291" s="556"/>
      <c r="W291" s="556"/>
      <c r="X291" s="556"/>
      <c r="Y291" s="556"/>
      <c r="Z291" s="579"/>
      <c r="AA291" s="556"/>
      <c r="AB291" s="556"/>
      <c r="AC291" s="556"/>
      <c r="AD291" s="556"/>
    </row>
    <row r="292" ht="15.75" customHeight="1">
      <c r="A292" s="594"/>
      <c r="B292" s="556"/>
      <c r="C292" s="556"/>
      <c r="D292" s="556"/>
      <c r="E292" s="556"/>
      <c r="F292" s="556"/>
      <c r="G292" s="556"/>
      <c r="H292" s="556"/>
      <c r="I292" s="556"/>
      <c r="J292" s="556"/>
      <c r="K292" s="556"/>
      <c r="L292" s="556"/>
      <c r="M292" s="556"/>
      <c r="N292" s="556"/>
      <c r="O292" s="556"/>
      <c r="P292" s="556"/>
      <c r="Q292" s="556"/>
      <c r="R292" s="556"/>
      <c r="S292" s="556"/>
      <c r="T292" s="556"/>
      <c r="U292" s="556"/>
      <c r="V292" s="556"/>
      <c r="W292" s="556"/>
      <c r="X292" s="556"/>
      <c r="Y292" s="556"/>
      <c r="Z292" s="579"/>
      <c r="AA292" s="556"/>
      <c r="AB292" s="556"/>
      <c r="AC292" s="556"/>
      <c r="AD292" s="556"/>
    </row>
    <row r="293" ht="15.75" customHeight="1">
      <c r="A293" s="594"/>
      <c r="B293" s="556"/>
      <c r="C293" s="556"/>
      <c r="D293" s="556"/>
      <c r="E293" s="556"/>
      <c r="F293" s="556"/>
      <c r="G293" s="556"/>
      <c r="H293" s="556"/>
      <c r="I293" s="556"/>
      <c r="J293" s="556"/>
      <c r="K293" s="556"/>
      <c r="L293" s="556"/>
      <c r="M293" s="556"/>
      <c r="N293" s="556"/>
      <c r="O293" s="556"/>
      <c r="P293" s="556"/>
      <c r="Q293" s="556"/>
      <c r="R293" s="556"/>
      <c r="S293" s="556"/>
      <c r="T293" s="556"/>
      <c r="U293" s="556"/>
      <c r="V293" s="556"/>
      <c r="W293" s="556"/>
      <c r="X293" s="556"/>
      <c r="Y293" s="556"/>
      <c r="Z293" s="579"/>
      <c r="AA293" s="556"/>
      <c r="AB293" s="556"/>
      <c r="AC293" s="556"/>
      <c r="AD293" s="556"/>
    </row>
    <row r="294" ht="15.75" customHeight="1">
      <c r="A294" s="594"/>
      <c r="B294" s="556"/>
      <c r="C294" s="556"/>
      <c r="D294" s="556"/>
      <c r="E294" s="556"/>
      <c r="F294" s="556"/>
      <c r="G294" s="556"/>
      <c r="H294" s="556"/>
      <c r="I294" s="556"/>
      <c r="J294" s="556"/>
      <c r="K294" s="556"/>
      <c r="L294" s="556"/>
      <c r="M294" s="556"/>
      <c r="N294" s="556"/>
      <c r="O294" s="556"/>
      <c r="P294" s="556"/>
      <c r="Q294" s="556"/>
      <c r="R294" s="556"/>
      <c r="S294" s="556"/>
      <c r="T294" s="556"/>
      <c r="U294" s="556"/>
      <c r="V294" s="556"/>
      <c r="W294" s="556"/>
      <c r="X294" s="556"/>
      <c r="Y294" s="556"/>
      <c r="Z294" s="579"/>
      <c r="AA294" s="556"/>
      <c r="AB294" s="556"/>
      <c r="AC294" s="556"/>
      <c r="AD294" s="556"/>
    </row>
    <row r="295" ht="15.75" customHeight="1">
      <c r="A295" s="594"/>
      <c r="B295" s="556"/>
      <c r="C295" s="556"/>
      <c r="D295" s="556"/>
      <c r="E295" s="556"/>
      <c r="F295" s="556"/>
      <c r="G295" s="556"/>
      <c r="H295" s="556"/>
      <c r="I295" s="556"/>
      <c r="J295" s="556"/>
      <c r="K295" s="556"/>
      <c r="L295" s="556"/>
      <c r="M295" s="556"/>
      <c r="N295" s="556"/>
      <c r="O295" s="556"/>
      <c r="P295" s="556"/>
      <c r="Q295" s="556"/>
      <c r="R295" s="556"/>
      <c r="S295" s="556"/>
      <c r="T295" s="556"/>
      <c r="U295" s="556"/>
      <c r="V295" s="556"/>
      <c r="W295" s="556"/>
      <c r="X295" s="556"/>
      <c r="Y295" s="556"/>
      <c r="Z295" s="579"/>
      <c r="AA295" s="556"/>
      <c r="AB295" s="556"/>
      <c r="AC295" s="556"/>
      <c r="AD295" s="556"/>
    </row>
    <row r="296" ht="15.75" customHeight="1">
      <c r="A296" s="594"/>
      <c r="B296" s="556"/>
      <c r="C296" s="556"/>
      <c r="D296" s="556"/>
      <c r="E296" s="556"/>
      <c r="F296" s="556"/>
      <c r="G296" s="556"/>
      <c r="H296" s="556"/>
      <c r="I296" s="556"/>
      <c r="J296" s="556"/>
      <c r="K296" s="556"/>
      <c r="L296" s="556"/>
      <c r="M296" s="556"/>
      <c r="N296" s="556"/>
      <c r="O296" s="556"/>
      <c r="P296" s="556"/>
      <c r="Q296" s="556"/>
      <c r="R296" s="556"/>
      <c r="S296" s="556"/>
      <c r="T296" s="556"/>
      <c r="U296" s="556"/>
      <c r="V296" s="556"/>
      <c r="W296" s="556"/>
      <c r="X296" s="556"/>
      <c r="Y296" s="556"/>
      <c r="Z296" s="579"/>
      <c r="AA296" s="556"/>
      <c r="AB296" s="556"/>
      <c r="AC296" s="556"/>
      <c r="AD296" s="556"/>
    </row>
    <row r="297" ht="15.75" customHeight="1">
      <c r="A297" s="594"/>
      <c r="B297" s="556"/>
      <c r="C297" s="556"/>
      <c r="D297" s="556"/>
      <c r="E297" s="556"/>
      <c r="F297" s="556"/>
      <c r="G297" s="556"/>
      <c r="H297" s="556"/>
      <c r="I297" s="556"/>
      <c r="J297" s="556"/>
      <c r="K297" s="556"/>
      <c r="L297" s="556"/>
      <c r="M297" s="556"/>
      <c r="N297" s="556"/>
      <c r="O297" s="556"/>
      <c r="P297" s="556"/>
      <c r="Q297" s="556"/>
      <c r="R297" s="556"/>
      <c r="S297" s="556"/>
      <c r="T297" s="556"/>
      <c r="U297" s="556"/>
      <c r="V297" s="556"/>
      <c r="W297" s="556"/>
      <c r="X297" s="556"/>
      <c r="Y297" s="556"/>
      <c r="Z297" s="579"/>
      <c r="AA297" s="556"/>
      <c r="AB297" s="556"/>
      <c r="AC297" s="556"/>
      <c r="AD297" s="556"/>
    </row>
    <row r="298" ht="15.75" customHeight="1">
      <c r="A298" s="594"/>
      <c r="B298" s="556"/>
      <c r="C298" s="556"/>
      <c r="D298" s="556"/>
      <c r="E298" s="556"/>
      <c r="F298" s="556"/>
      <c r="G298" s="556"/>
      <c r="H298" s="556"/>
      <c r="I298" s="556"/>
      <c r="J298" s="556"/>
      <c r="K298" s="556"/>
      <c r="L298" s="556"/>
      <c r="M298" s="556"/>
      <c r="N298" s="556"/>
      <c r="O298" s="556"/>
      <c r="P298" s="556"/>
      <c r="Q298" s="556"/>
      <c r="R298" s="556"/>
      <c r="S298" s="556"/>
      <c r="T298" s="556"/>
      <c r="U298" s="556"/>
      <c r="V298" s="556"/>
      <c r="W298" s="556"/>
      <c r="X298" s="556"/>
      <c r="Y298" s="556"/>
      <c r="Z298" s="579"/>
      <c r="AA298" s="556"/>
      <c r="AB298" s="556"/>
      <c r="AC298" s="556"/>
      <c r="AD298" s="556"/>
    </row>
    <row r="299" ht="15.75" customHeight="1">
      <c r="A299" s="594"/>
      <c r="B299" s="556"/>
      <c r="C299" s="556"/>
      <c r="D299" s="556"/>
      <c r="E299" s="556"/>
      <c r="F299" s="556"/>
      <c r="G299" s="556"/>
      <c r="H299" s="556"/>
      <c r="I299" s="556"/>
      <c r="J299" s="556"/>
      <c r="K299" s="556"/>
      <c r="L299" s="556"/>
      <c r="M299" s="556"/>
      <c r="N299" s="556"/>
      <c r="O299" s="556"/>
      <c r="P299" s="556"/>
      <c r="Q299" s="556"/>
      <c r="R299" s="556"/>
      <c r="S299" s="556"/>
      <c r="T299" s="556"/>
      <c r="U299" s="556"/>
      <c r="V299" s="556"/>
      <c r="W299" s="556"/>
      <c r="X299" s="556"/>
      <c r="Y299" s="556"/>
      <c r="Z299" s="579"/>
      <c r="AA299" s="556"/>
      <c r="AB299" s="556"/>
      <c r="AC299" s="556"/>
      <c r="AD299" s="556"/>
    </row>
    <row r="300" ht="15.75" customHeight="1">
      <c r="A300" s="594"/>
      <c r="B300" s="556"/>
      <c r="C300" s="556"/>
      <c r="D300" s="556"/>
      <c r="E300" s="556"/>
      <c r="F300" s="556"/>
      <c r="G300" s="556"/>
      <c r="H300" s="556"/>
      <c r="I300" s="556"/>
      <c r="J300" s="556"/>
      <c r="K300" s="556"/>
      <c r="L300" s="556"/>
      <c r="M300" s="556"/>
      <c r="N300" s="556"/>
      <c r="O300" s="556"/>
      <c r="P300" s="556"/>
      <c r="Q300" s="556"/>
      <c r="R300" s="556"/>
      <c r="S300" s="556"/>
      <c r="T300" s="556"/>
      <c r="U300" s="556"/>
      <c r="V300" s="556"/>
      <c r="W300" s="556"/>
      <c r="X300" s="556"/>
      <c r="Y300" s="556"/>
      <c r="Z300" s="579"/>
      <c r="AA300" s="556"/>
      <c r="AB300" s="556"/>
      <c r="AC300" s="556"/>
      <c r="AD300" s="556"/>
    </row>
    <row r="301" ht="15.75" customHeight="1">
      <c r="A301" s="594"/>
      <c r="B301" s="556"/>
      <c r="C301" s="556"/>
      <c r="D301" s="556"/>
      <c r="E301" s="556"/>
      <c r="F301" s="556"/>
      <c r="G301" s="556"/>
      <c r="H301" s="556"/>
      <c r="I301" s="556"/>
      <c r="J301" s="556"/>
      <c r="K301" s="556"/>
      <c r="L301" s="556"/>
      <c r="M301" s="556"/>
      <c r="N301" s="556"/>
      <c r="O301" s="556"/>
      <c r="P301" s="556"/>
      <c r="Q301" s="556"/>
      <c r="R301" s="556"/>
      <c r="S301" s="556"/>
      <c r="T301" s="556"/>
      <c r="U301" s="556"/>
      <c r="V301" s="556"/>
      <c r="W301" s="556"/>
      <c r="X301" s="556"/>
      <c r="Y301" s="556"/>
      <c r="Z301" s="579"/>
      <c r="AA301" s="556"/>
      <c r="AB301" s="556"/>
      <c r="AC301" s="556"/>
      <c r="AD301" s="556"/>
    </row>
    <row r="302" ht="15.75" customHeight="1">
      <c r="A302" s="594"/>
      <c r="B302" s="556"/>
      <c r="C302" s="556"/>
      <c r="D302" s="556"/>
      <c r="E302" s="556"/>
      <c r="F302" s="556"/>
      <c r="G302" s="556"/>
      <c r="H302" s="556"/>
      <c r="I302" s="556"/>
      <c r="J302" s="556"/>
      <c r="K302" s="556"/>
      <c r="L302" s="556"/>
      <c r="M302" s="556"/>
      <c r="N302" s="556"/>
      <c r="O302" s="556"/>
      <c r="P302" s="556"/>
      <c r="Q302" s="556"/>
      <c r="R302" s="556"/>
      <c r="S302" s="556"/>
      <c r="T302" s="556"/>
      <c r="U302" s="556"/>
      <c r="V302" s="556"/>
      <c r="W302" s="556"/>
      <c r="X302" s="556"/>
      <c r="Y302" s="556"/>
      <c r="Z302" s="579"/>
      <c r="AA302" s="556"/>
      <c r="AB302" s="556"/>
      <c r="AC302" s="556"/>
      <c r="AD302" s="556"/>
    </row>
    <row r="303" ht="15.75" customHeight="1">
      <c r="A303" s="594"/>
      <c r="B303" s="556"/>
      <c r="C303" s="556"/>
      <c r="D303" s="556"/>
      <c r="E303" s="556"/>
      <c r="F303" s="556"/>
      <c r="G303" s="556"/>
      <c r="H303" s="556"/>
      <c r="I303" s="556"/>
      <c r="J303" s="556"/>
      <c r="K303" s="556"/>
      <c r="L303" s="556"/>
      <c r="M303" s="556"/>
      <c r="N303" s="556"/>
      <c r="O303" s="556"/>
      <c r="P303" s="556"/>
      <c r="Q303" s="556"/>
      <c r="R303" s="556"/>
      <c r="S303" s="556"/>
      <c r="T303" s="556"/>
      <c r="U303" s="556"/>
      <c r="V303" s="556"/>
      <c r="W303" s="556"/>
      <c r="X303" s="556"/>
      <c r="Y303" s="556"/>
      <c r="Z303" s="579"/>
      <c r="AA303" s="556"/>
      <c r="AB303" s="556"/>
      <c r="AC303" s="556"/>
      <c r="AD303" s="556"/>
    </row>
    <row r="304" ht="15.75" customHeight="1">
      <c r="A304" s="594"/>
      <c r="B304" s="556"/>
      <c r="C304" s="556"/>
      <c r="D304" s="556"/>
      <c r="E304" s="556"/>
      <c r="F304" s="556"/>
      <c r="G304" s="556"/>
      <c r="H304" s="556"/>
      <c r="I304" s="556"/>
      <c r="J304" s="556"/>
      <c r="K304" s="556"/>
      <c r="L304" s="556"/>
      <c r="M304" s="556"/>
      <c r="N304" s="556"/>
      <c r="O304" s="556"/>
      <c r="P304" s="556"/>
      <c r="Q304" s="556"/>
      <c r="R304" s="556"/>
      <c r="S304" s="556"/>
      <c r="T304" s="556"/>
      <c r="U304" s="556"/>
      <c r="V304" s="556"/>
      <c r="W304" s="556"/>
      <c r="X304" s="556"/>
      <c r="Y304" s="556"/>
      <c r="Z304" s="579"/>
      <c r="AA304" s="556"/>
      <c r="AB304" s="556"/>
      <c r="AC304" s="556"/>
      <c r="AD304" s="556"/>
    </row>
    <row r="305" ht="15.75" customHeight="1">
      <c r="A305" s="594"/>
      <c r="B305" s="556"/>
      <c r="C305" s="556"/>
      <c r="D305" s="556"/>
      <c r="E305" s="556"/>
      <c r="F305" s="556"/>
      <c r="G305" s="556"/>
      <c r="H305" s="556"/>
      <c r="I305" s="556"/>
      <c r="J305" s="556"/>
      <c r="K305" s="556"/>
      <c r="L305" s="556"/>
      <c r="M305" s="556"/>
      <c r="N305" s="556"/>
      <c r="O305" s="556"/>
      <c r="P305" s="556"/>
      <c r="Q305" s="556"/>
      <c r="R305" s="556"/>
      <c r="S305" s="556"/>
      <c r="T305" s="556"/>
      <c r="U305" s="556"/>
      <c r="V305" s="556"/>
      <c r="W305" s="556"/>
      <c r="X305" s="556"/>
      <c r="Y305" s="556"/>
      <c r="Z305" s="579"/>
      <c r="AA305" s="556"/>
      <c r="AB305" s="556"/>
      <c r="AC305" s="556"/>
      <c r="AD305" s="556"/>
    </row>
    <row r="306" ht="15.75" customHeight="1">
      <c r="A306" s="594"/>
      <c r="B306" s="556"/>
      <c r="C306" s="556"/>
      <c r="D306" s="556"/>
      <c r="E306" s="556"/>
      <c r="F306" s="556"/>
      <c r="G306" s="556"/>
      <c r="H306" s="556"/>
      <c r="I306" s="556"/>
      <c r="J306" s="556"/>
      <c r="K306" s="556"/>
      <c r="L306" s="556"/>
      <c r="M306" s="556"/>
      <c r="N306" s="556"/>
      <c r="O306" s="556"/>
      <c r="P306" s="556"/>
      <c r="Q306" s="556"/>
      <c r="R306" s="556"/>
      <c r="S306" s="556"/>
      <c r="T306" s="556"/>
      <c r="U306" s="556"/>
      <c r="V306" s="556"/>
      <c r="W306" s="556"/>
      <c r="X306" s="556"/>
      <c r="Y306" s="556"/>
      <c r="Z306" s="579"/>
      <c r="AA306" s="556"/>
      <c r="AB306" s="556"/>
      <c r="AC306" s="556"/>
      <c r="AD306" s="556"/>
    </row>
    <row r="307" ht="15.75" customHeight="1">
      <c r="A307" s="594"/>
      <c r="B307" s="556"/>
      <c r="C307" s="556"/>
      <c r="D307" s="556"/>
      <c r="E307" s="556"/>
      <c r="F307" s="556"/>
      <c r="G307" s="556"/>
      <c r="H307" s="556"/>
      <c r="I307" s="556"/>
      <c r="J307" s="556"/>
      <c r="K307" s="556"/>
      <c r="L307" s="556"/>
      <c r="M307" s="556"/>
      <c r="N307" s="556"/>
      <c r="O307" s="556"/>
      <c r="P307" s="556"/>
      <c r="Q307" s="556"/>
      <c r="R307" s="556"/>
      <c r="S307" s="556"/>
      <c r="T307" s="556"/>
      <c r="U307" s="556"/>
      <c r="V307" s="556"/>
      <c r="W307" s="556"/>
      <c r="X307" s="556"/>
      <c r="Y307" s="556"/>
      <c r="Z307" s="579"/>
      <c r="AA307" s="556"/>
      <c r="AB307" s="556"/>
      <c r="AC307" s="556"/>
      <c r="AD307" s="556"/>
    </row>
    <row r="308" ht="15.75" customHeight="1">
      <c r="A308" s="594"/>
      <c r="B308" s="556"/>
      <c r="C308" s="556"/>
      <c r="D308" s="556"/>
      <c r="E308" s="556"/>
      <c r="F308" s="556"/>
      <c r="G308" s="556"/>
      <c r="H308" s="556"/>
      <c r="I308" s="556"/>
      <c r="J308" s="556"/>
      <c r="K308" s="556"/>
      <c r="L308" s="556"/>
      <c r="M308" s="556"/>
      <c r="N308" s="556"/>
      <c r="O308" s="556"/>
      <c r="P308" s="556"/>
      <c r="Q308" s="556"/>
      <c r="R308" s="556"/>
      <c r="S308" s="556"/>
      <c r="T308" s="556"/>
      <c r="U308" s="556"/>
      <c r="V308" s="556"/>
      <c r="W308" s="556"/>
      <c r="X308" s="556"/>
      <c r="Y308" s="556"/>
      <c r="Z308" s="579"/>
      <c r="AA308" s="556"/>
      <c r="AB308" s="556"/>
      <c r="AC308" s="556"/>
      <c r="AD308" s="556"/>
    </row>
    <row r="309" ht="15.75" customHeight="1">
      <c r="A309" s="594"/>
      <c r="B309" s="556"/>
      <c r="C309" s="556"/>
      <c r="D309" s="556"/>
      <c r="E309" s="556"/>
      <c r="F309" s="556"/>
      <c r="G309" s="556"/>
      <c r="H309" s="556"/>
      <c r="I309" s="556"/>
      <c r="J309" s="556"/>
      <c r="K309" s="556"/>
      <c r="L309" s="556"/>
      <c r="M309" s="556"/>
      <c r="N309" s="556"/>
      <c r="O309" s="556"/>
      <c r="P309" s="556"/>
      <c r="Q309" s="556"/>
      <c r="R309" s="556"/>
      <c r="S309" s="556"/>
      <c r="T309" s="556"/>
      <c r="U309" s="556"/>
      <c r="V309" s="556"/>
      <c r="W309" s="556"/>
      <c r="X309" s="556"/>
      <c r="Y309" s="556"/>
      <c r="Z309" s="579"/>
      <c r="AA309" s="556"/>
      <c r="AB309" s="556"/>
      <c r="AC309" s="556"/>
      <c r="AD309" s="556"/>
    </row>
    <row r="310" ht="15.75" customHeight="1">
      <c r="A310" s="594"/>
      <c r="B310" s="556"/>
      <c r="C310" s="556"/>
      <c r="D310" s="556"/>
      <c r="E310" s="556"/>
      <c r="F310" s="556"/>
      <c r="G310" s="556"/>
      <c r="H310" s="556"/>
      <c r="I310" s="556"/>
      <c r="J310" s="556"/>
      <c r="K310" s="556"/>
      <c r="L310" s="556"/>
      <c r="M310" s="556"/>
      <c r="N310" s="556"/>
      <c r="O310" s="556"/>
      <c r="P310" s="556"/>
      <c r="Q310" s="556"/>
      <c r="R310" s="556"/>
      <c r="S310" s="556"/>
      <c r="T310" s="556"/>
      <c r="U310" s="556"/>
      <c r="V310" s="556"/>
      <c r="W310" s="556"/>
      <c r="X310" s="556"/>
      <c r="Y310" s="556"/>
      <c r="Z310" s="579"/>
      <c r="AA310" s="556"/>
      <c r="AB310" s="556"/>
      <c r="AC310" s="556"/>
      <c r="AD310" s="556"/>
    </row>
    <row r="311" ht="15.75" customHeight="1">
      <c r="A311" s="594"/>
      <c r="B311" s="556"/>
      <c r="C311" s="556"/>
      <c r="D311" s="556"/>
      <c r="E311" s="556"/>
      <c r="F311" s="556"/>
      <c r="G311" s="556"/>
      <c r="H311" s="556"/>
      <c r="I311" s="556"/>
      <c r="J311" s="556"/>
      <c r="K311" s="556"/>
      <c r="L311" s="556"/>
      <c r="M311" s="556"/>
      <c r="N311" s="556"/>
      <c r="O311" s="556"/>
      <c r="P311" s="556"/>
      <c r="Q311" s="556"/>
      <c r="R311" s="556"/>
      <c r="S311" s="556"/>
      <c r="T311" s="556"/>
      <c r="U311" s="556"/>
      <c r="V311" s="556"/>
      <c r="W311" s="556"/>
      <c r="X311" s="556"/>
      <c r="Y311" s="556"/>
      <c r="Z311" s="579"/>
      <c r="AA311" s="556"/>
      <c r="AB311" s="556"/>
      <c r="AC311" s="556"/>
      <c r="AD311" s="556"/>
    </row>
    <row r="312" ht="15.75" customHeight="1">
      <c r="A312" s="594"/>
      <c r="B312" s="556"/>
      <c r="C312" s="556"/>
      <c r="D312" s="556"/>
      <c r="E312" s="556"/>
      <c r="F312" s="556"/>
      <c r="G312" s="556"/>
      <c r="H312" s="556"/>
      <c r="I312" s="556"/>
      <c r="J312" s="556"/>
      <c r="K312" s="556"/>
      <c r="L312" s="556"/>
      <c r="M312" s="556"/>
      <c r="N312" s="556"/>
      <c r="O312" s="556"/>
      <c r="P312" s="556"/>
      <c r="Q312" s="556"/>
      <c r="R312" s="556"/>
      <c r="S312" s="556"/>
      <c r="T312" s="556"/>
      <c r="U312" s="556"/>
      <c r="V312" s="556"/>
      <c r="W312" s="556"/>
      <c r="X312" s="556"/>
      <c r="Y312" s="556"/>
      <c r="Z312" s="579"/>
      <c r="AA312" s="556"/>
      <c r="AB312" s="556"/>
      <c r="AC312" s="556"/>
      <c r="AD312" s="556"/>
    </row>
    <row r="313" ht="15.75" customHeight="1">
      <c r="A313" s="594"/>
      <c r="B313" s="556"/>
      <c r="C313" s="556"/>
      <c r="D313" s="556"/>
      <c r="E313" s="556"/>
      <c r="F313" s="556"/>
      <c r="G313" s="556"/>
      <c r="H313" s="556"/>
      <c r="I313" s="556"/>
      <c r="J313" s="556"/>
      <c r="K313" s="556"/>
      <c r="L313" s="556"/>
      <c r="M313" s="556"/>
      <c r="N313" s="556"/>
      <c r="O313" s="556"/>
      <c r="P313" s="556"/>
      <c r="Q313" s="556"/>
      <c r="R313" s="556"/>
      <c r="S313" s="556"/>
      <c r="T313" s="556"/>
      <c r="U313" s="556"/>
      <c r="V313" s="556"/>
      <c r="W313" s="556"/>
      <c r="X313" s="556"/>
      <c r="Y313" s="556"/>
      <c r="Z313" s="579"/>
      <c r="AA313" s="556"/>
      <c r="AB313" s="556"/>
      <c r="AC313" s="556"/>
      <c r="AD313" s="556"/>
    </row>
    <row r="314" ht="15.75" customHeight="1">
      <c r="A314" s="594"/>
      <c r="B314" s="556"/>
      <c r="C314" s="556"/>
      <c r="D314" s="556"/>
      <c r="E314" s="556"/>
      <c r="F314" s="556"/>
      <c r="G314" s="556"/>
      <c r="H314" s="556"/>
      <c r="I314" s="556"/>
      <c r="J314" s="556"/>
      <c r="K314" s="556"/>
      <c r="L314" s="556"/>
      <c r="M314" s="556"/>
      <c r="N314" s="556"/>
      <c r="O314" s="556"/>
      <c r="P314" s="556"/>
      <c r="Q314" s="556"/>
      <c r="R314" s="556"/>
      <c r="S314" s="556"/>
      <c r="T314" s="556"/>
      <c r="U314" s="556"/>
      <c r="V314" s="556"/>
      <c r="W314" s="556"/>
      <c r="X314" s="556"/>
      <c r="Y314" s="556"/>
      <c r="Z314" s="579"/>
      <c r="AA314" s="556"/>
      <c r="AB314" s="556"/>
      <c r="AC314" s="556"/>
      <c r="AD314" s="556"/>
    </row>
    <row r="315" ht="15.75" customHeight="1">
      <c r="A315" s="594"/>
      <c r="B315" s="556"/>
      <c r="C315" s="556"/>
      <c r="D315" s="556"/>
      <c r="E315" s="556"/>
      <c r="F315" s="556"/>
      <c r="G315" s="556"/>
      <c r="H315" s="556"/>
      <c r="I315" s="556"/>
      <c r="J315" s="556"/>
      <c r="K315" s="556"/>
      <c r="L315" s="556"/>
      <c r="M315" s="556"/>
      <c r="N315" s="556"/>
      <c r="O315" s="556"/>
      <c r="P315" s="556"/>
      <c r="Q315" s="556"/>
      <c r="R315" s="556"/>
      <c r="S315" s="556"/>
      <c r="T315" s="556"/>
      <c r="U315" s="556"/>
      <c r="V315" s="556"/>
      <c r="W315" s="556"/>
      <c r="X315" s="556"/>
      <c r="Y315" s="556"/>
      <c r="Z315" s="579"/>
      <c r="AA315" s="556"/>
      <c r="AB315" s="556"/>
      <c r="AC315" s="556"/>
      <c r="AD315" s="556"/>
    </row>
    <row r="316" ht="15.75" customHeight="1">
      <c r="A316" s="594"/>
      <c r="B316" s="556"/>
      <c r="C316" s="556"/>
      <c r="D316" s="556"/>
      <c r="E316" s="556"/>
      <c r="F316" s="556"/>
      <c r="G316" s="556"/>
      <c r="H316" s="556"/>
      <c r="I316" s="556"/>
      <c r="J316" s="556"/>
      <c r="K316" s="556"/>
      <c r="L316" s="556"/>
      <c r="M316" s="556"/>
      <c r="N316" s="556"/>
      <c r="O316" s="556"/>
      <c r="P316" s="556"/>
      <c r="Q316" s="556"/>
      <c r="R316" s="556"/>
      <c r="S316" s="556"/>
      <c r="T316" s="556"/>
      <c r="U316" s="556"/>
      <c r="V316" s="556"/>
      <c r="W316" s="556"/>
      <c r="X316" s="556"/>
      <c r="Y316" s="556"/>
      <c r="Z316" s="579"/>
      <c r="AA316" s="556"/>
      <c r="AB316" s="556"/>
      <c r="AC316" s="556"/>
      <c r="AD316" s="556"/>
    </row>
    <row r="317" ht="15.75" customHeight="1">
      <c r="A317" s="594"/>
      <c r="B317" s="556"/>
      <c r="C317" s="556"/>
      <c r="D317" s="556"/>
      <c r="E317" s="556"/>
      <c r="F317" s="556"/>
      <c r="G317" s="556"/>
      <c r="H317" s="556"/>
      <c r="I317" s="556"/>
      <c r="J317" s="556"/>
      <c r="K317" s="556"/>
      <c r="L317" s="556"/>
      <c r="M317" s="556"/>
      <c r="N317" s="556"/>
      <c r="O317" s="556"/>
      <c r="P317" s="556"/>
      <c r="Q317" s="556"/>
      <c r="R317" s="556"/>
      <c r="S317" s="556"/>
      <c r="T317" s="556"/>
      <c r="U317" s="556"/>
      <c r="V317" s="556"/>
      <c r="W317" s="556"/>
      <c r="X317" s="556"/>
      <c r="Y317" s="556"/>
      <c r="Z317" s="579"/>
      <c r="AA317" s="556"/>
      <c r="AB317" s="556"/>
      <c r="AC317" s="556"/>
      <c r="AD317" s="556"/>
    </row>
    <row r="318" ht="15.75" customHeight="1">
      <c r="A318" s="594"/>
      <c r="B318" s="556"/>
      <c r="C318" s="556"/>
      <c r="D318" s="556"/>
      <c r="E318" s="556"/>
      <c r="F318" s="556"/>
      <c r="G318" s="556"/>
      <c r="H318" s="556"/>
      <c r="I318" s="556"/>
      <c r="J318" s="556"/>
      <c r="K318" s="556"/>
      <c r="L318" s="556"/>
      <c r="M318" s="556"/>
      <c r="N318" s="556"/>
      <c r="O318" s="556"/>
      <c r="P318" s="556"/>
      <c r="Q318" s="556"/>
      <c r="R318" s="556"/>
      <c r="S318" s="556"/>
      <c r="T318" s="556"/>
      <c r="U318" s="556"/>
      <c r="V318" s="556"/>
      <c r="W318" s="556"/>
      <c r="X318" s="556"/>
      <c r="Y318" s="556"/>
      <c r="Z318" s="579"/>
      <c r="AA318" s="556"/>
      <c r="AB318" s="556"/>
      <c r="AC318" s="556"/>
      <c r="AD318" s="556"/>
    </row>
    <row r="319" ht="15.75" customHeight="1">
      <c r="A319" s="594"/>
      <c r="B319" s="556"/>
      <c r="C319" s="556"/>
      <c r="D319" s="556"/>
      <c r="E319" s="556"/>
      <c r="F319" s="556"/>
      <c r="G319" s="556"/>
      <c r="H319" s="556"/>
      <c r="I319" s="556"/>
      <c r="J319" s="556"/>
      <c r="K319" s="556"/>
      <c r="L319" s="556"/>
      <c r="M319" s="556"/>
      <c r="N319" s="556"/>
      <c r="O319" s="556"/>
      <c r="P319" s="556"/>
      <c r="Q319" s="556"/>
      <c r="R319" s="556"/>
      <c r="S319" s="556"/>
      <c r="T319" s="556"/>
      <c r="U319" s="556"/>
      <c r="V319" s="556"/>
      <c r="W319" s="556"/>
      <c r="X319" s="556"/>
      <c r="Y319" s="556"/>
      <c r="Z319" s="579"/>
      <c r="AA319" s="556"/>
      <c r="AB319" s="556"/>
      <c r="AC319" s="556"/>
      <c r="AD319" s="556"/>
    </row>
    <row r="320" ht="15.75" customHeight="1">
      <c r="A320" s="594"/>
      <c r="B320" s="556"/>
      <c r="C320" s="556"/>
      <c r="D320" s="556"/>
      <c r="E320" s="556"/>
      <c r="F320" s="556"/>
      <c r="G320" s="556"/>
      <c r="H320" s="556"/>
      <c r="I320" s="556"/>
      <c r="J320" s="556"/>
      <c r="K320" s="556"/>
      <c r="L320" s="556"/>
      <c r="M320" s="556"/>
      <c r="N320" s="556"/>
      <c r="O320" s="556"/>
      <c r="P320" s="556"/>
      <c r="Q320" s="556"/>
      <c r="R320" s="556"/>
      <c r="S320" s="556"/>
      <c r="T320" s="556"/>
      <c r="U320" s="556"/>
      <c r="V320" s="556"/>
      <c r="W320" s="556"/>
      <c r="X320" s="556"/>
      <c r="Y320" s="556"/>
      <c r="Z320" s="579"/>
      <c r="AA320" s="556"/>
      <c r="AB320" s="556"/>
      <c r="AC320" s="556"/>
      <c r="AD320" s="556"/>
    </row>
    <row r="321" ht="15.75" customHeight="1">
      <c r="A321" s="594"/>
      <c r="B321" s="556"/>
      <c r="C321" s="556"/>
      <c r="D321" s="556"/>
      <c r="E321" s="556"/>
      <c r="F321" s="556"/>
      <c r="G321" s="556"/>
      <c r="H321" s="556"/>
      <c r="I321" s="556"/>
      <c r="J321" s="556"/>
      <c r="K321" s="556"/>
      <c r="L321" s="556"/>
      <c r="M321" s="556"/>
      <c r="N321" s="556"/>
      <c r="O321" s="556"/>
      <c r="P321" s="556"/>
      <c r="Q321" s="556"/>
      <c r="R321" s="556"/>
      <c r="S321" s="556"/>
      <c r="T321" s="556"/>
      <c r="U321" s="556"/>
      <c r="V321" s="556"/>
      <c r="W321" s="556"/>
      <c r="X321" s="556"/>
      <c r="Y321" s="556"/>
      <c r="Z321" s="579"/>
      <c r="AA321" s="556"/>
      <c r="AB321" s="556"/>
      <c r="AC321" s="556"/>
      <c r="AD321" s="556"/>
    </row>
    <row r="322" ht="15.75" customHeight="1">
      <c r="A322" s="594"/>
      <c r="B322" s="556"/>
      <c r="C322" s="556"/>
      <c r="D322" s="556"/>
      <c r="E322" s="556"/>
      <c r="F322" s="556"/>
      <c r="G322" s="556"/>
      <c r="H322" s="556"/>
      <c r="I322" s="556"/>
      <c r="J322" s="556"/>
      <c r="K322" s="556"/>
      <c r="L322" s="556"/>
      <c r="M322" s="556"/>
      <c r="N322" s="556"/>
      <c r="O322" s="556"/>
      <c r="P322" s="556"/>
      <c r="Q322" s="556"/>
      <c r="R322" s="556"/>
      <c r="S322" s="556"/>
      <c r="T322" s="556"/>
      <c r="U322" s="556"/>
      <c r="V322" s="556"/>
      <c r="W322" s="556"/>
      <c r="X322" s="556"/>
      <c r="Y322" s="556"/>
      <c r="Z322" s="579"/>
      <c r="AA322" s="556"/>
      <c r="AB322" s="556"/>
      <c r="AC322" s="556"/>
      <c r="AD322" s="556"/>
    </row>
    <row r="323" ht="15.75" customHeight="1">
      <c r="A323" s="594"/>
      <c r="B323" s="556"/>
      <c r="C323" s="556"/>
      <c r="D323" s="556"/>
      <c r="E323" s="556"/>
      <c r="F323" s="556"/>
      <c r="G323" s="556"/>
      <c r="H323" s="556"/>
      <c r="I323" s="556"/>
      <c r="J323" s="556"/>
      <c r="K323" s="556"/>
      <c r="L323" s="556"/>
      <c r="M323" s="556"/>
      <c r="N323" s="556"/>
      <c r="O323" s="556"/>
      <c r="P323" s="556"/>
      <c r="Q323" s="556"/>
      <c r="R323" s="556"/>
      <c r="S323" s="556"/>
      <c r="T323" s="556"/>
      <c r="U323" s="556"/>
      <c r="V323" s="556"/>
      <c r="W323" s="556"/>
      <c r="X323" s="556"/>
      <c r="Y323" s="556"/>
      <c r="Z323" s="579"/>
      <c r="AA323" s="556"/>
      <c r="AB323" s="556"/>
      <c r="AC323" s="556"/>
      <c r="AD323" s="556"/>
    </row>
    <row r="324" ht="15.75" customHeight="1">
      <c r="A324" s="594"/>
      <c r="B324" s="556"/>
      <c r="C324" s="556"/>
      <c r="D324" s="556"/>
      <c r="E324" s="556"/>
      <c r="F324" s="556"/>
      <c r="G324" s="556"/>
      <c r="H324" s="556"/>
      <c r="I324" s="556"/>
      <c r="J324" s="556"/>
      <c r="K324" s="556"/>
      <c r="L324" s="556"/>
      <c r="M324" s="556"/>
      <c r="N324" s="556"/>
      <c r="O324" s="556"/>
      <c r="P324" s="556"/>
      <c r="Q324" s="556"/>
      <c r="R324" s="556"/>
      <c r="S324" s="556"/>
      <c r="T324" s="556"/>
      <c r="U324" s="556"/>
      <c r="V324" s="556"/>
      <c r="W324" s="556"/>
      <c r="X324" s="556"/>
      <c r="Y324" s="556"/>
      <c r="Z324" s="579"/>
      <c r="AA324" s="556"/>
      <c r="AB324" s="556"/>
      <c r="AC324" s="556"/>
      <c r="AD324" s="556"/>
    </row>
    <row r="325" ht="15.75" customHeight="1">
      <c r="A325" s="594"/>
      <c r="B325" s="556"/>
      <c r="C325" s="556"/>
      <c r="D325" s="556"/>
      <c r="E325" s="556"/>
      <c r="F325" s="556"/>
      <c r="G325" s="556"/>
      <c r="H325" s="556"/>
      <c r="I325" s="556"/>
      <c r="J325" s="556"/>
      <c r="K325" s="556"/>
      <c r="L325" s="556"/>
      <c r="M325" s="556"/>
      <c r="N325" s="556"/>
      <c r="O325" s="556"/>
      <c r="P325" s="556"/>
      <c r="Q325" s="556"/>
      <c r="R325" s="556"/>
      <c r="S325" s="556"/>
      <c r="T325" s="556"/>
      <c r="U325" s="556"/>
      <c r="V325" s="556"/>
      <c r="W325" s="556"/>
      <c r="X325" s="556"/>
      <c r="Y325" s="556"/>
      <c r="Z325" s="579"/>
      <c r="AA325" s="556"/>
      <c r="AB325" s="556"/>
      <c r="AC325" s="556"/>
      <c r="AD325" s="556"/>
    </row>
    <row r="326" ht="15.75" customHeight="1">
      <c r="A326" s="594"/>
      <c r="B326" s="556"/>
      <c r="C326" s="556"/>
      <c r="D326" s="556"/>
      <c r="E326" s="556"/>
      <c r="F326" s="556"/>
      <c r="G326" s="556"/>
      <c r="H326" s="556"/>
      <c r="I326" s="556"/>
      <c r="J326" s="556"/>
      <c r="K326" s="556"/>
      <c r="L326" s="556"/>
      <c r="M326" s="556"/>
      <c r="N326" s="556"/>
      <c r="O326" s="556"/>
      <c r="P326" s="556"/>
      <c r="Q326" s="556"/>
      <c r="R326" s="556"/>
      <c r="S326" s="556"/>
      <c r="T326" s="556"/>
      <c r="U326" s="556"/>
      <c r="V326" s="556"/>
      <c r="W326" s="556"/>
      <c r="X326" s="556"/>
      <c r="Y326" s="556"/>
      <c r="Z326" s="579"/>
      <c r="AA326" s="556"/>
      <c r="AB326" s="556"/>
      <c r="AC326" s="556"/>
      <c r="AD326" s="556"/>
    </row>
    <row r="327" ht="15.75" customHeight="1">
      <c r="A327" s="594"/>
      <c r="B327" s="556"/>
      <c r="C327" s="556"/>
      <c r="D327" s="556"/>
      <c r="E327" s="556"/>
      <c r="F327" s="556"/>
      <c r="G327" s="556"/>
      <c r="H327" s="556"/>
      <c r="I327" s="556"/>
      <c r="J327" s="556"/>
      <c r="K327" s="556"/>
      <c r="L327" s="556"/>
      <c r="M327" s="556"/>
      <c r="N327" s="556"/>
      <c r="O327" s="556"/>
      <c r="P327" s="556"/>
      <c r="Q327" s="556"/>
      <c r="R327" s="556"/>
      <c r="S327" s="556"/>
      <c r="T327" s="556"/>
      <c r="U327" s="556"/>
      <c r="V327" s="556"/>
      <c r="W327" s="556"/>
      <c r="X327" s="556"/>
      <c r="Y327" s="556"/>
      <c r="Z327" s="579"/>
      <c r="AA327" s="556"/>
      <c r="AB327" s="556"/>
      <c r="AC327" s="556"/>
      <c r="AD327" s="556"/>
    </row>
    <row r="328" ht="15.75" customHeight="1">
      <c r="A328" s="594"/>
      <c r="B328" s="556"/>
      <c r="C328" s="556"/>
      <c r="D328" s="556"/>
      <c r="E328" s="556"/>
      <c r="F328" s="556"/>
      <c r="G328" s="556"/>
      <c r="H328" s="556"/>
      <c r="I328" s="556"/>
      <c r="J328" s="556"/>
      <c r="K328" s="556"/>
      <c r="L328" s="556"/>
      <c r="M328" s="556"/>
      <c r="N328" s="556"/>
      <c r="O328" s="556"/>
      <c r="P328" s="556"/>
      <c r="Q328" s="556"/>
      <c r="R328" s="556"/>
      <c r="S328" s="556"/>
      <c r="T328" s="556"/>
      <c r="U328" s="556"/>
      <c r="V328" s="556"/>
      <c r="W328" s="556"/>
      <c r="X328" s="556"/>
      <c r="Y328" s="556"/>
      <c r="Z328" s="579"/>
      <c r="AA328" s="556"/>
      <c r="AB328" s="556"/>
      <c r="AC328" s="556"/>
      <c r="AD328" s="556"/>
    </row>
    <row r="329" ht="15.75" customHeight="1">
      <c r="A329" s="594"/>
      <c r="B329" s="556"/>
      <c r="C329" s="556"/>
      <c r="D329" s="556"/>
      <c r="E329" s="556"/>
      <c r="F329" s="556"/>
      <c r="G329" s="556"/>
      <c r="H329" s="556"/>
      <c r="I329" s="556"/>
      <c r="J329" s="556"/>
      <c r="K329" s="556"/>
      <c r="L329" s="556"/>
      <c r="M329" s="556"/>
      <c r="N329" s="556"/>
      <c r="O329" s="556"/>
      <c r="P329" s="556"/>
      <c r="Q329" s="556"/>
      <c r="R329" s="556"/>
      <c r="S329" s="556"/>
      <c r="T329" s="556"/>
      <c r="U329" s="556"/>
      <c r="V329" s="556"/>
      <c r="W329" s="556"/>
      <c r="X329" s="556"/>
      <c r="Y329" s="556"/>
      <c r="Z329" s="579"/>
      <c r="AA329" s="556"/>
      <c r="AB329" s="556"/>
      <c r="AC329" s="556"/>
      <c r="AD329" s="556"/>
    </row>
    <row r="330" ht="15.75" customHeight="1">
      <c r="A330" s="594"/>
      <c r="B330" s="556"/>
      <c r="C330" s="556"/>
      <c r="D330" s="556"/>
      <c r="E330" s="556"/>
      <c r="F330" s="556"/>
      <c r="G330" s="556"/>
      <c r="H330" s="556"/>
      <c r="I330" s="556"/>
      <c r="J330" s="556"/>
      <c r="K330" s="556"/>
      <c r="L330" s="556"/>
      <c r="M330" s="556"/>
      <c r="N330" s="556"/>
      <c r="O330" s="556"/>
      <c r="P330" s="556"/>
      <c r="Q330" s="556"/>
      <c r="R330" s="556"/>
      <c r="S330" s="556"/>
      <c r="T330" s="556"/>
      <c r="U330" s="556"/>
      <c r="V330" s="556"/>
      <c r="W330" s="556"/>
      <c r="X330" s="556"/>
      <c r="Y330" s="556"/>
      <c r="Z330" s="579"/>
      <c r="AA330" s="556"/>
      <c r="AB330" s="556"/>
      <c r="AC330" s="556"/>
      <c r="AD330" s="556"/>
    </row>
    <row r="331" ht="15.75" customHeight="1">
      <c r="A331" s="594"/>
      <c r="B331" s="556"/>
      <c r="C331" s="556"/>
      <c r="D331" s="556"/>
      <c r="E331" s="556"/>
      <c r="F331" s="556"/>
      <c r="G331" s="556"/>
      <c r="H331" s="556"/>
      <c r="I331" s="556"/>
      <c r="J331" s="556"/>
      <c r="K331" s="556"/>
      <c r="L331" s="556"/>
      <c r="M331" s="556"/>
      <c r="N331" s="556"/>
      <c r="O331" s="556"/>
      <c r="P331" s="556"/>
      <c r="Q331" s="556"/>
      <c r="R331" s="556"/>
      <c r="S331" s="556"/>
      <c r="T331" s="556"/>
      <c r="U331" s="556"/>
      <c r="V331" s="556"/>
      <c r="W331" s="556"/>
      <c r="X331" s="556"/>
      <c r="Y331" s="556"/>
      <c r="Z331" s="579"/>
      <c r="AA331" s="556"/>
      <c r="AB331" s="556"/>
      <c r="AC331" s="556"/>
      <c r="AD331" s="556"/>
    </row>
    <row r="332" ht="15.75" customHeight="1">
      <c r="A332" s="594"/>
      <c r="B332" s="556"/>
      <c r="C332" s="556"/>
      <c r="D332" s="556"/>
      <c r="E332" s="556"/>
      <c r="F332" s="556"/>
      <c r="G332" s="556"/>
      <c r="H332" s="556"/>
      <c r="I332" s="556"/>
      <c r="J332" s="556"/>
      <c r="K332" s="556"/>
      <c r="L332" s="556"/>
      <c r="M332" s="556"/>
      <c r="N332" s="556"/>
      <c r="O332" s="556"/>
      <c r="P332" s="556"/>
      <c r="Q332" s="556"/>
      <c r="R332" s="556"/>
      <c r="S332" s="556"/>
      <c r="T332" s="556"/>
      <c r="U332" s="556"/>
      <c r="V332" s="556"/>
      <c r="W332" s="556"/>
      <c r="X332" s="556"/>
      <c r="Y332" s="556"/>
      <c r="Z332" s="579"/>
      <c r="AA332" s="556"/>
      <c r="AB332" s="556"/>
      <c r="AC332" s="556"/>
      <c r="AD332" s="556"/>
    </row>
    <row r="333" ht="15.75" customHeight="1">
      <c r="A333" s="594"/>
      <c r="B333" s="556"/>
      <c r="C333" s="556"/>
      <c r="D333" s="556"/>
      <c r="E333" s="556"/>
      <c r="F333" s="556"/>
      <c r="G333" s="556"/>
      <c r="H333" s="556"/>
      <c r="I333" s="556"/>
      <c r="J333" s="556"/>
      <c r="K333" s="556"/>
      <c r="L333" s="556"/>
      <c r="M333" s="556"/>
      <c r="N333" s="556"/>
      <c r="O333" s="556"/>
      <c r="P333" s="556"/>
      <c r="Q333" s="556"/>
      <c r="R333" s="556"/>
      <c r="S333" s="556"/>
      <c r="T333" s="556"/>
      <c r="U333" s="556"/>
      <c r="V333" s="556"/>
      <c r="W333" s="556"/>
      <c r="X333" s="556"/>
      <c r="Y333" s="556"/>
      <c r="Z333" s="579"/>
      <c r="AA333" s="556"/>
      <c r="AB333" s="556"/>
      <c r="AC333" s="556"/>
      <c r="AD333" s="556"/>
    </row>
    <row r="334" ht="15.75" customHeight="1">
      <c r="A334" s="594"/>
      <c r="B334" s="556"/>
      <c r="C334" s="556"/>
      <c r="D334" s="556"/>
      <c r="E334" s="556"/>
      <c r="F334" s="556"/>
      <c r="G334" s="556"/>
      <c r="H334" s="556"/>
      <c r="I334" s="556"/>
      <c r="J334" s="556"/>
      <c r="K334" s="556"/>
      <c r="L334" s="556"/>
      <c r="M334" s="556"/>
      <c r="N334" s="556"/>
      <c r="O334" s="556"/>
      <c r="P334" s="556"/>
      <c r="Q334" s="556"/>
      <c r="R334" s="556"/>
      <c r="S334" s="556"/>
      <c r="T334" s="556"/>
      <c r="U334" s="556"/>
      <c r="V334" s="556"/>
      <c r="W334" s="556"/>
      <c r="X334" s="556"/>
      <c r="Y334" s="556"/>
      <c r="Z334" s="579"/>
      <c r="AA334" s="556"/>
      <c r="AB334" s="556"/>
      <c r="AC334" s="556"/>
      <c r="AD334" s="556"/>
    </row>
    <row r="335" ht="15.75" customHeight="1">
      <c r="A335" s="594"/>
      <c r="B335" s="556"/>
      <c r="C335" s="556"/>
      <c r="D335" s="556"/>
      <c r="E335" s="556"/>
      <c r="F335" s="556"/>
      <c r="G335" s="556"/>
      <c r="H335" s="556"/>
      <c r="I335" s="556"/>
      <c r="J335" s="556"/>
      <c r="K335" s="556"/>
      <c r="L335" s="556"/>
      <c r="M335" s="556"/>
      <c r="N335" s="556"/>
      <c r="O335" s="556"/>
      <c r="P335" s="556"/>
      <c r="Q335" s="556"/>
      <c r="R335" s="556"/>
      <c r="S335" s="556"/>
      <c r="T335" s="556"/>
      <c r="U335" s="556"/>
      <c r="V335" s="556"/>
      <c r="W335" s="556"/>
      <c r="X335" s="556"/>
      <c r="Y335" s="556"/>
      <c r="Z335" s="579"/>
      <c r="AA335" s="556"/>
      <c r="AB335" s="556"/>
      <c r="AC335" s="556"/>
      <c r="AD335" s="556"/>
    </row>
    <row r="336" ht="15.75" customHeight="1">
      <c r="A336" s="594"/>
      <c r="B336" s="556"/>
      <c r="C336" s="556"/>
      <c r="D336" s="556"/>
      <c r="E336" s="556"/>
      <c r="F336" s="556"/>
      <c r="G336" s="556"/>
      <c r="H336" s="556"/>
      <c r="I336" s="556"/>
      <c r="J336" s="556"/>
      <c r="K336" s="556"/>
      <c r="L336" s="556"/>
      <c r="M336" s="556"/>
      <c r="N336" s="556"/>
      <c r="O336" s="556"/>
      <c r="P336" s="556"/>
      <c r="Q336" s="556"/>
      <c r="R336" s="556"/>
      <c r="S336" s="556"/>
      <c r="T336" s="556"/>
      <c r="U336" s="556"/>
      <c r="V336" s="556"/>
      <c r="W336" s="556"/>
      <c r="X336" s="556"/>
      <c r="Y336" s="556"/>
      <c r="Z336" s="579"/>
      <c r="AA336" s="556"/>
      <c r="AB336" s="556"/>
      <c r="AC336" s="556"/>
      <c r="AD336" s="556"/>
    </row>
    <row r="337" ht="15.75" customHeight="1">
      <c r="A337" s="594"/>
      <c r="B337" s="556"/>
      <c r="C337" s="556"/>
      <c r="D337" s="556"/>
      <c r="E337" s="556"/>
      <c r="F337" s="556"/>
      <c r="G337" s="556"/>
      <c r="H337" s="556"/>
      <c r="I337" s="556"/>
      <c r="J337" s="556"/>
      <c r="K337" s="556"/>
      <c r="L337" s="556"/>
      <c r="M337" s="556"/>
      <c r="N337" s="556"/>
      <c r="O337" s="556"/>
      <c r="P337" s="556"/>
      <c r="Q337" s="556"/>
      <c r="R337" s="556"/>
      <c r="S337" s="556"/>
      <c r="T337" s="556"/>
      <c r="U337" s="556"/>
      <c r="V337" s="556"/>
      <c r="W337" s="556"/>
      <c r="X337" s="556"/>
      <c r="Y337" s="556"/>
      <c r="Z337" s="579"/>
      <c r="AA337" s="556"/>
      <c r="AB337" s="556"/>
      <c r="AC337" s="556"/>
      <c r="AD337" s="556"/>
    </row>
    <row r="338" ht="15.75" customHeight="1">
      <c r="A338" s="594"/>
      <c r="B338" s="556"/>
      <c r="C338" s="556"/>
      <c r="D338" s="556"/>
      <c r="E338" s="556"/>
      <c r="F338" s="556"/>
      <c r="G338" s="556"/>
      <c r="H338" s="556"/>
      <c r="I338" s="556"/>
      <c r="J338" s="556"/>
      <c r="K338" s="556"/>
      <c r="L338" s="556"/>
      <c r="M338" s="556"/>
      <c r="N338" s="556"/>
      <c r="O338" s="556"/>
      <c r="P338" s="556"/>
      <c r="Q338" s="556"/>
      <c r="R338" s="556"/>
      <c r="S338" s="556"/>
      <c r="T338" s="556"/>
      <c r="U338" s="556"/>
      <c r="V338" s="556"/>
      <c r="W338" s="556"/>
      <c r="X338" s="556"/>
      <c r="Y338" s="556"/>
      <c r="Z338" s="579"/>
      <c r="AA338" s="556"/>
      <c r="AB338" s="556"/>
      <c r="AC338" s="556"/>
      <c r="AD338" s="556"/>
    </row>
    <row r="339" ht="15.75" customHeight="1">
      <c r="A339" s="594"/>
      <c r="B339" s="556"/>
      <c r="C339" s="556"/>
      <c r="D339" s="556"/>
      <c r="E339" s="556"/>
      <c r="F339" s="556"/>
      <c r="G339" s="556"/>
      <c r="H339" s="556"/>
      <c r="I339" s="556"/>
      <c r="J339" s="556"/>
      <c r="K339" s="556"/>
      <c r="L339" s="556"/>
      <c r="M339" s="556"/>
      <c r="N339" s="556"/>
      <c r="O339" s="556"/>
      <c r="P339" s="556"/>
      <c r="Q339" s="556"/>
      <c r="R339" s="556"/>
      <c r="S339" s="556"/>
      <c r="T339" s="556"/>
      <c r="U339" s="556"/>
      <c r="V339" s="556"/>
      <c r="W339" s="556"/>
      <c r="X339" s="556"/>
      <c r="Y339" s="556"/>
      <c r="Z339" s="579"/>
      <c r="AA339" s="556"/>
      <c r="AB339" s="556"/>
      <c r="AC339" s="556"/>
      <c r="AD339" s="556"/>
    </row>
    <row r="340" ht="15.75" customHeight="1">
      <c r="A340" s="594"/>
      <c r="B340" s="556"/>
      <c r="C340" s="556"/>
      <c r="D340" s="556"/>
      <c r="E340" s="556"/>
      <c r="F340" s="556"/>
      <c r="G340" s="556"/>
      <c r="H340" s="556"/>
      <c r="I340" s="556"/>
      <c r="J340" s="556"/>
      <c r="K340" s="556"/>
      <c r="L340" s="556"/>
      <c r="M340" s="556"/>
      <c r="N340" s="556"/>
      <c r="O340" s="556"/>
      <c r="P340" s="556"/>
      <c r="Q340" s="556"/>
      <c r="R340" s="556"/>
      <c r="S340" s="556"/>
      <c r="T340" s="556"/>
      <c r="U340" s="556"/>
      <c r="V340" s="556"/>
      <c r="W340" s="556"/>
      <c r="X340" s="556"/>
      <c r="Y340" s="556"/>
      <c r="Z340" s="579"/>
      <c r="AA340" s="556"/>
      <c r="AB340" s="556"/>
      <c r="AC340" s="556"/>
      <c r="AD340" s="556"/>
    </row>
    <row r="341" ht="15.75" customHeight="1">
      <c r="A341" s="594"/>
      <c r="B341" s="556"/>
      <c r="C341" s="556"/>
      <c r="D341" s="556"/>
      <c r="E341" s="556"/>
      <c r="F341" s="556"/>
      <c r="G341" s="556"/>
      <c r="H341" s="556"/>
      <c r="I341" s="556"/>
      <c r="J341" s="556"/>
      <c r="K341" s="556"/>
      <c r="L341" s="556"/>
      <c r="M341" s="556"/>
      <c r="N341" s="556"/>
      <c r="O341" s="556"/>
      <c r="P341" s="556"/>
      <c r="Q341" s="556"/>
      <c r="R341" s="556"/>
      <c r="S341" s="556"/>
      <c r="T341" s="556"/>
      <c r="U341" s="556"/>
      <c r="V341" s="556"/>
      <c r="W341" s="556"/>
      <c r="X341" s="556"/>
      <c r="Y341" s="556"/>
      <c r="Z341" s="579"/>
      <c r="AA341" s="556"/>
      <c r="AB341" s="556"/>
      <c r="AC341" s="556"/>
      <c r="AD341" s="556"/>
    </row>
    <row r="342" ht="15.75" customHeight="1">
      <c r="A342" s="594"/>
      <c r="B342" s="556"/>
      <c r="C342" s="556"/>
      <c r="D342" s="556"/>
      <c r="E342" s="556"/>
      <c r="F342" s="556"/>
      <c r="G342" s="556"/>
      <c r="H342" s="556"/>
      <c r="I342" s="556"/>
      <c r="J342" s="556"/>
      <c r="K342" s="556"/>
      <c r="L342" s="556"/>
      <c r="M342" s="556"/>
      <c r="N342" s="556"/>
      <c r="O342" s="556"/>
      <c r="P342" s="556"/>
      <c r="Q342" s="556"/>
      <c r="R342" s="556"/>
      <c r="S342" s="556"/>
      <c r="T342" s="556"/>
      <c r="U342" s="556"/>
      <c r="V342" s="556"/>
      <c r="W342" s="556"/>
      <c r="X342" s="556"/>
      <c r="Y342" s="556"/>
      <c r="Z342" s="579"/>
      <c r="AA342" s="556"/>
      <c r="AB342" s="556"/>
      <c r="AC342" s="556"/>
      <c r="AD342" s="556"/>
    </row>
    <row r="343" ht="15.75" customHeight="1">
      <c r="A343" s="594"/>
      <c r="B343" s="556"/>
      <c r="C343" s="556"/>
      <c r="D343" s="556"/>
      <c r="E343" s="556"/>
      <c r="F343" s="556"/>
      <c r="G343" s="556"/>
      <c r="H343" s="556"/>
      <c r="I343" s="556"/>
      <c r="J343" s="556"/>
      <c r="K343" s="556"/>
      <c r="L343" s="556"/>
      <c r="M343" s="556"/>
      <c r="N343" s="556"/>
      <c r="O343" s="556"/>
      <c r="P343" s="556"/>
      <c r="Q343" s="556"/>
      <c r="R343" s="556"/>
      <c r="S343" s="556"/>
      <c r="T343" s="556"/>
      <c r="U343" s="556"/>
      <c r="V343" s="556"/>
      <c r="W343" s="556"/>
      <c r="X343" s="556"/>
      <c r="Y343" s="556"/>
      <c r="Z343" s="579"/>
      <c r="AA343" s="556"/>
      <c r="AB343" s="556"/>
      <c r="AC343" s="556"/>
      <c r="AD343" s="556"/>
    </row>
    <row r="344" ht="15.75" customHeight="1">
      <c r="A344" s="594"/>
      <c r="B344" s="556"/>
      <c r="C344" s="556"/>
      <c r="D344" s="556"/>
      <c r="E344" s="556"/>
      <c r="F344" s="556"/>
      <c r="G344" s="556"/>
      <c r="H344" s="556"/>
      <c r="I344" s="556"/>
      <c r="J344" s="556"/>
      <c r="K344" s="556"/>
      <c r="L344" s="556"/>
      <c r="M344" s="556"/>
      <c r="N344" s="556"/>
      <c r="O344" s="556"/>
      <c r="P344" s="556"/>
      <c r="Q344" s="556"/>
      <c r="R344" s="556"/>
      <c r="S344" s="556"/>
      <c r="T344" s="556"/>
      <c r="U344" s="556"/>
      <c r="V344" s="556"/>
      <c r="W344" s="556"/>
      <c r="X344" s="556"/>
      <c r="Y344" s="556"/>
      <c r="Z344" s="579"/>
      <c r="AA344" s="556"/>
      <c r="AB344" s="556"/>
      <c r="AC344" s="556"/>
      <c r="AD344" s="556"/>
    </row>
    <row r="345" ht="15.75" customHeight="1">
      <c r="A345" s="594"/>
      <c r="B345" s="556"/>
      <c r="C345" s="556"/>
      <c r="D345" s="556"/>
      <c r="E345" s="556"/>
      <c r="F345" s="556"/>
      <c r="G345" s="556"/>
      <c r="H345" s="556"/>
      <c r="I345" s="556"/>
      <c r="J345" s="556"/>
      <c r="K345" s="556"/>
      <c r="L345" s="556"/>
      <c r="M345" s="556"/>
      <c r="N345" s="556"/>
      <c r="O345" s="556"/>
      <c r="P345" s="556"/>
      <c r="Q345" s="556"/>
      <c r="R345" s="556"/>
      <c r="S345" s="556"/>
      <c r="T345" s="556"/>
      <c r="U345" s="556"/>
      <c r="V345" s="556"/>
      <c r="W345" s="556"/>
      <c r="X345" s="556"/>
      <c r="Y345" s="556"/>
      <c r="Z345" s="579"/>
      <c r="AA345" s="556"/>
      <c r="AB345" s="556"/>
      <c r="AC345" s="556"/>
      <c r="AD345" s="556"/>
    </row>
    <row r="346" ht="15.75" customHeight="1">
      <c r="A346" s="594"/>
      <c r="B346" s="556"/>
      <c r="C346" s="556"/>
      <c r="D346" s="556"/>
      <c r="E346" s="556"/>
      <c r="F346" s="556"/>
      <c r="G346" s="556"/>
      <c r="H346" s="556"/>
      <c r="I346" s="556"/>
      <c r="J346" s="556"/>
      <c r="K346" s="556"/>
      <c r="L346" s="556"/>
      <c r="M346" s="556"/>
      <c r="N346" s="556"/>
      <c r="O346" s="556"/>
      <c r="P346" s="556"/>
      <c r="Q346" s="556"/>
      <c r="R346" s="556"/>
      <c r="S346" s="556"/>
      <c r="T346" s="556"/>
      <c r="U346" s="556"/>
      <c r="V346" s="556"/>
      <c r="W346" s="556"/>
      <c r="X346" s="556"/>
      <c r="Y346" s="556"/>
      <c r="Z346" s="579"/>
      <c r="AA346" s="556"/>
      <c r="AB346" s="556"/>
      <c r="AC346" s="556"/>
      <c r="AD346" s="556"/>
    </row>
    <row r="347" ht="15.75" customHeight="1">
      <c r="A347" s="594"/>
      <c r="B347" s="556"/>
      <c r="C347" s="556"/>
      <c r="D347" s="556"/>
      <c r="E347" s="556"/>
      <c r="F347" s="556"/>
      <c r="G347" s="556"/>
      <c r="H347" s="556"/>
      <c r="I347" s="556"/>
      <c r="J347" s="556"/>
      <c r="K347" s="556"/>
      <c r="L347" s="556"/>
      <c r="M347" s="556"/>
      <c r="N347" s="556"/>
      <c r="O347" s="556"/>
      <c r="P347" s="556"/>
      <c r="Q347" s="556"/>
      <c r="R347" s="556"/>
      <c r="S347" s="556"/>
      <c r="T347" s="556"/>
      <c r="U347" s="556"/>
      <c r="V347" s="556"/>
      <c r="W347" s="556"/>
      <c r="X347" s="556"/>
      <c r="Y347" s="556"/>
      <c r="Z347" s="579"/>
      <c r="AA347" s="556"/>
      <c r="AB347" s="556"/>
      <c r="AC347" s="556"/>
      <c r="AD347" s="556"/>
    </row>
    <row r="348" ht="15.75" customHeight="1">
      <c r="A348" s="594"/>
      <c r="B348" s="556"/>
      <c r="C348" s="556"/>
      <c r="D348" s="556"/>
      <c r="E348" s="556"/>
      <c r="F348" s="556"/>
      <c r="G348" s="556"/>
      <c r="H348" s="556"/>
      <c r="I348" s="556"/>
      <c r="J348" s="556"/>
      <c r="K348" s="556"/>
      <c r="L348" s="556"/>
      <c r="M348" s="556"/>
      <c r="N348" s="556"/>
      <c r="O348" s="556"/>
      <c r="P348" s="556"/>
      <c r="Q348" s="556"/>
      <c r="R348" s="556"/>
      <c r="S348" s="556"/>
      <c r="T348" s="556"/>
      <c r="U348" s="556"/>
      <c r="V348" s="556"/>
      <c r="W348" s="556"/>
      <c r="X348" s="556"/>
      <c r="Y348" s="556"/>
      <c r="Z348" s="579"/>
      <c r="AA348" s="556"/>
      <c r="AB348" s="556"/>
      <c r="AC348" s="556"/>
      <c r="AD348" s="556"/>
    </row>
    <row r="349" ht="15.75" customHeight="1">
      <c r="A349" s="594"/>
      <c r="B349" s="556"/>
      <c r="C349" s="556"/>
      <c r="D349" s="556"/>
      <c r="E349" s="556"/>
      <c r="F349" s="556"/>
      <c r="G349" s="556"/>
      <c r="H349" s="556"/>
      <c r="I349" s="556"/>
      <c r="J349" s="556"/>
      <c r="K349" s="556"/>
      <c r="L349" s="556"/>
      <c r="M349" s="556"/>
      <c r="N349" s="556"/>
      <c r="O349" s="556"/>
      <c r="P349" s="556"/>
      <c r="Q349" s="556"/>
      <c r="R349" s="556"/>
      <c r="S349" s="556"/>
      <c r="T349" s="556"/>
      <c r="U349" s="556"/>
      <c r="V349" s="556"/>
      <c r="W349" s="556"/>
      <c r="X349" s="556"/>
      <c r="Y349" s="556"/>
      <c r="Z349" s="579"/>
      <c r="AA349" s="556"/>
      <c r="AB349" s="556"/>
      <c r="AC349" s="556"/>
      <c r="AD349" s="556"/>
    </row>
    <row r="350" ht="15.75" customHeight="1">
      <c r="A350" s="594"/>
      <c r="B350" s="556"/>
      <c r="C350" s="556"/>
      <c r="D350" s="556"/>
      <c r="E350" s="556"/>
      <c r="F350" s="556"/>
      <c r="G350" s="556"/>
      <c r="H350" s="556"/>
      <c r="I350" s="556"/>
      <c r="J350" s="556"/>
      <c r="K350" s="556"/>
      <c r="L350" s="556"/>
      <c r="M350" s="556"/>
      <c r="N350" s="556"/>
      <c r="O350" s="556"/>
      <c r="P350" s="556"/>
      <c r="Q350" s="556"/>
      <c r="R350" s="556"/>
      <c r="S350" s="556"/>
      <c r="T350" s="556"/>
      <c r="U350" s="556"/>
      <c r="V350" s="556"/>
      <c r="W350" s="556"/>
      <c r="X350" s="556"/>
      <c r="Y350" s="556"/>
      <c r="Z350" s="579"/>
      <c r="AA350" s="556"/>
      <c r="AB350" s="556"/>
      <c r="AC350" s="556"/>
      <c r="AD350" s="556"/>
    </row>
    <row r="351" ht="15.75" customHeight="1">
      <c r="A351" s="594"/>
      <c r="B351" s="556"/>
      <c r="C351" s="556"/>
      <c r="D351" s="556"/>
      <c r="E351" s="556"/>
      <c r="F351" s="556"/>
      <c r="G351" s="556"/>
      <c r="H351" s="556"/>
      <c r="I351" s="556"/>
      <c r="J351" s="556"/>
      <c r="K351" s="556"/>
      <c r="L351" s="556"/>
      <c r="M351" s="556"/>
      <c r="N351" s="556"/>
      <c r="O351" s="556"/>
      <c r="P351" s="556"/>
      <c r="Q351" s="556"/>
      <c r="R351" s="556"/>
      <c r="S351" s="556"/>
      <c r="T351" s="556"/>
      <c r="U351" s="556"/>
      <c r="V351" s="556"/>
      <c r="W351" s="556"/>
      <c r="X351" s="556"/>
      <c r="Y351" s="556"/>
      <c r="Z351" s="579"/>
      <c r="AA351" s="556"/>
      <c r="AB351" s="556"/>
      <c r="AC351" s="556"/>
      <c r="AD351" s="556"/>
    </row>
    <row r="352" ht="15.75" customHeight="1">
      <c r="A352" s="594"/>
      <c r="B352" s="556"/>
      <c r="C352" s="556"/>
      <c r="D352" s="556"/>
      <c r="E352" s="556"/>
      <c r="F352" s="556"/>
      <c r="G352" s="556"/>
      <c r="H352" s="556"/>
      <c r="I352" s="556"/>
      <c r="J352" s="556"/>
      <c r="K352" s="556"/>
      <c r="L352" s="556"/>
      <c r="M352" s="556"/>
      <c r="N352" s="556"/>
      <c r="O352" s="556"/>
      <c r="P352" s="556"/>
      <c r="Q352" s="556"/>
      <c r="R352" s="556"/>
      <c r="S352" s="556"/>
      <c r="T352" s="556"/>
      <c r="U352" s="556"/>
      <c r="V352" s="556"/>
      <c r="W352" s="556"/>
      <c r="X352" s="556"/>
      <c r="Y352" s="556"/>
      <c r="Z352" s="579"/>
      <c r="AA352" s="556"/>
      <c r="AB352" s="556"/>
      <c r="AC352" s="556"/>
      <c r="AD352" s="556"/>
    </row>
    <row r="353" ht="15.75" customHeight="1">
      <c r="A353" s="594"/>
      <c r="B353" s="556"/>
      <c r="C353" s="556"/>
      <c r="D353" s="556"/>
      <c r="E353" s="556"/>
      <c r="F353" s="556"/>
      <c r="G353" s="556"/>
      <c r="H353" s="556"/>
      <c r="I353" s="556"/>
      <c r="J353" s="556"/>
      <c r="K353" s="556"/>
      <c r="L353" s="556"/>
      <c r="M353" s="556"/>
      <c r="N353" s="556"/>
      <c r="O353" s="556"/>
      <c r="P353" s="556"/>
      <c r="Q353" s="556"/>
      <c r="R353" s="556"/>
      <c r="S353" s="556"/>
      <c r="T353" s="556"/>
      <c r="U353" s="556"/>
      <c r="V353" s="556"/>
      <c r="W353" s="556"/>
      <c r="X353" s="556"/>
      <c r="Y353" s="556"/>
      <c r="Z353" s="579"/>
      <c r="AA353" s="556"/>
      <c r="AB353" s="556"/>
      <c r="AC353" s="556"/>
      <c r="AD353" s="556"/>
    </row>
    <row r="354" ht="15.75" customHeight="1">
      <c r="A354" s="594"/>
      <c r="B354" s="556"/>
      <c r="C354" s="556"/>
      <c r="D354" s="556"/>
      <c r="E354" s="556"/>
      <c r="F354" s="556"/>
      <c r="G354" s="556"/>
      <c r="H354" s="556"/>
      <c r="I354" s="556"/>
      <c r="J354" s="556"/>
      <c r="K354" s="556"/>
      <c r="L354" s="556"/>
      <c r="M354" s="556"/>
      <c r="N354" s="556"/>
      <c r="O354" s="556"/>
      <c r="P354" s="556"/>
      <c r="Q354" s="556"/>
      <c r="R354" s="556"/>
      <c r="S354" s="556"/>
      <c r="T354" s="556"/>
      <c r="U354" s="556"/>
      <c r="V354" s="556"/>
      <c r="W354" s="556"/>
      <c r="X354" s="556"/>
      <c r="Y354" s="556"/>
      <c r="Z354" s="579"/>
      <c r="AA354" s="556"/>
      <c r="AB354" s="556"/>
      <c r="AC354" s="556"/>
      <c r="AD354" s="556"/>
    </row>
    <row r="355" ht="15.75" customHeight="1">
      <c r="A355" s="594"/>
      <c r="B355" s="556"/>
      <c r="C355" s="556"/>
      <c r="D355" s="556"/>
      <c r="E355" s="556"/>
      <c r="F355" s="556"/>
      <c r="G355" s="556"/>
      <c r="H355" s="556"/>
      <c r="I355" s="556"/>
      <c r="J355" s="556"/>
      <c r="K355" s="556"/>
      <c r="L355" s="556"/>
      <c r="M355" s="556"/>
      <c r="N355" s="556"/>
      <c r="O355" s="556"/>
      <c r="P355" s="556"/>
      <c r="Q355" s="556"/>
      <c r="R355" s="556"/>
      <c r="S355" s="556"/>
      <c r="T355" s="556"/>
      <c r="U355" s="556"/>
      <c r="V355" s="556"/>
      <c r="W355" s="556"/>
      <c r="X355" s="556"/>
      <c r="Y355" s="556"/>
      <c r="Z355" s="579"/>
      <c r="AA355" s="556"/>
      <c r="AB355" s="556"/>
      <c r="AC355" s="556"/>
      <c r="AD355" s="556"/>
    </row>
    <row r="356" ht="15.75" customHeight="1">
      <c r="A356" s="594"/>
      <c r="B356" s="556"/>
      <c r="C356" s="556"/>
      <c r="D356" s="556"/>
      <c r="E356" s="556"/>
      <c r="F356" s="556"/>
      <c r="G356" s="556"/>
      <c r="H356" s="556"/>
      <c r="I356" s="556"/>
      <c r="J356" s="556"/>
      <c r="K356" s="556"/>
      <c r="L356" s="556"/>
      <c r="M356" s="556"/>
      <c r="N356" s="556"/>
      <c r="O356" s="556"/>
      <c r="P356" s="556"/>
      <c r="Q356" s="556"/>
      <c r="R356" s="556"/>
      <c r="S356" s="556"/>
      <c r="T356" s="556"/>
      <c r="U356" s="556"/>
      <c r="V356" s="556"/>
      <c r="W356" s="556"/>
      <c r="X356" s="556"/>
      <c r="Y356" s="556"/>
      <c r="Z356" s="579"/>
      <c r="AA356" s="556"/>
      <c r="AB356" s="556"/>
      <c r="AC356" s="556"/>
      <c r="AD356" s="556"/>
    </row>
    <row r="357" ht="15.75" customHeight="1">
      <c r="A357" s="594"/>
      <c r="B357" s="556"/>
      <c r="C357" s="556"/>
      <c r="D357" s="556"/>
      <c r="E357" s="556"/>
      <c r="F357" s="556"/>
      <c r="G357" s="556"/>
      <c r="H357" s="556"/>
      <c r="I357" s="556"/>
      <c r="J357" s="556"/>
      <c r="K357" s="556"/>
      <c r="L357" s="556"/>
      <c r="M357" s="556"/>
      <c r="N357" s="556"/>
      <c r="O357" s="556"/>
      <c r="P357" s="556"/>
      <c r="Q357" s="556"/>
      <c r="R357" s="556"/>
      <c r="S357" s="556"/>
      <c r="T357" s="556"/>
      <c r="U357" s="556"/>
      <c r="V357" s="556"/>
      <c r="W357" s="556"/>
      <c r="X357" s="556"/>
      <c r="Y357" s="556"/>
      <c r="Z357" s="579"/>
      <c r="AA357" s="556"/>
      <c r="AB357" s="556"/>
      <c r="AC357" s="556"/>
      <c r="AD357" s="556"/>
    </row>
    <row r="358" ht="15.75" customHeight="1">
      <c r="A358" s="594"/>
      <c r="B358" s="556"/>
      <c r="C358" s="556"/>
      <c r="D358" s="556"/>
      <c r="E358" s="556"/>
      <c r="F358" s="556"/>
      <c r="G358" s="556"/>
      <c r="H358" s="556"/>
      <c r="I358" s="556"/>
      <c r="J358" s="556"/>
      <c r="K358" s="556"/>
      <c r="L358" s="556"/>
      <c r="M358" s="556"/>
      <c r="N358" s="556"/>
      <c r="O358" s="556"/>
      <c r="P358" s="556"/>
      <c r="Q358" s="556"/>
      <c r="R358" s="556"/>
      <c r="S358" s="556"/>
      <c r="T358" s="556"/>
      <c r="U358" s="556"/>
      <c r="V358" s="556"/>
      <c r="W358" s="556"/>
      <c r="X358" s="556"/>
      <c r="Y358" s="556"/>
      <c r="Z358" s="579"/>
      <c r="AA358" s="556"/>
      <c r="AB358" s="556"/>
      <c r="AC358" s="556"/>
      <c r="AD358" s="556"/>
    </row>
    <row r="359" ht="15.75" customHeight="1">
      <c r="A359" s="594"/>
      <c r="B359" s="556"/>
      <c r="C359" s="556"/>
      <c r="D359" s="556"/>
      <c r="E359" s="556"/>
      <c r="F359" s="556"/>
      <c r="G359" s="556"/>
      <c r="H359" s="556"/>
      <c r="I359" s="556"/>
      <c r="J359" s="556"/>
      <c r="K359" s="556"/>
      <c r="L359" s="556"/>
      <c r="M359" s="556"/>
      <c r="N359" s="556"/>
      <c r="O359" s="556"/>
      <c r="P359" s="556"/>
      <c r="Q359" s="556"/>
      <c r="R359" s="556"/>
      <c r="S359" s="556"/>
      <c r="T359" s="556"/>
      <c r="U359" s="556"/>
      <c r="V359" s="556"/>
      <c r="W359" s="556"/>
      <c r="X359" s="556"/>
      <c r="Y359" s="556"/>
      <c r="Z359" s="579"/>
      <c r="AA359" s="556"/>
      <c r="AB359" s="556"/>
      <c r="AC359" s="556"/>
      <c r="AD359" s="556"/>
    </row>
    <row r="360" ht="15.75" customHeight="1">
      <c r="A360" s="594"/>
      <c r="B360" s="556"/>
      <c r="C360" s="556"/>
      <c r="D360" s="556"/>
      <c r="E360" s="556"/>
      <c r="F360" s="556"/>
      <c r="G360" s="556"/>
      <c r="H360" s="556"/>
      <c r="I360" s="556"/>
      <c r="J360" s="556"/>
      <c r="K360" s="556"/>
      <c r="L360" s="556"/>
      <c r="M360" s="556"/>
      <c r="N360" s="556"/>
      <c r="O360" s="556"/>
      <c r="P360" s="556"/>
      <c r="Q360" s="556"/>
      <c r="R360" s="556"/>
      <c r="S360" s="556"/>
      <c r="T360" s="556"/>
      <c r="U360" s="556"/>
      <c r="V360" s="556"/>
      <c r="W360" s="556"/>
      <c r="X360" s="556"/>
      <c r="Y360" s="556"/>
      <c r="Z360" s="579"/>
      <c r="AA360" s="556"/>
      <c r="AB360" s="556"/>
      <c r="AC360" s="556"/>
      <c r="AD360" s="556"/>
    </row>
    <row r="361" ht="15.75" customHeight="1">
      <c r="A361" s="594"/>
      <c r="B361" s="556"/>
      <c r="C361" s="556"/>
      <c r="D361" s="556"/>
      <c r="E361" s="556"/>
      <c r="F361" s="556"/>
      <c r="G361" s="556"/>
      <c r="H361" s="556"/>
      <c r="I361" s="556"/>
      <c r="J361" s="556"/>
      <c r="K361" s="556"/>
      <c r="L361" s="556"/>
      <c r="M361" s="556"/>
      <c r="N361" s="556"/>
      <c r="O361" s="556"/>
      <c r="P361" s="556"/>
      <c r="Q361" s="556"/>
      <c r="R361" s="556"/>
      <c r="S361" s="556"/>
      <c r="T361" s="556"/>
      <c r="U361" s="556"/>
      <c r="V361" s="556"/>
      <c r="W361" s="556"/>
      <c r="X361" s="556"/>
      <c r="Y361" s="556"/>
      <c r="Z361" s="579"/>
      <c r="AA361" s="556"/>
      <c r="AB361" s="556"/>
      <c r="AC361" s="556"/>
      <c r="AD361" s="556"/>
    </row>
    <row r="362" ht="15.75" customHeight="1">
      <c r="A362" s="594"/>
      <c r="B362" s="556"/>
      <c r="C362" s="556"/>
      <c r="D362" s="556"/>
      <c r="E362" s="556"/>
      <c r="F362" s="556"/>
      <c r="G362" s="556"/>
      <c r="H362" s="556"/>
      <c r="I362" s="556"/>
      <c r="J362" s="556"/>
      <c r="K362" s="556"/>
      <c r="L362" s="556"/>
      <c r="M362" s="556"/>
      <c r="N362" s="556"/>
      <c r="O362" s="556"/>
      <c r="P362" s="556"/>
      <c r="Q362" s="556"/>
      <c r="R362" s="556"/>
      <c r="S362" s="556"/>
      <c r="T362" s="556"/>
      <c r="U362" s="556"/>
      <c r="V362" s="556"/>
      <c r="W362" s="556"/>
      <c r="X362" s="556"/>
      <c r="Y362" s="556"/>
      <c r="Z362" s="579"/>
      <c r="AA362" s="556"/>
      <c r="AB362" s="556"/>
      <c r="AC362" s="556"/>
      <c r="AD362" s="556"/>
    </row>
    <row r="363" ht="15.75" customHeight="1">
      <c r="A363" s="594"/>
      <c r="B363" s="556"/>
      <c r="C363" s="556"/>
      <c r="D363" s="556"/>
      <c r="E363" s="556"/>
      <c r="F363" s="556"/>
      <c r="G363" s="556"/>
      <c r="H363" s="556"/>
      <c r="I363" s="556"/>
      <c r="J363" s="556"/>
      <c r="K363" s="556"/>
      <c r="L363" s="556"/>
      <c r="M363" s="556"/>
      <c r="N363" s="556"/>
      <c r="O363" s="556"/>
      <c r="P363" s="556"/>
      <c r="Q363" s="556"/>
      <c r="R363" s="556"/>
      <c r="S363" s="556"/>
      <c r="T363" s="556"/>
      <c r="U363" s="556"/>
      <c r="V363" s="556"/>
      <c r="W363" s="556"/>
      <c r="X363" s="556"/>
      <c r="Y363" s="556"/>
      <c r="Z363" s="579"/>
      <c r="AA363" s="556"/>
      <c r="AB363" s="556"/>
      <c r="AC363" s="556"/>
      <c r="AD363" s="556"/>
    </row>
    <row r="364" ht="15.75" customHeight="1">
      <c r="A364" s="594"/>
      <c r="B364" s="556"/>
      <c r="C364" s="556"/>
      <c r="D364" s="556"/>
      <c r="E364" s="556"/>
      <c r="F364" s="556"/>
      <c r="G364" s="556"/>
      <c r="H364" s="556"/>
      <c r="I364" s="556"/>
      <c r="J364" s="556"/>
      <c r="K364" s="556"/>
      <c r="L364" s="556"/>
      <c r="M364" s="556"/>
      <c r="N364" s="556"/>
      <c r="O364" s="556"/>
      <c r="P364" s="556"/>
      <c r="Q364" s="556"/>
      <c r="R364" s="556"/>
      <c r="S364" s="556"/>
      <c r="T364" s="556"/>
      <c r="U364" s="556"/>
      <c r="V364" s="556"/>
      <c r="W364" s="556"/>
      <c r="X364" s="556"/>
      <c r="Y364" s="556"/>
      <c r="Z364" s="579"/>
      <c r="AA364" s="556"/>
      <c r="AB364" s="556"/>
      <c r="AC364" s="556"/>
      <c r="AD364" s="556"/>
    </row>
    <row r="365" ht="15.75" customHeight="1">
      <c r="A365" s="594"/>
      <c r="B365" s="556"/>
      <c r="C365" s="556"/>
      <c r="D365" s="556"/>
      <c r="E365" s="556"/>
      <c r="F365" s="556"/>
      <c r="G365" s="556"/>
      <c r="H365" s="556"/>
      <c r="I365" s="556"/>
      <c r="J365" s="556"/>
      <c r="K365" s="556"/>
      <c r="L365" s="556"/>
      <c r="M365" s="556"/>
      <c r="N365" s="556"/>
      <c r="O365" s="556"/>
      <c r="P365" s="556"/>
      <c r="Q365" s="556"/>
      <c r="R365" s="556"/>
      <c r="S365" s="556"/>
      <c r="T365" s="556"/>
      <c r="U365" s="556"/>
      <c r="V365" s="556"/>
      <c r="W365" s="556"/>
      <c r="X365" s="556"/>
      <c r="Y365" s="556"/>
      <c r="Z365" s="579"/>
      <c r="AA365" s="556"/>
      <c r="AB365" s="556"/>
      <c r="AC365" s="556"/>
      <c r="AD365" s="556"/>
    </row>
    <row r="366" ht="15.75" customHeight="1">
      <c r="A366" s="594"/>
      <c r="B366" s="556"/>
      <c r="C366" s="556"/>
      <c r="D366" s="556"/>
      <c r="E366" s="556"/>
      <c r="F366" s="556"/>
      <c r="G366" s="556"/>
      <c r="H366" s="556"/>
      <c r="I366" s="556"/>
      <c r="J366" s="556"/>
      <c r="K366" s="556"/>
      <c r="L366" s="556"/>
      <c r="M366" s="556"/>
      <c r="N366" s="556"/>
      <c r="O366" s="556"/>
      <c r="P366" s="556"/>
      <c r="Q366" s="556"/>
      <c r="R366" s="556"/>
      <c r="S366" s="556"/>
      <c r="T366" s="556"/>
      <c r="U366" s="556"/>
      <c r="V366" s="556"/>
      <c r="W366" s="556"/>
      <c r="X366" s="556"/>
      <c r="Y366" s="556"/>
      <c r="Z366" s="579"/>
      <c r="AA366" s="556"/>
      <c r="AB366" s="556"/>
      <c r="AC366" s="556"/>
      <c r="AD366" s="556"/>
    </row>
    <row r="367" ht="15.75" customHeight="1">
      <c r="A367" s="594"/>
      <c r="B367" s="556"/>
      <c r="C367" s="556"/>
      <c r="D367" s="556"/>
      <c r="E367" s="556"/>
      <c r="F367" s="556"/>
      <c r="G367" s="556"/>
      <c r="H367" s="556"/>
      <c r="I367" s="556"/>
      <c r="J367" s="556"/>
      <c r="K367" s="556"/>
      <c r="L367" s="556"/>
      <c r="M367" s="556"/>
      <c r="N367" s="556"/>
      <c r="O367" s="556"/>
      <c r="P367" s="556"/>
      <c r="Q367" s="556"/>
      <c r="R367" s="556"/>
      <c r="S367" s="556"/>
      <c r="T367" s="556"/>
      <c r="U367" s="556"/>
      <c r="V367" s="556"/>
      <c r="W367" s="556"/>
      <c r="X367" s="556"/>
      <c r="Y367" s="556"/>
      <c r="Z367" s="579"/>
      <c r="AA367" s="556"/>
      <c r="AB367" s="556"/>
      <c r="AC367" s="556"/>
      <c r="AD367" s="556"/>
    </row>
    <row r="368" ht="15.75" customHeight="1">
      <c r="A368" s="594"/>
      <c r="B368" s="556"/>
      <c r="C368" s="556"/>
      <c r="D368" s="556"/>
      <c r="E368" s="556"/>
      <c r="F368" s="556"/>
      <c r="G368" s="556"/>
      <c r="H368" s="556"/>
      <c r="I368" s="556"/>
      <c r="J368" s="556"/>
      <c r="K368" s="556"/>
      <c r="L368" s="556"/>
      <c r="M368" s="556"/>
      <c r="N368" s="556"/>
      <c r="O368" s="556"/>
      <c r="P368" s="556"/>
      <c r="Q368" s="556"/>
      <c r="R368" s="556"/>
      <c r="S368" s="556"/>
      <c r="T368" s="556"/>
      <c r="U368" s="556"/>
      <c r="V368" s="556"/>
      <c r="W368" s="556"/>
      <c r="X368" s="556"/>
      <c r="Y368" s="556"/>
      <c r="Z368" s="579"/>
      <c r="AA368" s="556"/>
      <c r="AB368" s="556"/>
      <c r="AC368" s="556"/>
      <c r="AD368" s="556"/>
    </row>
    <row r="369" ht="15.75" customHeight="1">
      <c r="A369" s="594"/>
      <c r="B369" s="556"/>
      <c r="C369" s="556"/>
      <c r="D369" s="556"/>
      <c r="E369" s="556"/>
      <c r="F369" s="556"/>
      <c r="G369" s="556"/>
      <c r="H369" s="556"/>
      <c r="I369" s="556"/>
      <c r="J369" s="556"/>
      <c r="K369" s="556"/>
      <c r="L369" s="556"/>
      <c r="M369" s="556"/>
      <c r="N369" s="556"/>
      <c r="O369" s="556"/>
      <c r="P369" s="556"/>
      <c r="Q369" s="556"/>
      <c r="R369" s="556"/>
      <c r="S369" s="556"/>
      <c r="T369" s="556"/>
      <c r="U369" s="556"/>
      <c r="V369" s="556"/>
      <c r="W369" s="556"/>
      <c r="X369" s="556"/>
      <c r="Y369" s="556"/>
      <c r="Z369" s="579"/>
      <c r="AA369" s="556"/>
      <c r="AB369" s="556"/>
      <c r="AC369" s="556"/>
      <c r="AD369" s="556"/>
    </row>
    <row r="370" ht="15.75" customHeight="1">
      <c r="A370" s="594"/>
      <c r="B370" s="556"/>
      <c r="C370" s="556"/>
      <c r="D370" s="556"/>
      <c r="E370" s="556"/>
      <c r="F370" s="556"/>
      <c r="G370" s="556"/>
      <c r="H370" s="556"/>
      <c r="I370" s="556"/>
      <c r="J370" s="556"/>
      <c r="K370" s="556"/>
      <c r="L370" s="556"/>
      <c r="M370" s="556"/>
      <c r="N370" s="556"/>
      <c r="O370" s="556"/>
      <c r="P370" s="556"/>
      <c r="Q370" s="556"/>
      <c r="R370" s="556"/>
      <c r="S370" s="556"/>
      <c r="T370" s="556"/>
      <c r="U370" s="556"/>
      <c r="V370" s="556"/>
      <c r="W370" s="556"/>
      <c r="X370" s="556"/>
      <c r="Y370" s="556"/>
      <c r="Z370" s="579"/>
      <c r="AA370" s="556"/>
      <c r="AB370" s="556"/>
      <c r="AC370" s="556"/>
      <c r="AD370" s="556"/>
    </row>
    <row r="371" ht="15.75" customHeight="1">
      <c r="A371" s="594"/>
      <c r="B371" s="556"/>
      <c r="C371" s="556"/>
      <c r="D371" s="556"/>
      <c r="E371" s="556"/>
      <c r="F371" s="556"/>
      <c r="G371" s="556"/>
      <c r="H371" s="556"/>
      <c r="I371" s="556"/>
      <c r="J371" s="556"/>
      <c r="K371" s="556"/>
      <c r="L371" s="556"/>
      <c r="M371" s="556"/>
      <c r="N371" s="556"/>
      <c r="O371" s="556"/>
      <c r="P371" s="556"/>
      <c r="Q371" s="556"/>
      <c r="R371" s="556"/>
      <c r="S371" s="556"/>
      <c r="T371" s="556"/>
      <c r="U371" s="556"/>
      <c r="V371" s="556"/>
      <c r="W371" s="556"/>
      <c r="X371" s="556"/>
      <c r="Y371" s="556"/>
      <c r="Z371" s="579"/>
      <c r="AA371" s="556"/>
      <c r="AB371" s="556"/>
      <c r="AC371" s="556"/>
      <c r="AD371" s="556"/>
    </row>
    <row r="372" ht="15.75" customHeight="1">
      <c r="A372" s="594"/>
      <c r="B372" s="556"/>
      <c r="C372" s="556"/>
      <c r="D372" s="556"/>
      <c r="E372" s="556"/>
      <c r="F372" s="556"/>
      <c r="G372" s="556"/>
      <c r="H372" s="556"/>
      <c r="I372" s="556"/>
      <c r="J372" s="556"/>
      <c r="K372" s="556"/>
      <c r="L372" s="556"/>
      <c r="M372" s="556"/>
      <c r="N372" s="556"/>
      <c r="O372" s="556"/>
      <c r="P372" s="556"/>
      <c r="Q372" s="556"/>
      <c r="R372" s="556"/>
      <c r="S372" s="556"/>
      <c r="T372" s="556"/>
      <c r="U372" s="556"/>
      <c r="V372" s="556"/>
      <c r="W372" s="556"/>
      <c r="X372" s="556"/>
      <c r="Y372" s="556"/>
      <c r="Z372" s="579"/>
      <c r="AA372" s="556"/>
      <c r="AB372" s="556"/>
      <c r="AC372" s="556"/>
      <c r="AD372" s="556"/>
    </row>
    <row r="373" ht="15.75" customHeight="1">
      <c r="A373" s="594"/>
      <c r="B373" s="556"/>
      <c r="C373" s="556"/>
      <c r="D373" s="556"/>
      <c r="E373" s="556"/>
      <c r="F373" s="556"/>
      <c r="G373" s="556"/>
      <c r="H373" s="556"/>
      <c r="I373" s="556"/>
      <c r="J373" s="556"/>
      <c r="K373" s="556"/>
      <c r="L373" s="556"/>
      <c r="M373" s="556"/>
      <c r="N373" s="556"/>
      <c r="O373" s="556"/>
      <c r="P373" s="556"/>
      <c r="Q373" s="556"/>
      <c r="R373" s="556"/>
      <c r="S373" s="556"/>
      <c r="T373" s="556"/>
      <c r="U373" s="556"/>
      <c r="V373" s="556"/>
      <c r="W373" s="556"/>
      <c r="X373" s="556"/>
      <c r="Y373" s="556"/>
      <c r="Z373" s="579"/>
      <c r="AA373" s="556"/>
      <c r="AB373" s="556"/>
      <c r="AC373" s="556"/>
      <c r="AD373" s="556"/>
    </row>
    <row r="374" ht="15.75" customHeight="1">
      <c r="A374" s="594"/>
      <c r="B374" s="556"/>
      <c r="C374" s="556"/>
      <c r="D374" s="556"/>
      <c r="E374" s="556"/>
      <c r="F374" s="556"/>
      <c r="G374" s="556"/>
      <c r="H374" s="556"/>
      <c r="I374" s="556"/>
      <c r="J374" s="556"/>
      <c r="K374" s="556"/>
      <c r="L374" s="556"/>
      <c r="M374" s="556"/>
      <c r="N374" s="556"/>
      <c r="O374" s="556"/>
      <c r="P374" s="556"/>
      <c r="Q374" s="556"/>
      <c r="R374" s="556"/>
      <c r="S374" s="556"/>
      <c r="T374" s="556"/>
      <c r="U374" s="556"/>
      <c r="V374" s="556"/>
      <c r="W374" s="556"/>
      <c r="X374" s="556"/>
      <c r="Y374" s="556"/>
      <c r="Z374" s="579"/>
      <c r="AA374" s="556"/>
      <c r="AB374" s="556"/>
      <c r="AC374" s="556"/>
      <c r="AD374" s="556"/>
    </row>
    <row r="375" ht="15.75" customHeight="1">
      <c r="A375" s="594"/>
      <c r="B375" s="556"/>
      <c r="C375" s="556"/>
      <c r="D375" s="556"/>
      <c r="E375" s="556"/>
      <c r="F375" s="556"/>
      <c r="G375" s="556"/>
      <c r="H375" s="556"/>
      <c r="I375" s="556"/>
      <c r="J375" s="556"/>
      <c r="K375" s="556"/>
      <c r="L375" s="556"/>
      <c r="M375" s="556"/>
      <c r="N375" s="556"/>
      <c r="O375" s="556"/>
      <c r="P375" s="556"/>
      <c r="Q375" s="556"/>
      <c r="R375" s="556"/>
      <c r="S375" s="556"/>
      <c r="T375" s="556"/>
      <c r="U375" s="556"/>
      <c r="V375" s="556"/>
      <c r="W375" s="556"/>
      <c r="X375" s="556"/>
      <c r="Y375" s="556"/>
      <c r="Z375" s="579"/>
      <c r="AA375" s="556"/>
      <c r="AB375" s="556"/>
      <c r="AC375" s="556"/>
      <c r="AD375" s="556"/>
    </row>
    <row r="376" ht="15.75" customHeight="1">
      <c r="A376" s="594"/>
      <c r="B376" s="556"/>
      <c r="C376" s="556"/>
      <c r="D376" s="556"/>
      <c r="E376" s="556"/>
      <c r="F376" s="556"/>
      <c r="G376" s="556"/>
      <c r="H376" s="556"/>
      <c r="I376" s="556"/>
      <c r="J376" s="556"/>
      <c r="K376" s="556"/>
      <c r="L376" s="556"/>
      <c r="M376" s="556"/>
      <c r="N376" s="556"/>
      <c r="O376" s="556"/>
      <c r="P376" s="556"/>
      <c r="Q376" s="556"/>
      <c r="R376" s="556"/>
      <c r="S376" s="556"/>
      <c r="T376" s="556"/>
      <c r="U376" s="556"/>
      <c r="V376" s="556"/>
      <c r="W376" s="556"/>
      <c r="X376" s="556"/>
      <c r="Y376" s="556"/>
      <c r="Z376" s="579"/>
      <c r="AA376" s="556"/>
      <c r="AB376" s="556"/>
      <c r="AC376" s="556"/>
      <c r="AD376" s="556"/>
    </row>
    <row r="377" ht="15.75" customHeight="1">
      <c r="A377" s="594"/>
      <c r="B377" s="556"/>
      <c r="C377" s="556"/>
      <c r="D377" s="556"/>
      <c r="E377" s="556"/>
      <c r="F377" s="556"/>
      <c r="G377" s="556"/>
      <c r="H377" s="556"/>
      <c r="I377" s="556"/>
      <c r="J377" s="556"/>
      <c r="K377" s="556"/>
      <c r="L377" s="556"/>
      <c r="M377" s="556"/>
      <c r="N377" s="556"/>
      <c r="O377" s="556"/>
      <c r="P377" s="556"/>
      <c r="Q377" s="556"/>
      <c r="R377" s="556"/>
      <c r="S377" s="556"/>
      <c r="T377" s="556"/>
      <c r="U377" s="556"/>
      <c r="V377" s="556"/>
      <c r="W377" s="556"/>
      <c r="X377" s="556"/>
      <c r="Y377" s="556"/>
      <c r="Z377" s="579"/>
      <c r="AA377" s="556"/>
      <c r="AB377" s="556"/>
      <c r="AC377" s="556"/>
      <c r="AD377" s="556"/>
    </row>
    <row r="378" ht="15.75" customHeight="1">
      <c r="A378" s="594"/>
      <c r="B378" s="556"/>
      <c r="C378" s="556"/>
      <c r="D378" s="556"/>
      <c r="E378" s="556"/>
      <c r="F378" s="556"/>
      <c r="G378" s="556"/>
      <c r="H378" s="556"/>
      <c r="I378" s="556"/>
      <c r="J378" s="556"/>
      <c r="K378" s="556"/>
      <c r="L378" s="556"/>
      <c r="M378" s="556"/>
      <c r="N378" s="556"/>
      <c r="O378" s="556"/>
      <c r="P378" s="556"/>
      <c r="Q378" s="556"/>
      <c r="R378" s="556"/>
      <c r="S378" s="556"/>
      <c r="T378" s="556"/>
      <c r="U378" s="556"/>
      <c r="V378" s="556"/>
      <c r="W378" s="556"/>
      <c r="X378" s="556"/>
      <c r="Y378" s="556"/>
      <c r="Z378" s="579"/>
      <c r="AA378" s="556"/>
      <c r="AB378" s="556"/>
      <c r="AC378" s="556"/>
      <c r="AD378" s="556"/>
    </row>
    <row r="379" ht="15.75" customHeight="1">
      <c r="A379" s="594"/>
      <c r="B379" s="556"/>
      <c r="C379" s="556"/>
      <c r="D379" s="556"/>
      <c r="E379" s="556"/>
      <c r="F379" s="556"/>
      <c r="G379" s="556"/>
      <c r="H379" s="556"/>
      <c r="I379" s="556"/>
      <c r="J379" s="556"/>
      <c r="K379" s="556"/>
      <c r="L379" s="556"/>
      <c r="M379" s="556"/>
      <c r="N379" s="556"/>
      <c r="O379" s="556"/>
      <c r="P379" s="556"/>
      <c r="Q379" s="556"/>
      <c r="R379" s="556"/>
      <c r="S379" s="556"/>
      <c r="T379" s="556"/>
      <c r="U379" s="556"/>
      <c r="V379" s="556"/>
      <c r="W379" s="556"/>
      <c r="X379" s="556"/>
      <c r="Y379" s="556"/>
      <c r="Z379" s="579"/>
      <c r="AA379" s="556"/>
      <c r="AB379" s="556"/>
      <c r="AC379" s="556"/>
      <c r="AD379" s="556"/>
    </row>
    <row r="380" ht="15.75" customHeight="1">
      <c r="A380" s="594"/>
      <c r="B380" s="556"/>
      <c r="C380" s="556"/>
      <c r="D380" s="556"/>
      <c r="E380" s="556"/>
      <c r="F380" s="556"/>
      <c r="G380" s="556"/>
      <c r="H380" s="556"/>
      <c r="I380" s="556"/>
      <c r="J380" s="556"/>
      <c r="K380" s="556"/>
      <c r="L380" s="556"/>
      <c r="M380" s="556"/>
      <c r="N380" s="556"/>
      <c r="O380" s="556"/>
      <c r="P380" s="556"/>
      <c r="Q380" s="556"/>
      <c r="R380" s="556"/>
      <c r="S380" s="556"/>
      <c r="T380" s="556"/>
      <c r="U380" s="556"/>
      <c r="V380" s="556"/>
      <c r="W380" s="556"/>
      <c r="X380" s="556"/>
      <c r="Y380" s="556"/>
      <c r="Z380" s="579"/>
      <c r="AA380" s="556"/>
      <c r="AB380" s="556"/>
      <c r="AC380" s="556"/>
      <c r="AD380" s="556"/>
    </row>
    <row r="381" ht="15.75" customHeight="1">
      <c r="A381" s="594"/>
      <c r="B381" s="556"/>
      <c r="C381" s="556"/>
      <c r="D381" s="556"/>
      <c r="E381" s="556"/>
      <c r="F381" s="556"/>
      <c r="G381" s="556"/>
      <c r="H381" s="556"/>
      <c r="I381" s="556"/>
      <c r="J381" s="556"/>
      <c r="K381" s="556"/>
      <c r="L381" s="556"/>
      <c r="M381" s="556"/>
      <c r="N381" s="556"/>
      <c r="O381" s="556"/>
      <c r="P381" s="556"/>
      <c r="Q381" s="556"/>
      <c r="R381" s="556"/>
      <c r="S381" s="556"/>
      <c r="T381" s="556"/>
      <c r="U381" s="556"/>
      <c r="V381" s="556"/>
      <c r="W381" s="556"/>
      <c r="X381" s="556"/>
      <c r="Y381" s="556"/>
      <c r="Z381" s="579"/>
      <c r="AA381" s="556"/>
      <c r="AB381" s="556"/>
      <c r="AC381" s="556"/>
      <c r="AD381" s="556"/>
    </row>
    <row r="382" ht="15.75" customHeight="1">
      <c r="A382" s="594"/>
      <c r="B382" s="556"/>
      <c r="C382" s="556"/>
      <c r="D382" s="556"/>
      <c r="E382" s="556"/>
      <c r="F382" s="556"/>
      <c r="G382" s="556"/>
      <c r="H382" s="556"/>
      <c r="I382" s="556"/>
      <c r="J382" s="556"/>
      <c r="K382" s="556"/>
      <c r="L382" s="556"/>
      <c r="M382" s="556"/>
      <c r="N382" s="556"/>
      <c r="O382" s="556"/>
      <c r="P382" s="556"/>
      <c r="Q382" s="556"/>
      <c r="R382" s="556"/>
      <c r="S382" s="556"/>
      <c r="T382" s="556"/>
      <c r="U382" s="556"/>
      <c r="V382" s="556"/>
      <c r="W382" s="556"/>
      <c r="X382" s="556"/>
      <c r="Y382" s="556"/>
      <c r="Z382" s="579"/>
      <c r="AA382" s="556"/>
      <c r="AB382" s="556"/>
      <c r="AC382" s="556"/>
      <c r="AD382" s="556"/>
    </row>
    <row r="383" ht="15.75" customHeight="1">
      <c r="A383" s="594"/>
      <c r="B383" s="556"/>
      <c r="C383" s="556"/>
      <c r="D383" s="556"/>
      <c r="E383" s="556"/>
      <c r="F383" s="556"/>
      <c r="G383" s="556"/>
      <c r="H383" s="556"/>
      <c r="I383" s="556"/>
      <c r="J383" s="556"/>
      <c r="K383" s="556"/>
      <c r="L383" s="556"/>
      <c r="M383" s="556"/>
      <c r="N383" s="556"/>
      <c r="O383" s="556"/>
      <c r="P383" s="556"/>
      <c r="Q383" s="556"/>
      <c r="R383" s="556"/>
      <c r="S383" s="556"/>
      <c r="T383" s="556"/>
      <c r="U383" s="556"/>
      <c r="V383" s="556"/>
      <c r="W383" s="556"/>
      <c r="X383" s="556"/>
      <c r="Y383" s="556"/>
      <c r="Z383" s="579"/>
      <c r="AA383" s="556"/>
      <c r="AB383" s="556"/>
      <c r="AC383" s="556"/>
      <c r="AD383" s="556"/>
    </row>
    <row r="384" ht="15.75" customHeight="1">
      <c r="A384" s="594"/>
      <c r="B384" s="556"/>
      <c r="C384" s="556"/>
      <c r="D384" s="556"/>
      <c r="E384" s="556"/>
      <c r="F384" s="556"/>
      <c r="G384" s="556"/>
      <c r="H384" s="556"/>
      <c r="I384" s="556"/>
      <c r="J384" s="556"/>
      <c r="K384" s="556"/>
      <c r="L384" s="556"/>
      <c r="M384" s="556"/>
      <c r="N384" s="556"/>
      <c r="O384" s="556"/>
      <c r="P384" s="556"/>
      <c r="Q384" s="556"/>
      <c r="R384" s="556"/>
      <c r="S384" s="556"/>
      <c r="T384" s="556"/>
      <c r="U384" s="556"/>
      <c r="V384" s="556"/>
      <c r="W384" s="556"/>
      <c r="X384" s="556"/>
      <c r="Y384" s="556"/>
      <c r="Z384" s="579"/>
      <c r="AA384" s="556"/>
      <c r="AB384" s="556"/>
      <c r="AC384" s="556"/>
      <c r="AD384" s="556"/>
    </row>
    <row r="385" ht="15.75" customHeight="1">
      <c r="A385" s="594"/>
      <c r="B385" s="556"/>
      <c r="C385" s="556"/>
      <c r="D385" s="556"/>
      <c r="E385" s="556"/>
      <c r="F385" s="556"/>
      <c r="G385" s="556"/>
      <c r="H385" s="556"/>
      <c r="I385" s="556"/>
      <c r="J385" s="556"/>
      <c r="K385" s="556"/>
      <c r="L385" s="556"/>
      <c r="M385" s="556"/>
      <c r="N385" s="556"/>
      <c r="O385" s="556"/>
      <c r="P385" s="556"/>
      <c r="Q385" s="556"/>
      <c r="R385" s="556"/>
      <c r="S385" s="556"/>
      <c r="T385" s="556"/>
      <c r="U385" s="556"/>
      <c r="V385" s="556"/>
      <c r="W385" s="556"/>
      <c r="X385" s="556"/>
      <c r="Y385" s="556"/>
      <c r="Z385" s="579"/>
      <c r="AA385" s="556"/>
      <c r="AB385" s="556"/>
      <c r="AC385" s="556"/>
      <c r="AD385" s="556"/>
    </row>
    <row r="386" ht="15.75" customHeight="1">
      <c r="A386" s="594"/>
      <c r="B386" s="556"/>
      <c r="C386" s="556"/>
      <c r="D386" s="556"/>
      <c r="E386" s="556"/>
      <c r="F386" s="556"/>
      <c r="G386" s="556"/>
      <c r="H386" s="556"/>
      <c r="I386" s="556"/>
      <c r="J386" s="556"/>
      <c r="K386" s="556"/>
      <c r="L386" s="556"/>
      <c r="M386" s="556"/>
      <c r="N386" s="556"/>
      <c r="O386" s="556"/>
      <c r="P386" s="556"/>
      <c r="Q386" s="556"/>
      <c r="R386" s="556"/>
      <c r="S386" s="556"/>
      <c r="T386" s="556"/>
      <c r="U386" s="556"/>
      <c r="V386" s="556"/>
      <c r="W386" s="556"/>
      <c r="X386" s="556"/>
      <c r="Y386" s="556"/>
      <c r="Z386" s="579"/>
      <c r="AA386" s="556"/>
      <c r="AB386" s="556"/>
      <c r="AC386" s="556"/>
      <c r="AD386" s="556"/>
    </row>
    <row r="387" ht="15.75" customHeight="1">
      <c r="A387" s="594"/>
      <c r="B387" s="556"/>
      <c r="C387" s="556"/>
      <c r="D387" s="556"/>
      <c r="E387" s="556"/>
      <c r="F387" s="556"/>
      <c r="G387" s="556"/>
      <c r="H387" s="556"/>
      <c r="I387" s="556"/>
      <c r="J387" s="556"/>
      <c r="K387" s="556"/>
      <c r="L387" s="556"/>
      <c r="M387" s="556"/>
      <c r="N387" s="556"/>
      <c r="O387" s="556"/>
      <c r="P387" s="556"/>
      <c r="Q387" s="556"/>
      <c r="R387" s="556"/>
      <c r="S387" s="556"/>
      <c r="T387" s="556"/>
      <c r="U387" s="556"/>
      <c r="V387" s="556"/>
      <c r="W387" s="556"/>
      <c r="X387" s="556"/>
      <c r="Y387" s="556"/>
      <c r="Z387" s="579"/>
      <c r="AA387" s="556"/>
      <c r="AB387" s="556"/>
      <c r="AC387" s="556"/>
      <c r="AD387" s="556"/>
    </row>
    <row r="388" ht="15.75" customHeight="1">
      <c r="A388" s="594"/>
      <c r="B388" s="556"/>
      <c r="C388" s="556"/>
      <c r="D388" s="556"/>
      <c r="E388" s="556"/>
      <c r="F388" s="556"/>
      <c r="G388" s="556"/>
      <c r="H388" s="556"/>
      <c r="I388" s="556"/>
      <c r="J388" s="556"/>
      <c r="K388" s="556"/>
      <c r="L388" s="556"/>
      <c r="M388" s="556"/>
      <c r="N388" s="556"/>
      <c r="O388" s="556"/>
      <c r="P388" s="556"/>
      <c r="Q388" s="556"/>
      <c r="R388" s="556"/>
      <c r="S388" s="556"/>
      <c r="T388" s="556"/>
      <c r="U388" s="556"/>
      <c r="V388" s="556"/>
      <c r="W388" s="556"/>
      <c r="X388" s="556"/>
      <c r="Y388" s="556"/>
      <c r="Z388" s="579"/>
      <c r="AA388" s="556"/>
      <c r="AB388" s="556"/>
      <c r="AC388" s="556"/>
      <c r="AD388" s="556"/>
    </row>
    <row r="389" ht="15.75" customHeight="1">
      <c r="A389" s="594"/>
      <c r="B389" s="556"/>
      <c r="C389" s="556"/>
      <c r="D389" s="556"/>
      <c r="E389" s="556"/>
      <c r="F389" s="556"/>
      <c r="G389" s="556"/>
      <c r="H389" s="556"/>
      <c r="I389" s="556"/>
      <c r="J389" s="556"/>
      <c r="K389" s="556"/>
      <c r="L389" s="556"/>
      <c r="M389" s="556"/>
      <c r="N389" s="556"/>
      <c r="O389" s="556"/>
      <c r="P389" s="556"/>
      <c r="Q389" s="556"/>
      <c r="R389" s="556"/>
      <c r="S389" s="556"/>
      <c r="T389" s="556"/>
      <c r="U389" s="556"/>
      <c r="V389" s="556"/>
      <c r="W389" s="556"/>
      <c r="X389" s="556"/>
      <c r="Y389" s="556"/>
      <c r="Z389" s="579"/>
      <c r="AA389" s="556"/>
      <c r="AB389" s="556"/>
      <c r="AC389" s="556"/>
      <c r="AD389" s="556"/>
    </row>
    <row r="390" ht="15.75" customHeight="1">
      <c r="A390" s="594"/>
      <c r="B390" s="556"/>
      <c r="C390" s="556"/>
      <c r="D390" s="556"/>
      <c r="E390" s="556"/>
      <c r="F390" s="556"/>
      <c r="G390" s="556"/>
      <c r="H390" s="556"/>
      <c r="I390" s="556"/>
      <c r="J390" s="556"/>
      <c r="K390" s="556"/>
      <c r="L390" s="556"/>
      <c r="M390" s="556"/>
      <c r="N390" s="556"/>
      <c r="O390" s="556"/>
      <c r="P390" s="556"/>
      <c r="Q390" s="556"/>
      <c r="R390" s="556"/>
      <c r="S390" s="556"/>
      <c r="T390" s="556"/>
      <c r="U390" s="556"/>
      <c r="V390" s="556"/>
      <c r="W390" s="556"/>
      <c r="X390" s="556"/>
      <c r="Y390" s="556"/>
      <c r="Z390" s="579"/>
      <c r="AA390" s="556"/>
      <c r="AB390" s="556"/>
      <c r="AC390" s="556"/>
      <c r="AD390" s="556"/>
    </row>
    <row r="391" ht="15.75" customHeight="1">
      <c r="A391" s="594"/>
      <c r="B391" s="556"/>
      <c r="C391" s="556"/>
      <c r="D391" s="556"/>
      <c r="E391" s="556"/>
      <c r="F391" s="556"/>
      <c r="G391" s="556"/>
      <c r="H391" s="556"/>
      <c r="I391" s="556"/>
      <c r="J391" s="556"/>
      <c r="K391" s="556"/>
      <c r="L391" s="556"/>
      <c r="M391" s="556"/>
      <c r="N391" s="556"/>
      <c r="O391" s="556"/>
      <c r="P391" s="556"/>
      <c r="Q391" s="556"/>
      <c r="R391" s="556"/>
      <c r="S391" s="556"/>
      <c r="T391" s="556"/>
      <c r="U391" s="556"/>
      <c r="V391" s="556"/>
      <c r="W391" s="556"/>
      <c r="X391" s="556"/>
      <c r="Y391" s="556"/>
      <c r="Z391" s="579"/>
      <c r="AA391" s="556"/>
      <c r="AB391" s="556"/>
      <c r="AC391" s="556"/>
      <c r="AD391" s="556"/>
    </row>
    <row r="392" ht="15.75" customHeight="1">
      <c r="A392" s="594"/>
      <c r="B392" s="556"/>
      <c r="C392" s="556"/>
      <c r="D392" s="556"/>
      <c r="E392" s="556"/>
      <c r="F392" s="556"/>
      <c r="G392" s="556"/>
      <c r="H392" s="556"/>
      <c r="I392" s="556"/>
      <c r="J392" s="556"/>
      <c r="K392" s="556"/>
      <c r="L392" s="556"/>
      <c r="M392" s="556"/>
      <c r="N392" s="556"/>
      <c r="O392" s="556"/>
      <c r="P392" s="556"/>
      <c r="Q392" s="556"/>
      <c r="R392" s="556"/>
      <c r="S392" s="556"/>
      <c r="T392" s="556"/>
      <c r="U392" s="556"/>
      <c r="V392" s="556"/>
      <c r="W392" s="556"/>
      <c r="X392" s="556"/>
      <c r="Y392" s="556"/>
      <c r="Z392" s="579"/>
      <c r="AA392" s="556"/>
      <c r="AB392" s="556"/>
      <c r="AC392" s="556"/>
      <c r="AD392" s="556"/>
    </row>
    <row r="393" ht="15.75" customHeight="1">
      <c r="A393" s="594"/>
      <c r="B393" s="556"/>
      <c r="C393" s="556"/>
      <c r="D393" s="556"/>
      <c r="E393" s="556"/>
      <c r="F393" s="556"/>
      <c r="G393" s="556"/>
      <c r="H393" s="556"/>
      <c r="I393" s="556"/>
      <c r="J393" s="556"/>
      <c r="K393" s="556"/>
      <c r="L393" s="556"/>
      <c r="M393" s="556"/>
      <c r="N393" s="556"/>
      <c r="O393" s="556"/>
      <c r="P393" s="556"/>
      <c r="Q393" s="556"/>
      <c r="R393" s="556"/>
      <c r="S393" s="556"/>
      <c r="T393" s="556"/>
      <c r="U393" s="556"/>
      <c r="V393" s="556"/>
      <c r="W393" s="556"/>
      <c r="X393" s="556"/>
      <c r="Y393" s="556"/>
      <c r="Z393" s="579"/>
      <c r="AA393" s="556"/>
      <c r="AB393" s="556"/>
      <c r="AC393" s="556"/>
      <c r="AD393" s="556"/>
    </row>
    <row r="394" ht="15.75" customHeight="1">
      <c r="A394" s="594"/>
      <c r="B394" s="556"/>
      <c r="C394" s="556"/>
      <c r="D394" s="556"/>
      <c r="E394" s="556"/>
      <c r="F394" s="556"/>
      <c r="G394" s="556"/>
      <c r="H394" s="556"/>
      <c r="I394" s="556"/>
      <c r="J394" s="556"/>
      <c r="K394" s="556"/>
      <c r="L394" s="556"/>
      <c r="M394" s="556"/>
      <c r="N394" s="556"/>
      <c r="O394" s="556"/>
      <c r="P394" s="556"/>
      <c r="Q394" s="556"/>
      <c r="R394" s="556"/>
      <c r="S394" s="556"/>
      <c r="T394" s="556"/>
      <c r="U394" s="556"/>
      <c r="V394" s="556"/>
      <c r="W394" s="556"/>
      <c r="X394" s="556"/>
      <c r="Y394" s="556"/>
      <c r="Z394" s="579"/>
      <c r="AA394" s="556"/>
      <c r="AB394" s="556"/>
      <c r="AC394" s="556"/>
      <c r="AD394" s="556"/>
    </row>
    <row r="395" ht="15.75" customHeight="1">
      <c r="A395" s="594"/>
      <c r="B395" s="556"/>
      <c r="C395" s="556"/>
      <c r="D395" s="556"/>
      <c r="E395" s="556"/>
      <c r="F395" s="556"/>
      <c r="G395" s="556"/>
      <c r="H395" s="556"/>
      <c r="I395" s="556"/>
      <c r="J395" s="556"/>
      <c r="K395" s="556"/>
      <c r="L395" s="556"/>
      <c r="M395" s="556"/>
      <c r="N395" s="556"/>
      <c r="O395" s="556"/>
      <c r="P395" s="556"/>
      <c r="Q395" s="556"/>
      <c r="R395" s="556"/>
      <c r="S395" s="556"/>
      <c r="T395" s="556"/>
      <c r="U395" s="556"/>
      <c r="V395" s="556"/>
      <c r="W395" s="556"/>
      <c r="X395" s="556"/>
      <c r="Y395" s="556"/>
      <c r="Z395" s="579"/>
      <c r="AA395" s="556"/>
      <c r="AB395" s="556"/>
      <c r="AC395" s="556"/>
      <c r="AD395" s="556"/>
    </row>
    <row r="396" ht="15.75" customHeight="1">
      <c r="A396" s="594"/>
      <c r="B396" s="556"/>
      <c r="C396" s="556"/>
      <c r="D396" s="556"/>
      <c r="E396" s="556"/>
      <c r="F396" s="556"/>
      <c r="G396" s="556"/>
      <c r="H396" s="556"/>
      <c r="I396" s="556"/>
      <c r="J396" s="556"/>
      <c r="K396" s="556"/>
      <c r="L396" s="556"/>
      <c r="M396" s="556"/>
      <c r="N396" s="556"/>
      <c r="O396" s="556"/>
      <c r="P396" s="556"/>
      <c r="Q396" s="556"/>
      <c r="R396" s="556"/>
      <c r="S396" s="556"/>
      <c r="T396" s="556"/>
      <c r="U396" s="556"/>
      <c r="V396" s="556"/>
      <c r="W396" s="556"/>
      <c r="X396" s="556"/>
      <c r="Y396" s="556"/>
      <c r="Z396" s="579"/>
      <c r="AA396" s="556"/>
      <c r="AB396" s="556"/>
      <c r="AC396" s="556"/>
      <c r="AD396" s="556"/>
    </row>
    <row r="397" ht="15.75" customHeight="1">
      <c r="A397" s="594"/>
      <c r="B397" s="556"/>
      <c r="C397" s="556"/>
      <c r="D397" s="556"/>
      <c r="E397" s="556"/>
      <c r="F397" s="556"/>
      <c r="G397" s="556"/>
      <c r="H397" s="556"/>
      <c r="I397" s="556"/>
      <c r="J397" s="556"/>
      <c r="K397" s="556"/>
      <c r="L397" s="556"/>
      <c r="M397" s="556"/>
      <c r="N397" s="556"/>
      <c r="O397" s="556"/>
      <c r="P397" s="556"/>
      <c r="Q397" s="556"/>
      <c r="R397" s="556"/>
      <c r="S397" s="556"/>
      <c r="T397" s="556"/>
      <c r="U397" s="556"/>
      <c r="V397" s="556"/>
      <c r="W397" s="556"/>
      <c r="X397" s="556"/>
      <c r="Y397" s="556"/>
      <c r="Z397" s="579"/>
      <c r="AA397" s="556"/>
      <c r="AB397" s="556"/>
      <c r="AC397" s="556"/>
      <c r="AD397" s="556"/>
    </row>
    <row r="398" ht="15.75" customHeight="1">
      <c r="A398" s="594"/>
      <c r="B398" s="556"/>
      <c r="C398" s="556"/>
      <c r="D398" s="556"/>
      <c r="E398" s="556"/>
      <c r="F398" s="556"/>
      <c r="G398" s="556"/>
      <c r="H398" s="556"/>
      <c r="I398" s="556"/>
      <c r="J398" s="556"/>
      <c r="K398" s="556"/>
      <c r="L398" s="556"/>
      <c r="M398" s="556"/>
      <c r="N398" s="556"/>
      <c r="O398" s="556"/>
      <c r="P398" s="556"/>
      <c r="Q398" s="556"/>
      <c r="R398" s="556"/>
      <c r="S398" s="556"/>
      <c r="T398" s="556"/>
      <c r="U398" s="556"/>
      <c r="V398" s="556"/>
      <c r="W398" s="556"/>
      <c r="X398" s="556"/>
      <c r="Y398" s="556"/>
      <c r="Z398" s="579"/>
      <c r="AA398" s="556"/>
      <c r="AB398" s="556"/>
      <c r="AC398" s="556"/>
      <c r="AD398" s="556"/>
    </row>
    <row r="399" ht="15.75" customHeight="1">
      <c r="A399" s="594"/>
      <c r="B399" s="556"/>
      <c r="C399" s="556"/>
      <c r="D399" s="556"/>
      <c r="E399" s="556"/>
      <c r="F399" s="556"/>
      <c r="G399" s="556"/>
      <c r="H399" s="556"/>
      <c r="I399" s="556"/>
      <c r="J399" s="556"/>
      <c r="K399" s="556"/>
      <c r="L399" s="556"/>
      <c r="M399" s="556"/>
      <c r="N399" s="556"/>
      <c r="O399" s="556"/>
      <c r="P399" s="556"/>
      <c r="Q399" s="556"/>
      <c r="R399" s="556"/>
      <c r="S399" s="556"/>
      <c r="T399" s="556"/>
      <c r="U399" s="556"/>
      <c r="V399" s="556"/>
      <c r="W399" s="556"/>
      <c r="X399" s="556"/>
      <c r="Y399" s="556"/>
      <c r="Z399" s="579"/>
      <c r="AA399" s="556"/>
      <c r="AB399" s="556"/>
      <c r="AC399" s="556"/>
      <c r="AD399" s="556"/>
    </row>
    <row r="400" ht="15.75" customHeight="1">
      <c r="A400" s="594"/>
      <c r="B400" s="556"/>
      <c r="C400" s="556"/>
      <c r="D400" s="556"/>
      <c r="E400" s="556"/>
      <c r="F400" s="556"/>
      <c r="G400" s="556"/>
      <c r="H400" s="556"/>
      <c r="I400" s="556"/>
      <c r="J400" s="556"/>
      <c r="K400" s="556"/>
      <c r="L400" s="556"/>
      <c r="M400" s="556"/>
      <c r="N400" s="556"/>
      <c r="O400" s="556"/>
      <c r="P400" s="556"/>
      <c r="Q400" s="556"/>
      <c r="R400" s="556"/>
      <c r="S400" s="556"/>
      <c r="T400" s="556"/>
      <c r="U400" s="556"/>
      <c r="V400" s="556"/>
      <c r="W400" s="556"/>
      <c r="X400" s="556"/>
      <c r="Y400" s="556"/>
      <c r="Z400" s="579"/>
      <c r="AA400" s="556"/>
      <c r="AB400" s="556"/>
      <c r="AC400" s="556"/>
      <c r="AD400" s="556"/>
    </row>
    <row r="401" ht="15.75" customHeight="1">
      <c r="A401" s="594"/>
      <c r="B401" s="556"/>
      <c r="C401" s="556"/>
      <c r="D401" s="556"/>
      <c r="E401" s="556"/>
      <c r="F401" s="556"/>
      <c r="G401" s="556"/>
      <c r="H401" s="556"/>
      <c r="I401" s="556"/>
      <c r="J401" s="556"/>
      <c r="K401" s="556"/>
      <c r="L401" s="556"/>
      <c r="M401" s="556"/>
      <c r="N401" s="556"/>
      <c r="O401" s="556"/>
      <c r="P401" s="556"/>
      <c r="Q401" s="556"/>
      <c r="R401" s="556"/>
      <c r="S401" s="556"/>
      <c r="T401" s="556"/>
      <c r="U401" s="556"/>
      <c r="V401" s="556"/>
      <c r="W401" s="556"/>
      <c r="X401" s="556"/>
      <c r="Y401" s="556"/>
      <c r="Z401" s="579"/>
      <c r="AA401" s="556"/>
      <c r="AB401" s="556"/>
      <c r="AC401" s="556"/>
      <c r="AD401" s="556"/>
    </row>
    <row r="402" ht="15.75" customHeight="1">
      <c r="A402" s="594"/>
      <c r="B402" s="556"/>
      <c r="C402" s="556"/>
      <c r="D402" s="556"/>
      <c r="E402" s="556"/>
      <c r="F402" s="556"/>
      <c r="G402" s="556"/>
      <c r="H402" s="556"/>
      <c r="I402" s="556"/>
      <c r="J402" s="556"/>
      <c r="K402" s="556"/>
      <c r="L402" s="556"/>
      <c r="M402" s="556"/>
      <c r="N402" s="556"/>
      <c r="O402" s="556"/>
      <c r="P402" s="556"/>
      <c r="Q402" s="556"/>
      <c r="R402" s="556"/>
      <c r="S402" s="556"/>
      <c r="T402" s="556"/>
      <c r="U402" s="556"/>
      <c r="V402" s="556"/>
      <c r="W402" s="556"/>
      <c r="X402" s="556"/>
      <c r="Y402" s="556"/>
      <c r="Z402" s="579"/>
      <c r="AA402" s="556"/>
      <c r="AB402" s="556"/>
      <c r="AC402" s="556"/>
      <c r="AD402" s="556"/>
    </row>
    <row r="403" ht="15.75" customHeight="1">
      <c r="A403" s="594"/>
      <c r="B403" s="556"/>
      <c r="C403" s="556"/>
      <c r="D403" s="556"/>
      <c r="E403" s="556"/>
      <c r="F403" s="556"/>
      <c r="G403" s="556"/>
      <c r="H403" s="556"/>
      <c r="I403" s="556"/>
      <c r="J403" s="556"/>
      <c r="K403" s="556"/>
      <c r="L403" s="556"/>
      <c r="M403" s="556"/>
      <c r="N403" s="556"/>
      <c r="O403" s="556"/>
      <c r="P403" s="556"/>
      <c r="Q403" s="556"/>
      <c r="R403" s="556"/>
      <c r="S403" s="556"/>
      <c r="T403" s="556"/>
      <c r="U403" s="556"/>
      <c r="V403" s="556"/>
      <c r="W403" s="556"/>
      <c r="X403" s="556"/>
      <c r="Y403" s="556"/>
      <c r="Z403" s="579"/>
      <c r="AA403" s="556"/>
      <c r="AB403" s="556"/>
      <c r="AC403" s="556"/>
      <c r="AD403" s="556"/>
    </row>
    <row r="404" ht="15.75" customHeight="1">
      <c r="A404" s="594"/>
      <c r="B404" s="556"/>
      <c r="C404" s="556"/>
      <c r="D404" s="556"/>
      <c r="E404" s="556"/>
      <c r="F404" s="556"/>
      <c r="G404" s="556"/>
      <c r="H404" s="556"/>
      <c r="I404" s="556"/>
      <c r="J404" s="556"/>
      <c r="K404" s="556"/>
      <c r="L404" s="556"/>
      <c r="M404" s="556"/>
      <c r="N404" s="556"/>
      <c r="O404" s="556"/>
      <c r="P404" s="556"/>
      <c r="Q404" s="556"/>
      <c r="R404" s="556"/>
      <c r="S404" s="556"/>
      <c r="T404" s="556"/>
      <c r="U404" s="556"/>
      <c r="V404" s="556"/>
      <c r="W404" s="556"/>
      <c r="X404" s="556"/>
      <c r="Y404" s="556"/>
      <c r="Z404" s="579"/>
      <c r="AA404" s="556"/>
      <c r="AB404" s="556"/>
      <c r="AC404" s="556"/>
      <c r="AD404" s="556"/>
    </row>
    <row r="405" ht="15.75" customHeight="1">
      <c r="A405" s="594"/>
      <c r="B405" s="556"/>
      <c r="C405" s="556"/>
      <c r="D405" s="556"/>
      <c r="E405" s="556"/>
      <c r="F405" s="556"/>
      <c r="G405" s="556"/>
      <c r="H405" s="556"/>
      <c r="I405" s="556"/>
      <c r="J405" s="556"/>
      <c r="K405" s="556"/>
      <c r="L405" s="556"/>
      <c r="M405" s="556"/>
      <c r="N405" s="556"/>
      <c r="O405" s="556"/>
      <c r="P405" s="556"/>
      <c r="Q405" s="556"/>
      <c r="R405" s="556"/>
      <c r="S405" s="556"/>
      <c r="T405" s="556"/>
      <c r="U405" s="556"/>
      <c r="V405" s="556"/>
      <c r="W405" s="556"/>
      <c r="X405" s="556"/>
      <c r="Y405" s="556"/>
      <c r="Z405" s="579"/>
      <c r="AA405" s="556"/>
      <c r="AB405" s="556"/>
      <c r="AC405" s="556"/>
      <c r="AD405" s="556"/>
    </row>
    <row r="406" ht="15.75" customHeight="1">
      <c r="A406" s="594"/>
      <c r="B406" s="556"/>
      <c r="C406" s="556"/>
      <c r="D406" s="556"/>
      <c r="E406" s="556"/>
      <c r="F406" s="556"/>
      <c r="G406" s="556"/>
      <c r="H406" s="556"/>
      <c r="I406" s="556"/>
      <c r="J406" s="556"/>
      <c r="K406" s="556"/>
      <c r="L406" s="556"/>
      <c r="M406" s="556"/>
      <c r="N406" s="556"/>
      <c r="O406" s="556"/>
      <c r="P406" s="556"/>
      <c r="Q406" s="556"/>
      <c r="R406" s="556"/>
      <c r="S406" s="556"/>
      <c r="T406" s="556"/>
      <c r="U406" s="556"/>
      <c r="V406" s="556"/>
      <c r="W406" s="556"/>
      <c r="X406" s="556"/>
      <c r="Y406" s="556"/>
      <c r="Z406" s="579"/>
      <c r="AA406" s="556"/>
      <c r="AB406" s="556"/>
      <c r="AC406" s="556"/>
      <c r="AD406" s="556"/>
    </row>
    <row r="407" ht="15.75" customHeight="1">
      <c r="A407" s="594"/>
      <c r="B407" s="556"/>
      <c r="C407" s="556"/>
      <c r="D407" s="556"/>
      <c r="E407" s="556"/>
      <c r="F407" s="556"/>
      <c r="G407" s="556"/>
      <c r="H407" s="556"/>
      <c r="I407" s="556"/>
      <c r="J407" s="556"/>
      <c r="K407" s="556"/>
      <c r="L407" s="556"/>
      <c r="M407" s="556"/>
      <c r="N407" s="556"/>
      <c r="O407" s="556"/>
      <c r="P407" s="556"/>
      <c r="Q407" s="556"/>
      <c r="R407" s="556"/>
      <c r="S407" s="556"/>
      <c r="T407" s="556"/>
      <c r="U407" s="556"/>
      <c r="V407" s="556"/>
      <c r="W407" s="556"/>
      <c r="X407" s="556"/>
      <c r="Y407" s="556"/>
      <c r="Z407" s="579"/>
      <c r="AA407" s="556"/>
      <c r="AB407" s="556"/>
      <c r="AC407" s="556"/>
      <c r="AD407" s="556"/>
    </row>
    <row r="408" ht="15.75" customHeight="1">
      <c r="A408" s="594"/>
      <c r="B408" s="556"/>
      <c r="C408" s="556"/>
      <c r="D408" s="556"/>
      <c r="E408" s="556"/>
      <c r="F408" s="556"/>
      <c r="G408" s="556"/>
      <c r="H408" s="556"/>
      <c r="I408" s="556"/>
      <c r="J408" s="556"/>
      <c r="K408" s="556"/>
      <c r="L408" s="556"/>
      <c r="M408" s="556"/>
      <c r="N408" s="556"/>
      <c r="O408" s="556"/>
      <c r="P408" s="556"/>
      <c r="Q408" s="556"/>
      <c r="R408" s="556"/>
      <c r="S408" s="556"/>
      <c r="T408" s="556"/>
      <c r="U408" s="556"/>
      <c r="V408" s="556"/>
      <c r="W408" s="556"/>
      <c r="X408" s="556"/>
      <c r="Y408" s="556"/>
      <c r="Z408" s="579"/>
      <c r="AA408" s="556"/>
      <c r="AB408" s="556"/>
      <c r="AC408" s="556"/>
      <c r="AD408" s="556"/>
    </row>
    <row r="409" ht="15.75" customHeight="1">
      <c r="A409" s="594"/>
      <c r="B409" s="556"/>
      <c r="C409" s="556"/>
      <c r="D409" s="556"/>
      <c r="E409" s="556"/>
      <c r="F409" s="556"/>
      <c r="G409" s="556"/>
      <c r="H409" s="556"/>
      <c r="I409" s="556"/>
      <c r="J409" s="556"/>
      <c r="K409" s="556"/>
      <c r="L409" s="556"/>
      <c r="M409" s="556"/>
      <c r="N409" s="556"/>
      <c r="O409" s="556"/>
      <c r="P409" s="556"/>
      <c r="Q409" s="556"/>
      <c r="R409" s="556"/>
      <c r="S409" s="556"/>
      <c r="T409" s="556"/>
      <c r="U409" s="556"/>
      <c r="V409" s="556"/>
      <c r="W409" s="556"/>
      <c r="X409" s="556"/>
      <c r="Y409" s="556"/>
      <c r="Z409" s="579"/>
      <c r="AA409" s="556"/>
      <c r="AB409" s="556"/>
      <c r="AC409" s="556"/>
      <c r="AD409" s="556"/>
    </row>
    <row r="410" ht="15.75" customHeight="1">
      <c r="A410" s="594"/>
      <c r="B410" s="556"/>
      <c r="C410" s="556"/>
      <c r="D410" s="556"/>
      <c r="E410" s="556"/>
      <c r="F410" s="556"/>
      <c r="G410" s="556"/>
      <c r="H410" s="556"/>
      <c r="I410" s="556"/>
      <c r="J410" s="556"/>
      <c r="K410" s="556"/>
      <c r="L410" s="556"/>
      <c r="M410" s="556"/>
      <c r="N410" s="556"/>
      <c r="O410" s="556"/>
      <c r="P410" s="556"/>
      <c r="Q410" s="556"/>
      <c r="R410" s="556"/>
      <c r="S410" s="556"/>
      <c r="T410" s="556"/>
      <c r="U410" s="556"/>
      <c r="V410" s="556"/>
      <c r="W410" s="556"/>
      <c r="X410" s="556"/>
      <c r="Y410" s="556"/>
      <c r="Z410" s="579"/>
      <c r="AA410" s="556"/>
      <c r="AB410" s="556"/>
      <c r="AC410" s="556"/>
      <c r="AD410" s="556"/>
    </row>
    <row r="411" ht="15.75" customHeight="1">
      <c r="A411" s="594"/>
      <c r="B411" s="556"/>
      <c r="C411" s="556"/>
      <c r="D411" s="556"/>
      <c r="E411" s="556"/>
      <c r="F411" s="556"/>
      <c r="G411" s="556"/>
      <c r="H411" s="556"/>
      <c r="I411" s="556"/>
      <c r="J411" s="556"/>
      <c r="K411" s="556"/>
      <c r="L411" s="556"/>
      <c r="M411" s="556"/>
      <c r="N411" s="556"/>
      <c r="O411" s="556"/>
      <c r="P411" s="556"/>
      <c r="Q411" s="556"/>
      <c r="R411" s="556"/>
      <c r="S411" s="556"/>
      <c r="T411" s="556"/>
      <c r="U411" s="556"/>
      <c r="V411" s="556"/>
      <c r="W411" s="556"/>
      <c r="X411" s="556"/>
      <c r="Y411" s="556"/>
      <c r="Z411" s="579"/>
      <c r="AA411" s="556"/>
      <c r="AB411" s="556"/>
      <c r="AC411" s="556"/>
      <c r="AD411" s="556"/>
    </row>
    <row r="412" ht="15.75" customHeight="1">
      <c r="A412" s="594"/>
      <c r="B412" s="556"/>
      <c r="C412" s="556"/>
      <c r="D412" s="556"/>
      <c r="E412" s="556"/>
      <c r="F412" s="556"/>
      <c r="G412" s="556"/>
      <c r="H412" s="556"/>
      <c r="I412" s="556"/>
      <c r="J412" s="556"/>
      <c r="K412" s="556"/>
      <c r="L412" s="556"/>
      <c r="M412" s="556"/>
      <c r="N412" s="556"/>
      <c r="O412" s="556"/>
      <c r="P412" s="556"/>
      <c r="Q412" s="556"/>
      <c r="R412" s="556"/>
      <c r="S412" s="556"/>
      <c r="T412" s="556"/>
      <c r="U412" s="556"/>
      <c r="V412" s="556"/>
      <c r="W412" s="556"/>
      <c r="X412" s="556"/>
      <c r="Y412" s="556"/>
      <c r="Z412" s="579"/>
      <c r="AA412" s="556"/>
      <c r="AB412" s="556"/>
      <c r="AC412" s="556"/>
      <c r="AD412" s="556"/>
    </row>
    <row r="413" ht="15.75" customHeight="1">
      <c r="A413" s="594"/>
      <c r="B413" s="556"/>
      <c r="C413" s="556"/>
      <c r="D413" s="556"/>
      <c r="E413" s="556"/>
      <c r="F413" s="556"/>
      <c r="G413" s="556"/>
      <c r="H413" s="556"/>
      <c r="I413" s="556"/>
      <c r="J413" s="556"/>
      <c r="K413" s="556"/>
      <c r="L413" s="556"/>
      <c r="M413" s="556"/>
      <c r="N413" s="556"/>
      <c r="O413" s="556"/>
      <c r="P413" s="556"/>
      <c r="Q413" s="556"/>
      <c r="R413" s="556"/>
      <c r="S413" s="556"/>
      <c r="T413" s="556"/>
      <c r="U413" s="556"/>
      <c r="V413" s="556"/>
      <c r="W413" s="556"/>
      <c r="X413" s="556"/>
      <c r="Y413" s="556"/>
      <c r="Z413" s="579"/>
      <c r="AA413" s="556"/>
      <c r="AB413" s="556"/>
      <c r="AC413" s="556"/>
      <c r="AD413" s="556"/>
    </row>
    <row r="414" ht="15.75" customHeight="1">
      <c r="A414" s="594"/>
      <c r="B414" s="556"/>
      <c r="C414" s="556"/>
      <c r="D414" s="556"/>
      <c r="E414" s="556"/>
      <c r="F414" s="556"/>
      <c r="G414" s="556"/>
      <c r="H414" s="556"/>
      <c r="I414" s="556"/>
      <c r="J414" s="556"/>
      <c r="K414" s="556"/>
      <c r="L414" s="556"/>
      <c r="M414" s="556"/>
      <c r="N414" s="556"/>
      <c r="O414" s="556"/>
      <c r="P414" s="556"/>
      <c r="Q414" s="556"/>
      <c r="R414" s="556"/>
      <c r="S414" s="556"/>
      <c r="T414" s="556"/>
      <c r="U414" s="556"/>
      <c r="V414" s="556"/>
      <c r="W414" s="556"/>
      <c r="X414" s="556"/>
      <c r="Y414" s="556"/>
      <c r="Z414" s="579"/>
      <c r="AA414" s="556"/>
      <c r="AB414" s="556"/>
      <c r="AC414" s="556"/>
      <c r="AD414" s="556"/>
    </row>
    <row r="415" ht="15.75" customHeight="1">
      <c r="A415" s="594"/>
      <c r="B415" s="556"/>
      <c r="C415" s="556"/>
      <c r="D415" s="556"/>
      <c r="E415" s="556"/>
      <c r="F415" s="556"/>
      <c r="G415" s="556"/>
      <c r="H415" s="556"/>
      <c r="I415" s="556"/>
      <c r="J415" s="556"/>
      <c r="K415" s="556"/>
      <c r="L415" s="556"/>
      <c r="M415" s="556"/>
      <c r="N415" s="556"/>
      <c r="O415" s="556"/>
      <c r="P415" s="556"/>
      <c r="Q415" s="556"/>
      <c r="R415" s="556"/>
      <c r="S415" s="556"/>
      <c r="T415" s="556"/>
      <c r="U415" s="556"/>
      <c r="V415" s="556"/>
      <c r="W415" s="556"/>
      <c r="X415" s="556"/>
      <c r="Y415" s="556"/>
      <c r="Z415" s="579"/>
      <c r="AA415" s="556"/>
      <c r="AB415" s="556"/>
      <c r="AC415" s="556"/>
      <c r="AD415" s="556"/>
    </row>
    <row r="416" ht="15.75" customHeight="1">
      <c r="A416" s="594"/>
      <c r="B416" s="556"/>
      <c r="C416" s="556"/>
      <c r="D416" s="556"/>
      <c r="E416" s="556"/>
      <c r="F416" s="556"/>
      <c r="G416" s="556"/>
      <c r="H416" s="556"/>
      <c r="I416" s="556"/>
      <c r="J416" s="556"/>
      <c r="K416" s="556"/>
      <c r="L416" s="556"/>
      <c r="M416" s="556"/>
      <c r="N416" s="556"/>
      <c r="O416" s="556"/>
      <c r="P416" s="556"/>
      <c r="Q416" s="556"/>
      <c r="R416" s="556"/>
      <c r="S416" s="556"/>
      <c r="T416" s="556"/>
      <c r="U416" s="556"/>
      <c r="V416" s="556"/>
      <c r="W416" s="556"/>
      <c r="X416" s="556"/>
      <c r="Y416" s="556"/>
      <c r="Z416" s="579"/>
      <c r="AA416" s="556"/>
      <c r="AB416" s="556"/>
      <c r="AC416" s="556"/>
      <c r="AD416" s="556"/>
    </row>
    <row r="417" ht="15.75" customHeight="1">
      <c r="A417" s="594"/>
      <c r="B417" s="556"/>
      <c r="C417" s="556"/>
      <c r="D417" s="556"/>
      <c r="E417" s="556"/>
      <c r="F417" s="556"/>
      <c r="G417" s="556"/>
      <c r="H417" s="556"/>
      <c r="I417" s="556"/>
      <c r="J417" s="556"/>
      <c r="K417" s="556"/>
      <c r="L417" s="556"/>
      <c r="M417" s="556"/>
      <c r="N417" s="556"/>
      <c r="O417" s="556"/>
      <c r="P417" s="556"/>
      <c r="Q417" s="556"/>
      <c r="R417" s="556"/>
      <c r="S417" s="556"/>
      <c r="T417" s="556"/>
      <c r="U417" s="556"/>
      <c r="V417" s="556"/>
      <c r="W417" s="556"/>
      <c r="X417" s="556"/>
      <c r="Y417" s="556"/>
      <c r="Z417" s="579"/>
      <c r="AA417" s="556"/>
      <c r="AB417" s="556"/>
      <c r="AC417" s="556"/>
      <c r="AD417" s="556"/>
    </row>
    <row r="418" ht="15.75" customHeight="1">
      <c r="A418" s="594"/>
      <c r="B418" s="556"/>
      <c r="C418" s="556"/>
      <c r="D418" s="556"/>
      <c r="E418" s="556"/>
      <c r="F418" s="556"/>
      <c r="G418" s="556"/>
      <c r="H418" s="556"/>
      <c r="I418" s="556"/>
      <c r="J418" s="556"/>
      <c r="K418" s="556"/>
      <c r="L418" s="556"/>
      <c r="M418" s="556"/>
      <c r="N418" s="556"/>
      <c r="O418" s="556"/>
      <c r="P418" s="556"/>
      <c r="Q418" s="556"/>
      <c r="R418" s="556"/>
      <c r="S418" s="556"/>
      <c r="T418" s="556"/>
      <c r="U418" s="556"/>
      <c r="V418" s="556"/>
      <c r="W418" s="556"/>
      <c r="X418" s="556"/>
      <c r="Y418" s="556"/>
      <c r="Z418" s="579"/>
      <c r="AA418" s="556"/>
      <c r="AB418" s="556"/>
      <c r="AC418" s="556"/>
      <c r="AD418" s="556"/>
    </row>
    <row r="419" ht="15.75" customHeight="1">
      <c r="A419" s="594"/>
      <c r="B419" s="556"/>
      <c r="C419" s="556"/>
      <c r="D419" s="556"/>
      <c r="E419" s="556"/>
      <c r="F419" s="556"/>
      <c r="G419" s="556"/>
      <c r="H419" s="556"/>
      <c r="I419" s="556"/>
      <c r="J419" s="556"/>
      <c r="K419" s="556"/>
      <c r="L419" s="556"/>
      <c r="M419" s="556"/>
      <c r="N419" s="556"/>
      <c r="O419" s="556"/>
      <c r="P419" s="556"/>
      <c r="Q419" s="556"/>
      <c r="R419" s="556"/>
      <c r="S419" s="556"/>
      <c r="T419" s="556"/>
      <c r="U419" s="556"/>
      <c r="V419" s="556"/>
      <c r="W419" s="556"/>
      <c r="X419" s="556"/>
      <c r="Y419" s="556"/>
      <c r="Z419" s="579"/>
      <c r="AA419" s="556"/>
      <c r="AB419" s="556"/>
      <c r="AC419" s="556"/>
      <c r="AD419" s="556"/>
    </row>
    <row r="420" ht="15.75" customHeight="1">
      <c r="A420" s="594"/>
      <c r="B420" s="556"/>
      <c r="C420" s="556"/>
      <c r="D420" s="556"/>
      <c r="E420" s="556"/>
      <c r="F420" s="556"/>
      <c r="G420" s="556"/>
      <c r="H420" s="556"/>
      <c r="I420" s="556"/>
      <c r="J420" s="556"/>
      <c r="K420" s="556"/>
      <c r="L420" s="556"/>
      <c r="M420" s="556"/>
      <c r="N420" s="556"/>
      <c r="O420" s="556"/>
      <c r="P420" s="556"/>
      <c r="Q420" s="556"/>
      <c r="R420" s="556"/>
      <c r="S420" s="556"/>
      <c r="T420" s="556"/>
      <c r="U420" s="556"/>
      <c r="V420" s="556"/>
      <c r="W420" s="556"/>
      <c r="X420" s="556"/>
      <c r="Y420" s="556"/>
      <c r="Z420" s="579"/>
      <c r="AA420" s="556"/>
      <c r="AB420" s="556"/>
      <c r="AC420" s="556"/>
      <c r="AD420" s="556"/>
    </row>
    <row r="421" ht="15.75" customHeight="1">
      <c r="A421" s="594"/>
      <c r="B421" s="556"/>
      <c r="C421" s="556"/>
      <c r="D421" s="556"/>
      <c r="E421" s="556"/>
      <c r="F421" s="556"/>
      <c r="G421" s="556"/>
      <c r="H421" s="556"/>
      <c r="I421" s="556"/>
      <c r="J421" s="556"/>
      <c r="K421" s="556"/>
      <c r="L421" s="556"/>
      <c r="M421" s="556"/>
      <c r="N421" s="556"/>
      <c r="O421" s="556"/>
      <c r="P421" s="556"/>
      <c r="Q421" s="556"/>
      <c r="R421" s="556"/>
      <c r="S421" s="556"/>
      <c r="T421" s="556"/>
      <c r="U421" s="556"/>
      <c r="V421" s="556"/>
      <c r="W421" s="556"/>
      <c r="X421" s="556"/>
      <c r="Y421" s="556"/>
      <c r="Z421" s="579"/>
      <c r="AA421" s="556"/>
      <c r="AB421" s="556"/>
      <c r="AC421" s="556"/>
      <c r="AD421" s="556"/>
    </row>
    <row r="422" ht="15.75" customHeight="1">
      <c r="A422" s="594"/>
      <c r="B422" s="556"/>
      <c r="C422" s="556"/>
      <c r="D422" s="556"/>
      <c r="E422" s="556"/>
      <c r="F422" s="556"/>
      <c r="G422" s="556"/>
      <c r="H422" s="556"/>
      <c r="I422" s="556"/>
      <c r="J422" s="556"/>
      <c r="K422" s="556"/>
      <c r="L422" s="556"/>
      <c r="M422" s="556"/>
      <c r="N422" s="556"/>
      <c r="O422" s="556"/>
      <c r="P422" s="556"/>
      <c r="Q422" s="556"/>
      <c r="R422" s="556"/>
      <c r="S422" s="556"/>
      <c r="T422" s="556"/>
      <c r="U422" s="556"/>
      <c r="V422" s="556"/>
      <c r="W422" s="556"/>
      <c r="X422" s="556"/>
      <c r="Y422" s="556"/>
      <c r="Z422" s="579"/>
      <c r="AA422" s="556"/>
      <c r="AB422" s="556"/>
      <c r="AC422" s="556"/>
      <c r="AD422" s="556"/>
    </row>
    <row r="423" ht="15.75" customHeight="1">
      <c r="A423" s="594"/>
      <c r="B423" s="556"/>
      <c r="C423" s="556"/>
      <c r="D423" s="556"/>
      <c r="E423" s="556"/>
      <c r="F423" s="556"/>
      <c r="G423" s="556"/>
      <c r="H423" s="556"/>
      <c r="I423" s="556"/>
      <c r="J423" s="556"/>
      <c r="K423" s="556"/>
      <c r="L423" s="556"/>
      <c r="M423" s="556"/>
      <c r="N423" s="556"/>
      <c r="O423" s="556"/>
      <c r="P423" s="556"/>
      <c r="Q423" s="556"/>
      <c r="R423" s="556"/>
      <c r="S423" s="556"/>
      <c r="T423" s="556"/>
      <c r="U423" s="556"/>
      <c r="V423" s="556"/>
      <c r="W423" s="556"/>
      <c r="X423" s="556"/>
      <c r="Y423" s="556"/>
      <c r="Z423" s="579"/>
      <c r="AA423" s="556"/>
      <c r="AB423" s="556"/>
      <c r="AC423" s="556"/>
      <c r="AD423" s="556"/>
    </row>
    <row r="424" ht="15.75" customHeight="1">
      <c r="A424" s="594"/>
      <c r="B424" s="556"/>
      <c r="C424" s="556"/>
      <c r="D424" s="556"/>
      <c r="E424" s="556"/>
      <c r="F424" s="556"/>
      <c r="G424" s="556"/>
      <c r="H424" s="556"/>
      <c r="I424" s="556"/>
      <c r="J424" s="556"/>
      <c r="K424" s="556"/>
      <c r="L424" s="556"/>
      <c r="M424" s="556"/>
      <c r="N424" s="556"/>
      <c r="O424" s="556"/>
      <c r="P424" s="556"/>
      <c r="Q424" s="556"/>
      <c r="R424" s="556"/>
      <c r="S424" s="556"/>
      <c r="T424" s="556"/>
      <c r="U424" s="556"/>
      <c r="V424" s="556"/>
      <c r="W424" s="556"/>
      <c r="X424" s="556"/>
      <c r="Y424" s="556"/>
      <c r="Z424" s="579"/>
      <c r="AA424" s="556"/>
      <c r="AB424" s="556"/>
      <c r="AC424" s="556"/>
      <c r="AD424" s="556"/>
    </row>
    <row r="425" ht="15.75" customHeight="1">
      <c r="A425" s="594"/>
      <c r="B425" s="556"/>
      <c r="C425" s="556"/>
      <c r="D425" s="556"/>
      <c r="E425" s="556"/>
      <c r="F425" s="556"/>
      <c r="G425" s="556"/>
      <c r="H425" s="556"/>
      <c r="I425" s="556"/>
      <c r="J425" s="556"/>
      <c r="K425" s="556"/>
      <c r="L425" s="556"/>
      <c r="M425" s="556"/>
      <c r="N425" s="556"/>
      <c r="O425" s="556"/>
      <c r="P425" s="556"/>
      <c r="Q425" s="556"/>
      <c r="R425" s="556"/>
      <c r="S425" s="556"/>
      <c r="T425" s="556"/>
      <c r="U425" s="556"/>
      <c r="V425" s="556"/>
      <c r="W425" s="556"/>
      <c r="X425" s="556"/>
      <c r="Y425" s="556"/>
      <c r="Z425" s="579"/>
      <c r="AA425" s="556"/>
      <c r="AB425" s="556"/>
      <c r="AC425" s="556"/>
      <c r="AD425" s="556"/>
    </row>
    <row r="426" ht="15.75" customHeight="1">
      <c r="A426" s="594"/>
      <c r="B426" s="556"/>
      <c r="C426" s="556"/>
      <c r="D426" s="556"/>
      <c r="E426" s="556"/>
      <c r="F426" s="556"/>
      <c r="G426" s="556"/>
      <c r="H426" s="556"/>
      <c r="I426" s="556"/>
      <c r="J426" s="556"/>
      <c r="K426" s="556"/>
      <c r="L426" s="556"/>
      <c r="M426" s="556"/>
      <c r="N426" s="556"/>
      <c r="O426" s="556"/>
      <c r="P426" s="556"/>
      <c r="Q426" s="556"/>
      <c r="R426" s="556"/>
      <c r="S426" s="556"/>
      <c r="T426" s="556"/>
      <c r="U426" s="556"/>
      <c r="V426" s="556"/>
      <c r="W426" s="556"/>
      <c r="X426" s="556"/>
      <c r="Y426" s="556"/>
      <c r="Z426" s="579"/>
      <c r="AA426" s="556"/>
      <c r="AB426" s="556"/>
      <c r="AC426" s="556"/>
      <c r="AD426" s="556"/>
    </row>
    <row r="427" ht="15.75" customHeight="1">
      <c r="A427" s="594"/>
      <c r="B427" s="556"/>
      <c r="C427" s="556"/>
      <c r="D427" s="556"/>
      <c r="E427" s="556"/>
      <c r="F427" s="556"/>
      <c r="G427" s="556"/>
      <c r="H427" s="556"/>
      <c r="I427" s="556"/>
      <c r="J427" s="556"/>
      <c r="K427" s="556"/>
      <c r="L427" s="556"/>
      <c r="M427" s="556"/>
      <c r="N427" s="556"/>
      <c r="O427" s="556"/>
      <c r="P427" s="556"/>
      <c r="Q427" s="556"/>
      <c r="R427" s="556"/>
      <c r="S427" s="556"/>
      <c r="T427" s="556"/>
      <c r="U427" s="556"/>
      <c r="V427" s="556"/>
      <c r="W427" s="556"/>
      <c r="X427" s="556"/>
      <c r="Y427" s="556"/>
      <c r="Z427" s="579"/>
      <c r="AA427" s="556"/>
      <c r="AB427" s="556"/>
      <c r="AC427" s="556"/>
      <c r="AD427" s="556"/>
    </row>
    <row r="428" ht="15.75" customHeight="1">
      <c r="A428" s="594"/>
      <c r="B428" s="556"/>
      <c r="C428" s="556"/>
      <c r="D428" s="556"/>
      <c r="E428" s="556"/>
      <c r="F428" s="556"/>
      <c r="G428" s="556"/>
      <c r="H428" s="556"/>
      <c r="I428" s="556"/>
      <c r="J428" s="556"/>
      <c r="K428" s="556"/>
      <c r="L428" s="556"/>
      <c r="M428" s="556"/>
      <c r="N428" s="556"/>
      <c r="O428" s="556"/>
      <c r="P428" s="556"/>
      <c r="Q428" s="556"/>
      <c r="R428" s="556"/>
      <c r="S428" s="556"/>
      <c r="T428" s="556"/>
      <c r="U428" s="556"/>
      <c r="V428" s="556"/>
      <c r="W428" s="556"/>
      <c r="X428" s="556"/>
      <c r="Y428" s="556"/>
      <c r="Z428" s="579"/>
      <c r="AA428" s="556"/>
      <c r="AB428" s="556"/>
      <c r="AC428" s="556"/>
      <c r="AD428" s="556"/>
    </row>
    <row r="429" ht="15.75" customHeight="1">
      <c r="A429" s="594"/>
      <c r="B429" s="556"/>
      <c r="C429" s="556"/>
      <c r="D429" s="556"/>
      <c r="E429" s="556"/>
      <c r="F429" s="556"/>
      <c r="G429" s="556"/>
      <c r="H429" s="556"/>
      <c r="I429" s="556"/>
      <c r="J429" s="556"/>
      <c r="K429" s="556"/>
      <c r="L429" s="556"/>
      <c r="M429" s="556"/>
      <c r="N429" s="556"/>
      <c r="O429" s="556"/>
      <c r="P429" s="556"/>
      <c r="Q429" s="556"/>
      <c r="R429" s="556"/>
      <c r="S429" s="556"/>
      <c r="T429" s="556"/>
      <c r="U429" s="556"/>
      <c r="V429" s="556"/>
      <c r="W429" s="556"/>
      <c r="X429" s="556"/>
      <c r="Y429" s="556"/>
      <c r="Z429" s="579"/>
      <c r="AA429" s="556"/>
      <c r="AB429" s="556"/>
      <c r="AC429" s="556"/>
      <c r="AD429" s="556"/>
    </row>
    <row r="430" ht="15.75" customHeight="1">
      <c r="A430" s="594"/>
      <c r="B430" s="556"/>
      <c r="C430" s="556"/>
      <c r="D430" s="556"/>
      <c r="E430" s="556"/>
      <c r="F430" s="556"/>
      <c r="G430" s="556"/>
      <c r="H430" s="556"/>
      <c r="I430" s="556"/>
      <c r="J430" s="556"/>
      <c r="K430" s="556"/>
      <c r="L430" s="556"/>
      <c r="M430" s="556"/>
      <c r="N430" s="556"/>
      <c r="O430" s="556"/>
      <c r="P430" s="556"/>
      <c r="Q430" s="556"/>
      <c r="R430" s="556"/>
      <c r="S430" s="556"/>
      <c r="T430" s="556"/>
      <c r="U430" s="556"/>
      <c r="V430" s="556"/>
      <c r="W430" s="556"/>
      <c r="X430" s="556"/>
      <c r="Y430" s="556"/>
      <c r="Z430" s="579"/>
      <c r="AA430" s="556"/>
      <c r="AB430" s="556"/>
      <c r="AC430" s="556"/>
      <c r="AD430" s="556"/>
    </row>
    <row r="431" ht="15.75" customHeight="1">
      <c r="A431" s="594"/>
      <c r="B431" s="556"/>
      <c r="C431" s="556"/>
      <c r="D431" s="556"/>
      <c r="E431" s="556"/>
      <c r="F431" s="556"/>
      <c r="G431" s="556"/>
      <c r="H431" s="556"/>
      <c r="I431" s="556"/>
      <c r="J431" s="556"/>
      <c r="K431" s="556"/>
      <c r="L431" s="556"/>
      <c r="M431" s="556"/>
      <c r="N431" s="556"/>
      <c r="O431" s="556"/>
      <c r="P431" s="556"/>
      <c r="Q431" s="556"/>
      <c r="R431" s="556"/>
      <c r="S431" s="556"/>
      <c r="T431" s="556"/>
      <c r="U431" s="556"/>
      <c r="V431" s="556"/>
      <c r="W431" s="556"/>
      <c r="X431" s="556"/>
      <c r="Y431" s="556"/>
      <c r="Z431" s="579"/>
      <c r="AA431" s="556"/>
      <c r="AB431" s="556"/>
      <c r="AC431" s="556"/>
      <c r="AD431" s="556"/>
    </row>
    <row r="432" ht="15.75" customHeight="1">
      <c r="A432" s="594"/>
      <c r="B432" s="556"/>
      <c r="C432" s="556"/>
      <c r="D432" s="556"/>
      <c r="E432" s="556"/>
      <c r="F432" s="556"/>
      <c r="G432" s="556"/>
      <c r="H432" s="556"/>
      <c r="I432" s="556"/>
      <c r="J432" s="556"/>
      <c r="K432" s="556"/>
      <c r="L432" s="556"/>
      <c r="M432" s="556"/>
      <c r="N432" s="556"/>
      <c r="O432" s="556"/>
      <c r="P432" s="556"/>
      <c r="Q432" s="556"/>
      <c r="R432" s="556"/>
      <c r="S432" s="556"/>
      <c r="T432" s="556"/>
      <c r="U432" s="556"/>
      <c r="V432" s="556"/>
      <c r="W432" s="556"/>
      <c r="X432" s="556"/>
      <c r="Y432" s="556"/>
      <c r="Z432" s="579"/>
      <c r="AA432" s="556"/>
      <c r="AB432" s="556"/>
      <c r="AC432" s="556"/>
      <c r="AD432" s="556"/>
    </row>
    <row r="433" ht="15.75" customHeight="1">
      <c r="A433" s="594"/>
      <c r="B433" s="556"/>
      <c r="C433" s="556"/>
      <c r="D433" s="556"/>
      <c r="E433" s="556"/>
      <c r="F433" s="556"/>
      <c r="G433" s="556"/>
      <c r="H433" s="556"/>
      <c r="I433" s="556"/>
      <c r="J433" s="556"/>
      <c r="K433" s="556"/>
      <c r="L433" s="556"/>
      <c r="M433" s="556"/>
      <c r="N433" s="556"/>
      <c r="O433" s="556"/>
      <c r="P433" s="556"/>
      <c r="Q433" s="556"/>
      <c r="R433" s="556"/>
      <c r="S433" s="556"/>
      <c r="T433" s="556"/>
      <c r="U433" s="556"/>
      <c r="V433" s="556"/>
      <c r="W433" s="556"/>
      <c r="X433" s="556"/>
      <c r="Y433" s="556"/>
      <c r="Z433" s="579"/>
      <c r="AA433" s="556"/>
      <c r="AB433" s="556"/>
      <c r="AC433" s="556"/>
      <c r="AD433" s="556"/>
    </row>
    <row r="434" ht="15.75" customHeight="1">
      <c r="A434" s="594"/>
      <c r="B434" s="556"/>
      <c r="C434" s="556"/>
      <c r="D434" s="556"/>
      <c r="E434" s="556"/>
      <c r="F434" s="556"/>
      <c r="G434" s="556"/>
      <c r="H434" s="556"/>
      <c r="I434" s="556"/>
      <c r="J434" s="556"/>
      <c r="K434" s="556"/>
      <c r="L434" s="556"/>
      <c r="M434" s="556"/>
      <c r="N434" s="556"/>
      <c r="O434" s="556"/>
      <c r="P434" s="556"/>
      <c r="Q434" s="556"/>
      <c r="R434" s="556"/>
      <c r="S434" s="556"/>
      <c r="T434" s="556"/>
      <c r="U434" s="556"/>
      <c r="V434" s="556"/>
      <c r="W434" s="556"/>
      <c r="X434" s="556"/>
      <c r="Y434" s="556"/>
      <c r="Z434" s="579"/>
      <c r="AA434" s="556"/>
      <c r="AB434" s="556"/>
      <c r="AC434" s="556"/>
      <c r="AD434" s="556"/>
    </row>
    <row r="435" ht="15.75" customHeight="1">
      <c r="A435" s="594"/>
      <c r="B435" s="556"/>
      <c r="C435" s="556"/>
      <c r="D435" s="556"/>
      <c r="E435" s="556"/>
      <c r="F435" s="556"/>
      <c r="G435" s="556"/>
      <c r="H435" s="556"/>
      <c r="I435" s="556"/>
      <c r="J435" s="556"/>
      <c r="K435" s="556"/>
      <c r="L435" s="556"/>
      <c r="M435" s="556"/>
      <c r="N435" s="556"/>
      <c r="O435" s="556"/>
      <c r="P435" s="556"/>
      <c r="Q435" s="556"/>
      <c r="R435" s="556"/>
      <c r="S435" s="556"/>
      <c r="T435" s="556"/>
      <c r="U435" s="556"/>
      <c r="V435" s="556"/>
      <c r="W435" s="556"/>
      <c r="X435" s="556"/>
      <c r="Y435" s="556"/>
      <c r="Z435" s="579"/>
      <c r="AA435" s="556"/>
      <c r="AB435" s="556"/>
      <c r="AC435" s="556"/>
      <c r="AD435" s="556"/>
    </row>
    <row r="436" ht="15.75" customHeight="1">
      <c r="A436" s="594"/>
      <c r="B436" s="556"/>
      <c r="C436" s="556"/>
      <c r="D436" s="556"/>
      <c r="E436" s="556"/>
      <c r="F436" s="556"/>
      <c r="G436" s="556"/>
      <c r="H436" s="556"/>
      <c r="I436" s="556"/>
      <c r="J436" s="556"/>
      <c r="K436" s="556"/>
      <c r="L436" s="556"/>
      <c r="M436" s="556"/>
      <c r="N436" s="556"/>
      <c r="O436" s="556"/>
      <c r="P436" s="556"/>
      <c r="Q436" s="556"/>
      <c r="R436" s="556"/>
      <c r="S436" s="556"/>
      <c r="T436" s="556"/>
      <c r="U436" s="556"/>
      <c r="V436" s="556"/>
      <c r="W436" s="556"/>
      <c r="X436" s="556"/>
      <c r="Y436" s="556"/>
      <c r="Z436" s="579"/>
      <c r="AA436" s="556"/>
      <c r="AB436" s="556"/>
      <c r="AC436" s="556"/>
      <c r="AD436" s="556"/>
    </row>
    <row r="437" ht="15.75" customHeight="1">
      <c r="A437" s="594"/>
      <c r="B437" s="556"/>
      <c r="C437" s="556"/>
      <c r="D437" s="556"/>
      <c r="E437" s="556"/>
      <c r="F437" s="556"/>
      <c r="G437" s="556"/>
      <c r="H437" s="556"/>
      <c r="I437" s="556"/>
      <c r="J437" s="556"/>
      <c r="K437" s="556"/>
      <c r="L437" s="556"/>
      <c r="M437" s="556"/>
      <c r="N437" s="556"/>
      <c r="O437" s="556"/>
      <c r="P437" s="556"/>
      <c r="Q437" s="556"/>
      <c r="R437" s="556"/>
      <c r="S437" s="556"/>
      <c r="T437" s="556"/>
      <c r="U437" s="556"/>
      <c r="V437" s="556"/>
      <c r="W437" s="556"/>
      <c r="X437" s="556"/>
      <c r="Y437" s="556"/>
      <c r="Z437" s="579"/>
      <c r="AA437" s="556"/>
      <c r="AB437" s="556"/>
      <c r="AC437" s="556"/>
      <c r="AD437" s="556"/>
    </row>
    <row r="438" ht="15.75" customHeight="1">
      <c r="A438" s="594"/>
      <c r="B438" s="556"/>
      <c r="C438" s="556"/>
      <c r="D438" s="556"/>
      <c r="E438" s="556"/>
      <c r="F438" s="556"/>
      <c r="G438" s="556"/>
      <c r="H438" s="556"/>
      <c r="I438" s="556"/>
      <c r="J438" s="556"/>
      <c r="K438" s="556"/>
      <c r="L438" s="556"/>
      <c r="M438" s="556"/>
      <c r="N438" s="556"/>
      <c r="O438" s="556"/>
      <c r="P438" s="556"/>
      <c r="Q438" s="556"/>
      <c r="R438" s="556"/>
      <c r="S438" s="556"/>
      <c r="T438" s="556"/>
      <c r="U438" s="556"/>
      <c r="V438" s="556"/>
      <c r="W438" s="556"/>
      <c r="X438" s="556"/>
      <c r="Y438" s="556"/>
      <c r="Z438" s="579"/>
      <c r="AA438" s="556"/>
      <c r="AB438" s="556"/>
      <c r="AC438" s="556"/>
      <c r="AD438" s="556"/>
    </row>
    <row r="439" ht="15.75" customHeight="1">
      <c r="A439" s="594"/>
      <c r="B439" s="556"/>
      <c r="C439" s="556"/>
      <c r="D439" s="556"/>
      <c r="E439" s="556"/>
      <c r="F439" s="556"/>
      <c r="G439" s="556"/>
      <c r="H439" s="556"/>
      <c r="I439" s="556"/>
      <c r="J439" s="556"/>
      <c r="K439" s="556"/>
      <c r="L439" s="556"/>
      <c r="M439" s="556"/>
      <c r="N439" s="556"/>
      <c r="O439" s="556"/>
      <c r="P439" s="556"/>
      <c r="Q439" s="556"/>
      <c r="R439" s="556"/>
      <c r="S439" s="556"/>
      <c r="T439" s="556"/>
      <c r="U439" s="556"/>
      <c r="V439" s="556"/>
      <c r="W439" s="556"/>
      <c r="X439" s="556"/>
      <c r="Y439" s="556"/>
      <c r="Z439" s="579"/>
      <c r="AA439" s="556"/>
      <c r="AB439" s="556"/>
      <c r="AC439" s="556"/>
      <c r="AD439" s="556"/>
    </row>
    <row r="440" ht="15.75" customHeight="1">
      <c r="A440" s="594"/>
      <c r="B440" s="556"/>
      <c r="C440" s="556"/>
      <c r="D440" s="556"/>
      <c r="E440" s="556"/>
      <c r="F440" s="556"/>
      <c r="G440" s="556"/>
      <c r="H440" s="556"/>
      <c r="I440" s="556"/>
      <c r="J440" s="556"/>
      <c r="K440" s="556"/>
      <c r="L440" s="556"/>
      <c r="M440" s="556"/>
      <c r="N440" s="556"/>
      <c r="O440" s="556"/>
      <c r="P440" s="556"/>
      <c r="Q440" s="556"/>
      <c r="R440" s="556"/>
      <c r="S440" s="556"/>
      <c r="T440" s="556"/>
      <c r="U440" s="556"/>
      <c r="V440" s="556"/>
      <c r="W440" s="556"/>
      <c r="X440" s="556"/>
      <c r="Y440" s="556"/>
      <c r="Z440" s="579"/>
      <c r="AA440" s="556"/>
      <c r="AB440" s="556"/>
      <c r="AC440" s="556"/>
      <c r="AD440" s="556"/>
    </row>
    <row r="441" ht="15.75" customHeight="1">
      <c r="A441" s="594"/>
      <c r="B441" s="556"/>
      <c r="C441" s="556"/>
      <c r="D441" s="556"/>
      <c r="E441" s="556"/>
      <c r="F441" s="556"/>
      <c r="G441" s="556"/>
      <c r="H441" s="556"/>
      <c r="I441" s="556"/>
      <c r="J441" s="556"/>
      <c r="K441" s="556"/>
      <c r="L441" s="556"/>
      <c r="M441" s="556"/>
      <c r="N441" s="556"/>
      <c r="O441" s="556"/>
      <c r="P441" s="556"/>
      <c r="Q441" s="556"/>
      <c r="R441" s="556"/>
      <c r="S441" s="556"/>
      <c r="T441" s="556"/>
      <c r="U441" s="556"/>
      <c r="V441" s="556"/>
      <c r="W441" s="556"/>
      <c r="X441" s="556"/>
      <c r="Y441" s="556"/>
      <c r="Z441" s="579"/>
      <c r="AA441" s="556"/>
      <c r="AB441" s="556"/>
      <c r="AC441" s="556"/>
      <c r="AD441" s="556"/>
    </row>
    <row r="442" ht="15.75" customHeight="1">
      <c r="A442" s="594"/>
      <c r="B442" s="556"/>
      <c r="C442" s="556"/>
      <c r="D442" s="556"/>
      <c r="E442" s="556"/>
      <c r="F442" s="556"/>
      <c r="G442" s="556"/>
      <c r="H442" s="556"/>
      <c r="I442" s="556"/>
      <c r="J442" s="556"/>
      <c r="K442" s="556"/>
      <c r="L442" s="556"/>
      <c r="M442" s="556"/>
      <c r="N442" s="556"/>
      <c r="O442" s="556"/>
      <c r="P442" s="556"/>
      <c r="Q442" s="556"/>
      <c r="R442" s="556"/>
      <c r="S442" s="556"/>
      <c r="T442" s="556"/>
      <c r="U442" s="556"/>
      <c r="V442" s="556"/>
      <c r="W442" s="556"/>
      <c r="X442" s="556"/>
      <c r="Y442" s="556"/>
      <c r="Z442" s="579"/>
      <c r="AA442" s="556"/>
      <c r="AB442" s="556"/>
      <c r="AC442" s="556"/>
      <c r="AD442" s="556"/>
    </row>
    <row r="443" ht="15.75" customHeight="1">
      <c r="A443" s="594"/>
      <c r="B443" s="556"/>
      <c r="C443" s="556"/>
      <c r="D443" s="556"/>
      <c r="E443" s="556"/>
      <c r="F443" s="556"/>
      <c r="G443" s="556"/>
      <c r="H443" s="556"/>
      <c r="I443" s="556"/>
      <c r="J443" s="556"/>
      <c r="K443" s="556"/>
      <c r="L443" s="556"/>
      <c r="M443" s="556"/>
      <c r="N443" s="556"/>
      <c r="O443" s="556"/>
      <c r="P443" s="556"/>
      <c r="Q443" s="556"/>
      <c r="R443" s="556"/>
      <c r="S443" s="556"/>
      <c r="T443" s="556"/>
      <c r="U443" s="556"/>
      <c r="V443" s="556"/>
      <c r="W443" s="556"/>
      <c r="X443" s="556"/>
      <c r="Y443" s="556"/>
      <c r="Z443" s="579"/>
      <c r="AA443" s="556"/>
      <c r="AB443" s="556"/>
      <c r="AC443" s="556"/>
      <c r="AD443" s="556"/>
    </row>
    <row r="444" ht="15.75" customHeight="1">
      <c r="A444" s="594"/>
      <c r="B444" s="556"/>
      <c r="C444" s="556"/>
      <c r="D444" s="556"/>
      <c r="E444" s="556"/>
      <c r="F444" s="556"/>
      <c r="G444" s="556"/>
      <c r="H444" s="556"/>
      <c r="I444" s="556"/>
      <c r="J444" s="556"/>
      <c r="K444" s="556"/>
      <c r="L444" s="556"/>
      <c r="M444" s="556"/>
      <c r="N444" s="556"/>
      <c r="O444" s="556"/>
      <c r="P444" s="556"/>
      <c r="Q444" s="556"/>
      <c r="R444" s="556"/>
      <c r="S444" s="556"/>
      <c r="T444" s="556"/>
      <c r="U444" s="556"/>
      <c r="V444" s="556"/>
      <c r="W444" s="556"/>
      <c r="X444" s="556"/>
      <c r="Y444" s="556"/>
      <c r="Z444" s="579"/>
      <c r="AA444" s="556"/>
      <c r="AB444" s="556"/>
      <c r="AC444" s="556"/>
      <c r="AD444" s="556"/>
    </row>
    <row r="445" ht="15.75" customHeight="1">
      <c r="A445" s="594"/>
      <c r="B445" s="556"/>
      <c r="C445" s="556"/>
      <c r="D445" s="556"/>
      <c r="E445" s="556"/>
      <c r="F445" s="556"/>
      <c r="G445" s="556"/>
      <c r="H445" s="556"/>
      <c r="I445" s="556"/>
      <c r="J445" s="556"/>
      <c r="K445" s="556"/>
      <c r="L445" s="556"/>
      <c r="M445" s="556"/>
      <c r="N445" s="556"/>
      <c r="O445" s="556"/>
      <c r="P445" s="556"/>
      <c r="Q445" s="556"/>
      <c r="R445" s="556"/>
      <c r="S445" s="556"/>
      <c r="T445" s="556"/>
      <c r="U445" s="556"/>
      <c r="V445" s="556"/>
      <c r="W445" s="556"/>
      <c r="X445" s="556"/>
      <c r="Y445" s="556"/>
      <c r="Z445" s="579"/>
      <c r="AA445" s="556"/>
      <c r="AB445" s="556"/>
      <c r="AC445" s="556"/>
      <c r="AD445" s="556"/>
    </row>
    <row r="446" ht="15.75" customHeight="1">
      <c r="A446" s="594"/>
      <c r="B446" s="556"/>
      <c r="C446" s="556"/>
      <c r="D446" s="556"/>
      <c r="E446" s="556"/>
      <c r="F446" s="556"/>
      <c r="G446" s="556"/>
      <c r="H446" s="556"/>
      <c r="I446" s="556"/>
      <c r="J446" s="556"/>
      <c r="K446" s="556"/>
      <c r="L446" s="556"/>
      <c r="M446" s="556"/>
      <c r="N446" s="556"/>
      <c r="O446" s="556"/>
      <c r="P446" s="556"/>
      <c r="Q446" s="556"/>
      <c r="R446" s="556"/>
      <c r="S446" s="556"/>
      <c r="T446" s="556"/>
      <c r="U446" s="556"/>
      <c r="V446" s="556"/>
      <c r="W446" s="556"/>
      <c r="X446" s="556"/>
      <c r="Y446" s="556"/>
      <c r="Z446" s="579"/>
      <c r="AA446" s="556"/>
      <c r="AB446" s="556"/>
      <c r="AC446" s="556"/>
      <c r="AD446" s="556"/>
    </row>
    <row r="447" ht="15.75" customHeight="1">
      <c r="A447" s="594"/>
      <c r="B447" s="556"/>
      <c r="C447" s="556"/>
      <c r="D447" s="556"/>
      <c r="E447" s="556"/>
      <c r="F447" s="556"/>
      <c r="G447" s="556"/>
      <c r="H447" s="556"/>
      <c r="I447" s="556"/>
      <c r="J447" s="556"/>
      <c r="K447" s="556"/>
      <c r="L447" s="556"/>
      <c r="M447" s="556"/>
      <c r="N447" s="556"/>
      <c r="O447" s="556"/>
      <c r="P447" s="556"/>
      <c r="Q447" s="556"/>
      <c r="R447" s="556"/>
      <c r="S447" s="556"/>
      <c r="T447" s="556"/>
      <c r="U447" s="556"/>
      <c r="V447" s="556"/>
      <c r="W447" s="556"/>
      <c r="X447" s="556"/>
      <c r="Y447" s="556"/>
      <c r="Z447" s="579"/>
      <c r="AA447" s="556"/>
      <c r="AB447" s="556"/>
      <c r="AC447" s="556"/>
      <c r="AD447" s="556"/>
    </row>
    <row r="448" ht="15.75" customHeight="1">
      <c r="A448" s="594"/>
      <c r="B448" s="556"/>
      <c r="C448" s="556"/>
      <c r="D448" s="556"/>
      <c r="E448" s="556"/>
      <c r="F448" s="556"/>
      <c r="G448" s="556"/>
      <c r="H448" s="556"/>
      <c r="I448" s="556"/>
      <c r="J448" s="556"/>
      <c r="K448" s="556"/>
      <c r="L448" s="556"/>
      <c r="M448" s="556"/>
      <c r="N448" s="556"/>
      <c r="O448" s="556"/>
      <c r="P448" s="556"/>
      <c r="Q448" s="556"/>
      <c r="R448" s="556"/>
      <c r="S448" s="556"/>
      <c r="T448" s="556"/>
      <c r="U448" s="556"/>
      <c r="V448" s="556"/>
      <c r="W448" s="556"/>
      <c r="X448" s="556"/>
      <c r="Y448" s="556"/>
      <c r="Z448" s="579"/>
      <c r="AA448" s="556"/>
      <c r="AB448" s="556"/>
      <c r="AC448" s="556"/>
      <c r="AD448" s="556"/>
    </row>
    <row r="449" ht="15.75" customHeight="1">
      <c r="A449" s="594"/>
      <c r="B449" s="556"/>
      <c r="C449" s="556"/>
      <c r="D449" s="556"/>
      <c r="E449" s="556"/>
      <c r="F449" s="556"/>
      <c r="G449" s="556"/>
      <c r="H449" s="556"/>
      <c r="I449" s="556"/>
      <c r="J449" s="556"/>
      <c r="K449" s="556"/>
      <c r="L449" s="556"/>
      <c r="M449" s="556"/>
      <c r="N449" s="556"/>
      <c r="O449" s="556"/>
      <c r="P449" s="556"/>
      <c r="Q449" s="556"/>
      <c r="R449" s="556"/>
      <c r="S449" s="556"/>
      <c r="T449" s="556"/>
      <c r="U449" s="556"/>
      <c r="V449" s="556"/>
      <c r="W449" s="556"/>
      <c r="X449" s="556"/>
      <c r="Y449" s="556"/>
      <c r="Z449" s="579"/>
      <c r="AA449" s="556"/>
      <c r="AB449" s="556"/>
      <c r="AC449" s="556"/>
      <c r="AD449" s="556"/>
    </row>
    <row r="450" ht="15.75" customHeight="1">
      <c r="A450" s="594"/>
      <c r="B450" s="556"/>
      <c r="C450" s="556"/>
      <c r="D450" s="556"/>
      <c r="E450" s="556"/>
      <c r="F450" s="556"/>
      <c r="G450" s="556"/>
      <c r="H450" s="556"/>
      <c r="I450" s="556"/>
      <c r="J450" s="556"/>
      <c r="K450" s="556"/>
      <c r="L450" s="556"/>
      <c r="M450" s="556"/>
      <c r="N450" s="556"/>
      <c r="O450" s="556"/>
      <c r="P450" s="556"/>
      <c r="Q450" s="556"/>
      <c r="R450" s="556"/>
      <c r="S450" s="556"/>
      <c r="T450" s="556"/>
      <c r="U450" s="556"/>
      <c r="V450" s="556"/>
      <c r="W450" s="556"/>
      <c r="X450" s="556"/>
      <c r="Y450" s="556"/>
      <c r="Z450" s="579"/>
      <c r="AA450" s="556"/>
      <c r="AB450" s="556"/>
      <c r="AC450" s="556"/>
      <c r="AD450" s="556"/>
    </row>
    <row r="451" ht="15.75" customHeight="1">
      <c r="A451" s="594"/>
      <c r="B451" s="556"/>
      <c r="C451" s="556"/>
      <c r="D451" s="556"/>
      <c r="E451" s="556"/>
      <c r="F451" s="556"/>
      <c r="G451" s="556"/>
      <c r="H451" s="556"/>
      <c r="I451" s="556"/>
      <c r="J451" s="556"/>
      <c r="K451" s="556"/>
      <c r="L451" s="556"/>
      <c r="M451" s="556"/>
      <c r="N451" s="556"/>
      <c r="O451" s="556"/>
      <c r="P451" s="556"/>
      <c r="Q451" s="556"/>
      <c r="R451" s="556"/>
      <c r="S451" s="556"/>
      <c r="T451" s="556"/>
      <c r="U451" s="556"/>
      <c r="V451" s="556"/>
      <c r="W451" s="556"/>
      <c r="X451" s="556"/>
      <c r="Y451" s="556"/>
      <c r="Z451" s="579"/>
      <c r="AA451" s="556"/>
      <c r="AB451" s="556"/>
      <c r="AC451" s="556"/>
      <c r="AD451" s="556"/>
    </row>
    <row r="452" ht="15.75" customHeight="1">
      <c r="A452" s="594"/>
      <c r="B452" s="556"/>
      <c r="C452" s="556"/>
      <c r="D452" s="556"/>
      <c r="E452" s="556"/>
      <c r="F452" s="556"/>
      <c r="G452" s="556"/>
      <c r="H452" s="556"/>
      <c r="I452" s="556"/>
      <c r="J452" s="556"/>
      <c r="K452" s="556"/>
      <c r="L452" s="556"/>
      <c r="M452" s="556"/>
      <c r="N452" s="556"/>
      <c r="O452" s="556"/>
      <c r="P452" s="556"/>
      <c r="Q452" s="556"/>
      <c r="R452" s="556"/>
      <c r="S452" s="556"/>
      <c r="T452" s="556"/>
      <c r="U452" s="556"/>
      <c r="V452" s="556"/>
      <c r="W452" s="556"/>
      <c r="X452" s="556"/>
      <c r="Y452" s="556"/>
      <c r="Z452" s="579"/>
      <c r="AA452" s="556"/>
      <c r="AB452" s="556"/>
      <c r="AC452" s="556"/>
      <c r="AD452" s="556"/>
    </row>
    <row r="453" ht="15.75" customHeight="1">
      <c r="A453" s="594"/>
      <c r="B453" s="556"/>
      <c r="C453" s="556"/>
      <c r="D453" s="556"/>
      <c r="E453" s="556"/>
      <c r="F453" s="556"/>
      <c r="G453" s="556"/>
      <c r="H453" s="556"/>
      <c r="I453" s="556"/>
      <c r="J453" s="556"/>
      <c r="K453" s="556"/>
      <c r="L453" s="556"/>
      <c r="M453" s="556"/>
      <c r="N453" s="556"/>
      <c r="O453" s="556"/>
      <c r="P453" s="556"/>
      <c r="Q453" s="556"/>
      <c r="R453" s="556"/>
      <c r="S453" s="556"/>
      <c r="T453" s="556"/>
      <c r="U453" s="556"/>
      <c r="V453" s="556"/>
      <c r="W453" s="556"/>
      <c r="X453" s="556"/>
      <c r="Y453" s="556"/>
      <c r="Z453" s="579"/>
      <c r="AA453" s="556"/>
      <c r="AB453" s="556"/>
      <c r="AC453" s="556"/>
      <c r="AD453" s="556"/>
    </row>
    <row r="454" ht="15.75" customHeight="1">
      <c r="A454" s="594"/>
      <c r="B454" s="556"/>
      <c r="C454" s="556"/>
      <c r="D454" s="556"/>
      <c r="E454" s="556"/>
      <c r="F454" s="556"/>
      <c r="G454" s="556"/>
      <c r="H454" s="556"/>
      <c r="I454" s="556"/>
      <c r="J454" s="556"/>
      <c r="K454" s="556"/>
      <c r="L454" s="556"/>
      <c r="M454" s="556"/>
      <c r="N454" s="556"/>
      <c r="O454" s="556"/>
      <c r="P454" s="556"/>
      <c r="Q454" s="556"/>
      <c r="R454" s="556"/>
      <c r="S454" s="556"/>
      <c r="T454" s="556"/>
      <c r="U454" s="556"/>
      <c r="V454" s="556"/>
      <c r="W454" s="556"/>
      <c r="X454" s="556"/>
      <c r="Y454" s="556"/>
      <c r="Z454" s="579"/>
      <c r="AA454" s="556"/>
      <c r="AB454" s="556"/>
      <c r="AC454" s="556"/>
      <c r="AD454" s="556"/>
    </row>
    <row r="455" ht="15.75" customHeight="1">
      <c r="A455" s="594"/>
      <c r="B455" s="556"/>
      <c r="C455" s="556"/>
      <c r="D455" s="556"/>
      <c r="E455" s="556"/>
      <c r="F455" s="556"/>
      <c r="G455" s="556"/>
      <c r="H455" s="556"/>
      <c r="I455" s="556"/>
      <c r="J455" s="556"/>
      <c r="K455" s="556"/>
      <c r="L455" s="556"/>
      <c r="M455" s="556"/>
      <c r="N455" s="556"/>
      <c r="O455" s="556"/>
      <c r="P455" s="556"/>
      <c r="Q455" s="556"/>
      <c r="R455" s="556"/>
      <c r="S455" s="556"/>
      <c r="T455" s="556"/>
      <c r="U455" s="556"/>
      <c r="V455" s="556"/>
      <c r="W455" s="556"/>
      <c r="X455" s="556"/>
      <c r="Y455" s="556"/>
      <c r="Z455" s="579"/>
      <c r="AA455" s="556"/>
      <c r="AB455" s="556"/>
      <c r="AC455" s="556"/>
      <c r="AD455" s="556"/>
    </row>
    <row r="456" ht="15.75" customHeight="1">
      <c r="A456" s="594"/>
      <c r="B456" s="556"/>
      <c r="C456" s="556"/>
      <c r="D456" s="556"/>
      <c r="E456" s="556"/>
      <c r="F456" s="556"/>
      <c r="G456" s="556"/>
      <c r="H456" s="556"/>
      <c r="I456" s="556"/>
      <c r="J456" s="556"/>
      <c r="K456" s="556"/>
      <c r="L456" s="556"/>
      <c r="M456" s="556"/>
      <c r="N456" s="556"/>
      <c r="O456" s="556"/>
      <c r="P456" s="556"/>
      <c r="Q456" s="556"/>
      <c r="R456" s="556"/>
      <c r="S456" s="556"/>
      <c r="T456" s="556"/>
      <c r="U456" s="556"/>
      <c r="V456" s="556"/>
      <c r="W456" s="556"/>
      <c r="X456" s="556"/>
      <c r="Y456" s="556"/>
      <c r="Z456" s="579"/>
      <c r="AA456" s="556"/>
      <c r="AB456" s="556"/>
      <c r="AC456" s="556"/>
      <c r="AD456" s="556"/>
    </row>
    <row r="457" ht="15.75" customHeight="1">
      <c r="A457" s="594"/>
      <c r="B457" s="556"/>
      <c r="C457" s="556"/>
      <c r="D457" s="556"/>
      <c r="E457" s="556"/>
      <c r="F457" s="556"/>
      <c r="G457" s="556"/>
      <c r="H457" s="556"/>
      <c r="I457" s="556"/>
      <c r="J457" s="556"/>
      <c r="K457" s="556"/>
      <c r="L457" s="556"/>
      <c r="M457" s="556"/>
      <c r="N457" s="556"/>
      <c r="O457" s="556"/>
      <c r="P457" s="556"/>
      <c r="Q457" s="556"/>
      <c r="R457" s="556"/>
      <c r="S457" s="556"/>
      <c r="T457" s="556"/>
      <c r="U457" s="556"/>
      <c r="V457" s="556"/>
      <c r="W457" s="556"/>
      <c r="X457" s="556"/>
      <c r="Y457" s="556"/>
      <c r="Z457" s="579"/>
      <c r="AA457" s="556"/>
      <c r="AB457" s="556"/>
      <c r="AC457" s="556"/>
      <c r="AD457" s="556"/>
    </row>
    <row r="458" ht="15.75" customHeight="1">
      <c r="A458" s="594"/>
      <c r="B458" s="556"/>
      <c r="C458" s="556"/>
      <c r="D458" s="556"/>
      <c r="E458" s="556"/>
      <c r="F458" s="556"/>
      <c r="G458" s="556"/>
      <c r="H458" s="556"/>
      <c r="I458" s="556"/>
      <c r="J458" s="556"/>
      <c r="K458" s="556"/>
      <c r="L458" s="556"/>
      <c r="M458" s="556"/>
      <c r="N458" s="556"/>
      <c r="O458" s="556"/>
      <c r="P458" s="556"/>
      <c r="Q458" s="556"/>
      <c r="R458" s="556"/>
      <c r="S458" s="556"/>
      <c r="T458" s="556"/>
      <c r="U458" s="556"/>
      <c r="V458" s="556"/>
      <c r="W458" s="556"/>
      <c r="X458" s="556"/>
      <c r="Y458" s="556"/>
      <c r="Z458" s="579"/>
      <c r="AA458" s="556"/>
      <c r="AB458" s="556"/>
      <c r="AC458" s="556"/>
      <c r="AD458" s="556"/>
    </row>
    <row r="459" ht="15.75" customHeight="1">
      <c r="A459" s="594"/>
      <c r="B459" s="556"/>
      <c r="C459" s="556"/>
      <c r="D459" s="556"/>
      <c r="E459" s="556"/>
      <c r="F459" s="556"/>
      <c r="G459" s="556"/>
      <c r="H459" s="556"/>
      <c r="I459" s="556"/>
      <c r="J459" s="556"/>
      <c r="K459" s="556"/>
      <c r="L459" s="556"/>
      <c r="M459" s="556"/>
      <c r="N459" s="556"/>
      <c r="O459" s="556"/>
      <c r="P459" s="556"/>
      <c r="Q459" s="556"/>
      <c r="R459" s="556"/>
      <c r="S459" s="556"/>
      <c r="T459" s="556"/>
      <c r="U459" s="556"/>
      <c r="V459" s="556"/>
      <c r="W459" s="556"/>
      <c r="X459" s="556"/>
      <c r="Y459" s="556"/>
      <c r="Z459" s="579"/>
      <c r="AA459" s="556"/>
      <c r="AB459" s="556"/>
      <c r="AC459" s="556"/>
      <c r="AD459" s="556"/>
    </row>
    <row r="460" ht="15.75" customHeight="1">
      <c r="A460" s="594"/>
      <c r="B460" s="556"/>
      <c r="C460" s="556"/>
      <c r="D460" s="556"/>
      <c r="E460" s="556"/>
      <c r="F460" s="556"/>
      <c r="G460" s="556"/>
      <c r="H460" s="556"/>
      <c r="I460" s="556"/>
      <c r="J460" s="556"/>
      <c r="K460" s="556"/>
      <c r="L460" s="556"/>
      <c r="M460" s="556"/>
      <c r="N460" s="556"/>
      <c r="O460" s="556"/>
      <c r="P460" s="556"/>
      <c r="Q460" s="556"/>
      <c r="R460" s="556"/>
      <c r="S460" s="556"/>
      <c r="T460" s="556"/>
      <c r="U460" s="556"/>
      <c r="V460" s="556"/>
      <c r="W460" s="556"/>
      <c r="X460" s="556"/>
      <c r="Y460" s="556"/>
      <c r="Z460" s="579"/>
      <c r="AA460" s="556"/>
      <c r="AB460" s="556"/>
      <c r="AC460" s="556"/>
      <c r="AD460" s="556"/>
    </row>
    <row r="461" ht="15.75" customHeight="1">
      <c r="A461" s="594"/>
      <c r="B461" s="556"/>
      <c r="C461" s="556"/>
      <c r="D461" s="556"/>
      <c r="E461" s="556"/>
      <c r="F461" s="556"/>
      <c r="G461" s="556"/>
      <c r="H461" s="556"/>
      <c r="I461" s="556"/>
      <c r="J461" s="556"/>
      <c r="K461" s="556"/>
      <c r="L461" s="556"/>
      <c r="M461" s="556"/>
      <c r="N461" s="556"/>
      <c r="O461" s="556"/>
      <c r="P461" s="556"/>
      <c r="Q461" s="556"/>
      <c r="R461" s="556"/>
      <c r="S461" s="556"/>
      <c r="T461" s="556"/>
      <c r="U461" s="556"/>
      <c r="V461" s="556"/>
      <c r="W461" s="556"/>
      <c r="X461" s="556"/>
      <c r="Y461" s="556"/>
      <c r="Z461" s="579"/>
      <c r="AA461" s="556"/>
      <c r="AB461" s="556"/>
      <c r="AC461" s="556"/>
      <c r="AD461" s="556"/>
    </row>
    <row r="462" ht="15.75" customHeight="1">
      <c r="A462" s="594"/>
      <c r="B462" s="556"/>
      <c r="C462" s="556"/>
      <c r="D462" s="556"/>
      <c r="E462" s="556"/>
      <c r="F462" s="556"/>
      <c r="G462" s="556"/>
      <c r="H462" s="556"/>
      <c r="I462" s="556"/>
      <c r="J462" s="556"/>
      <c r="K462" s="556"/>
      <c r="L462" s="556"/>
      <c r="M462" s="556"/>
      <c r="N462" s="556"/>
      <c r="O462" s="556"/>
      <c r="P462" s="556"/>
      <c r="Q462" s="556"/>
      <c r="R462" s="556"/>
      <c r="S462" s="556"/>
      <c r="T462" s="556"/>
      <c r="U462" s="556"/>
      <c r="V462" s="556"/>
      <c r="W462" s="556"/>
      <c r="X462" s="556"/>
      <c r="Y462" s="556"/>
      <c r="Z462" s="579"/>
      <c r="AA462" s="556"/>
      <c r="AB462" s="556"/>
      <c r="AC462" s="556"/>
      <c r="AD462" s="556"/>
    </row>
    <row r="463" ht="15.75" customHeight="1">
      <c r="A463" s="594"/>
      <c r="B463" s="556"/>
      <c r="C463" s="556"/>
      <c r="D463" s="556"/>
      <c r="E463" s="556"/>
      <c r="F463" s="556"/>
      <c r="G463" s="556"/>
      <c r="H463" s="556"/>
      <c r="I463" s="556"/>
      <c r="J463" s="556"/>
      <c r="K463" s="556"/>
      <c r="L463" s="556"/>
      <c r="M463" s="556"/>
      <c r="N463" s="556"/>
      <c r="O463" s="556"/>
      <c r="P463" s="556"/>
      <c r="Q463" s="556"/>
      <c r="R463" s="556"/>
      <c r="S463" s="556"/>
      <c r="T463" s="556"/>
      <c r="U463" s="556"/>
      <c r="V463" s="556"/>
      <c r="W463" s="556"/>
      <c r="X463" s="556"/>
      <c r="Y463" s="556"/>
      <c r="Z463" s="579"/>
      <c r="AA463" s="556"/>
      <c r="AB463" s="556"/>
      <c r="AC463" s="556"/>
      <c r="AD463" s="556"/>
    </row>
    <row r="464" ht="15.75" customHeight="1">
      <c r="A464" s="594"/>
      <c r="B464" s="556"/>
      <c r="C464" s="556"/>
      <c r="D464" s="556"/>
      <c r="E464" s="556"/>
      <c r="F464" s="556"/>
      <c r="G464" s="556"/>
      <c r="H464" s="556"/>
      <c r="I464" s="556"/>
      <c r="J464" s="556"/>
      <c r="K464" s="556"/>
      <c r="L464" s="556"/>
      <c r="M464" s="556"/>
      <c r="N464" s="556"/>
      <c r="O464" s="556"/>
      <c r="P464" s="556"/>
      <c r="Q464" s="556"/>
      <c r="R464" s="556"/>
      <c r="S464" s="556"/>
      <c r="T464" s="556"/>
      <c r="U464" s="556"/>
      <c r="V464" s="556"/>
      <c r="W464" s="556"/>
      <c r="X464" s="556"/>
      <c r="Y464" s="556"/>
      <c r="Z464" s="579"/>
      <c r="AA464" s="556"/>
      <c r="AB464" s="556"/>
      <c r="AC464" s="556"/>
      <c r="AD464" s="556"/>
    </row>
    <row r="465" ht="15.75" customHeight="1">
      <c r="A465" s="594"/>
      <c r="B465" s="556"/>
      <c r="C465" s="556"/>
      <c r="D465" s="556"/>
      <c r="E465" s="556"/>
      <c r="F465" s="556"/>
      <c r="G465" s="556"/>
      <c r="H465" s="556"/>
      <c r="I465" s="556"/>
      <c r="J465" s="556"/>
      <c r="K465" s="556"/>
      <c r="L465" s="556"/>
      <c r="M465" s="556"/>
      <c r="N465" s="556"/>
      <c r="O465" s="556"/>
      <c r="P465" s="556"/>
      <c r="Q465" s="556"/>
      <c r="R465" s="556"/>
      <c r="S465" s="556"/>
      <c r="T465" s="556"/>
      <c r="U465" s="556"/>
      <c r="V465" s="556"/>
      <c r="W465" s="556"/>
      <c r="X465" s="556"/>
      <c r="Y465" s="556"/>
      <c r="Z465" s="579"/>
      <c r="AA465" s="556"/>
      <c r="AB465" s="556"/>
      <c r="AC465" s="556"/>
      <c r="AD465" s="556"/>
    </row>
    <row r="466" ht="15.75" customHeight="1">
      <c r="A466" s="594"/>
      <c r="B466" s="556"/>
      <c r="C466" s="556"/>
      <c r="D466" s="556"/>
      <c r="E466" s="556"/>
      <c r="F466" s="556"/>
      <c r="G466" s="556"/>
      <c r="H466" s="556"/>
      <c r="I466" s="556"/>
      <c r="J466" s="556"/>
      <c r="K466" s="556"/>
      <c r="L466" s="556"/>
      <c r="M466" s="556"/>
      <c r="N466" s="556"/>
      <c r="O466" s="556"/>
      <c r="P466" s="556"/>
      <c r="Q466" s="556"/>
      <c r="R466" s="556"/>
      <c r="S466" s="556"/>
      <c r="T466" s="556"/>
      <c r="U466" s="556"/>
      <c r="V466" s="556"/>
      <c r="W466" s="556"/>
      <c r="X466" s="556"/>
      <c r="Y466" s="556"/>
      <c r="Z466" s="579"/>
      <c r="AA466" s="556"/>
      <c r="AB466" s="556"/>
      <c r="AC466" s="556"/>
      <c r="AD466" s="556"/>
    </row>
    <row r="467" ht="15.75" customHeight="1">
      <c r="A467" s="594"/>
      <c r="B467" s="556"/>
      <c r="C467" s="556"/>
      <c r="D467" s="556"/>
      <c r="E467" s="556"/>
      <c r="F467" s="556"/>
      <c r="G467" s="556"/>
      <c r="H467" s="556"/>
      <c r="I467" s="556"/>
      <c r="J467" s="556"/>
      <c r="K467" s="556"/>
      <c r="L467" s="556"/>
      <c r="M467" s="556"/>
      <c r="N467" s="556"/>
      <c r="O467" s="556"/>
      <c r="P467" s="556"/>
      <c r="Q467" s="556"/>
      <c r="R467" s="556"/>
      <c r="S467" s="556"/>
      <c r="T467" s="556"/>
      <c r="U467" s="556"/>
      <c r="V467" s="556"/>
      <c r="W467" s="556"/>
      <c r="X467" s="556"/>
      <c r="Y467" s="556"/>
      <c r="Z467" s="579"/>
      <c r="AA467" s="556"/>
      <c r="AB467" s="556"/>
      <c r="AC467" s="556"/>
      <c r="AD467" s="556"/>
    </row>
    <row r="468" ht="15.75" customHeight="1">
      <c r="A468" s="594"/>
      <c r="B468" s="556"/>
      <c r="C468" s="556"/>
      <c r="D468" s="556"/>
      <c r="E468" s="556"/>
      <c r="F468" s="556"/>
      <c r="G468" s="556"/>
      <c r="H468" s="556"/>
      <c r="I468" s="556"/>
      <c r="J468" s="556"/>
      <c r="K468" s="556"/>
      <c r="L468" s="556"/>
      <c r="M468" s="556"/>
      <c r="N468" s="556"/>
      <c r="O468" s="556"/>
      <c r="P468" s="556"/>
      <c r="Q468" s="556"/>
      <c r="R468" s="556"/>
      <c r="S468" s="556"/>
      <c r="T468" s="556"/>
      <c r="U468" s="556"/>
      <c r="V468" s="556"/>
      <c r="W468" s="556"/>
      <c r="X468" s="556"/>
      <c r="Y468" s="556"/>
      <c r="Z468" s="579"/>
      <c r="AA468" s="556"/>
      <c r="AB468" s="556"/>
      <c r="AC468" s="556"/>
      <c r="AD468" s="556"/>
    </row>
    <row r="469" ht="15.75" customHeight="1">
      <c r="A469" s="594"/>
      <c r="B469" s="556"/>
      <c r="C469" s="556"/>
      <c r="D469" s="556"/>
      <c r="E469" s="556"/>
      <c r="F469" s="556"/>
      <c r="G469" s="556"/>
      <c r="H469" s="556"/>
      <c r="I469" s="556"/>
      <c r="J469" s="556"/>
      <c r="K469" s="556"/>
      <c r="L469" s="556"/>
      <c r="M469" s="556"/>
      <c r="N469" s="556"/>
      <c r="O469" s="556"/>
      <c r="P469" s="556"/>
      <c r="Q469" s="556"/>
      <c r="R469" s="556"/>
      <c r="S469" s="556"/>
      <c r="T469" s="556"/>
      <c r="U469" s="556"/>
      <c r="V469" s="556"/>
      <c r="W469" s="556"/>
      <c r="X469" s="556"/>
      <c r="Y469" s="556"/>
      <c r="Z469" s="579"/>
      <c r="AA469" s="556"/>
      <c r="AB469" s="556"/>
      <c r="AC469" s="556"/>
      <c r="AD469" s="556"/>
    </row>
    <row r="470" ht="15.75" customHeight="1">
      <c r="A470" s="594"/>
      <c r="B470" s="556"/>
      <c r="C470" s="556"/>
      <c r="D470" s="556"/>
      <c r="E470" s="556"/>
      <c r="F470" s="556"/>
      <c r="G470" s="556"/>
      <c r="H470" s="556"/>
      <c r="I470" s="556"/>
      <c r="J470" s="556"/>
      <c r="K470" s="556"/>
      <c r="L470" s="556"/>
      <c r="M470" s="556"/>
      <c r="N470" s="556"/>
      <c r="O470" s="556"/>
      <c r="P470" s="556"/>
      <c r="Q470" s="556"/>
      <c r="R470" s="556"/>
      <c r="S470" s="556"/>
      <c r="T470" s="556"/>
      <c r="U470" s="556"/>
      <c r="V470" s="556"/>
      <c r="W470" s="556"/>
      <c r="X470" s="556"/>
      <c r="Y470" s="556"/>
      <c r="Z470" s="579"/>
      <c r="AA470" s="556"/>
      <c r="AB470" s="556"/>
      <c r="AC470" s="556"/>
      <c r="AD470" s="556"/>
    </row>
    <row r="471" ht="15.75" customHeight="1">
      <c r="A471" s="594"/>
      <c r="B471" s="556"/>
      <c r="C471" s="556"/>
      <c r="D471" s="556"/>
      <c r="E471" s="556"/>
      <c r="F471" s="556"/>
      <c r="G471" s="556"/>
      <c r="H471" s="556"/>
      <c r="I471" s="556"/>
      <c r="J471" s="556"/>
      <c r="K471" s="556"/>
      <c r="L471" s="556"/>
      <c r="M471" s="556"/>
      <c r="N471" s="556"/>
      <c r="O471" s="556"/>
      <c r="P471" s="556"/>
      <c r="Q471" s="556"/>
      <c r="R471" s="556"/>
      <c r="S471" s="556"/>
      <c r="T471" s="556"/>
      <c r="U471" s="556"/>
      <c r="V471" s="556"/>
      <c r="W471" s="556"/>
      <c r="X471" s="556"/>
      <c r="Y471" s="556"/>
      <c r="Z471" s="579"/>
      <c r="AA471" s="556"/>
      <c r="AB471" s="556"/>
      <c r="AC471" s="556"/>
      <c r="AD471" s="556"/>
    </row>
    <row r="472" ht="15.75" customHeight="1">
      <c r="A472" s="594"/>
      <c r="B472" s="556"/>
      <c r="C472" s="556"/>
      <c r="D472" s="556"/>
      <c r="E472" s="556"/>
      <c r="F472" s="556"/>
      <c r="G472" s="556"/>
      <c r="H472" s="556"/>
      <c r="I472" s="556"/>
      <c r="J472" s="556"/>
      <c r="K472" s="556"/>
      <c r="L472" s="556"/>
      <c r="M472" s="556"/>
      <c r="N472" s="556"/>
      <c r="O472" s="556"/>
      <c r="P472" s="556"/>
      <c r="Q472" s="556"/>
      <c r="R472" s="556"/>
      <c r="S472" s="556"/>
      <c r="T472" s="556"/>
      <c r="U472" s="556"/>
      <c r="V472" s="556"/>
      <c r="W472" s="556"/>
      <c r="X472" s="556"/>
      <c r="Y472" s="556"/>
      <c r="Z472" s="579"/>
      <c r="AA472" s="556"/>
      <c r="AB472" s="556"/>
      <c r="AC472" s="556"/>
      <c r="AD472" s="556"/>
    </row>
    <row r="473" ht="15.75" customHeight="1">
      <c r="A473" s="594"/>
      <c r="B473" s="556"/>
      <c r="C473" s="556"/>
      <c r="D473" s="556"/>
      <c r="E473" s="556"/>
      <c r="F473" s="556"/>
      <c r="G473" s="556"/>
      <c r="H473" s="556"/>
      <c r="I473" s="556"/>
      <c r="J473" s="556"/>
      <c r="K473" s="556"/>
      <c r="L473" s="556"/>
      <c r="M473" s="556"/>
      <c r="N473" s="556"/>
      <c r="O473" s="556"/>
      <c r="P473" s="556"/>
      <c r="Q473" s="556"/>
      <c r="R473" s="556"/>
      <c r="S473" s="556"/>
      <c r="T473" s="556"/>
      <c r="U473" s="556"/>
      <c r="V473" s="556"/>
      <c r="W473" s="556"/>
      <c r="X473" s="556"/>
      <c r="Y473" s="556"/>
      <c r="Z473" s="579"/>
      <c r="AA473" s="556"/>
      <c r="AB473" s="556"/>
      <c r="AC473" s="556"/>
      <c r="AD473" s="556"/>
    </row>
    <row r="474" ht="15.75" customHeight="1">
      <c r="A474" s="594"/>
      <c r="B474" s="556"/>
      <c r="C474" s="556"/>
      <c r="D474" s="556"/>
      <c r="E474" s="556"/>
      <c r="F474" s="556"/>
      <c r="G474" s="556"/>
      <c r="H474" s="556"/>
      <c r="I474" s="556"/>
      <c r="J474" s="556"/>
      <c r="K474" s="556"/>
      <c r="L474" s="556"/>
      <c r="M474" s="556"/>
      <c r="N474" s="556"/>
      <c r="O474" s="556"/>
      <c r="P474" s="556"/>
      <c r="Q474" s="556"/>
      <c r="R474" s="556"/>
      <c r="S474" s="556"/>
      <c r="T474" s="556"/>
      <c r="U474" s="556"/>
      <c r="V474" s="556"/>
      <c r="W474" s="556"/>
      <c r="X474" s="556"/>
      <c r="Y474" s="556"/>
      <c r="Z474" s="579"/>
      <c r="AA474" s="556"/>
      <c r="AB474" s="556"/>
      <c r="AC474" s="556"/>
      <c r="AD474" s="556"/>
    </row>
    <row r="475" ht="15.75" customHeight="1">
      <c r="A475" s="594"/>
      <c r="B475" s="556"/>
      <c r="C475" s="556"/>
      <c r="D475" s="556"/>
      <c r="E475" s="556"/>
      <c r="F475" s="556"/>
      <c r="G475" s="556"/>
      <c r="H475" s="556"/>
      <c r="I475" s="556"/>
      <c r="J475" s="556"/>
      <c r="K475" s="556"/>
      <c r="L475" s="556"/>
      <c r="M475" s="556"/>
      <c r="N475" s="556"/>
      <c r="O475" s="556"/>
      <c r="P475" s="556"/>
      <c r="Q475" s="556"/>
      <c r="R475" s="556"/>
      <c r="S475" s="556"/>
      <c r="T475" s="556"/>
      <c r="U475" s="556"/>
      <c r="V475" s="556"/>
      <c r="W475" s="556"/>
      <c r="X475" s="556"/>
      <c r="Y475" s="556"/>
      <c r="Z475" s="579"/>
      <c r="AA475" s="556"/>
      <c r="AB475" s="556"/>
      <c r="AC475" s="556"/>
      <c r="AD475" s="556"/>
    </row>
    <row r="476" ht="15.75" customHeight="1">
      <c r="A476" s="594"/>
      <c r="B476" s="556"/>
      <c r="C476" s="556"/>
      <c r="D476" s="556"/>
      <c r="E476" s="556"/>
      <c r="F476" s="556"/>
      <c r="G476" s="556"/>
      <c r="H476" s="556"/>
      <c r="I476" s="556"/>
      <c r="J476" s="556"/>
      <c r="K476" s="556"/>
      <c r="L476" s="556"/>
      <c r="M476" s="556"/>
      <c r="N476" s="556"/>
      <c r="O476" s="556"/>
      <c r="P476" s="556"/>
      <c r="Q476" s="556"/>
      <c r="R476" s="556"/>
      <c r="S476" s="556"/>
      <c r="T476" s="556"/>
      <c r="U476" s="556"/>
      <c r="V476" s="556"/>
      <c r="W476" s="556"/>
      <c r="X476" s="556"/>
      <c r="Y476" s="556"/>
      <c r="Z476" s="579"/>
      <c r="AA476" s="556"/>
      <c r="AB476" s="556"/>
      <c r="AC476" s="556"/>
      <c r="AD476" s="556"/>
    </row>
    <row r="477" ht="15.75" customHeight="1">
      <c r="A477" s="594"/>
      <c r="B477" s="556"/>
      <c r="C477" s="556"/>
      <c r="D477" s="556"/>
      <c r="E477" s="556"/>
      <c r="F477" s="556"/>
      <c r="G477" s="556"/>
      <c r="H477" s="556"/>
      <c r="I477" s="556"/>
      <c r="J477" s="556"/>
      <c r="K477" s="556"/>
      <c r="L477" s="556"/>
      <c r="M477" s="556"/>
      <c r="N477" s="556"/>
      <c r="O477" s="556"/>
      <c r="P477" s="556"/>
      <c r="Q477" s="556"/>
      <c r="R477" s="556"/>
      <c r="S477" s="556"/>
      <c r="T477" s="556"/>
      <c r="U477" s="556"/>
      <c r="V477" s="556"/>
      <c r="W477" s="556"/>
      <c r="X477" s="556"/>
      <c r="Y477" s="556"/>
      <c r="Z477" s="579"/>
      <c r="AA477" s="556"/>
      <c r="AB477" s="556"/>
      <c r="AC477" s="556"/>
      <c r="AD477" s="556"/>
    </row>
    <row r="478" ht="15.75" customHeight="1">
      <c r="A478" s="594"/>
      <c r="B478" s="556"/>
      <c r="C478" s="556"/>
      <c r="D478" s="556"/>
      <c r="E478" s="556"/>
      <c r="F478" s="556"/>
      <c r="G478" s="556"/>
      <c r="H478" s="556"/>
      <c r="I478" s="556"/>
      <c r="J478" s="556"/>
      <c r="K478" s="556"/>
      <c r="L478" s="556"/>
      <c r="M478" s="556"/>
      <c r="N478" s="556"/>
      <c r="O478" s="556"/>
      <c r="P478" s="556"/>
      <c r="Q478" s="556"/>
      <c r="R478" s="556"/>
      <c r="S478" s="556"/>
      <c r="T478" s="556"/>
      <c r="U478" s="556"/>
      <c r="V478" s="556"/>
      <c r="W478" s="556"/>
      <c r="X478" s="556"/>
      <c r="Y478" s="556"/>
      <c r="Z478" s="579"/>
      <c r="AA478" s="556"/>
      <c r="AB478" s="556"/>
      <c r="AC478" s="556"/>
      <c r="AD478" s="556"/>
    </row>
    <row r="479" ht="15.75" customHeight="1">
      <c r="A479" s="594"/>
      <c r="B479" s="556"/>
      <c r="C479" s="556"/>
      <c r="D479" s="556"/>
      <c r="E479" s="556"/>
      <c r="F479" s="556"/>
      <c r="G479" s="556"/>
      <c r="H479" s="556"/>
      <c r="I479" s="556"/>
      <c r="J479" s="556"/>
      <c r="K479" s="556"/>
      <c r="L479" s="556"/>
      <c r="M479" s="556"/>
      <c r="N479" s="556"/>
      <c r="O479" s="556"/>
      <c r="P479" s="556"/>
      <c r="Q479" s="556"/>
      <c r="R479" s="556"/>
      <c r="S479" s="556"/>
      <c r="T479" s="556"/>
      <c r="U479" s="556"/>
      <c r="V479" s="556"/>
      <c r="W479" s="556"/>
      <c r="X479" s="556"/>
      <c r="Y479" s="556"/>
      <c r="Z479" s="579"/>
      <c r="AA479" s="556"/>
      <c r="AB479" s="556"/>
      <c r="AC479" s="556"/>
      <c r="AD479" s="556"/>
    </row>
    <row r="480" ht="15.75" customHeight="1">
      <c r="A480" s="594"/>
      <c r="B480" s="556"/>
      <c r="C480" s="556"/>
      <c r="D480" s="556"/>
      <c r="E480" s="556"/>
      <c r="F480" s="556"/>
      <c r="G480" s="556"/>
      <c r="H480" s="556"/>
      <c r="I480" s="556"/>
      <c r="J480" s="556"/>
      <c r="K480" s="556"/>
      <c r="L480" s="556"/>
      <c r="M480" s="556"/>
      <c r="N480" s="556"/>
      <c r="O480" s="556"/>
      <c r="P480" s="556"/>
      <c r="Q480" s="556"/>
      <c r="R480" s="556"/>
      <c r="S480" s="556"/>
      <c r="T480" s="556"/>
      <c r="U480" s="556"/>
      <c r="V480" s="556"/>
      <c r="W480" s="556"/>
      <c r="X480" s="556"/>
      <c r="Y480" s="556"/>
      <c r="Z480" s="579"/>
      <c r="AA480" s="556"/>
      <c r="AB480" s="556"/>
      <c r="AC480" s="556"/>
      <c r="AD480" s="556"/>
    </row>
    <row r="481" ht="15.75" customHeight="1">
      <c r="A481" s="594"/>
      <c r="B481" s="556"/>
      <c r="C481" s="556"/>
      <c r="D481" s="556"/>
      <c r="E481" s="556"/>
      <c r="F481" s="556"/>
      <c r="G481" s="556"/>
      <c r="H481" s="556"/>
      <c r="I481" s="556"/>
      <c r="J481" s="556"/>
      <c r="K481" s="556"/>
      <c r="L481" s="556"/>
      <c r="M481" s="556"/>
      <c r="N481" s="556"/>
      <c r="O481" s="556"/>
      <c r="P481" s="556"/>
      <c r="Q481" s="556"/>
      <c r="R481" s="556"/>
      <c r="S481" s="556"/>
      <c r="T481" s="556"/>
      <c r="U481" s="556"/>
      <c r="V481" s="556"/>
      <c r="W481" s="556"/>
      <c r="X481" s="556"/>
      <c r="Y481" s="556"/>
      <c r="Z481" s="579"/>
      <c r="AA481" s="556"/>
      <c r="AB481" s="556"/>
      <c r="AC481" s="556"/>
      <c r="AD481" s="556"/>
    </row>
    <row r="482" ht="15.75" customHeight="1">
      <c r="A482" s="594"/>
      <c r="B482" s="556"/>
      <c r="C482" s="556"/>
      <c r="D482" s="556"/>
      <c r="E482" s="556"/>
      <c r="F482" s="556"/>
      <c r="G482" s="556"/>
      <c r="H482" s="556"/>
      <c r="I482" s="556"/>
      <c r="J482" s="556"/>
      <c r="K482" s="556"/>
      <c r="L482" s="556"/>
      <c r="M482" s="556"/>
      <c r="N482" s="556"/>
      <c r="O482" s="556"/>
      <c r="P482" s="556"/>
      <c r="Q482" s="556"/>
      <c r="R482" s="556"/>
      <c r="S482" s="556"/>
      <c r="T482" s="556"/>
      <c r="U482" s="556"/>
      <c r="V482" s="556"/>
      <c r="W482" s="556"/>
      <c r="X482" s="556"/>
      <c r="Y482" s="556"/>
      <c r="Z482" s="579"/>
      <c r="AA482" s="556"/>
      <c r="AB482" s="556"/>
      <c r="AC482" s="556"/>
      <c r="AD482" s="556"/>
    </row>
    <row r="483" ht="15.75" customHeight="1">
      <c r="A483" s="594"/>
      <c r="B483" s="556"/>
      <c r="C483" s="556"/>
      <c r="D483" s="556"/>
      <c r="E483" s="556"/>
      <c r="F483" s="556"/>
      <c r="G483" s="556"/>
      <c r="H483" s="556"/>
      <c r="I483" s="556"/>
      <c r="J483" s="556"/>
      <c r="K483" s="556"/>
      <c r="L483" s="556"/>
      <c r="M483" s="556"/>
      <c r="N483" s="556"/>
      <c r="O483" s="556"/>
      <c r="P483" s="556"/>
      <c r="Q483" s="556"/>
      <c r="R483" s="556"/>
      <c r="S483" s="556"/>
      <c r="T483" s="556"/>
      <c r="U483" s="556"/>
      <c r="V483" s="556"/>
      <c r="W483" s="556"/>
      <c r="X483" s="556"/>
      <c r="Y483" s="556"/>
      <c r="Z483" s="579"/>
      <c r="AA483" s="556"/>
      <c r="AB483" s="556"/>
      <c r="AC483" s="556"/>
      <c r="AD483" s="556"/>
    </row>
    <row r="484" ht="15.75" customHeight="1">
      <c r="A484" s="594"/>
      <c r="B484" s="556"/>
      <c r="C484" s="556"/>
      <c r="D484" s="556"/>
      <c r="E484" s="556"/>
      <c r="F484" s="556"/>
      <c r="G484" s="556"/>
      <c r="H484" s="556"/>
      <c r="I484" s="556"/>
      <c r="J484" s="556"/>
      <c r="K484" s="556"/>
      <c r="L484" s="556"/>
      <c r="M484" s="556"/>
      <c r="N484" s="556"/>
      <c r="O484" s="556"/>
      <c r="P484" s="556"/>
      <c r="Q484" s="556"/>
      <c r="R484" s="556"/>
      <c r="S484" s="556"/>
      <c r="T484" s="556"/>
      <c r="U484" s="556"/>
      <c r="V484" s="556"/>
      <c r="W484" s="556"/>
      <c r="X484" s="556"/>
      <c r="Y484" s="556"/>
      <c r="Z484" s="579"/>
      <c r="AA484" s="556"/>
      <c r="AB484" s="556"/>
      <c r="AC484" s="556"/>
      <c r="AD484" s="556"/>
    </row>
    <row r="485" ht="15.75" customHeight="1">
      <c r="A485" s="594"/>
      <c r="B485" s="556"/>
      <c r="C485" s="556"/>
      <c r="D485" s="556"/>
      <c r="E485" s="556"/>
      <c r="F485" s="556"/>
      <c r="G485" s="556"/>
      <c r="H485" s="556"/>
      <c r="I485" s="556"/>
      <c r="J485" s="556"/>
      <c r="K485" s="556"/>
      <c r="L485" s="556"/>
      <c r="M485" s="556"/>
      <c r="N485" s="556"/>
      <c r="O485" s="556"/>
      <c r="P485" s="556"/>
      <c r="Q485" s="556"/>
      <c r="R485" s="556"/>
      <c r="S485" s="556"/>
      <c r="T485" s="556"/>
      <c r="U485" s="556"/>
      <c r="V485" s="556"/>
      <c r="W485" s="556"/>
      <c r="X485" s="556"/>
      <c r="Y485" s="556"/>
      <c r="Z485" s="579"/>
      <c r="AA485" s="556"/>
      <c r="AB485" s="556"/>
      <c r="AC485" s="556"/>
      <c r="AD485" s="556"/>
    </row>
    <row r="486" ht="15.75" customHeight="1">
      <c r="A486" s="594"/>
      <c r="B486" s="556"/>
      <c r="C486" s="556"/>
      <c r="D486" s="556"/>
      <c r="E486" s="556"/>
      <c r="F486" s="556"/>
      <c r="G486" s="556"/>
      <c r="H486" s="556"/>
      <c r="I486" s="556"/>
      <c r="J486" s="556"/>
      <c r="K486" s="556"/>
      <c r="L486" s="556"/>
      <c r="M486" s="556"/>
      <c r="N486" s="556"/>
      <c r="O486" s="556"/>
      <c r="P486" s="556"/>
      <c r="Q486" s="556"/>
      <c r="R486" s="556"/>
      <c r="S486" s="556"/>
      <c r="T486" s="556"/>
      <c r="U486" s="556"/>
      <c r="V486" s="556"/>
      <c r="W486" s="556"/>
      <c r="X486" s="556"/>
      <c r="Y486" s="556"/>
      <c r="Z486" s="579"/>
      <c r="AA486" s="556"/>
      <c r="AB486" s="556"/>
      <c r="AC486" s="556"/>
      <c r="AD486" s="556"/>
    </row>
    <row r="487" ht="15.75" customHeight="1">
      <c r="A487" s="594"/>
      <c r="B487" s="556"/>
      <c r="C487" s="556"/>
      <c r="D487" s="556"/>
      <c r="E487" s="556"/>
      <c r="F487" s="556"/>
      <c r="G487" s="556"/>
      <c r="H487" s="556"/>
      <c r="I487" s="556"/>
      <c r="J487" s="556"/>
      <c r="K487" s="556"/>
      <c r="L487" s="556"/>
      <c r="M487" s="556"/>
      <c r="N487" s="556"/>
      <c r="O487" s="556"/>
      <c r="P487" s="556"/>
      <c r="Q487" s="556"/>
      <c r="R487" s="556"/>
      <c r="S487" s="556"/>
      <c r="T487" s="556"/>
      <c r="U487" s="556"/>
      <c r="V487" s="556"/>
      <c r="W487" s="556"/>
      <c r="X487" s="556"/>
      <c r="Y487" s="556"/>
      <c r="Z487" s="579"/>
      <c r="AA487" s="556"/>
      <c r="AB487" s="556"/>
      <c r="AC487" s="556"/>
      <c r="AD487" s="556"/>
    </row>
    <row r="488" ht="15.75" customHeight="1">
      <c r="A488" s="594"/>
      <c r="B488" s="556"/>
      <c r="C488" s="556"/>
      <c r="D488" s="556"/>
      <c r="E488" s="556"/>
      <c r="F488" s="556"/>
      <c r="G488" s="556"/>
      <c r="H488" s="556"/>
      <c r="I488" s="556"/>
      <c r="J488" s="556"/>
      <c r="K488" s="556"/>
      <c r="L488" s="556"/>
      <c r="M488" s="556"/>
      <c r="N488" s="556"/>
      <c r="O488" s="556"/>
      <c r="P488" s="556"/>
      <c r="Q488" s="556"/>
      <c r="R488" s="556"/>
      <c r="S488" s="556"/>
      <c r="T488" s="556"/>
      <c r="U488" s="556"/>
      <c r="V488" s="556"/>
      <c r="W488" s="556"/>
      <c r="X488" s="556"/>
      <c r="Y488" s="556"/>
      <c r="Z488" s="579"/>
      <c r="AA488" s="556"/>
      <c r="AB488" s="556"/>
      <c r="AC488" s="556"/>
      <c r="AD488" s="556"/>
    </row>
    <row r="489" ht="15.75" customHeight="1">
      <c r="A489" s="594"/>
      <c r="B489" s="556"/>
      <c r="C489" s="556"/>
      <c r="D489" s="556"/>
      <c r="E489" s="556"/>
      <c r="F489" s="556"/>
      <c r="G489" s="556"/>
      <c r="H489" s="556"/>
      <c r="I489" s="556"/>
      <c r="J489" s="556"/>
      <c r="K489" s="556"/>
      <c r="L489" s="556"/>
      <c r="M489" s="556"/>
      <c r="N489" s="556"/>
      <c r="O489" s="556"/>
      <c r="P489" s="556"/>
      <c r="Q489" s="556"/>
      <c r="R489" s="556"/>
      <c r="S489" s="556"/>
      <c r="T489" s="556"/>
      <c r="U489" s="556"/>
      <c r="V489" s="556"/>
      <c r="W489" s="556"/>
      <c r="X489" s="556"/>
      <c r="Y489" s="556"/>
      <c r="Z489" s="579"/>
      <c r="AA489" s="556"/>
      <c r="AB489" s="556"/>
      <c r="AC489" s="556"/>
      <c r="AD489" s="556"/>
    </row>
    <row r="490" ht="15.75" customHeight="1">
      <c r="A490" s="594"/>
      <c r="B490" s="556"/>
      <c r="C490" s="556"/>
      <c r="D490" s="556"/>
      <c r="E490" s="556"/>
      <c r="F490" s="556"/>
      <c r="G490" s="556"/>
      <c r="H490" s="556"/>
      <c r="I490" s="556"/>
      <c r="J490" s="556"/>
      <c r="K490" s="556"/>
      <c r="L490" s="556"/>
      <c r="M490" s="556"/>
      <c r="N490" s="556"/>
      <c r="O490" s="556"/>
      <c r="P490" s="556"/>
      <c r="Q490" s="556"/>
      <c r="R490" s="556"/>
      <c r="S490" s="556"/>
      <c r="T490" s="556"/>
      <c r="U490" s="556"/>
      <c r="V490" s="556"/>
      <c r="W490" s="556"/>
      <c r="X490" s="556"/>
      <c r="Y490" s="556"/>
      <c r="Z490" s="579"/>
      <c r="AA490" s="556"/>
      <c r="AB490" s="556"/>
      <c r="AC490" s="556"/>
      <c r="AD490" s="556"/>
    </row>
    <row r="491" ht="15.75" customHeight="1">
      <c r="A491" s="594"/>
      <c r="B491" s="556"/>
      <c r="C491" s="556"/>
      <c r="D491" s="556"/>
      <c r="E491" s="556"/>
      <c r="F491" s="556"/>
      <c r="G491" s="556"/>
      <c r="H491" s="556"/>
      <c r="I491" s="556"/>
      <c r="J491" s="556"/>
      <c r="K491" s="556"/>
      <c r="L491" s="556"/>
      <c r="M491" s="556"/>
      <c r="N491" s="556"/>
      <c r="O491" s="556"/>
      <c r="P491" s="556"/>
      <c r="Q491" s="556"/>
      <c r="R491" s="556"/>
      <c r="S491" s="556"/>
      <c r="T491" s="556"/>
      <c r="U491" s="556"/>
      <c r="V491" s="556"/>
      <c r="W491" s="556"/>
      <c r="X491" s="556"/>
      <c r="Y491" s="556"/>
      <c r="Z491" s="579"/>
      <c r="AA491" s="556"/>
      <c r="AB491" s="556"/>
      <c r="AC491" s="556"/>
      <c r="AD491" s="556"/>
    </row>
    <row r="492" ht="15.75" customHeight="1">
      <c r="A492" s="594"/>
      <c r="B492" s="556"/>
      <c r="C492" s="556"/>
      <c r="D492" s="556"/>
      <c r="E492" s="556"/>
      <c r="F492" s="556"/>
      <c r="G492" s="556"/>
      <c r="H492" s="556"/>
      <c r="I492" s="556"/>
      <c r="J492" s="556"/>
      <c r="K492" s="556"/>
      <c r="L492" s="556"/>
      <c r="M492" s="556"/>
      <c r="N492" s="556"/>
      <c r="O492" s="556"/>
      <c r="P492" s="556"/>
      <c r="Q492" s="556"/>
      <c r="R492" s="556"/>
      <c r="S492" s="556"/>
      <c r="T492" s="556"/>
      <c r="U492" s="556"/>
      <c r="V492" s="556"/>
      <c r="W492" s="556"/>
      <c r="X492" s="556"/>
      <c r="Y492" s="556"/>
      <c r="Z492" s="579"/>
      <c r="AA492" s="556"/>
      <c r="AB492" s="556"/>
      <c r="AC492" s="556"/>
      <c r="AD492" s="556"/>
    </row>
    <row r="493" ht="15.75" customHeight="1">
      <c r="A493" s="594"/>
      <c r="B493" s="556"/>
      <c r="C493" s="556"/>
      <c r="D493" s="556"/>
      <c r="E493" s="556"/>
      <c r="F493" s="556"/>
      <c r="G493" s="556"/>
      <c r="H493" s="556"/>
      <c r="I493" s="556"/>
      <c r="J493" s="556"/>
      <c r="K493" s="556"/>
      <c r="L493" s="556"/>
      <c r="M493" s="556"/>
      <c r="N493" s="556"/>
      <c r="O493" s="556"/>
      <c r="P493" s="556"/>
      <c r="Q493" s="556"/>
      <c r="R493" s="556"/>
      <c r="S493" s="556"/>
      <c r="T493" s="556"/>
      <c r="U493" s="556"/>
      <c r="V493" s="556"/>
      <c r="W493" s="556"/>
      <c r="X493" s="556"/>
      <c r="Y493" s="556"/>
      <c r="Z493" s="579"/>
      <c r="AA493" s="556"/>
      <c r="AB493" s="556"/>
      <c r="AC493" s="556"/>
      <c r="AD493" s="556"/>
    </row>
    <row r="494" ht="15.75" customHeight="1">
      <c r="A494" s="594"/>
      <c r="B494" s="556"/>
      <c r="C494" s="556"/>
      <c r="D494" s="556"/>
      <c r="E494" s="556"/>
      <c r="F494" s="556"/>
      <c r="G494" s="556"/>
      <c r="H494" s="556"/>
      <c r="I494" s="556"/>
      <c r="J494" s="556"/>
      <c r="K494" s="556"/>
      <c r="L494" s="556"/>
      <c r="M494" s="556"/>
      <c r="N494" s="556"/>
      <c r="O494" s="556"/>
      <c r="P494" s="556"/>
      <c r="Q494" s="556"/>
      <c r="R494" s="556"/>
      <c r="S494" s="556"/>
      <c r="T494" s="556"/>
      <c r="U494" s="556"/>
      <c r="V494" s="556"/>
      <c r="W494" s="556"/>
      <c r="X494" s="556"/>
      <c r="Y494" s="556"/>
      <c r="Z494" s="579"/>
      <c r="AA494" s="556"/>
      <c r="AB494" s="556"/>
      <c r="AC494" s="556"/>
      <c r="AD494" s="556"/>
    </row>
    <row r="495" ht="15.75" customHeight="1">
      <c r="A495" s="594"/>
      <c r="B495" s="556"/>
      <c r="C495" s="556"/>
      <c r="D495" s="556"/>
      <c r="E495" s="556"/>
      <c r="F495" s="556"/>
      <c r="G495" s="556"/>
      <c r="H495" s="556"/>
      <c r="I495" s="556"/>
      <c r="J495" s="556"/>
      <c r="K495" s="556"/>
      <c r="L495" s="556"/>
      <c r="M495" s="556"/>
      <c r="N495" s="556"/>
      <c r="O495" s="556"/>
      <c r="P495" s="556"/>
      <c r="Q495" s="556"/>
      <c r="R495" s="556"/>
      <c r="S495" s="556"/>
      <c r="T495" s="556"/>
      <c r="U495" s="556"/>
      <c r="V495" s="556"/>
      <c r="W495" s="556"/>
      <c r="X495" s="556"/>
      <c r="Y495" s="556"/>
      <c r="Z495" s="579"/>
      <c r="AA495" s="556"/>
      <c r="AB495" s="556"/>
      <c r="AC495" s="556"/>
      <c r="AD495" s="556"/>
    </row>
    <row r="496" ht="15.75" customHeight="1">
      <c r="A496" s="594"/>
      <c r="B496" s="556"/>
      <c r="C496" s="556"/>
      <c r="D496" s="556"/>
      <c r="E496" s="556"/>
      <c r="F496" s="556"/>
      <c r="G496" s="556"/>
      <c r="H496" s="556"/>
      <c r="I496" s="556"/>
      <c r="J496" s="556"/>
      <c r="K496" s="556"/>
      <c r="L496" s="556"/>
      <c r="M496" s="556"/>
      <c r="N496" s="556"/>
      <c r="O496" s="556"/>
      <c r="P496" s="556"/>
      <c r="Q496" s="556"/>
      <c r="R496" s="556"/>
      <c r="S496" s="556"/>
      <c r="T496" s="556"/>
      <c r="U496" s="556"/>
      <c r="V496" s="556"/>
      <c r="W496" s="556"/>
      <c r="X496" s="556"/>
      <c r="Y496" s="556"/>
      <c r="Z496" s="579"/>
      <c r="AA496" s="556"/>
      <c r="AB496" s="556"/>
      <c r="AC496" s="556"/>
      <c r="AD496" s="556"/>
    </row>
    <row r="497" ht="15.75" customHeight="1">
      <c r="A497" s="594"/>
      <c r="B497" s="556"/>
      <c r="C497" s="556"/>
      <c r="D497" s="556"/>
      <c r="E497" s="556"/>
      <c r="F497" s="556"/>
      <c r="G497" s="556"/>
      <c r="H497" s="556"/>
      <c r="I497" s="556"/>
      <c r="J497" s="556"/>
      <c r="K497" s="556"/>
      <c r="L497" s="556"/>
      <c r="M497" s="556"/>
      <c r="N497" s="556"/>
      <c r="O497" s="556"/>
      <c r="P497" s="556"/>
      <c r="Q497" s="556"/>
      <c r="R497" s="556"/>
      <c r="S497" s="556"/>
      <c r="T497" s="556"/>
      <c r="U497" s="556"/>
      <c r="V497" s="556"/>
      <c r="W497" s="556"/>
      <c r="X497" s="556"/>
      <c r="Y497" s="556"/>
      <c r="Z497" s="579"/>
      <c r="AA497" s="556"/>
      <c r="AB497" s="556"/>
      <c r="AC497" s="556"/>
      <c r="AD497" s="556"/>
    </row>
    <row r="498" ht="15.75" customHeight="1">
      <c r="A498" s="594"/>
      <c r="B498" s="556"/>
      <c r="C498" s="556"/>
      <c r="D498" s="556"/>
      <c r="E498" s="556"/>
      <c r="F498" s="556"/>
      <c r="G498" s="556"/>
      <c r="H498" s="556"/>
      <c r="I498" s="556"/>
      <c r="J498" s="556"/>
      <c r="K498" s="556"/>
      <c r="L498" s="556"/>
      <c r="M498" s="556"/>
      <c r="N498" s="556"/>
      <c r="O498" s="556"/>
      <c r="P498" s="556"/>
      <c r="Q498" s="556"/>
      <c r="R498" s="556"/>
      <c r="S498" s="556"/>
      <c r="T498" s="556"/>
      <c r="U498" s="556"/>
      <c r="V498" s="556"/>
      <c r="W498" s="556"/>
      <c r="X498" s="556"/>
      <c r="Y498" s="556"/>
      <c r="Z498" s="579"/>
      <c r="AA498" s="556"/>
      <c r="AB498" s="556"/>
      <c r="AC498" s="556"/>
      <c r="AD498" s="556"/>
    </row>
    <row r="499" ht="15.75" customHeight="1">
      <c r="A499" s="594"/>
      <c r="B499" s="556"/>
      <c r="C499" s="556"/>
      <c r="D499" s="556"/>
      <c r="E499" s="556"/>
      <c r="F499" s="556"/>
      <c r="G499" s="556"/>
      <c r="H499" s="556"/>
      <c r="I499" s="556"/>
      <c r="J499" s="556"/>
      <c r="K499" s="556"/>
      <c r="L499" s="556"/>
      <c r="M499" s="556"/>
      <c r="N499" s="556"/>
      <c r="O499" s="556"/>
      <c r="P499" s="556"/>
      <c r="Q499" s="556"/>
      <c r="R499" s="556"/>
      <c r="S499" s="556"/>
      <c r="T499" s="556"/>
      <c r="U499" s="556"/>
      <c r="V499" s="556"/>
      <c r="W499" s="556"/>
      <c r="X499" s="556"/>
      <c r="Y499" s="556"/>
      <c r="Z499" s="579"/>
      <c r="AA499" s="556"/>
      <c r="AB499" s="556"/>
      <c r="AC499" s="556"/>
      <c r="AD499" s="556"/>
    </row>
    <row r="500" ht="15.75" customHeight="1">
      <c r="A500" s="594"/>
      <c r="B500" s="556"/>
      <c r="C500" s="556"/>
      <c r="D500" s="556"/>
      <c r="E500" s="556"/>
      <c r="F500" s="556"/>
      <c r="G500" s="556"/>
      <c r="H500" s="556"/>
      <c r="I500" s="556"/>
      <c r="J500" s="556"/>
      <c r="K500" s="556"/>
      <c r="L500" s="556"/>
      <c r="M500" s="556"/>
      <c r="N500" s="556"/>
      <c r="O500" s="556"/>
      <c r="P500" s="556"/>
      <c r="Q500" s="556"/>
      <c r="R500" s="556"/>
      <c r="S500" s="556"/>
      <c r="T500" s="556"/>
      <c r="U500" s="556"/>
      <c r="V500" s="556"/>
      <c r="W500" s="556"/>
      <c r="X500" s="556"/>
      <c r="Y500" s="556"/>
      <c r="Z500" s="579"/>
      <c r="AA500" s="556"/>
      <c r="AB500" s="556"/>
      <c r="AC500" s="556"/>
      <c r="AD500" s="556"/>
    </row>
    <row r="501" ht="15.75" customHeight="1">
      <c r="A501" s="594"/>
      <c r="B501" s="556"/>
      <c r="C501" s="556"/>
      <c r="D501" s="556"/>
      <c r="E501" s="556"/>
      <c r="F501" s="556"/>
      <c r="G501" s="556"/>
      <c r="H501" s="556"/>
      <c r="I501" s="556"/>
      <c r="J501" s="556"/>
      <c r="K501" s="556"/>
      <c r="L501" s="556"/>
      <c r="M501" s="556"/>
      <c r="N501" s="556"/>
      <c r="O501" s="556"/>
      <c r="P501" s="556"/>
      <c r="Q501" s="556"/>
      <c r="R501" s="556"/>
      <c r="S501" s="556"/>
      <c r="T501" s="556"/>
      <c r="U501" s="556"/>
      <c r="V501" s="556"/>
      <c r="W501" s="556"/>
      <c r="X501" s="556"/>
      <c r="Y501" s="556"/>
      <c r="Z501" s="579"/>
      <c r="AA501" s="556"/>
      <c r="AB501" s="556"/>
      <c r="AC501" s="556"/>
      <c r="AD501" s="556"/>
    </row>
    <row r="502" ht="15.75" customHeight="1">
      <c r="A502" s="594"/>
      <c r="B502" s="556"/>
      <c r="C502" s="556"/>
      <c r="D502" s="556"/>
      <c r="E502" s="556"/>
      <c r="F502" s="556"/>
      <c r="G502" s="556"/>
      <c r="H502" s="556"/>
      <c r="I502" s="556"/>
      <c r="J502" s="556"/>
      <c r="K502" s="556"/>
      <c r="L502" s="556"/>
      <c r="M502" s="556"/>
      <c r="N502" s="556"/>
      <c r="O502" s="556"/>
      <c r="P502" s="556"/>
      <c r="Q502" s="556"/>
      <c r="R502" s="556"/>
      <c r="S502" s="556"/>
      <c r="T502" s="556"/>
      <c r="U502" s="556"/>
      <c r="V502" s="556"/>
      <c r="W502" s="556"/>
      <c r="X502" s="556"/>
      <c r="Y502" s="556"/>
      <c r="Z502" s="579"/>
      <c r="AA502" s="556"/>
      <c r="AB502" s="556"/>
      <c r="AC502" s="556"/>
      <c r="AD502" s="556"/>
    </row>
    <row r="503" ht="15.75" customHeight="1">
      <c r="A503" s="594"/>
      <c r="B503" s="556"/>
      <c r="C503" s="556"/>
      <c r="D503" s="556"/>
      <c r="E503" s="556"/>
      <c r="F503" s="556"/>
      <c r="G503" s="556"/>
      <c r="H503" s="556"/>
      <c r="I503" s="556"/>
      <c r="J503" s="556"/>
      <c r="K503" s="556"/>
      <c r="L503" s="556"/>
      <c r="M503" s="556"/>
      <c r="N503" s="556"/>
      <c r="O503" s="556"/>
      <c r="P503" s="556"/>
      <c r="Q503" s="556"/>
      <c r="R503" s="556"/>
      <c r="S503" s="556"/>
      <c r="T503" s="556"/>
      <c r="U503" s="556"/>
      <c r="V503" s="556"/>
      <c r="W503" s="556"/>
      <c r="X503" s="556"/>
      <c r="Y503" s="556"/>
      <c r="Z503" s="579"/>
      <c r="AA503" s="556"/>
      <c r="AB503" s="556"/>
      <c r="AC503" s="556"/>
      <c r="AD503" s="556"/>
    </row>
    <row r="504" ht="15.75" customHeight="1">
      <c r="A504" s="594"/>
      <c r="B504" s="556"/>
      <c r="C504" s="556"/>
      <c r="D504" s="556"/>
      <c r="E504" s="556"/>
      <c r="F504" s="556"/>
      <c r="G504" s="556"/>
      <c r="H504" s="556"/>
      <c r="I504" s="556"/>
      <c r="J504" s="556"/>
      <c r="K504" s="556"/>
      <c r="L504" s="556"/>
      <c r="M504" s="556"/>
      <c r="N504" s="556"/>
      <c r="O504" s="556"/>
      <c r="P504" s="556"/>
      <c r="Q504" s="556"/>
      <c r="R504" s="556"/>
      <c r="S504" s="556"/>
      <c r="T504" s="556"/>
      <c r="U504" s="556"/>
      <c r="V504" s="556"/>
      <c r="W504" s="556"/>
      <c r="X504" s="556"/>
      <c r="Y504" s="556"/>
      <c r="Z504" s="579"/>
      <c r="AA504" s="556"/>
      <c r="AB504" s="556"/>
      <c r="AC504" s="556"/>
      <c r="AD504" s="556"/>
    </row>
    <row r="505" ht="15.75" customHeight="1">
      <c r="A505" s="594"/>
      <c r="B505" s="556"/>
      <c r="C505" s="556"/>
      <c r="D505" s="556"/>
      <c r="E505" s="556"/>
      <c r="F505" s="556"/>
      <c r="G505" s="556"/>
      <c r="H505" s="556"/>
      <c r="I505" s="556"/>
      <c r="J505" s="556"/>
      <c r="K505" s="556"/>
      <c r="L505" s="556"/>
      <c r="M505" s="556"/>
      <c r="N505" s="556"/>
      <c r="O505" s="556"/>
      <c r="P505" s="556"/>
      <c r="Q505" s="556"/>
      <c r="R505" s="556"/>
      <c r="S505" s="556"/>
      <c r="T505" s="556"/>
      <c r="U505" s="556"/>
      <c r="V505" s="556"/>
      <c r="W505" s="556"/>
      <c r="X505" s="556"/>
      <c r="Y505" s="556"/>
      <c r="Z505" s="579"/>
      <c r="AA505" s="556"/>
      <c r="AB505" s="556"/>
      <c r="AC505" s="556"/>
      <c r="AD505" s="556"/>
    </row>
    <row r="506" ht="15.75" customHeight="1">
      <c r="A506" s="594"/>
      <c r="B506" s="556"/>
      <c r="C506" s="556"/>
      <c r="D506" s="556"/>
      <c r="E506" s="556"/>
      <c r="F506" s="556"/>
      <c r="G506" s="556"/>
      <c r="H506" s="556"/>
      <c r="I506" s="556"/>
      <c r="J506" s="556"/>
      <c r="K506" s="556"/>
      <c r="L506" s="556"/>
      <c r="M506" s="556"/>
      <c r="N506" s="556"/>
      <c r="O506" s="556"/>
      <c r="P506" s="556"/>
      <c r="Q506" s="556"/>
      <c r="R506" s="556"/>
      <c r="S506" s="556"/>
      <c r="T506" s="556"/>
      <c r="U506" s="556"/>
      <c r="V506" s="556"/>
      <c r="W506" s="556"/>
      <c r="X506" s="556"/>
      <c r="Y506" s="556"/>
      <c r="Z506" s="579"/>
      <c r="AA506" s="556"/>
      <c r="AB506" s="556"/>
      <c r="AC506" s="556"/>
      <c r="AD506" s="556"/>
    </row>
    <row r="507" ht="15.75" customHeight="1">
      <c r="A507" s="594"/>
      <c r="B507" s="556"/>
      <c r="C507" s="556"/>
      <c r="D507" s="556"/>
      <c r="E507" s="556"/>
      <c r="F507" s="556"/>
      <c r="G507" s="556"/>
      <c r="H507" s="556"/>
      <c r="I507" s="556"/>
      <c r="J507" s="556"/>
      <c r="K507" s="556"/>
      <c r="L507" s="556"/>
      <c r="M507" s="556"/>
      <c r="N507" s="556"/>
      <c r="O507" s="556"/>
      <c r="P507" s="556"/>
      <c r="Q507" s="556"/>
      <c r="R507" s="556"/>
      <c r="S507" s="556"/>
      <c r="T507" s="556"/>
      <c r="U507" s="556"/>
      <c r="V507" s="556"/>
      <c r="W507" s="556"/>
      <c r="X507" s="556"/>
      <c r="Y507" s="556"/>
      <c r="Z507" s="579"/>
      <c r="AA507" s="556"/>
      <c r="AB507" s="556"/>
      <c r="AC507" s="556"/>
      <c r="AD507" s="556"/>
    </row>
    <row r="508" ht="15.75" customHeight="1">
      <c r="A508" s="594"/>
      <c r="B508" s="556"/>
      <c r="C508" s="556"/>
      <c r="D508" s="556"/>
      <c r="E508" s="556"/>
      <c r="F508" s="556"/>
      <c r="G508" s="556"/>
      <c r="H508" s="556"/>
      <c r="I508" s="556"/>
      <c r="J508" s="556"/>
      <c r="K508" s="556"/>
      <c r="L508" s="556"/>
      <c r="M508" s="556"/>
      <c r="N508" s="556"/>
      <c r="O508" s="556"/>
      <c r="P508" s="556"/>
      <c r="Q508" s="556"/>
      <c r="R508" s="556"/>
      <c r="S508" s="556"/>
      <c r="T508" s="556"/>
      <c r="U508" s="556"/>
      <c r="V508" s="556"/>
      <c r="W508" s="556"/>
      <c r="X508" s="556"/>
      <c r="Y508" s="556"/>
      <c r="Z508" s="579"/>
      <c r="AA508" s="556"/>
      <c r="AB508" s="556"/>
      <c r="AC508" s="556"/>
      <c r="AD508" s="556"/>
    </row>
    <row r="509" ht="15.75" customHeight="1">
      <c r="A509" s="594"/>
      <c r="B509" s="556"/>
      <c r="C509" s="556"/>
      <c r="D509" s="556"/>
      <c r="E509" s="556"/>
      <c r="F509" s="556"/>
      <c r="G509" s="556"/>
      <c r="H509" s="556"/>
      <c r="I509" s="556"/>
      <c r="J509" s="556"/>
      <c r="K509" s="556"/>
      <c r="L509" s="556"/>
      <c r="M509" s="556"/>
      <c r="N509" s="556"/>
      <c r="O509" s="556"/>
      <c r="P509" s="556"/>
      <c r="Q509" s="556"/>
      <c r="R509" s="556"/>
      <c r="S509" s="556"/>
      <c r="T509" s="556"/>
      <c r="U509" s="556"/>
      <c r="V509" s="556"/>
      <c r="W509" s="556"/>
      <c r="X509" s="556"/>
      <c r="Y509" s="556"/>
      <c r="Z509" s="579"/>
      <c r="AA509" s="556"/>
      <c r="AB509" s="556"/>
      <c r="AC509" s="556"/>
      <c r="AD509" s="556"/>
    </row>
    <row r="510" ht="15.75" customHeight="1">
      <c r="A510" s="594"/>
      <c r="B510" s="556"/>
      <c r="C510" s="556"/>
      <c r="D510" s="556"/>
      <c r="E510" s="556"/>
      <c r="F510" s="556"/>
      <c r="G510" s="556"/>
      <c r="H510" s="556"/>
      <c r="I510" s="556"/>
      <c r="J510" s="556"/>
      <c r="K510" s="556"/>
      <c r="L510" s="556"/>
      <c r="M510" s="556"/>
      <c r="N510" s="556"/>
      <c r="O510" s="556"/>
      <c r="P510" s="556"/>
      <c r="Q510" s="556"/>
      <c r="R510" s="556"/>
      <c r="S510" s="556"/>
      <c r="T510" s="556"/>
      <c r="U510" s="556"/>
      <c r="V510" s="556"/>
      <c r="W510" s="556"/>
      <c r="X510" s="556"/>
      <c r="Y510" s="556"/>
      <c r="Z510" s="579"/>
      <c r="AA510" s="556"/>
      <c r="AB510" s="556"/>
      <c r="AC510" s="556"/>
      <c r="AD510" s="556"/>
    </row>
    <row r="511" ht="15.75" customHeight="1">
      <c r="A511" s="594"/>
      <c r="B511" s="556"/>
      <c r="C511" s="556"/>
      <c r="D511" s="556"/>
      <c r="E511" s="556"/>
      <c r="F511" s="556"/>
      <c r="G511" s="556"/>
      <c r="H511" s="556"/>
      <c r="I511" s="556"/>
      <c r="J511" s="556"/>
      <c r="K511" s="556"/>
      <c r="L511" s="556"/>
      <c r="M511" s="556"/>
      <c r="N511" s="556"/>
      <c r="O511" s="556"/>
      <c r="P511" s="556"/>
      <c r="Q511" s="556"/>
      <c r="R511" s="556"/>
      <c r="S511" s="556"/>
      <c r="T511" s="556"/>
      <c r="U511" s="556"/>
      <c r="V511" s="556"/>
      <c r="W511" s="556"/>
      <c r="X511" s="556"/>
      <c r="Y511" s="556"/>
      <c r="Z511" s="579"/>
      <c r="AA511" s="556"/>
      <c r="AB511" s="556"/>
      <c r="AC511" s="556"/>
      <c r="AD511" s="556"/>
    </row>
    <row r="512" ht="15.75" customHeight="1">
      <c r="A512" s="594"/>
      <c r="B512" s="556"/>
      <c r="C512" s="556"/>
      <c r="D512" s="556"/>
      <c r="E512" s="556"/>
      <c r="F512" s="556"/>
      <c r="G512" s="556"/>
      <c r="H512" s="556"/>
      <c r="I512" s="556"/>
      <c r="J512" s="556"/>
      <c r="K512" s="556"/>
      <c r="L512" s="556"/>
      <c r="M512" s="556"/>
      <c r="N512" s="556"/>
      <c r="O512" s="556"/>
      <c r="P512" s="556"/>
      <c r="Q512" s="556"/>
      <c r="R512" s="556"/>
      <c r="S512" s="556"/>
      <c r="T512" s="556"/>
      <c r="U512" s="556"/>
      <c r="V512" s="556"/>
      <c r="W512" s="556"/>
      <c r="X512" s="556"/>
      <c r="Y512" s="556"/>
      <c r="Z512" s="579"/>
      <c r="AA512" s="556"/>
      <c r="AB512" s="556"/>
      <c r="AC512" s="556"/>
      <c r="AD512" s="556"/>
    </row>
    <row r="513" ht="15.75" customHeight="1">
      <c r="A513" s="594"/>
      <c r="B513" s="556"/>
      <c r="C513" s="556"/>
      <c r="D513" s="556"/>
      <c r="E513" s="556"/>
      <c r="F513" s="556"/>
      <c r="G513" s="556"/>
      <c r="H513" s="556"/>
      <c r="I513" s="556"/>
      <c r="J513" s="556"/>
      <c r="K513" s="556"/>
      <c r="L513" s="556"/>
      <c r="M513" s="556"/>
      <c r="N513" s="556"/>
      <c r="O513" s="556"/>
      <c r="P513" s="556"/>
      <c r="Q513" s="556"/>
      <c r="R513" s="556"/>
      <c r="S513" s="556"/>
      <c r="T513" s="556"/>
      <c r="U513" s="556"/>
      <c r="V513" s="556"/>
      <c r="W513" s="556"/>
      <c r="X513" s="556"/>
      <c r="Y513" s="556"/>
      <c r="Z513" s="579"/>
      <c r="AA513" s="556"/>
      <c r="AB513" s="556"/>
      <c r="AC513" s="556"/>
      <c r="AD513" s="556"/>
    </row>
    <row r="514" ht="15.75" customHeight="1">
      <c r="A514" s="594"/>
      <c r="B514" s="556"/>
      <c r="C514" s="556"/>
      <c r="D514" s="556"/>
      <c r="E514" s="556"/>
      <c r="F514" s="556"/>
      <c r="G514" s="556"/>
      <c r="H514" s="556"/>
      <c r="I514" s="556"/>
      <c r="J514" s="556"/>
      <c r="K514" s="556"/>
      <c r="L514" s="556"/>
      <c r="M514" s="556"/>
      <c r="N514" s="556"/>
      <c r="O514" s="556"/>
      <c r="P514" s="556"/>
      <c r="Q514" s="556"/>
      <c r="R514" s="556"/>
      <c r="S514" s="556"/>
      <c r="T514" s="556"/>
      <c r="U514" s="556"/>
      <c r="V514" s="556"/>
      <c r="W514" s="556"/>
      <c r="X514" s="556"/>
      <c r="Y514" s="556"/>
      <c r="Z514" s="579"/>
      <c r="AA514" s="556"/>
      <c r="AB514" s="556"/>
      <c r="AC514" s="556"/>
      <c r="AD514" s="556"/>
    </row>
    <row r="515" ht="15.75" customHeight="1">
      <c r="A515" s="594"/>
      <c r="B515" s="556"/>
      <c r="C515" s="556"/>
      <c r="D515" s="556"/>
      <c r="E515" s="556"/>
      <c r="F515" s="556"/>
      <c r="G515" s="556"/>
      <c r="H515" s="556"/>
      <c r="I515" s="556"/>
      <c r="J515" s="556"/>
      <c r="K515" s="556"/>
      <c r="L515" s="556"/>
      <c r="M515" s="556"/>
      <c r="N515" s="556"/>
      <c r="O515" s="556"/>
      <c r="P515" s="556"/>
      <c r="Q515" s="556"/>
      <c r="R515" s="556"/>
      <c r="S515" s="556"/>
      <c r="T515" s="556"/>
      <c r="U515" s="556"/>
      <c r="V515" s="556"/>
      <c r="W515" s="556"/>
      <c r="X515" s="556"/>
      <c r="Y515" s="556"/>
      <c r="Z515" s="579"/>
      <c r="AA515" s="556"/>
      <c r="AB515" s="556"/>
      <c r="AC515" s="556"/>
      <c r="AD515" s="556"/>
    </row>
    <row r="516" ht="15.75" customHeight="1">
      <c r="A516" s="594"/>
      <c r="B516" s="556"/>
      <c r="C516" s="556"/>
      <c r="D516" s="556"/>
      <c r="E516" s="556"/>
      <c r="F516" s="556"/>
      <c r="G516" s="556"/>
      <c r="H516" s="556"/>
      <c r="I516" s="556"/>
      <c r="J516" s="556"/>
      <c r="K516" s="556"/>
      <c r="L516" s="556"/>
      <c r="M516" s="556"/>
      <c r="N516" s="556"/>
      <c r="O516" s="556"/>
      <c r="P516" s="556"/>
      <c r="Q516" s="556"/>
      <c r="R516" s="556"/>
      <c r="S516" s="556"/>
      <c r="T516" s="556"/>
      <c r="U516" s="556"/>
      <c r="V516" s="556"/>
      <c r="W516" s="556"/>
      <c r="X516" s="556"/>
      <c r="Y516" s="556"/>
      <c r="Z516" s="579"/>
      <c r="AA516" s="556"/>
      <c r="AB516" s="556"/>
      <c r="AC516" s="556"/>
      <c r="AD516" s="556"/>
    </row>
    <row r="517" ht="15.75" customHeight="1">
      <c r="A517" s="594"/>
      <c r="B517" s="556"/>
      <c r="C517" s="556"/>
      <c r="D517" s="556"/>
      <c r="E517" s="556"/>
      <c r="F517" s="556"/>
      <c r="G517" s="556"/>
      <c r="H517" s="556"/>
      <c r="I517" s="556"/>
      <c r="J517" s="556"/>
      <c r="K517" s="556"/>
      <c r="L517" s="556"/>
      <c r="M517" s="556"/>
      <c r="N517" s="556"/>
      <c r="O517" s="556"/>
      <c r="P517" s="556"/>
      <c r="Q517" s="556"/>
      <c r="R517" s="556"/>
      <c r="S517" s="556"/>
      <c r="T517" s="556"/>
      <c r="U517" s="556"/>
      <c r="V517" s="556"/>
      <c r="W517" s="556"/>
      <c r="X517" s="556"/>
      <c r="Y517" s="556"/>
      <c r="Z517" s="579"/>
      <c r="AA517" s="556"/>
      <c r="AB517" s="556"/>
      <c r="AC517" s="556"/>
      <c r="AD517" s="556"/>
    </row>
    <row r="518" ht="15.75" customHeight="1">
      <c r="A518" s="594"/>
      <c r="B518" s="556"/>
      <c r="C518" s="556"/>
      <c r="D518" s="556"/>
      <c r="E518" s="556"/>
      <c r="F518" s="556"/>
      <c r="G518" s="556"/>
      <c r="H518" s="556"/>
      <c r="I518" s="556"/>
      <c r="J518" s="556"/>
      <c r="K518" s="556"/>
      <c r="L518" s="556"/>
      <c r="M518" s="556"/>
      <c r="N518" s="556"/>
      <c r="O518" s="556"/>
      <c r="P518" s="556"/>
      <c r="Q518" s="556"/>
      <c r="R518" s="556"/>
      <c r="S518" s="556"/>
      <c r="T518" s="556"/>
      <c r="U518" s="556"/>
      <c r="V518" s="556"/>
      <c r="W518" s="556"/>
      <c r="X518" s="556"/>
      <c r="Y518" s="556"/>
      <c r="Z518" s="579"/>
      <c r="AA518" s="556"/>
      <c r="AB518" s="556"/>
      <c r="AC518" s="556"/>
      <c r="AD518" s="556"/>
    </row>
    <row r="519" ht="15.75" customHeight="1">
      <c r="A519" s="594"/>
      <c r="B519" s="556"/>
      <c r="C519" s="556"/>
      <c r="D519" s="556"/>
      <c r="E519" s="556"/>
      <c r="F519" s="556"/>
      <c r="G519" s="556"/>
      <c r="H519" s="556"/>
      <c r="I519" s="556"/>
      <c r="J519" s="556"/>
      <c r="K519" s="556"/>
      <c r="L519" s="556"/>
      <c r="M519" s="556"/>
      <c r="N519" s="556"/>
      <c r="O519" s="556"/>
      <c r="P519" s="556"/>
      <c r="Q519" s="556"/>
      <c r="R519" s="556"/>
      <c r="S519" s="556"/>
      <c r="T519" s="556"/>
      <c r="U519" s="556"/>
      <c r="V519" s="556"/>
      <c r="W519" s="556"/>
      <c r="X519" s="556"/>
      <c r="Y519" s="556"/>
      <c r="Z519" s="579"/>
      <c r="AA519" s="556"/>
      <c r="AB519" s="556"/>
      <c r="AC519" s="556"/>
      <c r="AD519" s="556"/>
    </row>
    <row r="520" ht="15.75" customHeight="1">
      <c r="A520" s="594"/>
      <c r="B520" s="556"/>
      <c r="C520" s="556"/>
      <c r="D520" s="556"/>
      <c r="E520" s="556"/>
      <c r="F520" s="556"/>
      <c r="G520" s="556"/>
      <c r="H520" s="556"/>
      <c r="I520" s="556"/>
      <c r="J520" s="556"/>
      <c r="K520" s="556"/>
      <c r="L520" s="556"/>
      <c r="M520" s="556"/>
      <c r="N520" s="556"/>
      <c r="O520" s="556"/>
      <c r="P520" s="556"/>
      <c r="Q520" s="556"/>
      <c r="R520" s="556"/>
      <c r="S520" s="556"/>
      <c r="T520" s="556"/>
      <c r="U520" s="556"/>
      <c r="V520" s="556"/>
      <c r="W520" s="556"/>
      <c r="X520" s="556"/>
      <c r="Y520" s="556"/>
      <c r="Z520" s="579"/>
      <c r="AA520" s="556"/>
      <c r="AB520" s="556"/>
      <c r="AC520" s="556"/>
      <c r="AD520" s="556"/>
    </row>
    <row r="521" ht="15.75" customHeight="1">
      <c r="A521" s="594"/>
      <c r="B521" s="556"/>
      <c r="C521" s="556"/>
      <c r="D521" s="556"/>
      <c r="E521" s="556"/>
      <c r="F521" s="556"/>
      <c r="G521" s="556"/>
      <c r="H521" s="556"/>
      <c r="I521" s="556"/>
      <c r="J521" s="556"/>
      <c r="K521" s="556"/>
      <c r="L521" s="556"/>
      <c r="M521" s="556"/>
      <c r="N521" s="556"/>
      <c r="O521" s="556"/>
      <c r="P521" s="556"/>
      <c r="Q521" s="556"/>
      <c r="R521" s="556"/>
      <c r="S521" s="556"/>
      <c r="T521" s="556"/>
      <c r="U521" s="556"/>
      <c r="V521" s="556"/>
      <c r="W521" s="556"/>
      <c r="X521" s="556"/>
      <c r="Y521" s="556"/>
      <c r="Z521" s="579"/>
      <c r="AA521" s="556"/>
      <c r="AB521" s="556"/>
      <c r="AC521" s="556"/>
      <c r="AD521" s="556"/>
    </row>
    <row r="522" ht="15.75" customHeight="1">
      <c r="A522" s="594"/>
      <c r="B522" s="556"/>
      <c r="C522" s="556"/>
      <c r="D522" s="556"/>
      <c r="E522" s="556"/>
      <c r="F522" s="556"/>
      <c r="G522" s="556"/>
      <c r="H522" s="556"/>
      <c r="I522" s="556"/>
      <c r="J522" s="556"/>
      <c r="K522" s="556"/>
      <c r="L522" s="556"/>
      <c r="M522" s="556"/>
      <c r="N522" s="556"/>
      <c r="O522" s="556"/>
      <c r="P522" s="556"/>
      <c r="Q522" s="556"/>
      <c r="R522" s="556"/>
      <c r="S522" s="556"/>
      <c r="T522" s="556"/>
      <c r="U522" s="556"/>
      <c r="V522" s="556"/>
      <c r="W522" s="556"/>
      <c r="X522" s="556"/>
      <c r="Y522" s="556"/>
      <c r="Z522" s="579"/>
      <c r="AA522" s="556"/>
      <c r="AB522" s="556"/>
      <c r="AC522" s="556"/>
      <c r="AD522" s="556"/>
    </row>
    <row r="523" ht="15.75" customHeight="1">
      <c r="A523" s="594"/>
      <c r="B523" s="556"/>
      <c r="C523" s="556"/>
      <c r="D523" s="556"/>
      <c r="E523" s="556"/>
      <c r="F523" s="556"/>
      <c r="G523" s="556"/>
      <c r="H523" s="556"/>
      <c r="I523" s="556"/>
      <c r="J523" s="556"/>
      <c r="K523" s="556"/>
      <c r="L523" s="556"/>
      <c r="M523" s="556"/>
      <c r="N523" s="556"/>
      <c r="O523" s="556"/>
      <c r="P523" s="556"/>
      <c r="Q523" s="556"/>
      <c r="R523" s="556"/>
      <c r="S523" s="556"/>
      <c r="T523" s="556"/>
      <c r="U523" s="556"/>
      <c r="V523" s="556"/>
      <c r="W523" s="556"/>
      <c r="X523" s="556"/>
      <c r="Y523" s="556"/>
      <c r="Z523" s="579"/>
      <c r="AA523" s="556"/>
      <c r="AB523" s="556"/>
      <c r="AC523" s="556"/>
      <c r="AD523" s="556"/>
    </row>
    <row r="524" ht="15.75" customHeight="1">
      <c r="A524" s="594"/>
      <c r="B524" s="556"/>
      <c r="C524" s="556"/>
      <c r="D524" s="556"/>
      <c r="E524" s="556"/>
      <c r="F524" s="556"/>
      <c r="G524" s="556"/>
      <c r="H524" s="556"/>
      <c r="I524" s="556"/>
      <c r="J524" s="556"/>
      <c r="K524" s="556"/>
      <c r="L524" s="556"/>
      <c r="M524" s="556"/>
      <c r="N524" s="556"/>
      <c r="O524" s="556"/>
      <c r="P524" s="556"/>
      <c r="Q524" s="556"/>
      <c r="R524" s="556"/>
      <c r="S524" s="556"/>
      <c r="T524" s="556"/>
      <c r="U524" s="556"/>
      <c r="V524" s="556"/>
      <c r="W524" s="556"/>
      <c r="X524" s="556"/>
      <c r="Y524" s="556"/>
      <c r="Z524" s="579"/>
      <c r="AA524" s="556"/>
      <c r="AB524" s="556"/>
      <c r="AC524" s="556"/>
      <c r="AD524" s="556"/>
    </row>
    <row r="525" ht="15.75" customHeight="1">
      <c r="A525" s="594"/>
      <c r="B525" s="556"/>
      <c r="C525" s="556"/>
      <c r="D525" s="556"/>
      <c r="E525" s="556"/>
      <c r="F525" s="556"/>
      <c r="G525" s="556"/>
      <c r="H525" s="556"/>
      <c r="I525" s="556"/>
      <c r="J525" s="556"/>
      <c r="K525" s="556"/>
      <c r="L525" s="556"/>
      <c r="M525" s="556"/>
      <c r="N525" s="556"/>
      <c r="O525" s="556"/>
      <c r="P525" s="556"/>
      <c r="Q525" s="556"/>
      <c r="R525" s="556"/>
      <c r="S525" s="556"/>
      <c r="T525" s="556"/>
      <c r="U525" s="556"/>
      <c r="V525" s="556"/>
      <c r="W525" s="556"/>
      <c r="X525" s="556"/>
      <c r="Y525" s="556"/>
      <c r="Z525" s="579"/>
      <c r="AA525" s="556"/>
      <c r="AB525" s="556"/>
      <c r="AC525" s="556"/>
      <c r="AD525" s="556"/>
    </row>
    <row r="526" ht="15.75" customHeight="1">
      <c r="A526" s="594"/>
      <c r="B526" s="556"/>
      <c r="C526" s="556"/>
      <c r="D526" s="556"/>
      <c r="E526" s="556"/>
      <c r="F526" s="556"/>
      <c r="G526" s="556"/>
      <c r="H526" s="556"/>
      <c r="I526" s="556"/>
      <c r="J526" s="556"/>
      <c r="K526" s="556"/>
      <c r="L526" s="556"/>
      <c r="M526" s="556"/>
      <c r="N526" s="556"/>
      <c r="O526" s="556"/>
      <c r="P526" s="556"/>
      <c r="Q526" s="556"/>
      <c r="R526" s="556"/>
      <c r="S526" s="556"/>
      <c r="T526" s="556"/>
      <c r="U526" s="556"/>
      <c r="V526" s="556"/>
      <c r="W526" s="556"/>
      <c r="X526" s="556"/>
      <c r="Y526" s="556"/>
      <c r="Z526" s="579"/>
      <c r="AA526" s="556"/>
      <c r="AB526" s="556"/>
      <c r="AC526" s="556"/>
      <c r="AD526" s="556"/>
    </row>
    <row r="527" ht="15.75" customHeight="1">
      <c r="A527" s="594"/>
      <c r="B527" s="556"/>
      <c r="C527" s="556"/>
      <c r="D527" s="556"/>
      <c r="E527" s="556"/>
      <c r="F527" s="556"/>
      <c r="G527" s="556"/>
      <c r="H527" s="556"/>
      <c r="I527" s="556"/>
      <c r="J527" s="556"/>
      <c r="K527" s="556"/>
      <c r="L527" s="556"/>
      <c r="M527" s="556"/>
      <c r="N527" s="556"/>
      <c r="O527" s="556"/>
      <c r="P527" s="556"/>
      <c r="Q527" s="556"/>
      <c r="R527" s="556"/>
      <c r="S527" s="556"/>
      <c r="T527" s="556"/>
      <c r="U527" s="556"/>
      <c r="V527" s="556"/>
      <c r="W527" s="556"/>
      <c r="X527" s="556"/>
      <c r="Y527" s="556"/>
      <c r="Z527" s="579"/>
      <c r="AA527" s="556"/>
      <c r="AB527" s="556"/>
      <c r="AC527" s="556"/>
      <c r="AD527" s="556"/>
    </row>
    <row r="528" ht="15.75" customHeight="1">
      <c r="A528" s="594"/>
      <c r="B528" s="556"/>
      <c r="C528" s="556"/>
      <c r="D528" s="556"/>
      <c r="E528" s="556"/>
      <c r="F528" s="556"/>
      <c r="G528" s="556"/>
      <c r="H528" s="556"/>
      <c r="I528" s="556"/>
      <c r="J528" s="556"/>
      <c r="K528" s="556"/>
      <c r="L528" s="556"/>
      <c r="M528" s="556"/>
      <c r="N528" s="556"/>
      <c r="O528" s="556"/>
      <c r="P528" s="556"/>
      <c r="Q528" s="556"/>
      <c r="R528" s="556"/>
      <c r="S528" s="556"/>
      <c r="T528" s="556"/>
      <c r="U528" s="556"/>
      <c r="V528" s="556"/>
      <c r="W528" s="556"/>
      <c r="X528" s="556"/>
      <c r="Y528" s="556"/>
      <c r="Z528" s="579"/>
      <c r="AA528" s="556"/>
      <c r="AB528" s="556"/>
      <c r="AC528" s="556"/>
      <c r="AD528" s="556"/>
    </row>
    <row r="529" ht="15.75" customHeight="1">
      <c r="A529" s="594"/>
      <c r="B529" s="556"/>
      <c r="C529" s="556"/>
      <c r="D529" s="556"/>
      <c r="E529" s="556"/>
      <c r="F529" s="556"/>
      <c r="G529" s="556"/>
      <c r="H529" s="556"/>
      <c r="I529" s="556"/>
      <c r="J529" s="556"/>
      <c r="K529" s="556"/>
      <c r="L529" s="556"/>
      <c r="M529" s="556"/>
      <c r="N529" s="556"/>
      <c r="O529" s="556"/>
      <c r="P529" s="556"/>
      <c r="Q529" s="556"/>
      <c r="R529" s="556"/>
      <c r="S529" s="556"/>
      <c r="T529" s="556"/>
      <c r="U529" s="556"/>
      <c r="V529" s="556"/>
      <c r="W529" s="556"/>
      <c r="X529" s="556"/>
      <c r="Y529" s="556"/>
      <c r="Z529" s="579"/>
      <c r="AA529" s="556"/>
      <c r="AB529" s="556"/>
      <c r="AC529" s="556"/>
      <c r="AD529" s="556"/>
    </row>
    <row r="530" ht="15.75" customHeight="1">
      <c r="A530" s="594"/>
      <c r="B530" s="556"/>
      <c r="C530" s="556"/>
      <c r="D530" s="556"/>
      <c r="E530" s="556"/>
      <c r="F530" s="556"/>
      <c r="G530" s="556"/>
      <c r="H530" s="556"/>
      <c r="I530" s="556"/>
      <c r="J530" s="556"/>
      <c r="K530" s="556"/>
      <c r="L530" s="556"/>
      <c r="M530" s="556"/>
      <c r="N530" s="556"/>
      <c r="O530" s="556"/>
      <c r="P530" s="556"/>
      <c r="Q530" s="556"/>
      <c r="R530" s="556"/>
      <c r="S530" s="556"/>
      <c r="T530" s="556"/>
      <c r="U530" s="556"/>
      <c r="V530" s="556"/>
      <c r="W530" s="556"/>
      <c r="X530" s="556"/>
      <c r="Y530" s="556"/>
      <c r="Z530" s="579"/>
      <c r="AA530" s="556"/>
      <c r="AB530" s="556"/>
      <c r="AC530" s="556"/>
      <c r="AD530" s="556"/>
    </row>
    <row r="531" ht="15.75" customHeight="1">
      <c r="A531" s="594"/>
      <c r="B531" s="556"/>
      <c r="C531" s="556"/>
      <c r="D531" s="556"/>
      <c r="E531" s="556"/>
      <c r="F531" s="556"/>
      <c r="G531" s="556"/>
      <c r="H531" s="556"/>
      <c r="I531" s="556"/>
      <c r="J531" s="556"/>
      <c r="K531" s="556"/>
      <c r="L531" s="556"/>
      <c r="M531" s="556"/>
      <c r="N531" s="556"/>
      <c r="O531" s="556"/>
      <c r="P531" s="556"/>
      <c r="Q531" s="556"/>
      <c r="R531" s="556"/>
      <c r="S531" s="556"/>
      <c r="T531" s="556"/>
      <c r="U531" s="556"/>
      <c r="V531" s="556"/>
      <c r="W531" s="556"/>
      <c r="X531" s="556"/>
      <c r="Y531" s="556"/>
      <c r="Z531" s="579"/>
      <c r="AA531" s="556"/>
      <c r="AB531" s="556"/>
      <c r="AC531" s="556"/>
      <c r="AD531" s="556"/>
    </row>
    <row r="532" ht="15.75" customHeight="1">
      <c r="A532" s="594"/>
      <c r="B532" s="556"/>
      <c r="C532" s="556"/>
      <c r="D532" s="556"/>
      <c r="E532" s="556"/>
      <c r="F532" s="556"/>
      <c r="G532" s="556"/>
      <c r="H532" s="556"/>
      <c r="I532" s="556"/>
      <c r="J532" s="556"/>
      <c r="K532" s="556"/>
      <c r="L532" s="556"/>
      <c r="M532" s="556"/>
      <c r="N532" s="556"/>
      <c r="O532" s="556"/>
      <c r="P532" s="556"/>
      <c r="Q532" s="556"/>
      <c r="R532" s="556"/>
      <c r="S532" s="556"/>
      <c r="T532" s="556"/>
      <c r="U532" s="556"/>
      <c r="V532" s="556"/>
      <c r="W532" s="556"/>
      <c r="X532" s="556"/>
      <c r="Y532" s="556"/>
      <c r="Z532" s="579"/>
      <c r="AA532" s="556"/>
      <c r="AB532" s="556"/>
      <c r="AC532" s="556"/>
      <c r="AD532" s="556"/>
    </row>
    <row r="533" ht="15.75" customHeight="1">
      <c r="A533" s="594"/>
      <c r="B533" s="556"/>
      <c r="C533" s="556"/>
      <c r="D533" s="556"/>
      <c r="E533" s="556"/>
      <c r="F533" s="556"/>
      <c r="G533" s="556"/>
      <c r="H533" s="556"/>
      <c r="I533" s="556"/>
      <c r="J533" s="556"/>
      <c r="K533" s="556"/>
      <c r="L533" s="556"/>
      <c r="M533" s="556"/>
      <c r="N533" s="556"/>
      <c r="O533" s="556"/>
      <c r="P533" s="556"/>
      <c r="Q533" s="556"/>
      <c r="R533" s="556"/>
      <c r="S533" s="556"/>
      <c r="T533" s="556"/>
      <c r="U533" s="556"/>
      <c r="V533" s="556"/>
      <c r="W533" s="556"/>
      <c r="X533" s="556"/>
      <c r="Y533" s="556"/>
      <c r="Z533" s="579"/>
      <c r="AA533" s="556"/>
      <c r="AB533" s="556"/>
      <c r="AC533" s="556"/>
      <c r="AD533" s="556"/>
    </row>
    <row r="534" ht="15.75" customHeight="1">
      <c r="A534" s="594"/>
      <c r="B534" s="556"/>
      <c r="C534" s="556"/>
      <c r="D534" s="556"/>
      <c r="E534" s="556"/>
      <c r="F534" s="556"/>
      <c r="G534" s="556"/>
      <c r="H534" s="556"/>
      <c r="I534" s="556"/>
      <c r="J534" s="556"/>
      <c r="K534" s="556"/>
      <c r="L534" s="556"/>
      <c r="M534" s="556"/>
      <c r="N534" s="556"/>
      <c r="O534" s="556"/>
      <c r="P534" s="556"/>
      <c r="Q534" s="556"/>
      <c r="R534" s="556"/>
      <c r="S534" s="556"/>
      <c r="T534" s="556"/>
      <c r="U534" s="556"/>
      <c r="V534" s="556"/>
      <c r="W534" s="556"/>
      <c r="X534" s="556"/>
      <c r="Y534" s="556"/>
      <c r="Z534" s="579"/>
      <c r="AA534" s="556"/>
      <c r="AB534" s="556"/>
      <c r="AC534" s="556"/>
      <c r="AD534" s="556"/>
    </row>
    <row r="535" ht="15.75" customHeight="1">
      <c r="A535" s="594"/>
      <c r="B535" s="556"/>
      <c r="C535" s="556"/>
      <c r="D535" s="556"/>
      <c r="E535" s="556"/>
      <c r="F535" s="556"/>
      <c r="G535" s="556"/>
      <c r="H535" s="556"/>
      <c r="I535" s="556"/>
      <c r="J535" s="556"/>
      <c r="K535" s="556"/>
      <c r="L535" s="556"/>
      <c r="M535" s="556"/>
      <c r="N535" s="556"/>
      <c r="O535" s="556"/>
      <c r="P535" s="556"/>
      <c r="Q535" s="556"/>
      <c r="R535" s="556"/>
      <c r="S535" s="556"/>
      <c r="T535" s="556"/>
      <c r="U535" s="556"/>
      <c r="V535" s="556"/>
      <c r="W535" s="556"/>
      <c r="X535" s="556"/>
      <c r="Y535" s="556"/>
      <c r="Z535" s="579"/>
      <c r="AA535" s="556"/>
      <c r="AB535" s="556"/>
      <c r="AC535" s="556"/>
      <c r="AD535" s="556"/>
    </row>
    <row r="536" ht="15.75" customHeight="1">
      <c r="A536" s="594"/>
      <c r="B536" s="556"/>
      <c r="C536" s="556"/>
      <c r="D536" s="556"/>
      <c r="E536" s="556"/>
      <c r="F536" s="556"/>
      <c r="G536" s="556"/>
      <c r="H536" s="556"/>
      <c r="I536" s="556"/>
      <c r="J536" s="556"/>
      <c r="K536" s="556"/>
      <c r="L536" s="556"/>
      <c r="M536" s="556"/>
      <c r="N536" s="556"/>
      <c r="O536" s="556"/>
      <c r="P536" s="556"/>
      <c r="Q536" s="556"/>
      <c r="R536" s="556"/>
      <c r="S536" s="556"/>
      <c r="T536" s="556"/>
      <c r="U536" s="556"/>
      <c r="V536" s="556"/>
      <c r="W536" s="556"/>
      <c r="X536" s="556"/>
      <c r="Y536" s="556"/>
      <c r="Z536" s="579"/>
      <c r="AA536" s="556"/>
      <c r="AB536" s="556"/>
      <c r="AC536" s="556"/>
      <c r="AD536" s="556"/>
    </row>
    <row r="537" ht="15.75" customHeight="1">
      <c r="A537" s="594"/>
      <c r="B537" s="556"/>
      <c r="C537" s="556"/>
      <c r="D537" s="556"/>
      <c r="E537" s="556"/>
      <c r="F537" s="556"/>
      <c r="G537" s="556"/>
      <c r="H537" s="556"/>
      <c r="I537" s="556"/>
      <c r="J537" s="556"/>
      <c r="K537" s="556"/>
      <c r="L537" s="556"/>
      <c r="M537" s="556"/>
      <c r="N537" s="556"/>
      <c r="O537" s="556"/>
      <c r="P537" s="556"/>
      <c r="Q537" s="556"/>
      <c r="R537" s="556"/>
      <c r="S537" s="556"/>
      <c r="T537" s="556"/>
      <c r="U537" s="556"/>
      <c r="V537" s="556"/>
      <c r="W537" s="556"/>
      <c r="X537" s="556"/>
      <c r="Y537" s="556"/>
      <c r="Z537" s="579"/>
      <c r="AA537" s="556"/>
      <c r="AB537" s="556"/>
      <c r="AC537" s="556"/>
      <c r="AD537" s="556"/>
    </row>
    <row r="538" ht="15.75" customHeight="1">
      <c r="A538" s="594"/>
      <c r="B538" s="556"/>
      <c r="C538" s="556"/>
      <c r="D538" s="556"/>
      <c r="E538" s="556"/>
      <c r="F538" s="556"/>
      <c r="G538" s="556"/>
      <c r="H538" s="556"/>
      <c r="I538" s="556"/>
      <c r="J538" s="556"/>
      <c r="K538" s="556"/>
      <c r="L538" s="556"/>
      <c r="M538" s="556"/>
      <c r="N538" s="556"/>
      <c r="O538" s="556"/>
      <c r="P538" s="556"/>
      <c r="Q538" s="556"/>
      <c r="R538" s="556"/>
      <c r="S538" s="556"/>
      <c r="T538" s="556"/>
      <c r="U538" s="556"/>
      <c r="V538" s="556"/>
      <c r="W538" s="556"/>
      <c r="X538" s="556"/>
      <c r="Y538" s="556"/>
      <c r="Z538" s="579"/>
      <c r="AA538" s="556"/>
      <c r="AB538" s="556"/>
      <c r="AC538" s="556"/>
      <c r="AD538" s="556"/>
    </row>
    <row r="539" ht="15.75" customHeight="1">
      <c r="A539" s="594"/>
      <c r="B539" s="556"/>
      <c r="C539" s="556"/>
      <c r="D539" s="556"/>
      <c r="E539" s="556"/>
      <c r="F539" s="556"/>
      <c r="G539" s="556"/>
      <c r="H539" s="556"/>
      <c r="I539" s="556"/>
      <c r="J539" s="556"/>
      <c r="K539" s="556"/>
      <c r="L539" s="556"/>
      <c r="M539" s="556"/>
      <c r="N539" s="556"/>
      <c r="O539" s="556"/>
      <c r="P539" s="556"/>
      <c r="Q539" s="556"/>
      <c r="R539" s="556"/>
      <c r="S539" s="556"/>
      <c r="T539" s="556"/>
      <c r="U539" s="556"/>
      <c r="V539" s="556"/>
      <c r="W539" s="556"/>
      <c r="X539" s="556"/>
      <c r="Y539" s="556"/>
      <c r="Z539" s="579"/>
      <c r="AA539" s="556"/>
      <c r="AB539" s="556"/>
      <c r="AC539" s="556"/>
      <c r="AD539" s="556"/>
    </row>
    <row r="540" ht="15.75" customHeight="1">
      <c r="A540" s="594"/>
      <c r="B540" s="556"/>
      <c r="C540" s="556"/>
      <c r="D540" s="556"/>
      <c r="E540" s="556"/>
      <c r="F540" s="556"/>
      <c r="G540" s="556"/>
      <c r="H540" s="556"/>
      <c r="I540" s="556"/>
      <c r="J540" s="556"/>
      <c r="K540" s="556"/>
      <c r="L540" s="556"/>
      <c r="M540" s="556"/>
      <c r="N540" s="556"/>
      <c r="O540" s="556"/>
      <c r="P540" s="556"/>
      <c r="Q540" s="556"/>
      <c r="R540" s="556"/>
      <c r="S540" s="556"/>
      <c r="T540" s="556"/>
      <c r="U540" s="556"/>
      <c r="V540" s="556"/>
      <c r="W540" s="556"/>
      <c r="X540" s="556"/>
      <c r="Y540" s="556"/>
      <c r="Z540" s="579"/>
      <c r="AA540" s="556"/>
      <c r="AB540" s="556"/>
      <c r="AC540" s="556"/>
      <c r="AD540" s="556"/>
    </row>
    <row r="541" ht="15.75" customHeight="1">
      <c r="A541" s="594"/>
      <c r="B541" s="556"/>
      <c r="C541" s="556"/>
      <c r="D541" s="556"/>
      <c r="E541" s="556"/>
      <c r="F541" s="556"/>
      <c r="G541" s="556"/>
      <c r="H541" s="556"/>
      <c r="I541" s="556"/>
      <c r="J541" s="556"/>
      <c r="K541" s="556"/>
      <c r="L541" s="556"/>
      <c r="M541" s="556"/>
      <c r="N541" s="556"/>
      <c r="O541" s="556"/>
      <c r="P541" s="556"/>
      <c r="Q541" s="556"/>
      <c r="R541" s="556"/>
      <c r="S541" s="556"/>
      <c r="T541" s="556"/>
      <c r="U541" s="556"/>
      <c r="V541" s="556"/>
      <c r="W541" s="556"/>
      <c r="X541" s="556"/>
      <c r="Y541" s="556"/>
      <c r="Z541" s="579"/>
      <c r="AA541" s="556"/>
      <c r="AB541" s="556"/>
      <c r="AC541" s="556"/>
      <c r="AD541" s="556"/>
    </row>
    <row r="542" ht="15.75" customHeight="1">
      <c r="A542" s="594"/>
      <c r="B542" s="556"/>
      <c r="C542" s="556"/>
      <c r="D542" s="556"/>
      <c r="E542" s="556"/>
      <c r="F542" s="556"/>
      <c r="G542" s="556"/>
      <c r="H542" s="556"/>
      <c r="I542" s="556"/>
      <c r="J542" s="556"/>
      <c r="K542" s="556"/>
      <c r="L542" s="556"/>
      <c r="M542" s="556"/>
      <c r="N542" s="556"/>
      <c r="O542" s="556"/>
      <c r="P542" s="556"/>
      <c r="Q542" s="556"/>
      <c r="R542" s="556"/>
      <c r="S542" s="556"/>
      <c r="T542" s="556"/>
      <c r="U542" s="556"/>
      <c r="V542" s="556"/>
      <c r="W542" s="556"/>
      <c r="X542" s="556"/>
      <c r="Y542" s="556"/>
      <c r="Z542" s="579"/>
      <c r="AA542" s="556"/>
      <c r="AB542" s="556"/>
      <c r="AC542" s="556"/>
      <c r="AD542" s="556"/>
    </row>
    <row r="543" ht="15.75" customHeight="1">
      <c r="A543" s="594"/>
      <c r="B543" s="556"/>
      <c r="C543" s="556"/>
      <c r="D543" s="556"/>
      <c r="E543" s="556"/>
      <c r="F543" s="556"/>
      <c r="G543" s="556"/>
      <c r="H543" s="556"/>
      <c r="I543" s="556"/>
      <c r="J543" s="556"/>
      <c r="K543" s="556"/>
      <c r="L543" s="556"/>
      <c r="M543" s="556"/>
      <c r="N543" s="556"/>
      <c r="O543" s="556"/>
      <c r="P543" s="556"/>
      <c r="Q543" s="556"/>
      <c r="R543" s="556"/>
      <c r="S543" s="556"/>
      <c r="T543" s="556"/>
      <c r="U543" s="556"/>
      <c r="V543" s="556"/>
      <c r="W543" s="556"/>
      <c r="X543" s="556"/>
      <c r="Y543" s="556"/>
      <c r="Z543" s="579"/>
      <c r="AA543" s="556"/>
      <c r="AB543" s="556"/>
      <c r="AC543" s="556"/>
      <c r="AD543" s="556"/>
    </row>
    <row r="544" ht="15.75" customHeight="1">
      <c r="A544" s="594"/>
      <c r="B544" s="556"/>
      <c r="C544" s="556"/>
      <c r="D544" s="556"/>
      <c r="E544" s="556"/>
      <c r="F544" s="556"/>
      <c r="G544" s="556"/>
      <c r="H544" s="556"/>
      <c r="I544" s="556"/>
      <c r="J544" s="556"/>
      <c r="K544" s="556"/>
      <c r="L544" s="556"/>
      <c r="M544" s="556"/>
      <c r="N544" s="556"/>
      <c r="O544" s="556"/>
      <c r="P544" s="556"/>
      <c r="Q544" s="556"/>
      <c r="R544" s="556"/>
      <c r="S544" s="556"/>
      <c r="T544" s="556"/>
      <c r="U544" s="556"/>
      <c r="V544" s="556"/>
      <c r="W544" s="556"/>
      <c r="X544" s="556"/>
      <c r="Y544" s="556"/>
      <c r="Z544" s="579"/>
      <c r="AA544" s="556"/>
      <c r="AB544" s="556"/>
      <c r="AC544" s="556"/>
      <c r="AD544" s="556"/>
    </row>
    <row r="545" ht="15.75" customHeight="1">
      <c r="A545" s="594"/>
      <c r="B545" s="556"/>
      <c r="C545" s="556"/>
      <c r="D545" s="556"/>
      <c r="E545" s="556"/>
      <c r="F545" s="556"/>
      <c r="G545" s="556"/>
      <c r="H545" s="556"/>
      <c r="I545" s="556"/>
      <c r="J545" s="556"/>
      <c r="K545" s="556"/>
      <c r="L545" s="556"/>
      <c r="M545" s="556"/>
      <c r="N545" s="556"/>
      <c r="O545" s="556"/>
      <c r="P545" s="556"/>
      <c r="Q545" s="556"/>
      <c r="R545" s="556"/>
      <c r="S545" s="556"/>
      <c r="T545" s="556"/>
      <c r="U545" s="556"/>
      <c r="V545" s="556"/>
      <c r="W545" s="556"/>
      <c r="X545" s="556"/>
      <c r="Y545" s="556"/>
      <c r="Z545" s="579"/>
      <c r="AA545" s="556"/>
      <c r="AB545" s="556"/>
      <c r="AC545" s="556"/>
      <c r="AD545" s="556"/>
    </row>
    <row r="546" ht="15.75" customHeight="1">
      <c r="A546" s="594"/>
      <c r="B546" s="556"/>
      <c r="C546" s="556"/>
      <c r="D546" s="556"/>
      <c r="E546" s="556"/>
      <c r="F546" s="556"/>
      <c r="G546" s="556"/>
      <c r="H546" s="556"/>
      <c r="I546" s="556"/>
      <c r="J546" s="556"/>
      <c r="K546" s="556"/>
      <c r="L546" s="556"/>
      <c r="M546" s="556"/>
      <c r="N546" s="556"/>
      <c r="O546" s="556"/>
      <c r="P546" s="556"/>
      <c r="Q546" s="556"/>
      <c r="R546" s="556"/>
      <c r="S546" s="556"/>
      <c r="T546" s="556"/>
      <c r="U546" s="556"/>
      <c r="V546" s="556"/>
      <c r="W546" s="556"/>
      <c r="X546" s="556"/>
      <c r="Y546" s="556"/>
      <c r="Z546" s="579"/>
      <c r="AA546" s="556"/>
      <c r="AB546" s="556"/>
      <c r="AC546" s="556"/>
      <c r="AD546" s="556"/>
    </row>
    <row r="547" ht="15.75" customHeight="1">
      <c r="A547" s="594"/>
      <c r="B547" s="556"/>
      <c r="C547" s="556"/>
      <c r="D547" s="556"/>
      <c r="E547" s="556"/>
      <c r="F547" s="556"/>
      <c r="G547" s="556"/>
      <c r="H547" s="556"/>
      <c r="I547" s="556"/>
      <c r="J547" s="556"/>
      <c r="K547" s="556"/>
      <c r="L547" s="556"/>
      <c r="M547" s="556"/>
      <c r="N547" s="556"/>
      <c r="O547" s="556"/>
      <c r="P547" s="556"/>
      <c r="Q547" s="556"/>
      <c r="R547" s="556"/>
      <c r="S547" s="556"/>
      <c r="T547" s="556"/>
      <c r="U547" s="556"/>
      <c r="V547" s="556"/>
      <c r="W547" s="556"/>
      <c r="X547" s="556"/>
      <c r="Y547" s="556"/>
      <c r="Z547" s="579"/>
      <c r="AA547" s="556"/>
      <c r="AB547" s="556"/>
      <c r="AC547" s="556"/>
      <c r="AD547" s="556"/>
    </row>
    <row r="548" ht="15.75" customHeight="1">
      <c r="A548" s="594"/>
      <c r="B548" s="556"/>
      <c r="C548" s="556"/>
      <c r="D548" s="556"/>
      <c r="E548" s="556"/>
      <c r="F548" s="556"/>
      <c r="G548" s="556"/>
      <c r="H548" s="556"/>
      <c r="I548" s="556"/>
      <c r="J548" s="556"/>
      <c r="K548" s="556"/>
      <c r="L548" s="556"/>
      <c r="M548" s="556"/>
      <c r="N548" s="556"/>
      <c r="O548" s="556"/>
      <c r="P548" s="556"/>
      <c r="Q548" s="556"/>
      <c r="R548" s="556"/>
      <c r="S548" s="556"/>
      <c r="T548" s="556"/>
      <c r="U548" s="556"/>
      <c r="V548" s="556"/>
      <c r="W548" s="556"/>
      <c r="X548" s="556"/>
      <c r="Y548" s="556"/>
      <c r="Z548" s="579"/>
      <c r="AA548" s="556"/>
      <c r="AB548" s="556"/>
      <c r="AC548" s="556"/>
      <c r="AD548" s="556"/>
    </row>
    <row r="549" ht="15.75" customHeight="1">
      <c r="A549" s="594"/>
      <c r="B549" s="556"/>
      <c r="C549" s="556"/>
      <c r="D549" s="556"/>
      <c r="E549" s="556"/>
      <c r="F549" s="556"/>
      <c r="G549" s="556"/>
      <c r="H549" s="556"/>
      <c r="I549" s="556"/>
      <c r="J549" s="556"/>
      <c r="K549" s="556"/>
      <c r="L549" s="556"/>
      <c r="M549" s="556"/>
      <c r="N549" s="556"/>
      <c r="O549" s="556"/>
      <c r="P549" s="556"/>
      <c r="Q549" s="556"/>
      <c r="R549" s="556"/>
      <c r="S549" s="556"/>
      <c r="T549" s="556"/>
      <c r="U549" s="556"/>
      <c r="V549" s="556"/>
      <c r="W549" s="556"/>
      <c r="X549" s="556"/>
      <c r="Y549" s="556"/>
      <c r="Z549" s="579"/>
      <c r="AA549" s="556"/>
      <c r="AB549" s="556"/>
      <c r="AC549" s="556"/>
      <c r="AD549" s="556"/>
    </row>
    <row r="550" ht="15.75" customHeight="1">
      <c r="A550" s="594"/>
      <c r="B550" s="556"/>
      <c r="C550" s="556"/>
      <c r="D550" s="556"/>
      <c r="E550" s="556"/>
      <c r="F550" s="556"/>
      <c r="G550" s="556"/>
      <c r="H550" s="556"/>
      <c r="I550" s="556"/>
      <c r="J550" s="556"/>
      <c r="K550" s="556"/>
      <c r="L550" s="556"/>
      <c r="M550" s="556"/>
      <c r="N550" s="556"/>
      <c r="O550" s="556"/>
      <c r="P550" s="556"/>
      <c r="Q550" s="556"/>
      <c r="R550" s="556"/>
      <c r="S550" s="556"/>
      <c r="T550" s="556"/>
      <c r="U550" s="556"/>
      <c r="V550" s="556"/>
      <c r="W550" s="556"/>
      <c r="X550" s="556"/>
      <c r="Y550" s="556"/>
      <c r="Z550" s="579"/>
      <c r="AA550" s="556"/>
      <c r="AB550" s="556"/>
      <c r="AC550" s="556"/>
      <c r="AD550" s="556"/>
    </row>
    <row r="551" ht="15.75" customHeight="1">
      <c r="A551" s="594"/>
      <c r="B551" s="556"/>
      <c r="C551" s="556"/>
      <c r="D551" s="556"/>
      <c r="E551" s="556"/>
      <c r="F551" s="556"/>
      <c r="G551" s="556"/>
      <c r="H551" s="556"/>
      <c r="I551" s="556"/>
      <c r="J551" s="556"/>
      <c r="K551" s="556"/>
      <c r="L551" s="556"/>
      <c r="M551" s="556"/>
      <c r="N551" s="556"/>
      <c r="O551" s="556"/>
      <c r="P551" s="556"/>
      <c r="Q551" s="556"/>
      <c r="R551" s="556"/>
      <c r="S551" s="556"/>
      <c r="T551" s="556"/>
      <c r="U551" s="556"/>
      <c r="V551" s="556"/>
      <c r="W551" s="556"/>
      <c r="X551" s="556"/>
      <c r="Y551" s="556"/>
      <c r="Z551" s="579"/>
      <c r="AA551" s="556"/>
      <c r="AB551" s="556"/>
      <c r="AC551" s="556"/>
      <c r="AD551" s="556"/>
    </row>
    <row r="552" ht="15.75" customHeight="1">
      <c r="A552" s="594"/>
      <c r="B552" s="556"/>
      <c r="C552" s="556"/>
      <c r="D552" s="556"/>
      <c r="E552" s="556"/>
      <c r="F552" s="556"/>
      <c r="G552" s="556"/>
      <c r="H552" s="556"/>
      <c r="I552" s="556"/>
      <c r="J552" s="556"/>
      <c r="K552" s="556"/>
      <c r="L552" s="556"/>
      <c r="M552" s="556"/>
      <c r="N552" s="556"/>
      <c r="O552" s="556"/>
      <c r="P552" s="556"/>
      <c r="Q552" s="556"/>
      <c r="R552" s="556"/>
      <c r="S552" s="556"/>
      <c r="T552" s="556"/>
      <c r="U552" s="556"/>
      <c r="V552" s="556"/>
      <c r="W552" s="556"/>
      <c r="X552" s="556"/>
      <c r="Y552" s="556"/>
      <c r="Z552" s="579"/>
      <c r="AA552" s="556"/>
      <c r="AB552" s="556"/>
      <c r="AC552" s="556"/>
      <c r="AD552" s="556"/>
    </row>
    <row r="553" ht="15.75" customHeight="1">
      <c r="A553" s="594"/>
      <c r="B553" s="556"/>
      <c r="C553" s="556"/>
      <c r="D553" s="556"/>
      <c r="E553" s="556"/>
      <c r="F553" s="556"/>
      <c r="G553" s="556"/>
      <c r="H553" s="556"/>
      <c r="I553" s="556"/>
      <c r="J553" s="556"/>
      <c r="K553" s="556"/>
      <c r="L553" s="556"/>
      <c r="M553" s="556"/>
      <c r="N553" s="556"/>
      <c r="O553" s="556"/>
      <c r="P553" s="556"/>
      <c r="Q553" s="556"/>
      <c r="R553" s="556"/>
      <c r="S553" s="556"/>
      <c r="T553" s="556"/>
      <c r="U553" s="556"/>
      <c r="V553" s="556"/>
      <c r="W553" s="556"/>
      <c r="X553" s="556"/>
      <c r="Y553" s="556"/>
      <c r="Z553" s="579"/>
      <c r="AA553" s="556"/>
      <c r="AB553" s="556"/>
      <c r="AC553" s="556"/>
      <c r="AD553" s="556"/>
    </row>
    <row r="554" ht="15.75" customHeight="1">
      <c r="A554" s="594"/>
      <c r="B554" s="556"/>
      <c r="C554" s="556"/>
      <c r="D554" s="556"/>
      <c r="E554" s="556"/>
      <c r="F554" s="556"/>
      <c r="G554" s="556"/>
      <c r="H554" s="556"/>
      <c r="I554" s="556"/>
      <c r="J554" s="556"/>
      <c r="K554" s="556"/>
      <c r="L554" s="556"/>
      <c r="M554" s="556"/>
      <c r="N554" s="556"/>
      <c r="O554" s="556"/>
      <c r="P554" s="556"/>
      <c r="Q554" s="556"/>
      <c r="R554" s="556"/>
      <c r="S554" s="556"/>
      <c r="T554" s="556"/>
      <c r="U554" s="556"/>
      <c r="V554" s="556"/>
      <c r="W554" s="556"/>
      <c r="X554" s="556"/>
      <c r="Y554" s="556"/>
      <c r="Z554" s="579"/>
      <c r="AA554" s="556"/>
      <c r="AB554" s="556"/>
      <c r="AC554" s="556"/>
      <c r="AD554" s="556"/>
    </row>
    <row r="555" ht="15.75" customHeight="1">
      <c r="A555" s="594"/>
      <c r="B555" s="556"/>
      <c r="C555" s="556"/>
      <c r="D555" s="556"/>
      <c r="E555" s="556"/>
      <c r="F555" s="556"/>
      <c r="G555" s="556"/>
      <c r="H555" s="556"/>
      <c r="I555" s="556"/>
      <c r="J555" s="556"/>
      <c r="K555" s="556"/>
      <c r="L555" s="556"/>
      <c r="M555" s="556"/>
      <c r="N555" s="556"/>
      <c r="O555" s="556"/>
      <c r="P555" s="556"/>
      <c r="Q555" s="556"/>
      <c r="R555" s="556"/>
      <c r="S555" s="556"/>
      <c r="T555" s="556"/>
      <c r="U555" s="556"/>
      <c r="V555" s="556"/>
      <c r="W555" s="556"/>
      <c r="X555" s="556"/>
      <c r="Y555" s="556"/>
      <c r="Z555" s="579"/>
      <c r="AA555" s="556"/>
      <c r="AB555" s="556"/>
      <c r="AC555" s="556"/>
      <c r="AD555" s="556"/>
    </row>
    <row r="556" ht="15.75" customHeight="1">
      <c r="A556" s="594"/>
      <c r="B556" s="556"/>
      <c r="C556" s="556"/>
      <c r="D556" s="556"/>
      <c r="E556" s="556"/>
      <c r="F556" s="556"/>
      <c r="G556" s="556"/>
      <c r="H556" s="556"/>
      <c r="I556" s="556"/>
      <c r="J556" s="556"/>
      <c r="K556" s="556"/>
      <c r="L556" s="556"/>
      <c r="M556" s="556"/>
      <c r="N556" s="556"/>
      <c r="O556" s="556"/>
      <c r="P556" s="556"/>
      <c r="Q556" s="556"/>
      <c r="R556" s="556"/>
      <c r="S556" s="556"/>
      <c r="T556" s="556"/>
      <c r="U556" s="556"/>
      <c r="V556" s="556"/>
      <c r="W556" s="556"/>
      <c r="X556" s="556"/>
      <c r="Y556" s="556"/>
      <c r="Z556" s="579"/>
      <c r="AA556" s="556"/>
      <c r="AB556" s="556"/>
      <c r="AC556" s="556"/>
      <c r="AD556" s="556"/>
    </row>
    <row r="557" ht="15.75" customHeight="1">
      <c r="A557" s="594"/>
      <c r="B557" s="556"/>
      <c r="C557" s="556"/>
      <c r="D557" s="556"/>
      <c r="E557" s="556"/>
      <c r="F557" s="556"/>
      <c r="G557" s="556"/>
      <c r="H557" s="556"/>
      <c r="I557" s="556"/>
      <c r="J557" s="556"/>
      <c r="K557" s="556"/>
      <c r="L557" s="556"/>
      <c r="M557" s="556"/>
      <c r="N557" s="556"/>
      <c r="O557" s="556"/>
      <c r="P557" s="556"/>
      <c r="Q557" s="556"/>
      <c r="R557" s="556"/>
      <c r="S557" s="556"/>
      <c r="T557" s="556"/>
      <c r="U557" s="556"/>
      <c r="V557" s="556"/>
      <c r="W557" s="556"/>
      <c r="X557" s="556"/>
      <c r="Y557" s="556"/>
      <c r="Z557" s="579"/>
      <c r="AA557" s="556"/>
      <c r="AB557" s="556"/>
      <c r="AC557" s="556"/>
      <c r="AD557" s="556"/>
    </row>
    <row r="558" ht="15.75" customHeight="1">
      <c r="A558" s="594"/>
      <c r="B558" s="556"/>
      <c r="C558" s="556"/>
      <c r="D558" s="556"/>
      <c r="E558" s="556"/>
      <c r="F558" s="556"/>
      <c r="G558" s="556"/>
      <c r="H558" s="556"/>
      <c r="I558" s="556"/>
      <c r="J558" s="556"/>
      <c r="K558" s="556"/>
      <c r="L558" s="556"/>
      <c r="M558" s="556"/>
      <c r="N558" s="556"/>
      <c r="O558" s="556"/>
      <c r="P558" s="556"/>
      <c r="Q558" s="556"/>
      <c r="R558" s="556"/>
      <c r="S558" s="556"/>
      <c r="T558" s="556"/>
      <c r="U558" s="556"/>
      <c r="V558" s="556"/>
      <c r="W558" s="556"/>
      <c r="X558" s="556"/>
      <c r="Y558" s="556"/>
      <c r="Z558" s="579"/>
      <c r="AA558" s="556"/>
      <c r="AB558" s="556"/>
      <c r="AC558" s="556"/>
      <c r="AD558" s="556"/>
    </row>
    <row r="559" ht="15.75" customHeight="1">
      <c r="A559" s="594"/>
      <c r="B559" s="556"/>
      <c r="C559" s="556"/>
      <c r="D559" s="556"/>
      <c r="E559" s="556"/>
      <c r="F559" s="556"/>
      <c r="G559" s="556"/>
      <c r="H559" s="556"/>
      <c r="I559" s="556"/>
      <c r="J559" s="556"/>
      <c r="K559" s="556"/>
      <c r="L559" s="556"/>
      <c r="M559" s="556"/>
      <c r="N559" s="556"/>
      <c r="O559" s="556"/>
      <c r="P559" s="556"/>
      <c r="Q559" s="556"/>
      <c r="R559" s="556"/>
      <c r="S559" s="556"/>
      <c r="T559" s="556"/>
      <c r="U559" s="556"/>
      <c r="V559" s="556"/>
      <c r="W559" s="556"/>
      <c r="X559" s="556"/>
      <c r="Y559" s="556"/>
      <c r="Z559" s="579"/>
      <c r="AA559" s="556"/>
      <c r="AB559" s="556"/>
      <c r="AC559" s="556"/>
      <c r="AD559" s="556"/>
    </row>
    <row r="560" ht="15.75" customHeight="1">
      <c r="A560" s="594"/>
      <c r="B560" s="556"/>
      <c r="C560" s="556"/>
      <c r="D560" s="556"/>
      <c r="E560" s="556"/>
      <c r="F560" s="556"/>
      <c r="G560" s="556"/>
      <c r="H560" s="556"/>
      <c r="I560" s="556"/>
      <c r="J560" s="556"/>
      <c r="K560" s="556"/>
      <c r="L560" s="556"/>
      <c r="M560" s="556"/>
      <c r="N560" s="556"/>
      <c r="O560" s="556"/>
      <c r="P560" s="556"/>
      <c r="Q560" s="556"/>
      <c r="R560" s="556"/>
      <c r="S560" s="556"/>
      <c r="T560" s="556"/>
      <c r="U560" s="556"/>
      <c r="V560" s="556"/>
      <c r="W560" s="556"/>
      <c r="X560" s="556"/>
      <c r="Y560" s="556"/>
      <c r="Z560" s="579"/>
      <c r="AA560" s="556"/>
      <c r="AB560" s="556"/>
      <c r="AC560" s="556"/>
      <c r="AD560" s="556"/>
    </row>
    <row r="561" ht="15.75" customHeight="1">
      <c r="A561" s="594"/>
      <c r="B561" s="556"/>
      <c r="C561" s="556"/>
      <c r="D561" s="556"/>
      <c r="E561" s="556"/>
      <c r="F561" s="556"/>
      <c r="G561" s="556"/>
      <c r="H561" s="556"/>
      <c r="I561" s="556"/>
      <c r="J561" s="556"/>
      <c r="K561" s="556"/>
      <c r="L561" s="556"/>
      <c r="M561" s="556"/>
      <c r="N561" s="556"/>
      <c r="O561" s="556"/>
      <c r="P561" s="556"/>
      <c r="Q561" s="556"/>
      <c r="R561" s="556"/>
      <c r="S561" s="556"/>
      <c r="T561" s="556"/>
      <c r="U561" s="556"/>
      <c r="V561" s="556"/>
      <c r="W561" s="556"/>
      <c r="X561" s="556"/>
      <c r="Y561" s="556"/>
      <c r="Z561" s="579"/>
      <c r="AA561" s="556"/>
      <c r="AB561" s="556"/>
      <c r="AC561" s="556"/>
      <c r="AD561" s="556"/>
    </row>
    <row r="562" ht="15.75" customHeight="1">
      <c r="A562" s="594"/>
      <c r="B562" s="556"/>
      <c r="C562" s="556"/>
      <c r="D562" s="556"/>
      <c r="E562" s="556"/>
      <c r="F562" s="556"/>
      <c r="G562" s="556"/>
      <c r="H562" s="556"/>
      <c r="I562" s="556"/>
      <c r="J562" s="556"/>
      <c r="K562" s="556"/>
      <c r="L562" s="556"/>
      <c r="M562" s="556"/>
      <c r="N562" s="556"/>
      <c r="O562" s="556"/>
      <c r="P562" s="556"/>
      <c r="Q562" s="556"/>
      <c r="R562" s="556"/>
      <c r="S562" s="556"/>
      <c r="T562" s="556"/>
      <c r="U562" s="556"/>
      <c r="V562" s="556"/>
      <c r="W562" s="556"/>
      <c r="X562" s="556"/>
      <c r="Y562" s="556"/>
      <c r="Z562" s="579"/>
      <c r="AA562" s="556"/>
      <c r="AB562" s="556"/>
      <c r="AC562" s="556"/>
      <c r="AD562" s="556"/>
    </row>
    <row r="563" ht="15.75" customHeight="1">
      <c r="A563" s="594"/>
      <c r="B563" s="556"/>
      <c r="C563" s="556"/>
      <c r="D563" s="556"/>
      <c r="E563" s="556"/>
      <c r="F563" s="556"/>
      <c r="G563" s="556"/>
      <c r="H563" s="556"/>
      <c r="I563" s="556"/>
      <c r="J563" s="556"/>
      <c r="K563" s="556"/>
      <c r="L563" s="556"/>
      <c r="M563" s="556"/>
      <c r="N563" s="556"/>
      <c r="O563" s="556"/>
      <c r="P563" s="556"/>
      <c r="Q563" s="556"/>
      <c r="R563" s="556"/>
      <c r="S563" s="556"/>
      <c r="T563" s="556"/>
      <c r="U563" s="556"/>
      <c r="V563" s="556"/>
      <c r="W563" s="556"/>
      <c r="X563" s="556"/>
      <c r="Y563" s="556"/>
      <c r="Z563" s="579"/>
      <c r="AA563" s="556"/>
      <c r="AB563" s="556"/>
      <c r="AC563" s="556"/>
      <c r="AD563" s="556"/>
    </row>
    <row r="564" ht="15.75" customHeight="1">
      <c r="A564" s="594"/>
      <c r="B564" s="556"/>
      <c r="C564" s="556"/>
      <c r="D564" s="556"/>
      <c r="E564" s="556"/>
      <c r="F564" s="556"/>
      <c r="G564" s="556"/>
      <c r="H564" s="556"/>
      <c r="I564" s="556"/>
      <c r="J564" s="556"/>
      <c r="K564" s="556"/>
      <c r="L564" s="556"/>
      <c r="M564" s="556"/>
      <c r="N564" s="556"/>
      <c r="O564" s="556"/>
      <c r="P564" s="556"/>
      <c r="Q564" s="556"/>
      <c r="R564" s="556"/>
      <c r="S564" s="556"/>
      <c r="T564" s="556"/>
      <c r="U564" s="556"/>
      <c r="V564" s="556"/>
      <c r="W564" s="556"/>
      <c r="X564" s="556"/>
      <c r="Y564" s="556"/>
      <c r="Z564" s="579"/>
      <c r="AA564" s="556"/>
      <c r="AB564" s="556"/>
      <c r="AC564" s="556"/>
      <c r="AD564" s="556"/>
    </row>
    <row r="565" ht="15.75" customHeight="1">
      <c r="A565" s="594"/>
      <c r="B565" s="556"/>
      <c r="C565" s="556"/>
      <c r="D565" s="556"/>
      <c r="E565" s="556"/>
      <c r="F565" s="556"/>
      <c r="G565" s="556"/>
      <c r="H565" s="556"/>
      <c r="I565" s="556"/>
      <c r="J565" s="556"/>
      <c r="K565" s="556"/>
      <c r="L565" s="556"/>
      <c r="M565" s="556"/>
      <c r="N565" s="556"/>
      <c r="O565" s="556"/>
      <c r="P565" s="556"/>
      <c r="Q565" s="556"/>
      <c r="R565" s="556"/>
      <c r="S565" s="556"/>
      <c r="T565" s="556"/>
      <c r="U565" s="556"/>
      <c r="V565" s="556"/>
      <c r="W565" s="556"/>
      <c r="X565" s="556"/>
      <c r="Y565" s="556"/>
      <c r="Z565" s="579"/>
      <c r="AA565" s="556"/>
      <c r="AB565" s="556"/>
      <c r="AC565" s="556"/>
      <c r="AD565" s="556"/>
    </row>
    <row r="566" ht="15.75" customHeight="1">
      <c r="A566" s="594"/>
      <c r="B566" s="556"/>
      <c r="C566" s="556"/>
      <c r="D566" s="556"/>
      <c r="E566" s="556"/>
      <c r="F566" s="556"/>
      <c r="G566" s="556"/>
      <c r="H566" s="556"/>
      <c r="I566" s="556"/>
      <c r="J566" s="556"/>
      <c r="K566" s="556"/>
      <c r="L566" s="556"/>
      <c r="M566" s="556"/>
      <c r="N566" s="556"/>
      <c r="O566" s="556"/>
      <c r="P566" s="556"/>
      <c r="Q566" s="556"/>
      <c r="R566" s="556"/>
      <c r="S566" s="556"/>
      <c r="T566" s="556"/>
      <c r="U566" s="556"/>
      <c r="V566" s="556"/>
      <c r="W566" s="556"/>
      <c r="X566" s="556"/>
      <c r="Y566" s="556"/>
      <c r="Z566" s="579"/>
      <c r="AA566" s="556"/>
      <c r="AB566" s="556"/>
      <c r="AC566" s="556"/>
      <c r="AD566" s="556"/>
    </row>
    <row r="567" ht="15.75" customHeight="1">
      <c r="A567" s="594"/>
      <c r="B567" s="556"/>
      <c r="C567" s="556"/>
      <c r="D567" s="556"/>
      <c r="E567" s="556"/>
      <c r="F567" s="556"/>
      <c r="G567" s="556"/>
      <c r="H567" s="556"/>
      <c r="I567" s="556"/>
      <c r="J567" s="556"/>
      <c r="K567" s="556"/>
      <c r="L567" s="556"/>
      <c r="M567" s="556"/>
      <c r="N567" s="556"/>
      <c r="O567" s="556"/>
      <c r="P567" s="556"/>
      <c r="Q567" s="556"/>
      <c r="R567" s="556"/>
      <c r="S567" s="556"/>
      <c r="T567" s="556"/>
      <c r="U567" s="556"/>
      <c r="V567" s="556"/>
      <c r="W567" s="556"/>
      <c r="X567" s="556"/>
      <c r="Y567" s="556"/>
      <c r="Z567" s="579"/>
      <c r="AA567" s="556"/>
      <c r="AB567" s="556"/>
      <c r="AC567" s="556"/>
      <c r="AD567" s="556"/>
    </row>
    <row r="568" ht="15.75" customHeight="1">
      <c r="A568" s="594"/>
      <c r="B568" s="556"/>
      <c r="C568" s="556"/>
      <c r="D568" s="556"/>
      <c r="E568" s="556"/>
      <c r="F568" s="556"/>
      <c r="G568" s="556"/>
      <c r="H568" s="556"/>
      <c r="I568" s="556"/>
      <c r="J568" s="556"/>
      <c r="K568" s="556"/>
      <c r="L568" s="556"/>
      <c r="M568" s="556"/>
      <c r="N568" s="556"/>
      <c r="O568" s="556"/>
      <c r="P568" s="556"/>
      <c r="Q568" s="556"/>
      <c r="R568" s="556"/>
      <c r="S568" s="556"/>
      <c r="T568" s="556"/>
      <c r="U568" s="556"/>
      <c r="V568" s="556"/>
      <c r="W568" s="556"/>
      <c r="X568" s="556"/>
      <c r="Y568" s="556"/>
      <c r="Z568" s="579"/>
      <c r="AA568" s="556"/>
      <c r="AB568" s="556"/>
      <c r="AC568" s="556"/>
      <c r="AD568" s="556"/>
    </row>
    <row r="569" ht="15.75" customHeight="1">
      <c r="A569" s="594"/>
      <c r="B569" s="556"/>
      <c r="C569" s="556"/>
      <c r="D569" s="556"/>
      <c r="E569" s="556"/>
      <c r="F569" s="556"/>
      <c r="G569" s="556"/>
      <c r="H569" s="556"/>
      <c r="I569" s="556"/>
      <c r="J569" s="556"/>
      <c r="K569" s="556"/>
      <c r="L569" s="556"/>
      <c r="M569" s="556"/>
      <c r="N569" s="556"/>
      <c r="O569" s="556"/>
      <c r="P569" s="556"/>
      <c r="Q569" s="556"/>
      <c r="R569" s="556"/>
      <c r="S569" s="556"/>
      <c r="T569" s="556"/>
      <c r="U569" s="556"/>
      <c r="V569" s="556"/>
      <c r="W569" s="556"/>
      <c r="X569" s="556"/>
      <c r="Y569" s="556"/>
      <c r="Z569" s="579"/>
      <c r="AA569" s="556"/>
      <c r="AB569" s="556"/>
      <c r="AC569" s="556"/>
      <c r="AD569" s="556"/>
    </row>
    <row r="570" ht="15.75" customHeight="1">
      <c r="A570" s="594"/>
      <c r="B570" s="556"/>
      <c r="C570" s="556"/>
      <c r="D570" s="556"/>
      <c r="E570" s="556"/>
      <c r="F570" s="556"/>
      <c r="G570" s="556"/>
      <c r="H570" s="556"/>
      <c r="I570" s="556"/>
      <c r="J570" s="556"/>
      <c r="K570" s="556"/>
      <c r="L570" s="556"/>
      <c r="M570" s="556"/>
      <c r="N570" s="556"/>
      <c r="O570" s="556"/>
      <c r="P570" s="556"/>
      <c r="Q570" s="556"/>
      <c r="R570" s="556"/>
      <c r="S570" s="556"/>
      <c r="T570" s="556"/>
      <c r="U570" s="556"/>
      <c r="V570" s="556"/>
      <c r="W570" s="556"/>
      <c r="X570" s="556"/>
      <c r="Y570" s="556"/>
      <c r="Z570" s="579"/>
      <c r="AA570" s="556"/>
      <c r="AB570" s="556"/>
      <c r="AC570" s="556"/>
      <c r="AD570" s="556"/>
    </row>
    <row r="571" ht="15.75" customHeight="1">
      <c r="A571" s="594"/>
      <c r="B571" s="556"/>
      <c r="C571" s="556"/>
      <c r="D571" s="556"/>
      <c r="E571" s="556"/>
      <c r="F571" s="556"/>
      <c r="G571" s="556"/>
      <c r="H571" s="556"/>
      <c r="I571" s="556"/>
      <c r="J571" s="556"/>
      <c r="K571" s="556"/>
      <c r="L571" s="556"/>
      <c r="M571" s="556"/>
      <c r="N571" s="556"/>
      <c r="O571" s="556"/>
      <c r="P571" s="556"/>
      <c r="Q571" s="556"/>
      <c r="R571" s="556"/>
      <c r="S571" s="556"/>
      <c r="T571" s="556"/>
      <c r="U571" s="556"/>
      <c r="V571" s="556"/>
      <c r="W571" s="556"/>
      <c r="X571" s="556"/>
      <c r="Y571" s="556"/>
      <c r="Z571" s="579"/>
      <c r="AA571" s="556"/>
      <c r="AB571" s="556"/>
      <c r="AC571" s="556"/>
      <c r="AD571" s="556"/>
    </row>
    <row r="572" ht="15.75" customHeight="1">
      <c r="A572" s="594"/>
      <c r="B572" s="556"/>
      <c r="C572" s="556"/>
      <c r="D572" s="556"/>
      <c r="E572" s="556"/>
      <c r="F572" s="556"/>
      <c r="G572" s="556"/>
      <c r="H572" s="556"/>
      <c r="I572" s="556"/>
      <c r="J572" s="556"/>
      <c r="K572" s="556"/>
      <c r="L572" s="556"/>
      <c r="M572" s="556"/>
      <c r="N572" s="556"/>
      <c r="O572" s="556"/>
      <c r="P572" s="556"/>
      <c r="Q572" s="556"/>
      <c r="R572" s="556"/>
      <c r="S572" s="556"/>
      <c r="T572" s="556"/>
      <c r="U572" s="556"/>
      <c r="V572" s="556"/>
      <c r="W572" s="556"/>
      <c r="X572" s="556"/>
      <c r="Y572" s="556"/>
      <c r="Z572" s="579"/>
      <c r="AA572" s="556"/>
      <c r="AB572" s="556"/>
      <c r="AC572" s="556"/>
      <c r="AD572" s="556"/>
    </row>
    <row r="573" ht="15.75" customHeight="1">
      <c r="A573" s="594"/>
      <c r="B573" s="556"/>
      <c r="C573" s="556"/>
      <c r="D573" s="556"/>
      <c r="E573" s="556"/>
      <c r="F573" s="556"/>
      <c r="G573" s="556"/>
      <c r="H573" s="556"/>
      <c r="I573" s="556"/>
      <c r="J573" s="556"/>
      <c r="K573" s="556"/>
      <c r="L573" s="556"/>
      <c r="M573" s="556"/>
      <c r="N573" s="556"/>
      <c r="O573" s="556"/>
      <c r="P573" s="556"/>
      <c r="Q573" s="556"/>
      <c r="R573" s="556"/>
      <c r="S573" s="556"/>
      <c r="T573" s="556"/>
      <c r="U573" s="556"/>
      <c r="V573" s="556"/>
      <c r="W573" s="556"/>
      <c r="X573" s="556"/>
      <c r="Y573" s="556"/>
      <c r="Z573" s="579"/>
      <c r="AA573" s="556"/>
      <c r="AB573" s="556"/>
      <c r="AC573" s="556"/>
      <c r="AD573" s="556"/>
    </row>
    <row r="574" ht="15.75" customHeight="1">
      <c r="A574" s="594"/>
      <c r="B574" s="556"/>
      <c r="C574" s="556"/>
      <c r="D574" s="556"/>
      <c r="E574" s="556"/>
      <c r="F574" s="556"/>
      <c r="G574" s="556"/>
      <c r="H574" s="556"/>
      <c r="I574" s="556"/>
      <c r="J574" s="556"/>
      <c r="K574" s="556"/>
      <c r="L574" s="556"/>
      <c r="M574" s="556"/>
      <c r="N574" s="556"/>
      <c r="O574" s="556"/>
      <c r="P574" s="556"/>
      <c r="Q574" s="556"/>
      <c r="R574" s="556"/>
      <c r="S574" s="556"/>
      <c r="T574" s="556"/>
      <c r="U574" s="556"/>
      <c r="V574" s="556"/>
      <c r="W574" s="556"/>
      <c r="X574" s="556"/>
      <c r="Y574" s="556"/>
      <c r="Z574" s="579"/>
      <c r="AA574" s="556"/>
      <c r="AB574" s="556"/>
      <c r="AC574" s="556"/>
      <c r="AD574" s="556"/>
    </row>
    <row r="575" ht="15.75" customHeight="1">
      <c r="A575" s="594"/>
      <c r="B575" s="556"/>
      <c r="C575" s="556"/>
      <c r="D575" s="556"/>
      <c r="E575" s="556"/>
      <c r="F575" s="556"/>
      <c r="G575" s="556"/>
      <c r="H575" s="556"/>
      <c r="I575" s="556"/>
      <c r="J575" s="556"/>
      <c r="K575" s="556"/>
      <c r="L575" s="556"/>
      <c r="M575" s="556"/>
      <c r="N575" s="556"/>
      <c r="O575" s="556"/>
      <c r="P575" s="556"/>
      <c r="Q575" s="556"/>
      <c r="R575" s="556"/>
      <c r="S575" s="556"/>
      <c r="T575" s="556"/>
      <c r="U575" s="556"/>
      <c r="V575" s="556"/>
      <c r="W575" s="556"/>
      <c r="X575" s="556"/>
      <c r="Y575" s="556"/>
      <c r="Z575" s="579"/>
      <c r="AA575" s="556"/>
      <c r="AB575" s="556"/>
      <c r="AC575" s="556"/>
      <c r="AD575" s="556"/>
    </row>
    <row r="576" ht="15.75" customHeight="1">
      <c r="A576" s="594"/>
      <c r="B576" s="556"/>
      <c r="C576" s="556"/>
      <c r="D576" s="556"/>
      <c r="E576" s="556"/>
      <c r="F576" s="556"/>
      <c r="G576" s="556"/>
      <c r="H576" s="556"/>
      <c r="I576" s="556"/>
      <c r="J576" s="556"/>
      <c r="K576" s="556"/>
      <c r="L576" s="556"/>
      <c r="M576" s="556"/>
      <c r="N576" s="556"/>
      <c r="O576" s="556"/>
      <c r="P576" s="556"/>
      <c r="Q576" s="556"/>
      <c r="R576" s="556"/>
      <c r="S576" s="556"/>
      <c r="T576" s="556"/>
      <c r="U576" s="556"/>
      <c r="V576" s="556"/>
      <c r="W576" s="556"/>
      <c r="X576" s="556"/>
      <c r="Y576" s="556"/>
      <c r="Z576" s="579"/>
      <c r="AA576" s="556"/>
      <c r="AB576" s="556"/>
      <c r="AC576" s="556"/>
      <c r="AD576" s="556"/>
    </row>
    <row r="577" ht="15.75" customHeight="1">
      <c r="A577" s="594"/>
      <c r="B577" s="556"/>
      <c r="C577" s="556"/>
      <c r="D577" s="556"/>
      <c r="E577" s="556"/>
      <c r="F577" s="556"/>
      <c r="G577" s="556"/>
      <c r="H577" s="556"/>
      <c r="I577" s="556"/>
      <c r="J577" s="556"/>
      <c r="K577" s="556"/>
      <c r="L577" s="556"/>
      <c r="M577" s="556"/>
      <c r="N577" s="556"/>
      <c r="O577" s="556"/>
      <c r="P577" s="556"/>
      <c r="Q577" s="556"/>
      <c r="R577" s="556"/>
      <c r="S577" s="556"/>
      <c r="T577" s="556"/>
      <c r="U577" s="556"/>
      <c r="V577" s="556"/>
      <c r="W577" s="556"/>
      <c r="X577" s="556"/>
      <c r="Y577" s="556"/>
      <c r="Z577" s="579"/>
      <c r="AA577" s="556"/>
      <c r="AB577" s="556"/>
      <c r="AC577" s="556"/>
      <c r="AD577" s="556"/>
    </row>
    <row r="578" ht="15.75" customHeight="1">
      <c r="A578" s="594"/>
      <c r="B578" s="556"/>
      <c r="C578" s="556"/>
      <c r="D578" s="556"/>
      <c r="E578" s="556"/>
      <c r="F578" s="556"/>
      <c r="G578" s="556"/>
      <c r="H578" s="556"/>
      <c r="I578" s="556"/>
      <c r="J578" s="556"/>
      <c r="K578" s="556"/>
      <c r="L578" s="556"/>
      <c r="M578" s="556"/>
      <c r="N578" s="556"/>
      <c r="O578" s="556"/>
      <c r="P578" s="556"/>
      <c r="Q578" s="556"/>
      <c r="R578" s="556"/>
      <c r="S578" s="556"/>
      <c r="T578" s="556"/>
      <c r="U578" s="556"/>
      <c r="V578" s="556"/>
      <c r="W578" s="556"/>
      <c r="X578" s="556"/>
      <c r="Y578" s="556"/>
      <c r="Z578" s="579"/>
      <c r="AA578" s="556"/>
      <c r="AB578" s="556"/>
      <c r="AC578" s="556"/>
      <c r="AD578" s="556"/>
    </row>
    <row r="579" ht="15.75" customHeight="1">
      <c r="A579" s="594"/>
      <c r="B579" s="556"/>
      <c r="C579" s="556"/>
      <c r="D579" s="556"/>
      <c r="E579" s="556"/>
      <c r="F579" s="556"/>
      <c r="G579" s="556"/>
      <c r="H579" s="556"/>
      <c r="I579" s="556"/>
      <c r="J579" s="556"/>
      <c r="K579" s="556"/>
      <c r="L579" s="556"/>
      <c r="M579" s="556"/>
      <c r="N579" s="556"/>
      <c r="O579" s="556"/>
      <c r="P579" s="556"/>
      <c r="Q579" s="556"/>
      <c r="R579" s="556"/>
      <c r="S579" s="556"/>
      <c r="T579" s="556"/>
      <c r="U579" s="556"/>
      <c r="V579" s="556"/>
      <c r="W579" s="556"/>
      <c r="X579" s="556"/>
      <c r="Y579" s="556"/>
      <c r="Z579" s="579"/>
      <c r="AA579" s="556"/>
      <c r="AB579" s="556"/>
      <c r="AC579" s="556"/>
      <c r="AD579" s="556"/>
    </row>
    <row r="580" ht="15.75" customHeight="1">
      <c r="A580" s="594"/>
      <c r="B580" s="556"/>
      <c r="C580" s="556"/>
      <c r="D580" s="556"/>
      <c r="E580" s="556"/>
      <c r="F580" s="556"/>
      <c r="G580" s="556"/>
      <c r="H580" s="556"/>
      <c r="I580" s="556"/>
      <c r="J580" s="556"/>
      <c r="K580" s="556"/>
      <c r="L580" s="556"/>
      <c r="M580" s="556"/>
      <c r="N580" s="556"/>
      <c r="O580" s="556"/>
      <c r="P580" s="556"/>
      <c r="Q580" s="556"/>
      <c r="R580" s="556"/>
      <c r="S580" s="556"/>
      <c r="T580" s="556"/>
      <c r="U580" s="556"/>
      <c r="V580" s="556"/>
      <c r="W580" s="556"/>
      <c r="X580" s="556"/>
      <c r="Y580" s="556"/>
      <c r="Z580" s="579"/>
      <c r="AA580" s="556"/>
      <c r="AB580" s="556"/>
      <c r="AC580" s="556"/>
      <c r="AD580" s="556"/>
    </row>
    <row r="581" ht="15.75" customHeight="1">
      <c r="A581" s="594"/>
      <c r="B581" s="556"/>
      <c r="C581" s="556"/>
      <c r="D581" s="556"/>
      <c r="E581" s="556"/>
      <c r="F581" s="556"/>
      <c r="G581" s="556"/>
      <c r="H581" s="556"/>
      <c r="I581" s="556"/>
      <c r="J581" s="556"/>
      <c r="K581" s="556"/>
      <c r="L581" s="556"/>
      <c r="M581" s="556"/>
      <c r="N581" s="556"/>
      <c r="O581" s="556"/>
      <c r="P581" s="556"/>
      <c r="Q581" s="556"/>
      <c r="R581" s="556"/>
      <c r="S581" s="556"/>
      <c r="T581" s="556"/>
      <c r="U581" s="556"/>
      <c r="V581" s="556"/>
      <c r="W581" s="556"/>
      <c r="X581" s="556"/>
      <c r="Y581" s="556"/>
      <c r="Z581" s="579"/>
      <c r="AA581" s="556"/>
      <c r="AB581" s="556"/>
      <c r="AC581" s="556"/>
      <c r="AD581" s="556"/>
    </row>
    <row r="582" ht="15.75" customHeight="1">
      <c r="A582" s="594"/>
      <c r="B582" s="556"/>
      <c r="C582" s="556"/>
      <c r="D582" s="556"/>
      <c r="E582" s="556"/>
      <c r="F582" s="556"/>
      <c r="G582" s="556"/>
      <c r="H582" s="556"/>
      <c r="I582" s="556"/>
      <c r="J582" s="556"/>
      <c r="K582" s="556"/>
      <c r="L582" s="556"/>
      <c r="M582" s="556"/>
      <c r="N582" s="556"/>
      <c r="O582" s="556"/>
      <c r="P582" s="556"/>
      <c r="Q582" s="556"/>
      <c r="R582" s="556"/>
      <c r="S582" s="556"/>
      <c r="T582" s="556"/>
      <c r="U582" s="556"/>
      <c r="V582" s="556"/>
      <c r="W582" s="556"/>
      <c r="X582" s="556"/>
      <c r="Y582" s="556"/>
      <c r="Z582" s="579"/>
      <c r="AA582" s="556"/>
      <c r="AB582" s="556"/>
      <c r="AC582" s="556"/>
      <c r="AD582" s="556"/>
    </row>
    <row r="583" ht="15.75" customHeight="1">
      <c r="A583" s="594"/>
      <c r="B583" s="556"/>
      <c r="C583" s="556"/>
      <c r="D583" s="556"/>
      <c r="E583" s="556"/>
      <c r="F583" s="556"/>
      <c r="G583" s="556"/>
      <c r="H583" s="556"/>
      <c r="I583" s="556"/>
      <c r="J583" s="556"/>
      <c r="K583" s="556"/>
      <c r="L583" s="556"/>
      <c r="M583" s="556"/>
      <c r="N583" s="556"/>
      <c r="O583" s="556"/>
      <c r="P583" s="556"/>
      <c r="Q583" s="556"/>
      <c r="R583" s="556"/>
      <c r="S583" s="556"/>
      <c r="T583" s="556"/>
      <c r="U583" s="556"/>
      <c r="V583" s="556"/>
      <c r="W583" s="556"/>
      <c r="X583" s="556"/>
      <c r="Y583" s="556"/>
      <c r="Z583" s="579"/>
      <c r="AA583" s="556"/>
      <c r="AB583" s="556"/>
      <c r="AC583" s="556"/>
      <c r="AD583" s="556"/>
    </row>
    <row r="584" ht="15.75" customHeight="1">
      <c r="A584" s="594"/>
      <c r="B584" s="556"/>
      <c r="C584" s="556"/>
      <c r="D584" s="556"/>
      <c r="E584" s="556"/>
      <c r="F584" s="556"/>
      <c r="G584" s="556"/>
      <c r="H584" s="556"/>
      <c r="I584" s="556"/>
      <c r="J584" s="556"/>
      <c r="K584" s="556"/>
      <c r="L584" s="556"/>
      <c r="M584" s="556"/>
      <c r="N584" s="556"/>
      <c r="O584" s="556"/>
      <c r="P584" s="556"/>
      <c r="Q584" s="556"/>
      <c r="R584" s="556"/>
      <c r="S584" s="556"/>
      <c r="T584" s="556"/>
      <c r="U584" s="556"/>
      <c r="V584" s="556"/>
      <c r="W584" s="556"/>
      <c r="X584" s="556"/>
      <c r="Y584" s="556"/>
      <c r="Z584" s="579"/>
      <c r="AA584" s="556"/>
      <c r="AB584" s="556"/>
      <c r="AC584" s="556"/>
      <c r="AD584" s="556"/>
    </row>
    <row r="585" ht="15.75" customHeight="1">
      <c r="A585" s="594"/>
      <c r="B585" s="556"/>
      <c r="C585" s="556"/>
      <c r="D585" s="556"/>
      <c r="E585" s="556"/>
      <c r="F585" s="556"/>
      <c r="G585" s="556"/>
      <c r="H585" s="556"/>
      <c r="I585" s="556"/>
      <c r="J585" s="556"/>
      <c r="K585" s="556"/>
      <c r="L585" s="556"/>
      <c r="M585" s="556"/>
      <c r="N585" s="556"/>
      <c r="O585" s="556"/>
      <c r="P585" s="556"/>
      <c r="Q585" s="556"/>
      <c r="R585" s="556"/>
      <c r="S585" s="556"/>
      <c r="T585" s="556"/>
      <c r="U585" s="556"/>
      <c r="V585" s="556"/>
      <c r="W585" s="556"/>
      <c r="X585" s="556"/>
      <c r="Y585" s="556"/>
      <c r="Z585" s="579"/>
      <c r="AA585" s="556"/>
      <c r="AB585" s="556"/>
      <c r="AC585" s="556"/>
      <c r="AD585" s="556"/>
    </row>
    <row r="586" ht="15.75" customHeight="1">
      <c r="A586" s="594"/>
      <c r="B586" s="556"/>
      <c r="C586" s="556"/>
      <c r="D586" s="556"/>
      <c r="E586" s="556"/>
      <c r="F586" s="556"/>
      <c r="G586" s="556"/>
      <c r="H586" s="556"/>
      <c r="I586" s="556"/>
      <c r="J586" s="556"/>
      <c r="K586" s="556"/>
      <c r="L586" s="556"/>
      <c r="M586" s="556"/>
      <c r="N586" s="556"/>
      <c r="O586" s="556"/>
      <c r="P586" s="556"/>
      <c r="Q586" s="556"/>
      <c r="R586" s="556"/>
      <c r="S586" s="556"/>
      <c r="T586" s="556"/>
      <c r="U586" s="556"/>
      <c r="V586" s="556"/>
      <c r="W586" s="556"/>
      <c r="X586" s="556"/>
      <c r="Y586" s="556"/>
      <c r="Z586" s="579"/>
      <c r="AA586" s="556"/>
      <c r="AB586" s="556"/>
      <c r="AC586" s="556"/>
      <c r="AD586" s="556"/>
    </row>
    <row r="587" ht="15.75" customHeight="1">
      <c r="A587" s="594"/>
      <c r="B587" s="556"/>
      <c r="C587" s="556"/>
      <c r="D587" s="556"/>
      <c r="E587" s="556"/>
      <c r="F587" s="556"/>
      <c r="G587" s="556"/>
      <c r="H587" s="556"/>
      <c r="I587" s="556"/>
      <c r="J587" s="556"/>
      <c r="K587" s="556"/>
      <c r="L587" s="556"/>
      <c r="M587" s="556"/>
      <c r="N587" s="556"/>
      <c r="O587" s="556"/>
      <c r="P587" s="556"/>
      <c r="Q587" s="556"/>
      <c r="R587" s="556"/>
      <c r="S587" s="556"/>
      <c r="T587" s="556"/>
      <c r="U587" s="556"/>
      <c r="V587" s="556"/>
      <c r="W587" s="556"/>
      <c r="X587" s="556"/>
      <c r="Y587" s="556"/>
      <c r="Z587" s="579"/>
      <c r="AA587" s="556"/>
      <c r="AB587" s="556"/>
      <c r="AC587" s="556"/>
      <c r="AD587" s="556"/>
    </row>
    <row r="588" ht="15.75" customHeight="1">
      <c r="A588" s="594"/>
      <c r="B588" s="556"/>
      <c r="C588" s="556"/>
      <c r="D588" s="556"/>
      <c r="E588" s="556"/>
      <c r="F588" s="556"/>
      <c r="G588" s="556"/>
      <c r="H588" s="556"/>
      <c r="I588" s="556"/>
      <c r="J588" s="556"/>
      <c r="K588" s="556"/>
      <c r="L588" s="556"/>
      <c r="M588" s="556"/>
      <c r="N588" s="556"/>
      <c r="O588" s="556"/>
      <c r="P588" s="556"/>
      <c r="Q588" s="556"/>
      <c r="R588" s="556"/>
      <c r="S588" s="556"/>
      <c r="T588" s="556"/>
      <c r="U588" s="556"/>
      <c r="V588" s="556"/>
      <c r="W588" s="556"/>
      <c r="X588" s="556"/>
      <c r="Y588" s="556"/>
      <c r="Z588" s="579"/>
      <c r="AA588" s="556"/>
      <c r="AB588" s="556"/>
      <c r="AC588" s="556"/>
      <c r="AD588" s="556"/>
    </row>
    <row r="589" ht="15.75" customHeight="1">
      <c r="A589" s="594"/>
      <c r="B589" s="556"/>
      <c r="C589" s="556"/>
      <c r="D589" s="556"/>
      <c r="E589" s="556"/>
      <c r="F589" s="556"/>
      <c r="G589" s="556"/>
      <c r="H589" s="556"/>
      <c r="I589" s="556"/>
      <c r="J589" s="556"/>
      <c r="K589" s="556"/>
      <c r="L589" s="556"/>
      <c r="M589" s="556"/>
      <c r="N589" s="556"/>
      <c r="O589" s="556"/>
      <c r="P589" s="556"/>
      <c r="Q589" s="556"/>
      <c r="R589" s="556"/>
      <c r="S589" s="556"/>
      <c r="T589" s="556"/>
      <c r="U589" s="556"/>
      <c r="V589" s="556"/>
      <c r="W589" s="556"/>
      <c r="X589" s="556"/>
      <c r="Y589" s="556"/>
      <c r="Z589" s="579"/>
      <c r="AA589" s="556"/>
      <c r="AB589" s="556"/>
      <c r="AC589" s="556"/>
      <c r="AD589" s="556"/>
    </row>
    <row r="590" ht="15.75" customHeight="1">
      <c r="A590" s="594"/>
      <c r="B590" s="556"/>
      <c r="C590" s="556"/>
      <c r="D590" s="556"/>
      <c r="E590" s="556"/>
      <c r="F590" s="556"/>
      <c r="G590" s="556"/>
      <c r="H590" s="556"/>
      <c r="I590" s="556"/>
      <c r="J590" s="556"/>
      <c r="K590" s="556"/>
      <c r="L590" s="556"/>
      <c r="M590" s="556"/>
      <c r="N590" s="556"/>
      <c r="O590" s="556"/>
      <c r="P590" s="556"/>
      <c r="Q590" s="556"/>
      <c r="R590" s="556"/>
      <c r="S590" s="556"/>
      <c r="T590" s="556"/>
      <c r="U590" s="556"/>
      <c r="V590" s="556"/>
      <c r="W590" s="556"/>
      <c r="X590" s="556"/>
      <c r="Y590" s="556"/>
      <c r="Z590" s="579"/>
      <c r="AA590" s="556"/>
      <c r="AB590" s="556"/>
      <c r="AC590" s="556"/>
      <c r="AD590" s="556"/>
    </row>
    <row r="591" ht="15.75" customHeight="1">
      <c r="A591" s="594"/>
      <c r="B591" s="556"/>
      <c r="C591" s="556"/>
      <c r="D591" s="556"/>
      <c r="E591" s="556"/>
      <c r="F591" s="556"/>
      <c r="G591" s="556"/>
      <c r="H591" s="556"/>
      <c r="I591" s="556"/>
      <c r="J591" s="556"/>
      <c r="K591" s="556"/>
      <c r="L591" s="556"/>
      <c r="M591" s="556"/>
      <c r="N591" s="556"/>
      <c r="O591" s="556"/>
      <c r="P591" s="556"/>
      <c r="Q591" s="556"/>
      <c r="R591" s="556"/>
      <c r="S591" s="556"/>
      <c r="T591" s="556"/>
      <c r="U591" s="556"/>
      <c r="V591" s="556"/>
      <c r="W591" s="556"/>
      <c r="X591" s="556"/>
      <c r="Y591" s="556"/>
      <c r="Z591" s="579"/>
      <c r="AA591" s="556"/>
      <c r="AB591" s="556"/>
      <c r="AC591" s="556"/>
      <c r="AD591" s="556"/>
    </row>
    <row r="592" ht="15.75" customHeight="1">
      <c r="A592" s="594"/>
      <c r="B592" s="556"/>
      <c r="C592" s="556"/>
      <c r="D592" s="556"/>
      <c r="E592" s="556"/>
      <c r="F592" s="556"/>
      <c r="G592" s="556"/>
      <c r="H592" s="556"/>
      <c r="I592" s="556"/>
      <c r="J592" s="556"/>
      <c r="K592" s="556"/>
      <c r="L592" s="556"/>
      <c r="M592" s="556"/>
      <c r="N592" s="556"/>
      <c r="O592" s="556"/>
      <c r="P592" s="556"/>
      <c r="Q592" s="556"/>
      <c r="R592" s="556"/>
      <c r="S592" s="556"/>
      <c r="T592" s="556"/>
      <c r="U592" s="556"/>
      <c r="V592" s="556"/>
      <c r="W592" s="556"/>
      <c r="X592" s="556"/>
      <c r="Y592" s="556"/>
      <c r="Z592" s="579"/>
      <c r="AA592" s="556"/>
      <c r="AB592" s="556"/>
      <c r="AC592" s="556"/>
      <c r="AD592" s="556"/>
    </row>
    <row r="593" ht="15.75" customHeight="1">
      <c r="A593" s="594"/>
      <c r="B593" s="556"/>
      <c r="C593" s="556"/>
      <c r="D593" s="556"/>
      <c r="E593" s="556"/>
      <c r="F593" s="556"/>
      <c r="G593" s="556"/>
      <c r="H593" s="556"/>
      <c r="I593" s="556"/>
      <c r="J593" s="556"/>
      <c r="K593" s="556"/>
      <c r="L593" s="556"/>
      <c r="M593" s="556"/>
      <c r="N593" s="556"/>
      <c r="O593" s="556"/>
      <c r="P593" s="556"/>
      <c r="Q593" s="556"/>
      <c r="R593" s="556"/>
      <c r="S593" s="556"/>
      <c r="T593" s="556"/>
      <c r="U593" s="556"/>
      <c r="V593" s="556"/>
      <c r="W593" s="556"/>
      <c r="X593" s="556"/>
      <c r="Y593" s="556"/>
      <c r="Z593" s="579"/>
      <c r="AA593" s="556"/>
      <c r="AB593" s="556"/>
      <c r="AC593" s="556"/>
      <c r="AD593" s="556"/>
    </row>
    <row r="594" ht="15.75" customHeight="1">
      <c r="A594" s="594"/>
      <c r="B594" s="556"/>
      <c r="C594" s="556"/>
      <c r="D594" s="556"/>
      <c r="E594" s="556"/>
      <c r="F594" s="556"/>
      <c r="G594" s="556"/>
      <c r="H594" s="556"/>
      <c r="I594" s="556"/>
      <c r="J594" s="556"/>
      <c r="K594" s="556"/>
      <c r="L594" s="556"/>
      <c r="M594" s="556"/>
      <c r="N594" s="556"/>
      <c r="O594" s="556"/>
      <c r="P594" s="556"/>
      <c r="Q594" s="556"/>
      <c r="R594" s="556"/>
      <c r="S594" s="556"/>
      <c r="T594" s="556"/>
      <c r="U594" s="556"/>
      <c r="V594" s="556"/>
      <c r="W594" s="556"/>
      <c r="X594" s="556"/>
      <c r="Y594" s="556"/>
      <c r="Z594" s="579"/>
      <c r="AA594" s="556"/>
      <c r="AB594" s="556"/>
      <c r="AC594" s="556"/>
      <c r="AD594" s="556"/>
    </row>
    <row r="595" ht="15.75" customHeight="1">
      <c r="A595" s="594"/>
      <c r="B595" s="556"/>
      <c r="C595" s="556"/>
      <c r="D595" s="556"/>
      <c r="E595" s="556"/>
      <c r="F595" s="556"/>
      <c r="G595" s="556"/>
      <c r="H595" s="556"/>
      <c r="I595" s="556"/>
      <c r="J595" s="556"/>
      <c r="K595" s="556"/>
      <c r="L595" s="556"/>
      <c r="M595" s="556"/>
      <c r="N595" s="556"/>
      <c r="O595" s="556"/>
      <c r="P595" s="556"/>
      <c r="Q595" s="556"/>
      <c r="R595" s="556"/>
      <c r="S595" s="556"/>
      <c r="T595" s="556"/>
      <c r="U595" s="556"/>
      <c r="V595" s="556"/>
      <c r="W595" s="556"/>
      <c r="X595" s="556"/>
      <c r="Y595" s="556"/>
      <c r="Z595" s="579"/>
      <c r="AA595" s="556"/>
      <c r="AB595" s="556"/>
      <c r="AC595" s="556"/>
      <c r="AD595" s="556"/>
    </row>
    <row r="596" ht="15.75" customHeight="1">
      <c r="A596" s="594"/>
      <c r="B596" s="556"/>
      <c r="C596" s="556"/>
      <c r="D596" s="556"/>
      <c r="E596" s="556"/>
      <c r="F596" s="556"/>
      <c r="G596" s="556"/>
      <c r="H596" s="556"/>
      <c r="I596" s="556"/>
      <c r="J596" s="556"/>
      <c r="K596" s="556"/>
      <c r="L596" s="556"/>
      <c r="M596" s="556"/>
      <c r="N596" s="556"/>
      <c r="O596" s="556"/>
      <c r="P596" s="556"/>
      <c r="Q596" s="556"/>
      <c r="R596" s="556"/>
      <c r="S596" s="556"/>
      <c r="T596" s="556"/>
      <c r="U596" s="556"/>
      <c r="V596" s="556"/>
      <c r="W596" s="556"/>
      <c r="X596" s="556"/>
      <c r="Y596" s="556"/>
      <c r="Z596" s="579"/>
      <c r="AA596" s="556"/>
      <c r="AB596" s="556"/>
      <c r="AC596" s="556"/>
      <c r="AD596" s="556"/>
    </row>
    <row r="597" ht="15.75" customHeight="1">
      <c r="A597" s="594"/>
      <c r="B597" s="556"/>
      <c r="C597" s="556"/>
      <c r="D597" s="556"/>
      <c r="E597" s="556"/>
      <c r="F597" s="556"/>
      <c r="G597" s="556"/>
      <c r="H597" s="556"/>
      <c r="I597" s="556"/>
      <c r="J597" s="556"/>
      <c r="K597" s="556"/>
      <c r="L597" s="556"/>
      <c r="M597" s="556"/>
      <c r="N597" s="556"/>
      <c r="O597" s="556"/>
      <c r="P597" s="556"/>
      <c r="Q597" s="556"/>
      <c r="R597" s="556"/>
      <c r="S597" s="556"/>
      <c r="T597" s="556"/>
      <c r="U597" s="556"/>
      <c r="V597" s="556"/>
      <c r="W597" s="556"/>
      <c r="X597" s="556"/>
      <c r="Y597" s="556"/>
      <c r="Z597" s="579"/>
      <c r="AA597" s="556"/>
      <c r="AB597" s="556"/>
      <c r="AC597" s="556"/>
      <c r="AD597" s="556"/>
    </row>
    <row r="598" ht="15.75" customHeight="1">
      <c r="A598" s="594"/>
      <c r="B598" s="556"/>
      <c r="C598" s="556"/>
      <c r="D598" s="556"/>
      <c r="E598" s="556"/>
      <c r="F598" s="556"/>
      <c r="G598" s="556"/>
      <c r="H598" s="556"/>
      <c r="I598" s="556"/>
      <c r="J598" s="556"/>
      <c r="K598" s="556"/>
      <c r="L598" s="556"/>
      <c r="M598" s="556"/>
      <c r="N598" s="556"/>
      <c r="O598" s="556"/>
      <c r="P598" s="556"/>
      <c r="Q598" s="556"/>
      <c r="R598" s="556"/>
      <c r="S598" s="556"/>
      <c r="T598" s="556"/>
      <c r="U598" s="556"/>
      <c r="V598" s="556"/>
      <c r="W598" s="556"/>
      <c r="X598" s="556"/>
      <c r="Y598" s="556"/>
      <c r="Z598" s="579"/>
      <c r="AA598" s="556"/>
      <c r="AB598" s="556"/>
      <c r="AC598" s="556"/>
      <c r="AD598" s="556"/>
    </row>
    <row r="599" ht="15.75" customHeight="1">
      <c r="A599" s="594"/>
      <c r="B599" s="556"/>
      <c r="C599" s="556"/>
      <c r="D599" s="556"/>
      <c r="E599" s="556"/>
      <c r="F599" s="556"/>
      <c r="G599" s="556"/>
      <c r="H599" s="556"/>
      <c r="I599" s="556"/>
      <c r="J599" s="556"/>
      <c r="K599" s="556"/>
      <c r="L599" s="556"/>
      <c r="M599" s="556"/>
      <c r="N599" s="556"/>
      <c r="O599" s="556"/>
      <c r="P599" s="556"/>
      <c r="Q599" s="556"/>
      <c r="R599" s="556"/>
      <c r="S599" s="556"/>
      <c r="T599" s="556"/>
      <c r="U599" s="556"/>
      <c r="V599" s="556"/>
      <c r="W599" s="556"/>
      <c r="X599" s="556"/>
      <c r="Y599" s="556"/>
      <c r="Z599" s="579"/>
      <c r="AA599" s="556"/>
      <c r="AB599" s="556"/>
      <c r="AC599" s="556"/>
      <c r="AD599" s="556"/>
    </row>
    <row r="600" ht="15.75" customHeight="1">
      <c r="A600" s="594"/>
      <c r="B600" s="556"/>
      <c r="C600" s="556"/>
      <c r="D600" s="556"/>
      <c r="E600" s="556"/>
      <c r="F600" s="556"/>
      <c r="G600" s="556"/>
      <c r="H600" s="556"/>
      <c r="I600" s="556"/>
      <c r="J600" s="556"/>
      <c r="K600" s="556"/>
      <c r="L600" s="556"/>
      <c r="M600" s="556"/>
      <c r="N600" s="556"/>
      <c r="O600" s="556"/>
      <c r="P600" s="556"/>
      <c r="Q600" s="556"/>
      <c r="R600" s="556"/>
      <c r="S600" s="556"/>
      <c r="T600" s="556"/>
      <c r="U600" s="556"/>
      <c r="V600" s="556"/>
      <c r="W600" s="556"/>
      <c r="X600" s="556"/>
      <c r="Y600" s="556"/>
      <c r="Z600" s="579"/>
      <c r="AA600" s="556"/>
      <c r="AB600" s="556"/>
      <c r="AC600" s="556"/>
      <c r="AD600" s="556"/>
    </row>
    <row r="601" ht="15.75" customHeight="1">
      <c r="A601" s="594"/>
      <c r="B601" s="556"/>
      <c r="C601" s="556"/>
      <c r="D601" s="556"/>
      <c r="E601" s="556"/>
      <c r="F601" s="556"/>
      <c r="G601" s="556"/>
      <c r="H601" s="556"/>
      <c r="I601" s="556"/>
      <c r="J601" s="556"/>
      <c r="K601" s="556"/>
      <c r="L601" s="556"/>
      <c r="M601" s="556"/>
      <c r="N601" s="556"/>
      <c r="O601" s="556"/>
      <c r="P601" s="556"/>
      <c r="Q601" s="556"/>
      <c r="R601" s="556"/>
      <c r="S601" s="556"/>
      <c r="T601" s="556"/>
      <c r="U601" s="556"/>
      <c r="V601" s="556"/>
      <c r="W601" s="556"/>
      <c r="X601" s="556"/>
      <c r="Y601" s="556"/>
      <c r="Z601" s="579"/>
      <c r="AA601" s="556"/>
      <c r="AB601" s="556"/>
      <c r="AC601" s="556"/>
      <c r="AD601" s="556"/>
    </row>
    <row r="602" ht="15.75" customHeight="1">
      <c r="A602" s="594"/>
      <c r="B602" s="556"/>
      <c r="C602" s="556"/>
      <c r="D602" s="556"/>
      <c r="E602" s="556"/>
      <c r="F602" s="556"/>
      <c r="G602" s="556"/>
      <c r="H602" s="556"/>
      <c r="I602" s="556"/>
      <c r="J602" s="556"/>
      <c r="K602" s="556"/>
      <c r="L602" s="556"/>
      <c r="M602" s="556"/>
      <c r="N602" s="556"/>
      <c r="O602" s="556"/>
      <c r="P602" s="556"/>
      <c r="Q602" s="556"/>
      <c r="R602" s="556"/>
      <c r="S602" s="556"/>
      <c r="T602" s="556"/>
      <c r="U602" s="556"/>
      <c r="V602" s="556"/>
      <c r="W602" s="556"/>
      <c r="X602" s="556"/>
      <c r="Y602" s="556"/>
      <c r="Z602" s="579"/>
      <c r="AA602" s="556"/>
      <c r="AB602" s="556"/>
      <c r="AC602" s="556"/>
      <c r="AD602" s="556"/>
    </row>
    <row r="603" ht="15.75" customHeight="1">
      <c r="A603" s="594"/>
      <c r="B603" s="556"/>
      <c r="C603" s="556"/>
      <c r="D603" s="556"/>
      <c r="E603" s="556"/>
      <c r="F603" s="556"/>
      <c r="G603" s="556"/>
      <c r="H603" s="556"/>
      <c r="I603" s="556"/>
      <c r="J603" s="556"/>
      <c r="K603" s="556"/>
      <c r="L603" s="556"/>
      <c r="M603" s="556"/>
      <c r="N603" s="556"/>
      <c r="O603" s="556"/>
      <c r="P603" s="556"/>
      <c r="Q603" s="556"/>
      <c r="R603" s="556"/>
      <c r="S603" s="556"/>
      <c r="T603" s="556"/>
      <c r="U603" s="556"/>
      <c r="V603" s="556"/>
      <c r="W603" s="556"/>
      <c r="X603" s="556"/>
      <c r="Y603" s="556"/>
      <c r="Z603" s="579"/>
      <c r="AA603" s="556"/>
      <c r="AB603" s="556"/>
      <c r="AC603" s="556"/>
      <c r="AD603" s="556"/>
    </row>
    <row r="604" ht="15.75" customHeight="1">
      <c r="A604" s="594"/>
      <c r="B604" s="556"/>
      <c r="C604" s="556"/>
      <c r="D604" s="556"/>
      <c r="E604" s="556"/>
      <c r="F604" s="556"/>
      <c r="G604" s="556"/>
      <c r="H604" s="556"/>
      <c r="I604" s="556"/>
      <c r="J604" s="556"/>
      <c r="K604" s="556"/>
      <c r="L604" s="556"/>
      <c r="M604" s="556"/>
      <c r="N604" s="556"/>
      <c r="O604" s="556"/>
      <c r="P604" s="556"/>
      <c r="Q604" s="556"/>
      <c r="R604" s="556"/>
      <c r="S604" s="556"/>
      <c r="T604" s="556"/>
      <c r="U604" s="556"/>
      <c r="V604" s="556"/>
      <c r="W604" s="556"/>
      <c r="X604" s="556"/>
      <c r="Y604" s="556"/>
      <c r="Z604" s="579"/>
      <c r="AA604" s="556"/>
      <c r="AB604" s="556"/>
      <c r="AC604" s="556"/>
      <c r="AD604" s="556"/>
    </row>
    <row r="605" ht="15.75" customHeight="1">
      <c r="A605" s="594"/>
      <c r="B605" s="556"/>
      <c r="C605" s="556"/>
      <c r="D605" s="556"/>
      <c r="E605" s="556"/>
      <c r="F605" s="556"/>
      <c r="G605" s="556"/>
      <c r="H605" s="556"/>
      <c r="I605" s="556"/>
      <c r="J605" s="556"/>
      <c r="K605" s="556"/>
      <c r="L605" s="556"/>
      <c r="M605" s="556"/>
      <c r="N605" s="556"/>
      <c r="O605" s="556"/>
      <c r="P605" s="556"/>
      <c r="Q605" s="556"/>
      <c r="R605" s="556"/>
      <c r="S605" s="556"/>
      <c r="T605" s="556"/>
      <c r="U605" s="556"/>
      <c r="V605" s="556"/>
      <c r="W605" s="556"/>
      <c r="X605" s="556"/>
      <c r="Y605" s="556"/>
      <c r="Z605" s="579"/>
      <c r="AA605" s="556"/>
      <c r="AB605" s="556"/>
      <c r="AC605" s="556"/>
      <c r="AD605" s="556"/>
    </row>
    <row r="606" ht="15.75" customHeight="1">
      <c r="A606" s="594"/>
      <c r="B606" s="556"/>
      <c r="C606" s="556"/>
      <c r="D606" s="556"/>
      <c r="E606" s="556"/>
      <c r="F606" s="556"/>
      <c r="G606" s="556"/>
      <c r="H606" s="556"/>
      <c r="I606" s="556"/>
      <c r="J606" s="556"/>
      <c r="K606" s="556"/>
      <c r="L606" s="556"/>
      <c r="M606" s="556"/>
      <c r="N606" s="556"/>
      <c r="O606" s="556"/>
      <c r="P606" s="556"/>
      <c r="Q606" s="556"/>
      <c r="R606" s="556"/>
      <c r="S606" s="556"/>
      <c r="T606" s="556"/>
      <c r="U606" s="556"/>
      <c r="V606" s="556"/>
      <c r="W606" s="556"/>
      <c r="X606" s="556"/>
      <c r="Y606" s="556"/>
      <c r="Z606" s="579"/>
      <c r="AA606" s="556"/>
      <c r="AB606" s="556"/>
      <c r="AC606" s="556"/>
      <c r="AD606" s="556"/>
    </row>
    <row r="607" ht="15.75" customHeight="1">
      <c r="A607" s="594"/>
      <c r="B607" s="556"/>
      <c r="C607" s="556"/>
      <c r="D607" s="556"/>
      <c r="E607" s="556"/>
      <c r="F607" s="556"/>
      <c r="G607" s="556"/>
      <c r="H607" s="556"/>
      <c r="I607" s="556"/>
      <c r="J607" s="556"/>
      <c r="K607" s="556"/>
      <c r="L607" s="556"/>
      <c r="M607" s="556"/>
      <c r="N607" s="556"/>
      <c r="O607" s="556"/>
      <c r="P607" s="556"/>
      <c r="Q607" s="556"/>
      <c r="R607" s="556"/>
      <c r="S607" s="556"/>
      <c r="T607" s="556"/>
      <c r="U607" s="556"/>
      <c r="V607" s="556"/>
      <c r="W607" s="556"/>
      <c r="X607" s="556"/>
      <c r="Y607" s="556"/>
      <c r="Z607" s="579"/>
      <c r="AA607" s="556"/>
      <c r="AB607" s="556"/>
      <c r="AC607" s="556"/>
      <c r="AD607" s="556"/>
    </row>
    <row r="608" ht="15.75" customHeight="1">
      <c r="A608" s="594"/>
      <c r="B608" s="556"/>
      <c r="C608" s="556"/>
      <c r="D608" s="556"/>
      <c r="E608" s="556"/>
      <c r="F608" s="556"/>
      <c r="G608" s="556"/>
      <c r="H608" s="556"/>
      <c r="I608" s="556"/>
      <c r="J608" s="556"/>
      <c r="K608" s="556"/>
      <c r="L608" s="556"/>
      <c r="M608" s="556"/>
      <c r="N608" s="556"/>
      <c r="O608" s="556"/>
      <c r="P608" s="556"/>
      <c r="Q608" s="556"/>
      <c r="R608" s="556"/>
      <c r="S608" s="556"/>
      <c r="T608" s="556"/>
      <c r="U608" s="556"/>
      <c r="V608" s="556"/>
      <c r="W608" s="556"/>
      <c r="X608" s="556"/>
      <c r="Y608" s="556"/>
      <c r="Z608" s="579"/>
      <c r="AA608" s="556"/>
      <c r="AB608" s="556"/>
      <c r="AC608" s="556"/>
      <c r="AD608" s="556"/>
    </row>
    <row r="609" ht="15.75" customHeight="1">
      <c r="A609" s="594"/>
      <c r="B609" s="556"/>
      <c r="C609" s="556"/>
      <c r="D609" s="556"/>
      <c r="E609" s="556"/>
      <c r="F609" s="556"/>
      <c r="G609" s="556"/>
      <c r="H609" s="556"/>
      <c r="I609" s="556"/>
      <c r="J609" s="556"/>
      <c r="K609" s="556"/>
      <c r="L609" s="556"/>
      <c r="M609" s="556"/>
      <c r="N609" s="556"/>
      <c r="O609" s="556"/>
      <c r="P609" s="556"/>
      <c r="Q609" s="556"/>
      <c r="R609" s="556"/>
      <c r="S609" s="556"/>
      <c r="T609" s="556"/>
      <c r="U609" s="556"/>
      <c r="V609" s="556"/>
      <c r="W609" s="556"/>
      <c r="X609" s="556"/>
      <c r="Y609" s="556"/>
      <c r="Z609" s="579"/>
      <c r="AA609" s="556"/>
      <c r="AB609" s="556"/>
      <c r="AC609" s="556"/>
      <c r="AD609" s="556"/>
    </row>
    <row r="610" ht="15.75" customHeight="1">
      <c r="A610" s="594"/>
      <c r="B610" s="556"/>
      <c r="C610" s="556"/>
      <c r="D610" s="556"/>
      <c r="E610" s="556"/>
      <c r="F610" s="556"/>
      <c r="G610" s="556"/>
      <c r="H610" s="556"/>
      <c r="I610" s="556"/>
      <c r="J610" s="556"/>
      <c r="K610" s="556"/>
      <c r="L610" s="556"/>
      <c r="M610" s="556"/>
      <c r="N610" s="556"/>
      <c r="O610" s="556"/>
      <c r="P610" s="556"/>
      <c r="Q610" s="556"/>
      <c r="R610" s="556"/>
      <c r="S610" s="556"/>
      <c r="T610" s="556"/>
      <c r="U610" s="556"/>
      <c r="V610" s="556"/>
      <c r="W610" s="556"/>
      <c r="X610" s="556"/>
      <c r="Y610" s="556"/>
      <c r="Z610" s="579"/>
      <c r="AA610" s="556"/>
      <c r="AB610" s="556"/>
      <c r="AC610" s="556"/>
      <c r="AD610" s="556"/>
    </row>
    <row r="611" ht="15.75" customHeight="1">
      <c r="A611" s="594"/>
      <c r="B611" s="556"/>
      <c r="C611" s="556"/>
      <c r="D611" s="556"/>
      <c r="E611" s="556"/>
      <c r="F611" s="556"/>
      <c r="G611" s="556"/>
      <c r="H611" s="556"/>
      <c r="I611" s="556"/>
      <c r="J611" s="556"/>
      <c r="K611" s="556"/>
      <c r="L611" s="556"/>
      <c r="M611" s="556"/>
      <c r="N611" s="556"/>
      <c r="O611" s="556"/>
      <c r="P611" s="556"/>
      <c r="Q611" s="556"/>
      <c r="R611" s="556"/>
      <c r="S611" s="556"/>
      <c r="T611" s="556"/>
      <c r="U611" s="556"/>
      <c r="V611" s="556"/>
      <c r="W611" s="556"/>
      <c r="X611" s="556"/>
      <c r="Y611" s="556"/>
      <c r="Z611" s="579"/>
      <c r="AA611" s="556"/>
      <c r="AB611" s="556"/>
      <c r="AC611" s="556"/>
      <c r="AD611" s="556"/>
    </row>
    <row r="612" ht="15.75" customHeight="1">
      <c r="A612" s="594"/>
      <c r="B612" s="556"/>
      <c r="C612" s="556"/>
      <c r="D612" s="556"/>
      <c r="E612" s="556"/>
      <c r="F612" s="556"/>
      <c r="G612" s="556"/>
      <c r="H612" s="556"/>
      <c r="I612" s="556"/>
      <c r="J612" s="556"/>
      <c r="K612" s="556"/>
      <c r="L612" s="556"/>
      <c r="M612" s="556"/>
      <c r="N612" s="556"/>
      <c r="O612" s="556"/>
      <c r="P612" s="556"/>
      <c r="Q612" s="556"/>
      <c r="R612" s="556"/>
      <c r="S612" s="556"/>
      <c r="T612" s="556"/>
      <c r="U612" s="556"/>
      <c r="V612" s="556"/>
      <c r="W612" s="556"/>
      <c r="X612" s="556"/>
      <c r="Y612" s="556"/>
      <c r="Z612" s="579"/>
      <c r="AA612" s="556"/>
      <c r="AB612" s="556"/>
      <c r="AC612" s="556"/>
      <c r="AD612" s="556"/>
    </row>
    <row r="613" ht="15.75" customHeight="1">
      <c r="A613" s="594"/>
      <c r="B613" s="556"/>
      <c r="C613" s="556"/>
      <c r="D613" s="556"/>
      <c r="E613" s="556"/>
      <c r="F613" s="556"/>
      <c r="G613" s="556"/>
      <c r="H613" s="556"/>
      <c r="I613" s="556"/>
      <c r="J613" s="556"/>
      <c r="K613" s="556"/>
      <c r="L613" s="556"/>
      <c r="M613" s="556"/>
      <c r="N613" s="556"/>
      <c r="O613" s="556"/>
      <c r="P613" s="556"/>
      <c r="Q613" s="556"/>
      <c r="R613" s="556"/>
      <c r="S613" s="556"/>
      <c r="T613" s="556"/>
      <c r="U613" s="556"/>
      <c r="V613" s="556"/>
      <c r="W613" s="556"/>
      <c r="X613" s="556"/>
      <c r="Y613" s="556"/>
      <c r="Z613" s="579"/>
      <c r="AA613" s="556"/>
      <c r="AB613" s="556"/>
      <c r="AC613" s="556"/>
      <c r="AD613" s="556"/>
    </row>
    <row r="614" ht="15.75" customHeight="1">
      <c r="A614" s="594"/>
      <c r="B614" s="556"/>
      <c r="C614" s="556"/>
      <c r="D614" s="556"/>
      <c r="E614" s="556"/>
      <c r="F614" s="556"/>
      <c r="G614" s="556"/>
      <c r="H614" s="556"/>
      <c r="I614" s="556"/>
      <c r="J614" s="556"/>
      <c r="K614" s="556"/>
      <c r="L614" s="556"/>
      <c r="M614" s="556"/>
      <c r="N614" s="556"/>
      <c r="O614" s="556"/>
      <c r="P614" s="556"/>
      <c r="Q614" s="556"/>
      <c r="R614" s="556"/>
      <c r="S614" s="556"/>
      <c r="T614" s="556"/>
      <c r="U614" s="556"/>
      <c r="V614" s="556"/>
      <c r="W614" s="556"/>
      <c r="X614" s="556"/>
      <c r="Y614" s="556"/>
      <c r="Z614" s="579"/>
      <c r="AA614" s="556"/>
      <c r="AB614" s="556"/>
      <c r="AC614" s="556"/>
      <c r="AD614" s="556"/>
    </row>
    <row r="615" ht="15.75" customHeight="1">
      <c r="A615" s="594"/>
      <c r="B615" s="556"/>
      <c r="C615" s="556"/>
      <c r="D615" s="556"/>
      <c r="E615" s="556"/>
      <c r="F615" s="556"/>
      <c r="G615" s="556"/>
      <c r="H615" s="556"/>
      <c r="I615" s="556"/>
      <c r="J615" s="556"/>
      <c r="K615" s="556"/>
      <c r="L615" s="556"/>
      <c r="M615" s="556"/>
      <c r="N615" s="556"/>
      <c r="O615" s="556"/>
      <c r="P615" s="556"/>
      <c r="Q615" s="556"/>
      <c r="R615" s="556"/>
      <c r="S615" s="556"/>
      <c r="T615" s="556"/>
      <c r="U615" s="556"/>
      <c r="V615" s="556"/>
      <c r="W615" s="556"/>
      <c r="X615" s="556"/>
      <c r="Y615" s="556"/>
      <c r="Z615" s="579"/>
      <c r="AA615" s="556"/>
      <c r="AB615" s="556"/>
      <c r="AC615" s="556"/>
      <c r="AD615" s="556"/>
    </row>
    <row r="616" ht="15.75" customHeight="1">
      <c r="A616" s="594"/>
      <c r="B616" s="556"/>
      <c r="C616" s="556"/>
      <c r="D616" s="556"/>
      <c r="E616" s="556"/>
      <c r="F616" s="556"/>
      <c r="G616" s="556"/>
      <c r="H616" s="556"/>
      <c r="I616" s="556"/>
      <c r="J616" s="556"/>
      <c r="K616" s="556"/>
      <c r="L616" s="556"/>
      <c r="M616" s="556"/>
      <c r="N616" s="556"/>
      <c r="O616" s="556"/>
      <c r="P616" s="556"/>
      <c r="Q616" s="556"/>
      <c r="R616" s="556"/>
      <c r="S616" s="556"/>
      <c r="T616" s="556"/>
      <c r="U616" s="556"/>
      <c r="V616" s="556"/>
      <c r="W616" s="556"/>
      <c r="X616" s="556"/>
      <c r="Y616" s="556"/>
      <c r="Z616" s="579"/>
      <c r="AA616" s="556"/>
      <c r="AB616" s="556"/>
      <c r="AC616" s="556"/>
      <c r="AD616" s="556"/>
    </row>
    <row r="617" ht="15.75" customHeight="1">
      <c r="A617" s="594"/>
      <c r="B617" s="556"/>
      <c r="C617" s="556"/>
      <c r="D617" s="556"/>
      <c r="E617" s="556"/>
      <c r="F617" s="556"/>
      <c r="G617" s="556"/>
      <c r="H617" s="556"/>
      <c r="I617" s="556"/>
      <c r="J617" s="556"/>
      <c r="K617" s="556"/>
      <c r="L617" s="556"/>
      <c r="M617" s="556"/>
      <c r="N617" s="556"/>
      <c r="O617" s="556"/>
      <c r="P617" s="556"/>
      <c r="Q617" s="556"/>
      <c r="R617" s="556"/>
      <c r="S617" s="556"/>
      <c r="T617" s="556"/>
      <c r="U617" s="556"/>
      <c r="V617" s="556"/>
      <c r="W617" s="556"/>
      <c r="X617" s="556"/>
      <c r="Y617" s="556"/>
      <c r="Z617" s="579"/>
      <c r="AA617" s="556"/>
      <c r="AB617" s="556"/>
      <c r="AC617" s="556"/>
      <c r="AD617" s="556"/>
    </row>
    <row r="618" ht="15.75" customHeight="1">
      <c r="A618" s="594"/>
      <c r="B618" s="556"/>
      <c r="C618" s="556"/>
      <c r="D618" s="556"/>
      <c r="E618" s="556"/>
      <c r="F618" s="556"/>
      <c r="G618" s="556"/>
      <c r="H618" s="556"/>
      <c r="I618" s="556"/>
      <c r="J618" s="556"/>
      <c r="K618" s="556"/>
      <c r="L618" s="556"/>
      <c r="M618" s="556"/>
      <c r="N618" s="556"/>
      <c r="O618" s="556"/>
      <c r="P618" s="556"/>
      <c r="Q618" s="556"/>
      <c r="R618" s="556"/>
      <c r="S618" s="556"/>
      <c r="T618" s="556"/>
      <c r="U618" s="556"/>
      <c r="V618" s="556"/>
      <c r="W618" s="556"/>
      <c r="X618" s="556"/>
      <c r="Y618" s="556"/>
      <c r="Z618" s="579"/>
      <c r="AA618" s="556"/>
      <c r="AB618" s="556"/>
      <c r="AC618" s="556"/>
      <c r="AD618" s="556"/>
    </row>
    <row r="619" ht="15.75" customHeight="1">
      <c r="A619" s="594"/>
      <c r="B619" s="556"/>
      <c r="C619" s="556"/>
      <c r="D619" s="556"/>
      <c r="E619" s="556"/>
      <c r="F619" s="556"/>
      <c r="G619" s="556"/>
      <c r="H619" s="556"/>
      <c r="I619" s="556"/>
      <c r="J619" s="556"/>
      <c r="K619" s="556"/>
      <c r="L619" s="556"/>
      <c r="M619" s="556"/>
      <c r="N619" s="556"/>
      <c r="O619" s="556"/>
      <c r="P619" s="556"/>
      <c r="Q619" s="556"/>
      <c r="R619" s="556"/>
      <c r="S619" s="556"/>
      <c r="T619" s="556"/>
      <c r="U619" s="556"/>
      <c r="V619" s="556"/>
      <c r="W619" s="556"/>
      <c r="X619" s="556"/>
      <c r="Y619" s="556"/>
      <c r="Z619" s="579"/>
      <c r="AA619" s="556"/>
      <c r="AB619" s="556"/>
      <c r="AC619" s="556"/>
      <c r="AD619" s="556"/>
    </row>
    <row r="620" ht="15.75" customHeight="1">
      <c r="A620" s="594"/>
      <c r="B620" s="556"/>
      <c r="C620" s="556"/>
      <c r="D620" s="556"/>
      <c r="E620" s="556"/>
      <c r="F620" s="556"/>
      <c r="G620" s="556"/>
      <c r="H620" s="556"/>
      <c r="I620" s="556"/>
      <c r="J620" s="556"/>
      <c r="K620" s="556"/>
      <c r="L620" s="556"/>
      <c r="M620" s="556"/>
      <c r="N620" s="556"/>
      <c r="O620" s="556"/>
      <c r="P620" s="556"/>
      <c r="Q620" s="556"/>
      <c r="R620" s="556"/>
      <c r="S620" s="556"/>
      <c r="T620" s="556"/>
      <c r="U620" s="556"/>
      <c r="V620" s="556"/>
      <c r="W620" s="556"/>
      <c r="X620" s="556"/>
      <c r="Y620" s="556"/>
      <c r="Z620" s="579"/>
      <c r="AA620" s="556"/>
      <c r="AB620" s="556"/>
      <c r="AC620" s="556"/>
      <c r="AD620" s="556"/>
    </row>
    <row r="621" ht="15.75" customHeight="1">
      <c r="A621" s="594"/>
      <c r="B621" s="556"/>
      <c r="C621" s="556"/>
      <c r="D621" s="556"/>
      <c r="E621" s="556"/>
      <c r="F621" s="556"/>
      <c r="G621" s="556"/>
      <c r="H621" s="556"/>
      <c r="I621" s="556"/>
      <c r="J621" s="556"/>
      <c r="K621" s="556"/>
      <c r="L621" s="556"/>
      <c r="M621" s="556"/>
      <c r="N621" s="556"/>
      <c r="O621" s="556"/>
      <c r="P621" s="556"/>
      <c r="Q621" s="556"/>
      <c r="R621" s="556"/>
      <c r="S621" s="556"/>
      <c r="T621" s="556"/>
      <c r="U621" s="556"/>
      <c r="V621" s="556"/>
      <c r="W621" s="556"/>
      <c r="X621" s="556"/>
      <c r="Y621" s="556"/>
      <c r="Z621" s="579"/>
      <c r="AA621" s="556"/>
      <c r="AB621" s="556"/>
      <c r="AC621" s="556"/>
      <c r="AD621" s="556"/>
    </row>
    <row r="622" ht="15.75" customHeight="1">
      <c r="A622" s="594"/>
      <c r="B622" s="556"/>
      <c r="C622" s="556"/>
      <c r="D622" s="556"/>
      <c r="E622" s="556"/>
      <c r="F622" s="556"/>
      <c r="G622" s="556"/>
      <c r="H622" s="556"/>
      <c r="I622" s="556"/>
      <c r="J622" s="556"/>
      <c r="K622" s="556"/>
      <c r="L622" s="556"/>
      <c r="M622" s="556"/>
      <c r="N622" s="556"/>
      <c r="O622" s="556"/>
      <c r="P622" s="556"/>
      <c r="Q622" s="556"/>
      <c r="R622" s="556"/>
      <c r="S622" s="556"/>
      <c r="T622" s="556"/>
      <c r="U622" s="556"/>
      <c r="V622" s="556"/>
      <c r="W622" s="556"/>
      <c r="X622" s="556"/>
      <c r="Y622" s="556"/>
      <c r="Z622" s="579"/>
      <c r="AA622" s="556"/>
      <c r="AB622" s="556"/>
      <c r="AC622" s="556"/>
      <c r="AD622" s="556"/>
    </row>
    <row r="623" ht="15.75" customHeight="1">
      <c r="A623" s="594"/>
      <c r="B623" s="556"/>
      <c r="C623" s="556"/>
      <c r="D623" s="556"/>
      <c r="E623" s="556"/>
      <c r="F623" s="556"/>
      <c r="G623" s="556"/>
      <c r="H623" s="556"/>
      <c r="I623" s="556"/>
      <c r="J623" s="556"/>
      <c r="K623" s="556"/>
      <c r="L623" s="556"/>
      <c r="M623" s="556"/>
      <c r="N623" s="556"/>
      <c r="O623" s="556"/>
      <c r="P623" s="556"/>
      <c r="Q623" s="556"/>
      <c r="R623" s="556"/>
      <c r="S623" s="556"/>
      <c r="T623" s="556"/>
      <c r="U623" s="556"/>
      <c r="V623" s="556"/>
      <c r="W623" s="556"/>
      <c r="X623" s="556"/>
      <c r="Y623" s="556"/>
      <c r="Z623" s="579"/>
      <c r="AA623" s="556"/>
      <c r="AB623" s="556"/>
      <c r="AC623" s="556"/>
      <c r="AD623" s="556"/>
    </row>
    <row r="624" ht="15.75" customHeight="1">
      <c r="A624" s="594"/>
      <c r="B624" s="556"/>
      <c r="C624" s="556"/>
      <c r="D624" s="556"/>
      <c r="E624" s="556"/>
      <c r="F624" s="556"/>
      <c r="G624" s="556"/>
      <c r="H624" s="556"/>
      <c r="I624" s="556"/>
      <c r="J624" s="556"/>
      <c r="K624" s="556"/>
      <c r="L624" s="556"/>
      <c r="M624" s="556"/>
      <c r="N624" s="556"/>
      <c r="O624" s="556"/>
      <c r="P624" s="556"/>
      <c r="Q624" s="556"/>
      <c r="R624" s="556"/>
      <c r="S624" s="556"/>
      <c r="T624" s="556"/>
      <c r="U624" s="556"/>
      <c r="V624" s="556"/>
      <c r="W624" s="556"/>
      <c r="X624" s="556"/>
      <c r="Y624" s="556"/>
      <c r="Z624" s="579"/>
      <c r="AA624" s="556"/>
      <c r="AB624" s="556"/>
      <c r="AC624" s="556"/>
      <c r="AD624" s="556"/>
    </row>
    <row r="625" ht="15.75" customHeight="1">
      <c r="A625" s="594"/>
      <c r="B625" s="556"/>
      <c r="C625" s="556"/>
      <c r="D625" s="556"/>
      <c r="E625" s="556"/>
      <c r="F625" s="556"/>
      <c r="G625" s="556"/>
      <c r="H625" s="556"/>
      <c r="I625" s="556"/>
      <c r="J625" s="556"/>
      <c r="K625" s="556"/>
      <c r="L625" s="556"/>
      <c r="M625" s="556"/>
      <c r="N625" s="556"/>
      <c r="O625" s="556"/>
      <c r="P625" s="556"/>
      <c r="Q625" s="556"/>
      <c r="R625" s="556"/>
      <c r="S625" s="556"/>
      <c r="T625" s="556"/>
      <c r="U625" s="556"/>
      <c r="V625" s="556"/>
      <c r="W625" s="556"/>
      <c r="X625" s="556"/>
      <c r="Y625" s="556"/>
      <c r="Z625" s="579"/>
      <c r="AA625" s="556"/>
      <c r="AB625" s="556"/>
      <c r="AC625" s="556"/>
      <c r="AD625" s="556"/>
    </row>
    <row r="626" ht="15.75" customHeight="1">
      <c r="A626" s="594"/>
      <c r="B626" s="556"/>
      <c r="C626" s="556"/>
      <c r="D626" s="556"/>
      <c r="E626" s="556"/>
      <c r="F626" s="556"/>
      <c r="G626" s="556"/>
      <c r="H626" s="556"/>
      <c r="I626" s="556"/>
      <c r="J626" s="556"/>
      <c r="K626" s="556"/>
      <c r="L626" s="556"/>
      <c r="M626" s="556"/>
      <c r="N626" s="556"/>
      <c r="O626" s="556"/>
      <c r="P626" s="556"/>
      <c r="Q626" s="556"/>
      <c r="R626" s="556"/>
      <c r="S626" s="556"/>
      <c r="T626" s="556"/>
      <c r="U626" s="556"/>
      <c r="V626" s="556"/>
      <c r="W626" s="556"/>
      <c r="X626" s="556"/>
      <c r="Y626" s="556"/>
      <c r="Z626" s="579"/>
      <c r="AA626" s="556"/>
      <c r="AB626" s="556"/>
      <c r="AC626" s="556"/>
      <c r="AD626" s="556"/>
    </row>
    <row r="627" ht="15.75" customHeight="1">
      <c r="A627" s="594"/>
      <c r="B627" s="556"/>
      <c r="C627" s="556"/>
      <c r="D627" s="556"/>
      <c r="E627" s="556"/>
      <c r="F627" s="556"/>
      <c r="G627" s="556"/>
      <c r="H627" s="556"/>
      <c r="I627" s="556"/>
      <c r="J627" s="556"/>
      <c r="K627" s="556"/>
      <c r="L627" s="556"/>
      <c r="M627" s="556"/>
      <c r="N627" s="556"/>
      <c r="O627" s="556"/>
      <c r="P627" s="556"/>
      <c r="Q627" s="556"/>
      <c r="R627" s="556"/>
      <c r="S627" s="556"/>
      <c r="T627" s="556"/>
      <c r="U627" s="556"/>
      <c r="V627" s="556"/>
      <c r="W627" s="556"/>
      <c r="X627" s="556"/>
      <c r="Y627" s="556"/>
      <c r="Z627" s="579"/>
      <c r="AA627" s="556"/>
      <c r="AB627" s="556"/>
      <c r="AC627" s="556"/>
      <c r="AD627" s="556"/>
    </row>
    <row r="628" ht="15.75" customHeight="1">
      <c r="A628" s="594"/>
      <c r="B628" s="556"/>
      <c r="C628" s="556"/>
      <c r="D628" s="556"/>
      <c r="E628" s="556"/>
      <c r="F628" s="556"/>
      <c r="G628" s="556"/>
      <c r="H628" s="556"/>
      <c r="I628" s="556"/>
      <c r="J628" s="556"/>
      <c r="K628" s="556"/>
      <c r="L628" s="556"/>
      <c r="M628" s="556"/>
      <c r="N628" s="556"/>
      <c r="O628" s="556"/>
      <c r="P628" s="556"/>
      <c r="Q628" s="556"/>
      <c r="R628" s="556"/>
      <c r="S628" s="556"/>
      <c r="T628" s="556"/>
      <c r="U628" s="556"/>
      <c r="V628" s="556"/>
      <c r="W628" s="556"/>
      <c r="X628" s="556"/>
      <c r="Y628" s="556"/>
      <c r="Z628" s="579"/>
      <c r="AA628" s="556"/>
      <c r="AB628" s="556"/>
      <c r="AC628" s="556"/>
      <c r="AD628" s="556"/>
    </row>
    <row r="629" ht="15.75" customHeight="1">
      <c r="A629" s="594"/>
      <c r="B629" s="556"/>
      <c r="C629" s="556"/>
      <c r="D629" s="556"/>
      <c r="E629" s="556"/>
      <c r="F629" s="556"/>
      <c r="G629" s="556"/>
      <c r="H629" s="556"/>
      <c r="I629" s="556"/>
      <c r="J629" s="556"/>
      <c r="K629" s="556"/>
      <c r="L629" s="556"/>
      <c r="M629" s="556"/>
      <c r="N629" s="556"/>
      <c r="O629" s="556"/>
      <c r="P629" s="556"/>
      <c r="Q629" s="556"/>
      <c r="R629" s="556"/>
      <c r="S629" s="556"/>
      <c r="T629" s="556"/>
      <c r="U629" s="556"/>
      <c r="V629" s="556"/>
      <c r="W629" s="556"/>
      <c r="X629" s="556"/>
      <c r="Y629" s="556"/>
      <c r="Z629" s="579"/>
      <c r="AA629" s="556"/>
      <c r="AB629" s="556"/>
      <c r="AC629" s="556"/>
      <c r="AD629" s="556"/>
    </row>
    <row r="630" ht="15.75" customHeight="1">
      <c r="A630" s="594"/>
      <c r="B630" s="556"/>
      <c r="C630" s="556"/>
      <c r="D630" s="556"/>
      <c r="E630" s="556"/>
      <c r="F630" s="556"/>
      <c r="G630" s="556"/>
      <c r="H630" s="556"/>
      <c r="I630" s="556"/>
      <c r="J630" s="556"/>
      <c r="K630" s="556"/>
      <c r="L630" s="556"/>
      <c r="M630" s="556"/>
      <c r="N630" s="556"/>
      <c r="O630" s="556"/>
      <c r="P630" s="556"/>
      <c r="Q630" s="556"/>
      <c r="R630" s="556"/>
      <c r="S630" s="556"/>
      <c r="T630" s="556"/>
      <c r="U630" s="556"/>
      <c r="V630" s="556"/>
      <c r="W630" s="556"/>
      <c r="X630" s="556"/>
      <c r="Y630" s="556"/>
      <c r="Z630" s="579"/>
      <c r="AA630" s="556"/>
      <c r="AB630" s="556"/>
      <c r="AC630" s="556"/>
      <c r="AD630" s="556"/>
    </row>
    <row r="631" ht="15.75" customHeight="1">
      <c r="A631" s="594"/>
      <c r="B631" s="556"/>
      <c r="C631" s="556"/>
      <c r="D631" s="556"/>
      <c r="E631" s="556"/>
      <c r="F631" s="556"/>
      <c r="G631" s="556"/>
      <c r="H631" s="556"/>
      <c r="I631" s="556"/>
      <c r="J631" s="556"/>
      <c r="K631" s="556"/>
      <c r="L631" s="556"/>
      <c r="M631" s="556"/>
      <c r="N631" s="556"/>
      <c r="O631" s="556"/>
      <c r="P631" s="556"/>
      <c r="Q631" s="556"/>
      <c r="R631" s="556"/>
      <c r="S631" s="556"/>
      <c r="T631" s="556"/>
      <c r="U631" s="556"/>
      <c r="V631" s="556"/>
      <c r="W631" s="556"/>
      <c r="X631" s="556"/>
      <c r="Y631" s="556"/>
      <c r="Z631" s="579"/>
      <c r="AA631" s="556"/>
      <c r="AB631" s="556"/>
      <c r="AC631" s="556"/>
      <c r="AD631" s="556"/>
    </row>
    <row r="632" ht="15.75" customHeight="1">
      <c r="A632" s="594"/>
      <c r="B632" s="556"/>
      <c r="C632" s="556"/>
      <c r="D632" s="556"/>
      <c r="E632" s="556"/>
      <c r="F632" s="556"/>
      <c r="G632" s="556"/>
      <c r="H632" s="556"/>
      <c r="I632" s="556"/>
      <c r="J632" s="556"/>
      <c r="K632" s="556"/>
      <c r="L632" s="556"/>
      <c r="M632" s="556"/>
      <c r="N632" s="556"/>
      <c r="O632" s="556"/>
      <c r="P632" s="556"/>
      <c r="Q632" s="556"/>
      <c r="R632" s="556"/>
      <c r="S632" s="556"/>
      <c r="T632" s="556"/>
      <c r="U632" s="556"/>
      <c r="V632" s="556"/>
      <c r="W632" s="556"/>
      <c r="X632" s="556"/>
      <c r="Y632" s="556"/>
      <c r="Z632" s="579"/>
      <c r="AA632" s="556"/>
      <c r="AB632" s="556"/>
      <c r="AC632" s="556"/>
      <c r="AD632" s="556"/>
    </row>
    <row r="633" ht="15.75" customHeight="1">
      <c r="A633" s="594"/>
      <c r="B633" s="556"/>
      <c r="C633" s="556"/>
      <c r="D633" s="556"/>
      <c r="E633" s="556"/>
      <c r="F633" s="556"/>
      <c r="G633" s="556"/>
      <c r="H633" s="556"/>
      <c r="I633" s="556"/>
      <c r="J633" s="556"/>
      <c r="K633" s="556"/>
      <c r="L633" s="556"/>
      <c r="M633" s="556"/>
      <c r="N633" s="556"/>
      <c r="O633" s="556"/>
      <c r="P633" s="556"/>
      <c r="Q633" s="556"/>
      <c r="R633" s="556"/>
      <c r="S633" s="556"/>
      <c r="T633" s="556"/>
      <c r="U633" s="556"/>
      <c r="V633" s="556"/>
      <c r="W633" s="556"/>
      <c r="X633" s="556"/>
      <c r="Y633" s="556"/>
      <c r="Z633" s="579"/>
      <c r="AA633" s="556"/>
      <c r="AB633" s="556"/>
      <c r="AC633" s="556"/>
      <c r="AD633" s="556"/>
    </row>
    <row r="634" ht="15.75" customHeight="1">
      <c r="A634" s="594"/>
      <c r="B634" s="556"/>
      <c r="C634" s="556"/>
      <c r="D634" s="556"/>
      <c r="E634" s="556"/>
      <c r="F634" s="556"/>
      <c r="G634" s="556"/>
      <c r="H634" s="556"/>
      <c r="I634" s="556"/>
      <c r="J634" s="556"/>
      <c r="K634" s="556"/>
      <c r="L634" s="556"/>
      <c r="M634" s="556"/>
      <c r="N634" s="556"/>
      <c r="O634" s="556"/>
      <c r="P634" s="556"/>
      <c r="Q634" s="556"/>
      <c r="R634" s="556"/>
      <c r="S634" s="556"/>
      <c r="T634" s="556"/>
      <c r="U634" s="556"/>
      <c r="V634" s="556"/>
      <c r="W634" s="556"/>
      <c r="X634" s="556"/>
      <c r="Y634" s="556"/>
      <c r="Z634" s="579"/>
      <c r="AA634" s="556"/>
      <c r="AB634" s="556"/>
      <c r="AC634" s="556"/>
      <c r="AD634" s="556"/>
    </row>
    <row r="635" ht="15.75" customHeight="1">
      <c r="A635" s="594"/>
      <c r="B635" s="556"/>
      <c r="C635" s="556"/>
      <c r="D635" s="556"/>
      <c r="E635" s="556"/>
      <c r="F635" s="556"/>
      <c r="G635" s="556"/>
      <c r="H635" s="556"/>
      <c r="I635" s="556"/>
      <c r="J635" s="556"/>
      <c r="K635" s="556"/>
      <c r="L635" s="556"/>
      <c r="M635" s="556"/>
      <c r="N635" s="556"/>
      <c r="O635" s="556"/>
      <c r="P635" s="556"/>
      <c r="Q635" s="556"/>
      <c r="R635" s="556"/>
      <c r="S635" s="556"/>
      <c r="T635" s="556"/>
      <c r="U635" s="556"/>
      <c r="V635" s="556"/>
      <c r="W635" s="556"/>
      <c r="X635" s="556"/>
      <c r="Y635" s="556"/>
      <c r="Z635" s="579"/>
      <c r="AA635" s="556"/>
      <c r="AB635" s="556"/>
      <c r="AC635" s="556"/>
      <c r="AD635" s="556"/>
    </row>
    <row r="636" ht="15.75" customHeight="1">
      <c r="A636" s="594"/>
      <c r="B636" s="556"/>
      <c r="C636" s="556"/>
      <c r="D636" s="556"/>
      <c r="E636" s="556"/>
      <c r="F636" s="556"/>
      <c r="G636" s="556"/>
      <c r="H636" s="556"/>
      <c r="I636" s="556"/>
      <c r="J636" s="556"/>
      <c r="K636" s="556"/>
      <c r="L636" s="556"/>
      <c r="M636" s="556"/>
      <c r="N636" s="556"/>
      <c r="O636" s="556"/>
      <c r="P636" s="556"/>
      <c r="Q636" s="556"/>
      <c r="R636" s="556"/>
      <c r="S636" s="556"/>
      <c r="T636" s="556"/>
      <c r="U636" s="556"/>
      <c r="V636" s="556"/>
      <c r="W636" s="556"/>
      <c r="X636" s="556"/>
      <c r="Y636" s="556"/>
      <c r="Z636" s="579"/>
      <c r="AA636" s="556"/>
      <c r="AB636" s="556"/>
      <c r="AC636" s="556"/>
      <c r="AD636" s="556"/>
    </row>
    <row r="637" ht="15.75" customHeight="1">
      <c r="A637" s="594"/>
      <c r="B637" s="556"/>
      <c r="C637" s="556"/>
      <c r="D637" s="556"/>
      <c r="E637" s="556"/>
      <c r="F637" s="556"/>
      <c r="G637" s="556"/>
      <c r="H637" s="556"/>
      <c r="I637" s="556"/>
      <c r="J637" s="556"/>
      <c r="K637" s="556"/>
      <c r="L637" s="556"/>
      <c r="M637" s="556"/>
      <c r="N637" s="556"/>
      <c r="O637" s="556"/>
      <c r="P637" s="556"/>
      <c r="Q637" s="556"/>
      <c r="R637" s="556"/>
      <c r="S637" s="556"/>
      <c r="T637" s="556"/>
      <c r="U637" s="556"/>
      <c r="V637" s="556"/>
      <c r="W637" s="556"/>
      <c r="X637" s="556"/>
      <c r="Y637" s="556"/>
      <c r="Z637" s="579"/>
      <c r="AA637" s="556"/>
      <c r="AB637" s="556"/>
      <c r="AC637" s="556"/>
      <c r="AD637" s="556"/>
    </row>
    <row r="638" ht="15.75" customHeight="1">
      <c r="A638" s="594"/>
      <c r="B638" s="556"/>
      <c r="C638" s="556"/>
      <c r="D638" s="556"/>
      <c r="E638" s="556"/>
      <c r="F638" s="556"/>
      <c r="G638" s="556"/>
      <c r="H638" s="556"/>
      <c r="I638" s="556"/>
      <c r="J638" s="556"/>
      <c r="K638" s="556"/>
      <c r="L638" s="556"/>
      <c r="M638" s="556"/>
      <c r="N638" s="556"/>
      <c r="O638" s="556"/>
      <c r="P638" s="556"/>
      <c r="Q638" s="556"/>
      <c r="R638" s="556"/>
      <c r="S638" s="556"/>
      <c r="T638" s="556"/>
      <c r="U638" s="556"/>
      <c r="V638" s="556"/>
      <c r="W638" s="556"/>
      <c r="X638" s="556"/>
      <c r="Y638" s="556"/>
      <c r="Z638" s="579"/>
      <c r="AA638" s="556"/>
      <c r="AB638" s="556"/>
      <c r="AC638" s="556"/>
      <c r="AD638" s="556"/>
    </row>
    <row r="639" ht="15.75" customHeight="1">
      <c r="A639" s="594"/>
      <c r="B639" s="556"/>
      <c r="C639" s="556"/>
      <c r="D639" s="556"/>
      <c r="E639" s="556"/>
      <c r="F639" s="556"/>
      <c r="G639" s="556"/>
      <c r="H639" s="556"/>
      <c r="I639" s="556"/>
      <c r="J639" s="556"/>
      <c r="K639" s="556"/>
      <c r="L639" s="556"/>
      <c r="M639" s="556"/>
      <c r="N639" s="556"/>
      <c r="O639" s="556"/>
      <c r="P639" s="556"/>
      <c r="Q639" s="556"/>
      <c r="R639" s="556"/>
      <c r="S639" s="556"/>
      <c r="T639" s="556"/>
      <c r="U639" s="556"/>
      <c r="V639" s="556"/>
      <c r="W639" s="556"/>
      <c r="X639" s="556"/>
      <c r="Y639" s="556"/>
      <c r="Z639" s="579"/>
      <c r="AA639" s="556"/>
      <c r="AB639" s="556"/>
      <c r="AC639" s="556"/>
      <c r="AD639" s="556"/>
    </row>
    <row r="640" ht="15.75" customHeight="1">
      <c r="A640" s="594"/>
      <c r="B640" s="556"/>
      <c r="C640" s="556"/>
      <c r="D640" s="556"/>
      <c r="E640" s="556"/>
      <c r="F640" s="556"/>
      <c r="G640" s="556"/>
      <c r="H640" s="556"/>
      <c r="I640" s="556"/>
      <c r="J640" s="556"/>
      <c r="K640" s="556"/>
      <c r="L640" s="556"/>
      <c r="M640" s="556"/>
      <c r="N640" s="556"/>
      <c r="O640" s="556"/>
      <c r="P640" s="556"/>
      <c r="Q640" s="556"/>
      <c r="R640" s="556"/>
      <c r="S640" s="556"/>
      <c r="T640" s="556"/>
      <c r="U640" s="556"/>
      <c r="V640" s="556"/>
      <c r="W640" s="556"/>
      <c r="X640" s="556"/>
      <c r="Y640" s="556"/>
      <c r="Z640" s="579"/>
      <c r="AA640" s="556"/>
      <c r="AB640" s="556"/>
      <c r="AC640" s="556"/>
      <c r="AD640" s="556"/>
    </row>
    <row r="641" ht="15.75" customHeight="1">
      <c r="A641" s="594"/>
      <c r="B641" s="556"/>
      <c r="C641" s="556"/>
      <c r="D641" s="556"/>
      <c r="E641" s="556"/>
      <c r="F641" s="556"/>
      <c r="G641" s="556"/>
      <c r="H641" s="556"/>
      <c r="I641" s="556"/>
      <c r="J641" s="556"/>
      <c r="K641" s="556"/>
      <c r="L641" s="556"/>
      <c r="M641" s="556"/>
      <c r="N641" s="556"/>
      <c r="O641" s="556"/>
      <c r="P641" s="556"/>
      <c r="Q641" s="556"/>
      <c r="R641" s="556"/>
      <c r="S641" s="556"/>
      <c r="T641" s="556"/>
      <c r="U641" s="556"/>
      <c r="V641" s="556"/>
      <c r="W641" s="556"/>
      <c r="X641" s="556"/>
      <c r="Y641" s="556"/>
      <c r="Z641" s="579"/>
      <c r="AA641" s="556"/>
      <c r="AB641" s="556"/>
      <c r="AC641" s="556"/>
      <c r="AD641" s="556"/>
    </row>
    <row r="642" ht="15.75" customHeight="1">
      <c r="A642" s="594"/>
      <c r="B642" s="556"/>
      <c r="C642" s="556"/>
      <c r="D642" s="556"/>
      <c r="E642" s="556"/>
      <c r="F642" s="556"/>
      <c r="G642" s="556"/>
      <c r="H642" s="556"/>
      <c r="I642" s="556"/>
      <c r="J642" s="556"/>
      <c r="K642" s="556"/>
      <c r="L642" s="556"/>
      <c r="M642" s="556"/>
      <c r="N642" s="556"/>
      <c r="O642" s="556"/>
      <c r="P642" s="556"/>
      <c r="Q642" s="556"/>
      <c r="R642" s="556"/>
      <c r="S642" s="556"/>
      <c r="T642" s="556"/>
      <c r="U642" s="556"/>
      <c r="V642" s="556"/>
      <c r="W642" s="556"/>
      <c r="X642" s="556"/>
      <c r="Y642" s="556"/>
      <c r="Z642" s="579"/>
      <c r="AA642" s="556"/>
      <c r="AB642" s="556"/>
      <c r="AC642" s="556"/>
      <c r="AD642" s="556"/>
    </row>
    <row r="643" ht="15.75" customHeight="1">
      <c r="A643" s="594"/>
      <c r="B643" s="556"/>
      <c r="C643" s="556"/>
      <c r="D643" s="556"/>
      <c r="E643" s="556"/>
      <c r="F643" s="556"/>
      <c r="G643" s="556"/>
      <c r="H643" s="556"/>
      <c r="I643" s="556"/>
      <c r="J643" s="556"/>
      <c r="K643" s="556"/>
      <c r="L643" s="556"/>
      <c r="M643" s="556"/>
      <c r="N643" s="556"/>
      <c r="O643" s="556"/>
      <c r="P643" s="556"/>
      <c r="Q643" s="556"/>
      <c r="R643" s="556"/>
      <c r="S643" s="556"/>
      <c r="T643" s="556"/>
      <c r="U643" s="556"/>
      <c r="V643" s="556"/>
      <c r="W643" s="556"/>
      <c r="X643" s="556"/>
      <c r="Y643" s="556"/>
      <c r="Z643" s="579"/>
      <c r="AA643" s="556"/>
      <c r="AB643" s="556"/>
      <c r="AC643" s="556"/>
      <c r="AD643" s="556"/>
    </row>
    <row r="644" ht="15.75" customHeight="1">
      <c r="A644" s="594"/>
      <c r="B644" s="556"/>
      <c r="C644" s="556"/>
      <c r="D644" s="556"/>
      <c r="E644" s="556"/>
      <c r="F644" s="556"/>
      <c r="G644" s="556"/>
      <c r="H644" s="556"/>
      <c r="I644" s="556"/>
      <c r="J644" s="556"/>
      <c r="K644" s="556"/>
      <c r="L644" s="556"/>
      <c r="M644" s="556"/>
      <c r="N644" s="556"/>
      <c r="O644" s="556"/>
      <c r="P644" s="556"/>
      <c r="Q644" s="556"/>
      <c r="R644" s="556"/>
      <c r="S644" s="556"/>
      <c r="T644" s="556"/>
      <c r="U644" s="556"/>
      <c r="V644" s="556"/>
      <c r="W644" s="556"/>
      <c r="X644" s="556"/>
      <c r="Y644" s="556"/>
      <c r="Z644" s="579"/>
      <c r="AA644" s="556"/>
      <c r="AB644" s="556"/>
      <c r="AC644" s="556"/>
      <c r="AD644" s="556"/>
    </row>
    <row r="645" ht="15.75" customHeight="1">
      <c r="A645" s="594"/>
      <c r="B645" s="556"/>
      <c r="C645" s="556"/>
      <c r="D645" s="556"/>
      <c r="E645" s="556"/>
      <c r="F645" s="556"/>
      <c r="G645" s="556"/>
      <c r="H645" s="556"/>
      <c r="I645" s="556"/>
      <c r="J645" s="556"/>
      <c r="K645" s="556"/>
      <c r="L645" s="556"/>
      <c r="M645" s="556"/>
      <c r="N645" s="556"/>
      <c r="O645" s="556"/>
      <c r="P645" s="556"/>
      <c r="Q645" s="556"/>
      <c r="R645" s="556"/>
      <c r="S645" s="556"/>
      <c r="T645" s="556"/>
      <c r="U645" s="556"/>
      <c r="V645" s="556"/>
      <c r="W645" s="556"/>
      <c r="X645" s="556"/>
      <c r="Y645" s="556"/>
      <c r="Z645" s="579"/>
      <c r="AA645" s="556"/>
      <c r="AB645" s="556"/>
      <c r="AC645" s="556"/>
      <c r="AD645" s="556"/>
    </row>
    <row r="646" ht="15.75" customHeight="1">
      <c r="A646" s="594"/>
      <c r="B646" s="556"/>
      <c r="C646" s="556"/>
      <c r="D646" s="556"/>
      <c r="E646" s="556"/>
      <c r="F646" s="556"/>
      <c r="G646" s="556"/>
      <c r="H646" s="556"/>
      <c r="I646" s="556"/>
      <c r="J646" s="556"/>
      <c r="K646" s="556"/>
      <c r="L646" s="556"/>
      <c r="M646" s="556"/>
      <c r="N646" s="556"/>
      <c r="O646" s="556"/>
      <c r="P646" s="556"/>
      <c r="Q646" s="556"/>
      <c r="R646" s="556"/>
      <c r="S646" s="556"/>
      <c r="T646" s="556"/>
      <c r="U646" s="556"/>
      <c r="V646" s="556"/>
      <c r="W646" s="556"/>
      <c r="X646" s="556"/>
      <c r="Y646" s="556"/>
      <c r="Z646" s="579"/>
      <c r="AA646" s="556"/>
      <c r="AB646" s="556"/>
      <c r="AC646" s="556"/>
      <c r="AD646" s="556"/>
    </row>
    <row r="647" ht="15.75" customHeight="1">
      <c r="A647" s="594"/>
      <c r="B647" s="556"/>
      <c r="C647" s="556"/>
      <c r="D647" s="556"/>
      <c r="E647" s="556"/>
      <c r="F647" s="556"/>
      <c r="G647" s="556"/>
      <c r="H647" s="556"/>
      <c r="I647" s="556"/>
      <c r="J647" s="556"/>
      <c r="K647" s="556"/>
      <c r="L647" s="556"/>
      <c r="M647" s="556"/>
      <c r="N647" s="556"/>
      <c r="O647" s="556"/>
      <c r="P647" s="556"/>
      <c r="Q647" s="556"/>
      <c r="R647" s="556"/>
      <c r="S647" s="556"/>
      <c r="T647" s="556"/>
      <c r="U647" s="556"/>
      <c r="V647" s="556"/>
      <c r="W647" s="556"/>
      <c r="X647" s="556"/>
      <c r="Y647" s="556"/>
      <c r="Z647" s="579"/>
      <c r="AA647" s="556"/>
      <c r="AB647" s="556"/>
      <c r="AC647" s="556"/>
      <c r="AD647" s="556"/>
    </row>
    <row r="648" ht="15.75" customHeight="1">
      <c r="A648" s="594"/>
      <c r="B648" s="556"/>
      <c r="C648" s="556"/>
      <c r="D648" s="556"/>
      <c r="E648" s="556"/>
      <c r="F648" s="556"/>
      <c r="G648" s="556"/>
      <c r="H648" s="556"/>
      <c r="I648" s="556"/>
      <c r="J648" s="556"/>
      <c r="K648" s="556"/>
      <c r="L648" s="556"/>
      <c r="M648" s="556"/>
      <c r="N648" s="556"/>
      <c r="O648" s="556"/>
      <c r="P648" s="556"/>
      <c r="Q648" s="556"/>
      <c r="R648" s="556"/>
      <c r="S648" s="556"/>
      <c r="T648" s="556"/>
      <c r="U648" s="556"/>
      <c r="V648" s="556"/>
      <c r="W648" s="556"/>
      <c r="X648" s="556"/>
      <c r="Y648" s="556"/>
      <c r="Z648" s="579"/>
      <c r="AA648" s="556"/>
      <c r="AB648" s="556"/>
      <c r="AC648" s="556"/>
      <c r="AD648" s="556"/>
    </row>
    <row r="649" ht="15.75" customHeight="1">
      <c r="A649" s="594"/>
      <c r="B649" s="556"/>
      <c r="C649" s="556"/>
      <c r="D649" s="556"/>
      <c r="E649" s="556"/>
      <c r="F649" s="556"/>
      <c r="G649" s="556"/>
      <c r="H649" s="556"/>
      <c r="I649" s="556"/>
      <c r="J649" s="556"/>
      <c r="K649" s="556"/>
      <c r="L649" s="556"/>
      <c r="M649" s="556"/>
      <c r="N649" s="556"/>
      <c r="O649" s="556"/>
      <c r="P649" s="556"/>
      <c r="Q649" s="556"/>
      <c r="R649" s="556"/>
      <c r="S649" s="556"/>
      <c r="T649" s="556"/>
      <c r="U649" s="556"/>
      <c r="V649" s="556"/>
      <c r="W649" s="556"/>
      <c r="X649" s="556"/>
      <c r="Y649" s="556"/>
      <c r="Z649" s="579"/>
      <c r="AA649" s="556"/>
      <c r="AB649" s="556"/>
      <c r="AC649" s="556"/>
      <c r="AD649" s="556"/>
    </row>
    <row r="650" ht="15.75" customHeight="1">
      <c r="A650" s="594"/>
      <c r="B650" s="556"/>
      <c r="C650" s="556"/>
      <c r="D650" s="556"/>
      <c r="E650" s="556"/>
      <c r="F650" s="556"/>
      <c r="G650" s="556"/>
      <c r="H650" s="556"/>
      <c r="I650" s="556"/>
      <c r="J650" s="556"/>
      <c r="K650" s="556"/>
      <c r="L650" s="556"/>
      <c r="M650" s="556"/>
      <c r="N650" s="556"/>
      <c r="O650" s="556"/>
      <c r="P650" s="556"/>
      <c r="Q650" s="556"/>
      <c r="R650" s="556"/>
      <c r="S650" s="556"/>
      <c r="T650" s="556"/>
      <c r="U650" s="556"/>
      <c r="V650" s="556"/>
      <c r="W650" s="556"/>
      <c r="X650" s="556"/>
      <c r="Y650" s="556"/>
      <c r="Z650" s="579"/>
      <c r="AA650" s="556"/>
      <c r="AB650" s="556"/>
      <c r="AC650" s="556"/>
      <c r="AD650" s="556"/>
    </row>
    <row r="651" ht="15.75" customHeight="1">
      <c r="A651" s="594"/>
      <c r="B651" s="556"/>
      <c r="C651" s="556"/>
      <c r="D651" s="556"/>
      <c r="E651" s="556"/>
      <c r="F651" s="556"/>
      <c r="G651" s="556"/>
      <c r="H651" s="556"/>
      <c r="I651" s="556"/>
      <c r="J651" s="556"/>
      <c r="K651" s="556"/>
      <c r="L651" s="556"/>
      <c r="M651" s="556"/>
      <c r="N651" s="556"/>
      <c r="O651" s="556"/>
      <c r="P651" s="556"/>
      <c r="Q651" s="556"/>
      <c r="R651" s="556"/>
      <c r="S651" s="556"/>
      <c r="T651" s="556"/>
      <c r="U651" s="556"/>
      <c r="V651" s="556"/>
      <c r="W651" s="556"/>
      <c r="X651" s="556"/>
      <c r="Y651" s="556"/>
      <c r="Z651" s="579"/>
      <c r="AA651" s="556"/>
      <c r="AB651" s="556"/>
      <c r="AC651" s="556"/>
      <c r="AD651" s="556"/>
    </row>
    <row r="652" ht="15.75" customHeight="1">
      <c r="A652" s="594"/>
      <c r="B652" s="556"/>
      <c r="C652" s="556"/>
      <c r="D652" s="556"/>
      <c r="E652" s="556"/>
      <c r="F652" s="556"/>
      <c r="G652" s="556"/>
      <c r="H652" s="556"/>
      <c r="I652" s="556"/>
      <c r="J652" s="556"/>
      <c r="K652" s="556"/>
      <c r="L652" s="556"/>
      <c r="M652" s="556"/>
      <c r="N652" s="556"/>
      <c r="O652" s="556"/>
      <c r="P652" s="556"/>
      <c r="Q652" s="556"/>
      <c r="R652" s="556"/>
      <c r="S652" s="556"/>
      <c r="T652" s="556"/>
      <c r="U652" s="556"/>
      <c r="V652" s="556"/>
      <c r="W652" s="556"/>
      <c r="X652" s="556"/>
      <c r="Y652" s="556"/>
      <c r="Z652" s="579"/>
      <c r="AA652" s="556"/>
      <c r="AB652" s="556"/>
      <c r="AC652" s="556"/>
      <c r="AD652" s="556"/>
    </row>
    <row r="653" ht="15.75" customHeight="1">
      <c r="A653" s="594"/>
      <c r="B653" s="556"/>
      <c r="C653" s="556"/>
      <c r="D653" s="556"/>
      <c r="E653" s="556"/>
      <c r="F653" s="556"/>
      <c r="G653" s="556"/>
      <c r="H653" s="556"/>
      <c r="I653" s="556"/>
      <c r="J653" s="556"/>
      <c r="K653" s="556"/>
      <c r="L653" s="556"/>
      <c r="M653" s="556"/>
      <c r="N653" s="556"/>
      <c r="O653" s="556"/>
      <c r="P653" s="556"/>
      <c r="Q653" s="556"/>
      <c r="R653" s="556"/>
      <c r="S653" s="556"/>
      <c r="T653" s="556"/>
      <c r="U653" s="556"/>
      <c r="V653" s="556"/>
      <c r="W653" s="556"/>
      <c r="X653" s="556"/>
      <c r="Y653" s="556"/>
      <c r="Z653" s="579"/>
      <c r="AA653" s="556"/>
      <c r="AB653" s="556"/>
      <c r="AC653" s="556"/>
      <c r="AD653" s="556"/>
    </row>
    <row r="654" ht="15.75" customHeight="1">
      <c r="A654" s="594"/>
      <c r="B654" s="556"/>
      <c r="C654" s="556"/>
      <c r="D654" s="556"/>
      <c r="E654" s="556"/>
      <c r="F654" s="556"/>
      <c r="G654" s="556"/>
      <c r="H654" s="556"/>
      <c r="I654" s="556"/>
      <c r="J654" s="556"/>
      <c r="K654" s="556"/>
      <c r="L654" s="556"/>
      <c r="M654" s="556"/>
      <c r="N654" s="556"/>
      <c r="O654" s="556"/>
      <c r="P654" s="556"/>
      <c r="Q654" s="556"/>
      <c r="R654" s="556"/>
      <c r="S654" s="556"/>
      <c r="T654" s="556"/>
      <c r="U654" s="556"/>
      <c r="V654" s="556"/>
      <c r="W654" s="556"/>
      <c r="X654" s="556"/>
      <c r="Y654" s="556"/>
      <c r="Z654" s="579"/>
      <c r="AA654" s="556"/>
      <c r="AB654" s="556"/>
      <c r="AC654" s="556"/>
      <c r="AD654" s="556"/>
    </row>
    <row r="655" ht="15.75" customHeight="1">
      <c r="A655" s="594"/>
      <c r="B655" s="556"/>
      <c r="C655" s="556"/>
      <c r="D655" s="556"/>
      <c r="E655" s="556"/>
      <c r="F655" s="556"/>
      <c r="G655" s="556"/>
      <c r="H655" s="556"/>
      <c r="I655" s="556"/>
      <c r="J655" s="556"/>
      <c r="K655" s="556"/>
      <c r="L655" s="556"/>
      <c r="M655" s="556"/>
      <c r="N655" s="556"/>
      <c r="O655" s="556"/>
      <c r="P655" s="556"/>
      <c r="Q655" s="556"/>
      <c r="R655" s="556"/>
      <c r="S655" s="556"/>
      <c r="T655" s="556"/>
      <c r="U655" s="556"/>
      <c r="V655" s="556"/>
      <c r="W655" s="556"/>
      <c r="X655" s="556"/>
      <c r="Y655" s="556"/>
      <c r="Z655" s="579"/>
      <c r="AA655" s="556"/>
      <c r="AB655" s="556"/>
      <c r="AC655" s="556"/>
      <c r="AD655" s="556"/>
    </row>
    <row r="656" ht="15.75" customHeight="1">
      <c r="A656" s="594"/>
      <c r="B656" s="556"/>
      <c r="C656" s="556"/>
      <c r="D656" s="556"/>
      <c r="E656" s="556"/>
      <c r="F656" s="556"/>
      <c r="G656" s="556"/>
      <c r="H656" s="556"/>
      <c r="I656" s="556"/>
      <c r="J656" s="556"/>
      <c r="K656" s="556"/>
      <c r="L656" s="556"/>
      <c r="M656" s="556"/>
      <c r="N656" s="556"/>
      <c r="O656" s="556"/>
      <c r="P656" s="556"/>
      <c r="Q656" s="556"/>
      <c r="R656" s="556"/>
      <c r="S656" s="556"/>
      <c r="T656" s="556"/>
      <c r="U656" s="556"/>
      <c r="V656" s="556"/>
      <c r="W656" s="556"/>
      <c r="X656" s="556"/>
      <c r="Y656" s="556"/>
      <c r="Z656" s="579"/>
      <c r="AA656" s="556"/>
      <c r="AB656" s="556"/>
      <c r="AC656" s="556"/>
      <c r="AD656" s="556"/>
    </row>
    <row r="657" ht="15.75" customHeight="1">
      <c r="A657" s="594"/>
      <c r="B657" s="556"/>
      <c r="C657" s="556"/>
      <c r="D657" s="556"/>
      <c r="E657" s="556"/>
      <c r="F657" s="556"/>
      <c r="G657" s="556"/>
      <c r="H657" s="556"/>
      <c r="I657" s="556"/>
      <c r="J657" s="556"/>
      <c r="K657" s="556"/>
      <c r="L657" s="556"/>
      <c r="M657" s="556"/>
      <c r="N657" s="556"/>
      <c r="O657" s="556"/>
      <c r="P657" s="556"/>
      <c r="Q657" s="556"/>
      <c r="R657" s="556"/>
      <c r="S657" s="556"/>
      <c r="T657" s="556"/>
      <c r="U657" s="556"/>
      <c r="V657" s="556"/>
      <c r="W657" s="556"/>
      <c r="X657" s="556"/>
      <c r="Y657" s="556"/>
      <c r="Z657" s="579"/>
      <c r="AA657" s="556"/>
      <c r="AB657" s="556"/>
      <c r="AC657" s="556"/>
      <c r="AD657" s="556"/>
    </row>
    <row r="658" ht="15.75" customHeight="1">
      <c r="A658" s="594"/>
      <c r="B658" s="556"/>
      <c r="C658" s="556"/>
      <c r="D658" s="556"/>
      <c r="E658" s="556"/>
      <c r="F658" s="556"/>
      <c r="G658" s="556"/>
      <c r="H658" s="556"/>
      <c r="I658" s="556"/>
      <c r="J658" s="556"/>
      <c r="K658" s="556"/>
      <c r="L658" s="556"/>
      <c r="M658" s="556"/>
      <c r="N658" s="556"/>
      <c r="O658" s="556"/>
      <c r="P658" s="556"/>
      <c r="Q658" s="556"/>
      <c r="R658" s="556"/>
      <c r="S658" s="556"/>
      <c r="T658" s="556"/>
      <c r="U658" s="556"/>
      <c r="V658" s="556"/>
      <c r="W658" s="556"/>
      <c r="X658" s="556"/>
      <c r="Y658" s="556"/>
      <c r="Z658" s="579"/>
      <c r="AA658" s="556"/>
      <c r="AB658" s="556"/>
      <c r="AC658" s="556"/>
      <c r="AD658" s="556"/>
    </row>
    <row r="659" ht="15.75" customHeight="1">
      <c r="A659" s="594"/>
      <c r="B659" s="556"/>
      <c r="C659" s="556"/>
      <c r="D659" s="556"/>
      <c r="E659" s="556"/>
      <c r="F659" s="556"/>
      <c r="G659" s="556"/>
      <c r="H659" s="556"/>
      <c r="I659" s="556"/>
      <c r="J659" s="556"/>
      <c r="K659" s="556"/>
      <c r="L659" s="556"/>
      <c r="M659" s="556"/>
      <c r="N659" s="556"/>
      <c r="O659" s="556"/>
      <c r="P659" s="556"/>
      <c r="Q659" s="556"/>
      <c r="R659" s="556"/>
      <c r="S659" s="556"/>
      <c r="T659" s="556"/>
      <c r="U659" s="556"/>
      <c r="V659" s="556"/>
      <c r="W659" s="556"/>
      <c r="X659" s="556"/>
      <c r="Y659" s="556"/>
      <c r="Z659" s="579"/>
      <c r="AA659" s="556"/>
      <c r="AB659" s="556"/>
      <c r="AC659" s="556"/>
      <c r="AD659" s="556"/>
    </row>
    <row r="660" ht="15.75" customHeight="1">
      <c r="A660" s="594"/>
      <c r="B660" s="556"/>
      <c r="C660" s="556"/>
      <c r="D660" s="556"/>
      <c r="E660" s="556"/>
      <c r="F660" s="556"/>
      <c r="G660" s="556"/>
      <c r="H660" s="556"/>
      <c r="I660" s="556"/>
      <c r="J660" s="556"/>
      <c r="K660" s="556"/>
      <c r="L660" s="556"/>
      <c r="M660" s="556"/>
      <c r="N660" s="556"/>
      <c r="O660" s="556"/>
      <c r="P660" s="556"/>
      <c r="Q660" s="556"/>
      <c r="R660" s="556"/>
      <c r="S660" s="556"/>
      <c r="T660" s="556"/>
      <c r="U660" s="556"/>
      <c r="V660" s="556"/>
      <c r="W660" s="556"/>
      <c r="X660" s="556"/>
      <c r="Y660" s="556"/>
      <c r="Z660" s="579"/>
      <c r="AA660" s="556"/>
      <c r="AB660" s="556"/>
      <c r="AC660" s="556"/>
      <c r="AD660" s="556"/>
    </row>
    <row r="661" ht="15.75" customHeight="1">
      <c r="A661" s="594"/>
      <c r="B661" s="556"/>
      <c r="C661" s="556"/>
      <c r="D661" s="556"/>
      <c r="E661" s="556"/>
      <c r="F661" s="556"/>
      <c r="G661" s="556"/>
      <c r="H661" s="556"/>
      <c r="I661" s="556"/>
      <c r="J661" s="556"/>
      <c r="K661" s="556"/>
      <c r="L661" s="556"/>
      <c r="M661" s="556"/>
      <c r="N661" s="556"/>
      <c r="O661" s="556"/>
      <c r="P661" s="556"/>
      <c r="Q661" s="556"/>
      <c r="R661" s="556"/>
      <c r="S661" s="556"/>
      <c r="T661" s="556"/>
      <c r="U661" s="556"/>
      <c r="V661" s="556"/>
      <c r="W661" s="556"/>
      <c r="X661" s="556"/>
      <c r="Y661" s="556"/>
      <c r="Z661" s="579"/>
      <c r="AA661" s="556"/>
      <c r="AB661" s="556"/>
      <c r="AC661" s="556"/>
      <c r="AD661" s="556"/>
    </row>
    <row r="662" ht="15.75" customHeight="1">
      <c r="A662" s="594"/>
      <c r="B662" s="556"/>
      <c r="C662" s="556"/>
      <c r="D662" s="556"/>
      <c r="E662" s="556"/>
      <c r="F662" s="556"/>
      <c r="G662" s="556"/>
      <c r="H662" s="556"/>
      <c r="I662" s="556"/>
      <c r="J662" s="556"/>
      <c r="K662" s="556"/>
      <c r="L662" s="556"/>
      <c r="M662" s="556"/>
      <c r="N662" s="556"/>
      <c r="O662" s="556"/>
      <c r="P662" s="556"/>
      <c r="Q662" s="556"/>
      <c r="R662" s="556"/>
      <c r="S662" s="556"/>
      <c r="T662" s="556"/>
      <c r="U662" s="556"/>
      <c r="V662" s="556"/>
      <c r="W662" s="556"/>
      <c r="X662" s="556"/>
      <c r="Y662" s="556"/>
      <c r="Z662" s="579"/>
      <c r="AA662" s="556"/>
      <c r="AB662" s="556"/>
      <c r="AC662" s="556"/>
      <c r="AD662" s="556"/>
    </row>
    <row r="663" ht="15.75" customHeight="1">
      <c r="A663" s="594"/>
      <c r="B663" s="556"/>
      <c r="C663" s="556"/>
      <c r="D663" s="556"/>
      <c r="E663" s="556"/>
      <c r="F663" s="556"/>
      <c r="G663" s="556"/>
      <c r="H663" s="556"/>
      <c r="I663" s="556"/>
      <c r="J663" s="556"/>
      <c r="K663" s="556"/>
      <c r="L663" s="556"/>
      <c r="M663" s="556"/>
      <c r="N663" s="556"/>
      <c r="O663" s="556"/>
      <c r="P663" s="556"/>
      <c r="Q663" s="556"/>
      <c r="R663" s="556"/>
      <c r="S663" s="556"/>
      <c r="T663" s="556"/>
      <c r="U663" s="556"/>
      <c r="V663" s="556"/>
      <c r="W663" s="556"/>
      <c r="X663" s="556"/>
      <c r="Y663" s="556"/>
      <c r="Z663" s="579"/>
      <c r="AA663" s="556"/>
      <c r="AB663" s="556"/>
      <c r="AC663" s="556"/>
      <c r="AD663" s="556"/>
    </row>
    <row r="664" ht="15.75" customHeight="1">
      <c r="A664" s="594"/>
      <c r="B664" s="556"/>
      <c r="C664" s="556"/>
      <c r="D664" s="556"/>
      <c r="E664" s="556"/>
      <c r="F664" s="556"/>
      <c r="G664" s="556"/>
      <c r="H664" s="556"/>
      <c r="I664" s="556"/>
      <c r="J664" s="556"/>
      <c r="K664" s="556"/>
      <c r="L664" s="556"/>
      <c r="M664" s="556"/>
      <c r="N664" s="556"/>
      <c r="O664" s="556"/>
      <c r="P664" s="556"/>
      <c r="Q664" s="556"/>
      <c r="R664" s="556"/>
      <c r="S664" s="556"/>
      <c r="T664" s="556"/>
      <c r="U664" s="556"/>
      <c r="V664" s="556"/>
      <c r="W664" s="556"/>
      <c r="X664" s="556"/>
      <c r="Y664" s="556"/>
      <c r="Z664" s="579"/>
      <c r="AA664" s="556"/>
      <c r="AB664" s="556"/>
      <c r="AC664" s="556"/>
      <c r="AD664" s="556"/>
    </row>
    <row r="665" ht="15.75" customHeight="1">
      <c r="A665" s="594"/>
      <c r="B665" s="556"/>
      <c r="C665" s="556"/>
      <c r="D665" s="556"/>
      <c r="E665" s="556"/>
      <c r="F665" s="556"/>
      <c r="G665" s="556"/>
      <c r="H665" s="556"/>
      <c r="I665" s="556"/>
      <c r="J665" s="556"/>
      <c r="K665" s="556"/>
      <c r="L665" s="556"/>
      <c r="M665" s="556"/>
      <c r="N665" s="556"/>
      <c r="O665" s="556"/>
      <c r="P665" s="556"/>
      <c r="Q665" s="556"/>
      <c r="R665" s="556"/>
      <c r="S665" s="556"/>
      <c r="T665" s="556"/>
      <c r="U665" s="556"/>
      <c r="V665" s="556"/>
      <c r="W665" s="556"/>
      <c r="X665" s="556"/>
      <c r="Y665" s="556"/>
      <c r="Z665" s="579"/>
      <c r="AA665" s="556"/>
      <c r="AB665" s="556"/>
      <c r="AC665" s="556"/>
      <c r="AD665" s="556"/>
    </row>
    <row r="666" ht="15.75" customHeight="1">
      <c r="A666" s="594"/>
      <c r="B666" s="556"/>
      <c r="C666" s="556"/>
      <c r="D666" s="556"/>
      <c r="E666" s="556"/>
      <c r="F666" s="556"/>
      <c r="G666" s="556"/>
      <c r="H666" s="556"/>
      <c r="I666" s="556"/>
      <c r="J666" s="556"/>
      <c r="K666" s="556"/>
      <c r="L666" s="556"/>
      <c r="M666" s="556"/>
      <c r="N666" s="556"/>
      <c r="O666" s="556"/>
      <c r="P666" s="556"/>
      <c r="Q666" s="556"/>
      <c r="R666" s="556"/>
      <c r="S666" s="556"/>
      <c r="T666" s="556"/>
      <c r="U666" s="556"/>
      <c r="V666" s="556"/>
      <c r="W666" s="556"/>
      <c r="X666" s="556"/>
      <c r="Y666" s="556"/>
      <c r="Z666" s="579"/>
      <c r="AA666" s="556"/>
      <c r="AB666" s="556"/>
      <c r="AC666" s="556"/>
      <c r="AD666" s="556"/>
    </row>
    <row r="667" ht="15.75" customHeight="1">
      <c r="A667" s="594"/>
      <c r="B667" s="556"/>
      <c r="C667" s="556"/>
      <c r="D667" s="556"/>
      <c r="E667" s="556"/>
      <c r="F667" s="556"/>
      <c r="G667" s="556"/>
      <c r="H667" s="556"/>
      <c r="I667" s="556"/>
      <c r="J667" s="556"/>
      <c r="K667" s="556"/>
      <c r="L667" s="556"/>
      <c r="M667" s="556"/>
      <c r="N667" s="556"/>
      <c r="O667" s="556"/>
      <c r="P667" s="556"/>
      <c r="Q667" s="556"/>
      <c r="R667" s="556"/>
      <c r="S667" s="556"/>
      <c r="T667" s="556"/>
      <c r="U667" s="556"/>
      <c r="V667" s="556"/>
      <c r="W667" s="556"/>
      <c r="X667" s="556"/>
      <c r="Y667" s="556"/>
      <c r="Z667" s="579"/>
      <c r="AA667" s="556"/>
      <c r="AB667" s="556"/>
      <c r="AC667" s="556"/>
      <c r="AD667" s="556"/>
    </row>
    <row r="668" ht="15.75" customHeight="1">
      <c r="A668" s="594"/>
      <c r="B668" s="556"/>
      <c r="C668" s="556"/>
      <c r="D668" s="556"/>
      <c r="E668" s="556"/>
      <c r="F668" s="556"/>
      <c r="G668" s="556"/>
      <c r="H668" s="556"/>
      <c r="I668" s="556"/>
      <c r="J668" s="556"/>
      <c r="K668" s="556"/>
      <c r="L668" s="556"/>
      <c r="M668" s="556"/>
      <c r="N668" s="556"/>
      <c r="O668" s="556"/>
      <c r="P668" s="556"/>
      <c r="Q668" s="556"/>
      <c r="R668" s="556"/>
      <c r="S668" s="556"/>
      <c r="T668" s="556"/>
      <c r="U668" s="556"/>
      <c r="V668" s="556"/>
      <c r="W668" s="556"/>
      <c r="X668" s="556"/>
      <c r="Y668" s="556"/>
      <c r="Z668" s="579"/>
      <c r="AA668" s="556"/>
      <c r="AB668" s="556"/>
      <c r="AC668" s="556"/>
      <c r="AD668" s="556"/>
    </row>
    <row r="669" ht="15.75" customHeight="1">
      <c r="A669" s="594"/>
      <c r="B669" s="556"/>
      <c r="C669" s="556"/>
      <c r="D669" s="556"/>
      <c r="E669" s="556"/>
      <c r="F669" s="556"/>
      <c r="G669" s="556"/>
      <c r="H669" s="556"/>
      <c r="I669" s="556"/>
      <c r="J669" s="556"/>
      <c r="K669" s="556"/>
      <c r="L669" s="556"/>
      <c r="M669" s="556"/>
      <c r="N669" s="556"/>
      <c r="O669" s="556"/>
      <c r="P669" s="556"/>
      <c r="Q669" s="556"/>
      <c r="R669" s="556"/>
      <c r="S669" s="556"/>
      <c r="T669" s="556"/>
      <c r="U669" s="556"/>
      <c r="V669" s="556"/>
      <c r="W669" s="556"/>
      <c r="X669" s="556"/>
      <c r="Y669" s="556"/>
      <c r="Z669" s="579"/>
      <c r="AA669" s="556"/>
      <c r="AB669" s="556"/>
      <c r="AC669" s="556"/>
      <c r="AD669" s="556"/>
    </row>
    <row r="670" ht="15.75" customHeight="1">
      <c r="A670" s="594"/>
      <c r="B670" s="556"/>
      <c r="C670" s="556"/>
      <c r="D670" s="556"/>
      <c r="E670" s="556"/>
      <c r="F670" s="556"/>
      <c r="G670" s="556"/>
      <c r="H670" s="556"/>
      <c r="I670" s="556"/>
      <c r="J670" s="556"/>
      <c r="K670" s="556"/>
      <c r="L670" s="556"/>
      <c r="M670" s="556"/>
      <c r="N670" s="556"/>
      <c r="O670" s="556"/>
      <c r="P670" s="556"/>
      <c r="Q670" s="556"/>
      <c r="R670" s="556"/>
      <c r="S670" s="556"/>
      <c r="T670" s="556"/>
      <c r="U670" s="556"/>
      <c r="V670" s="556"/>
      <c r="W670" s="556"/>
      <c r="X670" s="556"/>
      <c r="Y670" s="556"/>
      <c r="Z670" s="579"/>
      <c r="AA670" s="556"/>
      <c r="AB670" s="556"/>
      <c r="AC670" s="556"/>
      <c r="AD670" s="556"/>
    </row>
    <row r="671" ht="15.75" customHeight="1">
      <c r="A671" s="594"/>
      <c r="B671" s="556"/>
      <c r="C671" s="556"/>
      <c r="D671" s="556"/>
      <c r="E671" s="556"/>
      <c r="F671" s="556"/>
      <c r="G671" s="556"/>
      <c r="H671" s="556"/>
      <c r="I671" s="556"/>
      <c r="J671" s="556"/>
      <c r="K671" s="556"/>
      <c r="L671" s="556"/>
      <c r="M671" s="556"/>
      <c r="N671" s="556"/>
      <c r="O671" s="556"/>
      <c r="P671" s="556"/>
      <c r="Q671" s="556"/>
      <c r="R671" s="556"/>
      <c r="S671" s="556"/>
      <c r="T671" s="556"/>
      <c r="U671" s="556"/>
      <c r="V671" s="556"/>
      <c r="W671" s="556"/>
      <c r="X671" s="556"/>
      <c r="Y671" s="556"/>
      <c r="Z671" s="579"/>
      <c r="AA671" s="556"/>
      <c r="AB671" s="556"/>
      <c r="AC671" s="556"/>
      <c r="AD671" s="556"/>
    </row>
    <row r="672" ht="15.75" customHeight="1">
      <c r="A672" s="594"/>
      <c r="B672" s="556"/>
      <c r="C672" s="556"/>
      <c r="D672" s="556"/>
      <c r="E672" s="556"/>
      <c r="F672" s="556"/>
      <c r="G672" s="556"/>
      <c r="H672" s="556"/>
      <c r="I672" s="556"/>
      <c r="J672" s="556"/>
      <c r="K672" s="556"/>
      <c r="L672" s="556"/>
      <c r="M672" s="556"/>
      <c r="N672" s="556"/>
      <c r="O672" s="556"/>
      <c r="P672" s="556"/>
      <c r="Q672" s="556"/>
      <c r="R672" s="556"/>
      <c r="S672" s="556"/>
      <c r="T672" s="556"/>
      <c r="U672" s="556"/>
      <c r="V672" s="556"/>
      <c r="W672" s="556"/>
      <c r="X672" s="556"/>
      <c r="Y672" s="556"/>
      <c r="Z672" s="579"/>
      <c r="AA672" s="556"/>
      <c r="AB672" s="556"/>
      <c r="AC672" s="556"/>
      <c r="AD672" s="556"/>
    </row>
    <row r="673" ht="15.75" customHeight="1">
      <c r="A673" s="594"/>
      <c r="B673" s="556"/>
      <c r="C673" s="556"/>
      <c r="D673" s="556"/>
      <c r="E673" s="556"/>
      <c r="F673" s="556"/>
      <c r="G673" s="556"/>
      <c r="H673" s="556"/>
      <c r="I673" s="556"/>
      <c r="J673" s="556"/>
      <c r="K673" s="556"/>
      <c r="L673" s="556"/>
      <c r="M673" s="556"/>
      <c r="N673" s="556"/>
      <c r="O673" s="556"/>
      <c r="P673" s="556"/>
      <c r="Q673" s="556"/>
      <c r="R673" s="556"/>
      <c r="S673" s="556"/>
      <c r="T673" s="556"/>
      <c r="U673" s="556"/>
      <c r="V673" s="556"/>
      <c r="W673" s="556"/>
      <c r="X673" s="556"/>
      <c r="Y673" s="556"/>
      <c r="Z673" s="579"/>
      <c r="AA673" s="556"/>
      <c r="AB673" s="556"/>
      <c r="AC673" s="556"/>
      <c r="AD673" s="556"/>
    </row>
    <row r="674" ht="15.75" customHeight="1">
      <c r="A674" s="594"/>
      <c r="B674" s="556"/>
      <c r="C674" s="556"/>
      <c r="D674" s="556"/>
      <c r="E674" s="556"/>
      <c r="F674" s="556"/>
      <c r="G674" s="556"/>
      <c r="H674" s="556"/>
      <c r="I674" s="556"/>
      <c r="J674" s="556"/>
      <c r="K674" s="556"/>
      <c r="L674" s="556"/>
      <c r="M674" s="556"/>
      <c r="N674" s="556"/>
      <c r="O674" s="556"/>
      <c r="P674" s="556"/>
      <c r="Q674" s="556"/>
      <c r="R674" s="556"/>
      <c r="S674" s="556"/>
      <c r="T674" s="556"/>
      <c r="U674" s="556"/>
      <c r="V674" s="556"/>
      <c r="W674" s="556"/>
      <c r="X674" s="556"/>
      <c r="Y674" s="556"/>
      <c r="Z674" s="579"/>
      <c r="AA674" s="556"/>
      <c r="AB674" s="556"/>
      <c r="AC674" s="556"/>
      <c r="AD674" s="556"/>
    </row>
    <row r="675" ht="15.75" customHeight="1">
      <c r="A675" s="594"/>
      <c r="B675" s="556"/>
      <c r="C675" s="556"/>
      <c r="D675" s="556"/>
      <c r="E675" s="556"/>
      <c r="F675" s="556"/>
      <c r="G675" s="556"/>
      <c r="H675" s="556"/>
      <c r="I675" s="556"/>
      <c r="J675" s="556"/>
      <c r="K675" s="556"/>
      <c r="L675" s="556"/>
      <c r="M675" s="556"/>
      <c r="N675" s="556"/>
      <c r="O675" s="556"/>
      <c r="P675" s="556"/>
      <c r="Q675" s="556"/>
      <c r="R675" s="556"/>
      <c r="S675" s="556"/>
      <c r="T675" s="556"/>
      <c r="U675" s="556"/>
      <c r="V675" s="556"/>
      <c r="W675" s="556"/>
      <c r="X675" s="556"/>
      <c r="Y675" s="556"/>
      <c r="Z675" s="579"/>
      <c r="AA675" s="556"/>
      <c r="AB675" s="556"/>
      <c r="AC675" s="556"/>
      <c r="AD675" s="556"/>
    </row>
    <row r="676" ht="15.75" customHeight="1">
      <c r="A676" s="594"/>
      <c r="B676" s="556"/>
      <c r="C676" s="556"/>
      <c r="D676" s="556"/>
      <c r="E676" s="556"/>
      <c r="F676" s="556"/>
      <c r="G676" s="556"/>
      <c r="H676" s="556"/>
      <c r="I676" s="556"/>
      <c r="J676" s="556"/>
      <c r="K676" s="556"/>
      <c r="L676" s="556"/>
      <c r="M676" s="556"/>
      <c r="N676" s="556"/>
      <c r="O676" s="556"/>
      <c r="P676" s="556"/>
      <c r="Q676" s="556"/>
      <c r="R676" s="556"/>
      <c r="S676" s="556"/>
      <c r="T676" s="556"/>
      <c r="U676" s="556"/>
      <c r="V676" s="556"/>
      <c r="W676" s="556"/>
      <c r="X676" s="556"/>
      <c r="Y676" s="556"/>
      <c r="Z676" s="579"/>
      <c r="AA676" s="556"/>
      <c r="AB676" s="556"/>
      <c r="AC676" s="556"/>
      <c r="AD676" s="556"/>
    </row>
    <row r="677" ht="15.75" customHeight="1">
      <c r="A677" s="594"/>
      <c r="B677" s="556"/>
      <c r="C677" s="556"/>
      <c r="D677" s="556"/>
      <c r="E677" s="556"/>
      <c r="F677" s="556"/>
      <c r="G677" s="556"/>
      <c r="H677" s="556"/>
      <c r="I677" s="556"/>
      <c r="J677" s="556"/>
      <c r="K677" s="556"/>
      <c r="L677" s="556"/>
      <c r="M677" s="556"/>
      <c r="N677" s="556"/>
      <c r="O677" s="556"/>
      <c r="P677" s="556"/>
      <c r="Q677" s="556"/>
      <c r="R677" s="556"/>
      <c r="S677" s="556"/>
      <c r="T677" s="556"/>
      <c r="U677" s="556"/>
      <c r="V677" s="556"/>
      <c r="W677" s="556"/>
      <c r="X677" s="556"/>
      <c r="Y677" s="556"/>
      <c r="Z677" s="579"/>
      <c r="AA677" s="556"/>
      <c r="AB677" s="556"/>
      <c r="AC677" s="556"/>
      <c r="AD677" s="556"/>
    </row>
    <row r="678" ht="15.75" customHeight="1">
      <c r="A678" s="594"/>
      <c r="B678" s="556"/>
      <c r="C678" s="556"/>
      <c r="D678" s="556"/>
      <c r="E678" s="556"/>
      <c r="F678" s="556"/>
      <c r="G678" s="556"/>
      <c r="H678" s="556"/>
      <c r="I678" s="556"/>
      <c r="J678" s="556"/>
      <c r="K678" s="556"/>
      <c r="L678" s="556"/>
      <c r="M678" s="556"/>
      <c r="N678" s="556"/>
      <c r="O678" s="556"/>
      <c r="P678" s="556"/>
      <c r="Q678" s="556"/>
      <c r="R678" s="556"/>
      <c r="S678" s="556"/>
      <c r="T678" s="556"/>
      <c r="U678" s="556"/>
      <c r="V678" s="556"/>
      <c r="W678" s="556"/>
      <c r="X678" s="556"/>
      <c r="Y678" s="556"/>
      <c r="Z678" s="579"/>
      <c r="AA678" s="556"/>
      <c r="AB678" s="556"/>
      <c r="AC678" s="556"/>
      <c r="AD678" s="556"/>
    </row>
    <row r="679" ht="15.75" customHeight="1">
      <c r="A679" s="594"/>
      <c r="B679" s="556"/>
      <c r="C679" s="556"/>
      <c r="D679" s="556"/>
      <c r="E679" s="556"/>
      <c r="F679" s="556"/>
      <c r="G679" s="556"/>
      <c r="H679" s="556"/>
      <c r="I679" s="556"/>
      <c r="J679" s="556"/>
      <c r="K679" s="556"/>
      <c r="L679" s="556"/>
      <c r="M679" s="556"/>
      <c r="N679" s="556"/>
      <c r="O679" s="556"/>
      <c r="P679" s="556"/>
      <c r="Q679" s="556"/>
      <c r="R679" s="556"/>
      <c r="S679" s="556"/>
      <c r="T679" s="556"/>
      <c r="U679" s="556"/>
      <c r="V679" s="556"/>
      <c r="W679" s="556"/>
      <c r="X679" s="556"/>
      <c r="Y679" s="556"/>
      <c r="Z679" s="579"/>
      <c r="AA679" s="556"/>
      <c r="AB679" s="556"/>
      <c r="AC679" s="556"/>
      <c r="AD679" s="556"/>
    </row>
    <row r="680" ht="15.75" customHeight="1">
      <c r="A680" s="594"/>
      <c r="B680" s="556"/>
      <c r="C680" s="556"/>
      <c r="D680" s="556"/>
      <c r="E680" s="556"/>
      <c r="F680" s="556"/>
      <c r="G680" s="556"/>
      <c r="H680" s="556"/>
      <c r="I680" s="556"/>
      <c r="J680" s="556"/>
      <c r="K680" s="556"/>
      <c r="L680" s="556"/>
      <c r="M680" s="556"/>
      <c r="N680" s="556"/>
      <c r="O680" s="556"/>
      <c r="P680" s="556"/>
      <c r="Q680" s="556"/>
      <c r="R680" s="556"/>
      <c r="S680" s="556"/>
      <c r="T680" s="556"/>
      <c r="U680" s="556"/>
      <c r="V680" s="556"/>
      <c r="W680" s="556"/>
      <c r="X680" s="556"/>
      <c r="Y680" s="556"/>
      <c r="Z680" s="579"/>
      <c r="AA680" s="556"/>
      <c r="AB680" s="556"/>
      <c r="AC680" s="556"/>
      <c r="AD680" s="556"/>
    </row>
    <row r="681" ht="15.75" customHeight="1">
      <c r="A681" s="594"/>
      <c r="B681" s="556"/>
      <c r="C681" s="556"/>
      <c r="D681" s="556"/>
      <c r="E681" s="556"/>
      <c r="F681" s="556"/>
      <c r="G681" s="556"/>
      <c r="H681" s="556"/>
      <c r="I681" s="556"/>
      <c r="J681" s="556"/>
      <c r="K681" s="556"/>
      <c r="L681" s="556"/>
      <c r="M681" s="556"/>
      <c r="N681" s="556"/>
      <c r="O681" s="556"/>
      <c r="P681" s="556"/>
      <c r="Q681" s="556"/>
      <c r="R681" s="556"/>
      <c r="S681" s="556"/>
      <c r="T681" s="556"/>
      <c r="U681" s="556"/>
      <c r="V681" s="556"/>
      <c r="W681" s="556"/>
      <c r="X681" s="556"/>
      <c r="Y681" s="556"/>
      <c r="Z681" s="579"/>
      <c r="AA681" s="556"/>
      <c r="AB681" s="556"/>
      <c r="AC681" s="556"/>
      <c r="AD681" s="556"/>
    </row>
    <row r="682" ht="15.75" customHeight="1">
      <c r="A682" s="594"/>
      <c r="B682" s="556"/>
      <c r="C682" s="556"/>
      <c r="D682" s="556"/>
      <c r="E682" s="556"/>
      <c r="F682" s="556"/>
      <c r="G682" s="556"/>
      <c r="H682" s="556"/>
      <c r="I682" s="556"/>
      <c r="J682" s="556"/>
      <c r="K682" s="556"/>
      <c r="L682" s="556"/>
      <c r="M682" s="556"/>
      <c r="N682" s="556"/>
      <c r="O682" s="556"/>
      <c r="P682" s="556"/>
      <c r="Q682" s="556"/>
      <c r="R682" s="556"/>
      <c r="S682" s="556"/>
      <c r="T682" s="556"/>
      <c r="U682" s="556"/>
      <c r="V682" s="556"/>
      <c r="W682" s="556"/>
      <c r="X682" s="556"/>
      <c r="Y682" s="556"/>
      <c r="Z682" s="579"/>
      <c r="AA682" s="556"/>
      <c r="AB682" s="556"/>
      <c r="AC682" s="556"/>
      <c r="AD682" s="556"/>
    </row>
    <row r="683" ht="15.75" customHeight="1">
      <c r="A683" s="594"/>
      <c r="B683" s="556"/>
      <c r="C683" s="556"/>
      <c r="D683" s="556"/>
      <c r="E683" s="556"/>
      <c r="F683" s="556"/>
      <c r="G683" s="556"/>
      <c r="H683" s="556"/>
      <c r="I683" s="556"/>
      <c r="J683" s="556"/>
      <c r="K683" s="556"/>
      <c r="L683" s="556"/>
      <c r="M683" s="556"/>
      <c r="N683" s="556"/>
      <c r="O683" s="556"/>
      <c r="P683" s="556"/>
      <c r="Q683" s="556"/>
      <c r="R683" s="556"/>
      <c r="S683" s="556"/>
      <c r="T683" s="556"/>
      <c r="U683" s="556"/>
      <c r="V683" s="556"/>
      <c r="W683" s="556"/>
      <c r="X683" s="556"/>
      <c r="Y683" s="556"/>
      <c r="Z683" s="579"/>
      <c r="AA683" s="556"/>
      <c r="AB683" s="556"/>
      <c r="AC683" s="556"/>
      <c r="AD683" s="556"/>
    </row>
    <row r="684" ht="15.75" customHeight="1">
      <c r="A684" s="594"/>
      <c r="B684" s="556"/>
      <c r="C684" s="556"/>
      <c r="D684" s="556"/>
      <c r="E684" s="556"/>
      <c r="F684" s="556"/>
      <c r="G684" s="556"/>
      <c r="H684" s="556"/>
      <c r="I684" s="556"/>
      <c r="J684" s="556"/>
      <c r="K684" s="556"/>
      <c r="L684" s="556"/>
      <c r="M684" s="556"/>
      <c r="N684" s="556"/>
      <c r="O684" s="556"/>
      <c r="P684" s="556"/>
      <c r="Q684" s="556"/>
      <c r="R684" s="556"/>
      <c r="S684" s="556"/>
      <c r="T684" s="556"/>
      <c r="U684" s="556"/>
      <c r="V684" s="556"/>
      <c r="W684" s="556"/>
      <c r="X684" s="556"/>
      <c r="Y684" s="556"/>
      <c r="Z684" s="579"/>
      <c r="AA684" s="556"/>
      <c r="AB684" s="556"/>
      <c r="AC684" s="556"/>
      <c r="AD684" s="556"/>
    </row>
    <row r="685" ht="15.75" customHeight="1">
      <c r="A685" s="594"/>
      <c r="B685" s="556"/>
      <c r="C685" s="556"/>
      <c r="D685" s="556"/>
      <c r="E685" s="556"/>
      <c r="F685" s="556"/>
      <c r="G685" s="556"/>
      <c r="H685" s="556"/>
      <c r="I685" s="556"/>
      <c r="J685" s="556"/>
      <c r="K685" s="556"/>
      <c r="L685" s="556"/>
      <c r="M685" s="556"/>
      <c r="N685" s="556"/>
      <c r="O685" s="556"/>
      <c r="P685" s="556"/>
      <c r="Q685" s="556"/>
      <c r="R685" s="556"/>
      <c r="S685" s="556"/>
      <c r="T685" s="556"/>
      <c r="U685" s="556"/>
      <c r="V685" s="556"/>
      <c r="W685" s="556"/>
      <c r="X685" s="556"/>
      <c r="Y685" s="556"/>
      <c r="Z685" s="579"/>
      <c r="AA685" s="556"/>
      <c r="AB685" s="556"/>
      <c r="AC685" s="556"/>
      <c r="AD685" s="556"/>
    </row>
    <row r="686" ht="15.75" customHeight="1">
      <c r="A686" s="594"/>
      <c r="B686" s="556"/>
      <c r="C686" s="556"/>
      <c r="D686" s="556"/>
      <c r="E686" s="556"/>
      <c r="F686" s="556"/>
      <c r="G686" s="556"/>
      <c r="H686" s="556"/>
      <c r="I686" s="556"/>
      <c r="J686" s="556"/>
      <c r="K686" s="556"/>
      <c r="L686" s="556"/>
      <c r="M686" s="556"/>
      <c r="N686" s="556"/>
      <c r="O686" s="556"/>
      <c r="P686" s="556"/>
      <c r="Q686" s="556"/>
      <c r="R686" s="556"/>
      <c r="S686" s="556"/>
      <c r="T686" s="556"/>
      <c r="U686" s="556"/>
      <c r="V686" s="556"/>
      <c r="W686" s="556"/>
      <c r="X686" s="556"/>
      <c r="Y686" s="556"/>
      <c r="Z686" s="579"/>
      <c r="AA686" s="556"/>
      <c r="AB686" s="556"/>
      <c r="AC686" s="556"/>
      <c r="AD686" s="556"/>
    </row>
    <row r="687" ht="15.75" customHeight="1">
      <c r="A687" s="594"/>
      <c r="B687" s="556"/>
      <c r="C687" s="556"/>
      <c r="D687" s="556"/>
      <c r="E687" s="556"/>
      <c r="F687" s="556"/>
      <c r="G687" s="556"/>
      <c r="H687" s="556"/>
      <c r="I687" s="556"/>
      <c r="J687" s="556"/>
      <c r="K687" s="556"/>
      <c r="L687" s="556"/>
      <c r="M687" s="556"/>
      <c r="N687" s="556"/>
      <c r="O687" s="556"/>
      <c r="P687" s="556"/>
      <c r="Q687" s="556"/>
      <c r="R687" s="556"/>
      <c r="S687" s="556"/>
      <c r="T687" s="556"/>
      <c r="U687" s="556"/>
      <c r="V687" s="556"/>
      <c r="W687" s="556"/>
      <c r="X687" s="556"/>
      <c r="Y687" s="556"/>
      <c r="Z687" s="579"/>
      <c r="AA687" s="556"/>
      <c r="AB687" s="556"/>
      <c r="AC687" s="556"/>
      <c r="AD687" s="556"/>
    </row>
    <row r="688" ht="15.75" customHeight="1">
      <c r="A688" s="594"/>
      <c r="B688" s="556"/>
      <c r="C688" s="556"/>
      <c r="D688" s="556"/>
      <c r="E688" s="556"/>
      <c r="F688" s="556"/>
      <c r="G688" s="556"/>
      <c r="H688" s="556"/>
      <c r="I688" s="556"/>
      <c r="J688" s="556"/>
      <c r="K688" s="556"/>
      <c r="L688" s="556"/>
      <c r="M688" s="556"/>
      <c r="N688" s="556"/>
      <c r="O688" s="556"/>
      <c r="P688" s="556"/>
      <c r="Q688" s="556"/>
      <c r="R688" s="556"/>
      <c r="S688" s="556"/>
      <c r="T688" s="556"/>
      <c r="U688" s="556"/>
      <c r="V688" s="556"/>
      <c r="W688" s="556"/>
      <c r="X688" s="556"/>
      <c r="Y688" s="556"/>
      <c r="Z688" s="579"/>
      <c r="AA688" s="556"/>
      <c r="AB688" s="556"/>
      <c r="AC688" s="556"/>
      <c r="AD688" s="556"/>
    </row>
    <row r="689" ht="15.75" customHeight="1">
      <c r="A689" s="594"/>
      <c r="B689" s="556"/>
      <c r="C689" s="556"/>
      <c r="D689" s="556"/>
      <c r="E689" s="556"/>
      <c r="F689" s="556"/>
      <c r="G689" s="556"/>
      <c r="H689" s="556"/>
      <c r="I689" s="556"/>
      <c r="J689" s="556"/>
      <c r="K689" s="556"/>
      <c r="L689" s="556"/>
      <c r="M689" s="556"/>
      <c r="N689" s="556"/>
      <c r="O689" s="556"/>
      <c r="P689" s="556"/>
      <c r="Q689" s="556"/>
      <c r="R689" s="556"/>
      <c r="S689" s="556"/>
      <c r="T689" s="556"/>
      <c r="U689" s="556"/>
      <c r="V689" s="556"/>
      <c r="W689" s="556"/>
      <c r="X689" s="556"/>
      <c r="Y689" s="556"/>
      <c r="Z689" s="579"/>
      <c r="AA689" s="556"/>
      <c r="AB689" s="556"/>
      <c r="AC689" s="556"/>
      <c r="AD689" s="556"/>
    </row>
    <row r="690" ht="15.75" customHeight="1">
      <c r="A690" s="594"/>
      <c r="B690" s="556"/>
      <c r="C690" s="556"/>
      <c r="D690" s="556"/>
      <c r="E690" s="556"/>
      <c r="F690" s="556"/>
      <c r="G690" s="556"/>
      <c r="H690" s="556"/>
      <c r="I690" s="556"/>
      <c r="J690" s="556"/>
      <c r="K690" s="556"/>
      <c r="L690" s="556"/>
      <c r="M690" s="556"/>
      <c r="N690" s="556"/>
      <c r="O690" s="556"/>
      <c r="P690" s="556"/>
      <c r="Q690" s="556"/>
      <c r="R690" s="556"/>
      <c r="S690" s="556"/>
      <c r="T690" s="556"/>
      <c r="U690" s="556"/>
      <c r="V690" s="556"/>
      <c r="W690" s="556"/>
      <c r="X690" s="556"/>
      <c r="Y690" s="556"/>
      <c r="Z690" s="579"/>
      <c r="AA690" s="556"/>
      <c r="AB690" s="556"/>
      <c r="AC690" s="556"/>
      <c r="AD690" s="556"/>
    </row>
    <row r="691" ht="15.75" customHeight="1">
      <c r="A691" s="594"/>
      <c r="B691" s="556"/>
      <c r="C691" s="556"/>
      <c r="D691" s="556"/>
      <c r="E691" s="556"/>
      <c r="F691" s="556"/>
      <c r="G691" s="556"/>
      <c r="H691" s="556"/>
      <c r="I691" s="556"/>
      <c r="J691" s="556"/>
      <c r="K691" s="556"/>
      <c r="L691" s="556"/>
      <c r="M691" s="556"/>
      <c r="N691" s="556"/>
      <c r="O691" s="556"/>
      <c r="P691" s="556"/>
      <c r="Q691" s="556"/>
      <c r="R691" s="556"/>
      <c r="S691" s="556"/>
      <c r="T691" s="556"/>
      <c r="U691" s="556"/>
      <c r="V691" s="556"/>
      <c r="W691" s="556"/>
      <c r="X691" s="556"/>
      <c r="Y691" s="556"/>
      <c r="Z691" s="579"/>
      <c r="AA691" s="556"/>
      <c r="AB691" s="556"/>
      <c r="AC691" s="556"/>
      <c r="AD691" s="556"/>
    </row>
    <row r="692" ht="15.75" customHeight="1">
      <c r="A692" s="594"/>
      <c r="B692" s="556"/>
      <c r="C692" s="556"/>
      <c r="D692" s="556"/>
      <c r="E692" s="556"/>
      <c r="F692" s="556"/>
      <c r="G692" s="556"/>
      <c r="H692" s="556"/>
      <c r="I692" s="556"/>
      <c r="J692" s="556"/>
      <c r="K692" s="556"/>
      <c r="L692" s="556"/>
      <c r="M692" s="556"/>
      <c r="N692" s="556"/>
      <c r="O692" s="556"/>
      <c r="P692" s="556"/>
      <c r="Q692" s="556"/>
      <c r="R692" s="556"/>
      <c r="S692" s="556"/>
      <c r="T692" s="556"/>
      <c r="U692" s="556"/>
      <c r="V692" s="556"/>
      <c r="W692" s="556"/>
      <c r="X692" s="556"/>
      <c r="Y692" s="556"/>
      <c r="Z692" s="579"/>
      <c r="AA692" s="556"/>
      <c r="AB692" s="556"/>
      <c r="AC692" s="556"/>
      <c r="AD692" s="556"/>
    </row>
    <row r="693" ht="15.75" customHeight="1">
      <c r="A693" s="594"/>
      <c r="B693" s="556"/>
      <c r="C693" s="556"/>
      <c r="D693" s="556"/>
      <c r="E693" s="556"/>
      <c r="F693" s="556"/>
      <c r="G693" s="556"/>
      <c r="H693" s="556"/>
      <c r="I693" s="556"/>
      <c r="J693" s="556"/>
      <c r="K693" s="556"/>
      <c r="L693" s="556"/>
      <c r="M693" s="556"/>
      <c r="N693" s="556"/>
      <c r="O693" s="556"/>
      <c r="P693" s="556"/>
      <c r="Q693" s="556"/>
      <c r="R693" s="556"/>
      <c r="S693" s="556"/>
      <c r="T693" s="556"/>
      <c r="U693" s="556"/>
      <c r="V693" s="556"/>
      <c r="W693" s="556"/>
      <c r="X693" s="556"/>
      <c r="Y693" s="556"/>
      <c r="Z693" s="579"/>
      <c r="AA693" s="556"/>
      <c r="AB693" s="556"/>
      <c r="AC693" s="556"/>
      <c r="AD693" s="556"/>
    </row>
    <row r="694" ht="15.75" customHeight="1">
      <c r="A694" s="594"/>
      <c r="B694" s="556"/>
      <c r="C694" s="556"/>
      <c r="D694" s="556"/>
      <c r="E694" s="556"/>
      <c r="F694" s="556"/>
      <c r="G694" s="556"/>
      <c r="H694" s="556"/>
      <c r="I694" s="556"/>
      <c r="J694" s="556"/>
      <c r="K694" s="556"/>
      <c r="L694" s="556"/>
      <c r="M694" s="556"/>
      <c r="N694" s="556"/>
      <c r="O694" s="556"/>
      <c r="P694" s="556"/>
      <c r="Q694" s="556"/>
      <c r="R694" s="556"/>
      <c r="S694" s="556"/>
      <c r="T694" s="556"/>
      <c r="U694" s="556"/>
      <c r="V694" s="556"/>
      <c r="W694" s="556"/>
      <c r="X694" s="556"/>
      <c r="Y694" s="556"/>
      <c r="Z694" s="579"/>
      <c r="AA694" s="556"/>
      <c r="AB694" s="556"/>
      <c r="AC694" s="556"/>
      <c r="AD694" s="556"/>
    </row>
    <row r="695" ht="15.75" customHeight="1">
      <c r="A695" s="594"/>
      <c r="B695" s="556"/>
      <c r="C695" s="556"/>
      <c r="D695" s="556"/>
      <c r="E695" s="556"/>
      <c r="F695" s="556"/>
      <c r="G695" s="556"/>
      <c r="H695" s="556"/>
      <c r="I695" s="556"/>
      <c r="J695" s="556"/>
      <c r="K695" s="556"/>
      <c r="L695" s="556"/>
      <c r="M695" s="556"/>
      <c r="N695" s="556"/>
      <c r="O695" s="556"/>
      <c r="P695" s="556"/>
      <c r="Q695" s="556"/>
      <c r="R695" s="556"/>
      <c r="S695" s="556"/>
      <c r="T695" s="556"/>
      <c r="U695" s="556"/>
      <c r="V695" s="556"/>
      <c r="W695" s="556"/>
      <c r="X695" s="556"/>
      <c r="Y695" s="556"/>
      <c r="Z695" s="579"/>
      <c r="AA695" s="556"/>
      <c r="AB695" s="556"/>
      <c r="AC695" s="556"/>
      <c r="AD695" s="556"/>
    </row>
    <row r="696" ht="15.75" customHeight="1">
      <c r="A696" s="594"/>
      <c r="B696" s="556"/>
      <c r="C696" s="556"/>
      <c r="D696" s="556"/>
      <c r="E696" s="556"/>
      <c r="F696" s="556"/>
      <c r="G696" s="556"/>
      <c r="H696" s="556"/>
      <c r="I696" s="556"/>
      <c r="J696" s="556"/>
      <c r="K696" s="556"/>
      <c r="L696" s="556"/>
      <c r="M696" s="556"/>
      <c r="N696" s="556"/>
      <c r="O696" s="556"/>
      <c r="P696" s="556"/>
      <c r="Q696" s="556"/>
      <c r="R696" s="556"/>
      <c r="S696" s="556"/>
      <c r="T696" s="556"/>
      <c r="U696" s="556"/>
      <c r="V696" s="556"/>
      <c r="W696" s="556"/>
      <c r="X696" s="556"/>
      <c r="Y696" s="556"/>
      <c r="Z696" s="579"/>
      <c r="AA696" s="556"/>
      <c r="AB696" s="556"/>
      <c r="AC696" s="556"/>
      <c r="AD696" s="556"/>
    </row>
    <row r="697" ht="15.75" customHeight="1">
      <c r="A697" s="594"/>
      <c r="B697" s="556"/>
      <c r="C697" s="556"/>
      <c r="D697" s="556"/>
      <c r="E697" s="556"/>
      <c r="F697" s="556"/>
      <c r="G697" s="556"/>
      <c r="H697" s="556"/>
      <c r="I697" s="556"/>
      <c r="J697" s="556"/>
      <c r="K697" s="556"/>
      <c r="L697" s="556"/>
      <c r="M697" s="556"/>
      <c r="N697" s="556"/>
      <c r="O697" s="556"/>
      <c r="P697" s="556"/>
      <c r="Q697" s="556"/>
      <c r="R697" s="556"/>
      <c r="S697" s="556"/>
      <c r="T697" s="556"/>
      <c r="U697" s="556"/>
      <c r="V697" s="556"/>
      <c r="W697" s="556"/>
      <c r="X697" s="556"/>
      <c r="Y697" s="556"/>
      <c r="Z697" s="579"/>
      <c r="AA697" s="556"/>
      <c r="AB697" s="556"/>
      <c r="AC697" s="556"/>
      <c r="AD697" s="556"/>
    </row>
    <row r="698" ht="15.75" customHeight="1">
      <c r="A698" s="594"/>
      <c r="B698" s="556"/>
      <c r="C698" s="556"/>
      <c r="D698" s="556"/>
      <c r="E698" s="556"/>
      <c r="F698" s="556"/>
      <c r="G698" s="556"/>
      <c r="H698" s="556"/>
      <c r="I698" s="556"/>
      <c r="J698" s="556"/>
      <c r="K698" s="556"/>
      <c r="L698" s="556"/>
      <c r="M698" s="556"/>
      <c r="N698" s="556"/>
      <c r="O698" s="556"/>
      <c r="P698" s="556"/>
      <c r="Q698" s="556"/>
      <c r="R698" s="556"/>
      <c r="S698" s="556"/>
      <c r="T698" s="556"/>
      <c r="U698" s="556"/>
      <c r="V698" s="556"/>
      <c r="W698" s="556"/>
      <c r="X698" s="556"/>
      <c r="Y698" s="556"/>
      <c r="Z698" s="579"/>
      <c r="AA698" s="556"/>
      <c r="AB698" s="556"/>
      <c r="AC698" s="556"/>
      <c r="AD698" s="556"/>
    </row>
    <row r="699" ht="15.75" customHeight="1">
      <c r="A699" s="594"/>
      <c r="B699" s="556"/>
      <c r="C699" s="556"/>
      <c r="D699" s="556"/>
      <c r="E699" s="556"/>
      <c r="F699" s="556"/>
      <c r="G699" s="556"/>
      <c r="H699" s="556"/>
      <c r="I699" s="556"/>
      <c r="J699" s="556"/>
      <c r="K699" s="556"/>
      <c r="L699" s="556"/>
      <c r="M699" s="556"/>
      <c r="N699" s="556"/>
      <c r="O699" s="556"/>
      <c r="P699" s="556"/>
      <c r="Q699" s="556"/>
      <c r="R699" s="556"/>
      <c r="S699" s="556"/>
      <c r="T699" s="556"/>
      <c r="U699" s="556"/>
      <c r="V699" s="556"/>
      <c r="W699" s="556"/>
      <c r="X699" s="556"/>
      <c r="Y699" s="556"/>
      <c r="Z699" s="579"/>
      <c r="AA699" s="556"/>
      <c r="AB699" s="556"/>
      <c r="AC699" s="556"/>
      <c r="AD699" s="556"/>
    </row>
    <row r="700" ht="15.75" customHeight="1">
      <c r="A700" s="594"/>
      <c r="B700" s="556"/>
      <c r="C700" s="556"/>
      <c r="D700" s="556"/>
      <c r="E700" s="556"/>
      <c r="F700" s="556"/>
      <c r="G700" s="556"/>
      <c r="H700" s="556"/>
      <c r="I700" s="556"/>
      <c r="J700" s="556"/>
      <c r="K700" s="556"/>
      <c r="L700" s="556"/>
      <c r="M700" s="556"/>
      <c r="N700" s="556"/>
      <c r="O700" s="556"/>
      <c r="P700" s="556"/>
      <c r="Q700" s="556"/>
      <c r="R700" s="556"/>
      <c r="S700" s="556"/>
      <c r="T700" s="556"/>
      <c r="U700" s="556"/>
      <c r="V700" s="556"/>
      <c r="W700" s="556"/>
      <c r="X700" s="556"/>
      <c r="Y700" s="556"/>
      <c r="Z700" s="579"/>
      <c r="AA700" s="556"/>
      <c r="AB700" s="556"/>
      <c r="AC700" s="556"/>
      <c r="AD700" s="556"/>
    </row>
    <row r="701" ht="15.75" customHeight="1">
      <c r="A701" s="594"/>
      <c r="B701" s="556"/>
      <c r="C701" s="556"/>
      <c r="D701" s="556"/>
      <c r="E701" s="556"/>
      <c r="F701" s="556"/>
      <c r="G701" s="556"/>
      <c r="H701" s="556"/>
      <c r="I701" s="556"/>
      <c r="J701" s="556"/>
      <c r="K701" s="556"/>
      <c r="L701" s="556"/>
      <c r="M701" s="556"/>
      <c r="N701" s="556"/>
      <c r="O701" s="556"/>
      <c r="P701" s="556"/>
      <c r="Q701" s="556"/>
      <c r="R701" s="556"/>
      <c r="S701" s="556"/>
      <c r="T701" s="556"/>
      <c r="U701" s="556"/>
      <c r="V701" s="556"/>
      <c r="W701" s="556"/>
      <c r="X701" s="556"/>
      <c r="Y701" s="556"/>
      <c r="Z701" s="579"/>
      <c r="AA701" s="556"/>
      <c r="AB701" s="556"/>
      <c r="AC701" s="556"/>
      <c r="AD701" s="556"/>
    </row>
    <row r="702" ht="15.75" customHeight="1">
      <c r="A702" s="594"/>
      <c r="B702" s="556"/>
      <c r="C702" s="556"/>
      <c r="D702" s="556"/>
      <c r="E702" s="556"/>
      <c r="F702" s="556"/>
      <c r="G702" s="556"/>
      <c r="H702" s="556"/>
      <c r="I702" s="556"/>
      <c r="J702" s="556"/>
      <c r="K702" s="556"/>
      <c r="L702" s="556"/>
      <c r="M702" s="556"/>
      <c r="N702" s="556"/>
      <c r="O702" s="556"/>
      <c r="P702" s="556"/>
      <c r="Q702" s="556"/>
      <c r="R702" s="556"/>
      <c r="S702" s="556"/>
      <c r="T702" s="556"/>
      <c r="U702" s="556"/>
      <c r="V702" s="556"/>
      <c r="W702" s="556"/>
      <c r="X702" s="556"/>
      <c r="Y702" s="556"/>
      <c r="Z702" s="579"/>
      <c r="AA702" s="556"/>
      <c r="AB702" s="556"/>
      <c r="AC702" s="556"/>
      <c r="AD702" s="556"/>
    </row>
    <row r="703" ht="15.75" customHeight="1">
      <c r="A703" s="594"/>
      <c r="B703" s="556"/>
      <c r="C703" s="556"/>
      <c r="D703" s="556"/>
      <c r="E703" s="556"/>
      <c r="F703" s="556"/>
      <c r="G703" s="556"/>
      <c r="H703" s="556"/>
      <c r="I703" s="556"/>
      <c r="J703" s="556"/>
      <c r="K703" s="556"/>
      <c r="L703" s="556"/>
      <c r="M703" s="556"/>
      <c r="N703" s="556"/>
      <c r="O703" s="556"/>
      <c r="P703" s="556"/>
      <c r="Q703" s="556"/>
      <c r="R703" s="556"/>
      <c r="S703" s="556"/>
      <c r="T703" s="556"/>
      <c r="U703" s="556"/>
      <c r="V703" s="556"/>
      <c r="W703" s="556"/>
      <c r="X703" s="556"/>
      <c r="Y703" s="556"/>
      <c r="Z703" s="579"/>
      <c r="AA703" s="556"/>
      <c r="AB703" s="556"/>
      <c r="AC703" s="556"/>
      <c r="AD703" s="556"/>
    </row>
    <row r="704" ht="15.75" customHeight="1">
      <c r="A704" s="594"/>
      <c r="B704" s="556"/>
      <c r="C704" s="556"/>
      <c r="D704" s="556"/>
      <c r="E704" s="556"/>
      <c r="F704" s="556"/>
      <c r="G704" s="556"/>
      <c r="H704" s="556"/>
      <c r="I704" s="556"/>
      <c r="J704" s="556"/>
      <c r="K704" s="556"/>
      <c r="L704" s="556"/>
      <c r="M704" s="556"/>
      <c r="N704" s="556"/>
      <c r="O704" s="556"/>
      <c r="P704" s="556"/>
      <c r="Q704" s="556"/>
      <c r="R704" s="556"/>
      <c r="S704" s="556"/>
      <c r="T704" s="556"/>
      <c r="U704" s="556"/>
      <c r="V704" s="556"/>
      <c r="W704" s="556"/>
      <c r="X704" s="556"/>
      <c r="Y704" s="556"/>
      <c r="Z704" s="579"/>
      <c r="AA704" s="556"/>
      <c r="AB704" s="556"/>
      <c r="AC704" s="556"/>
      <c r="AD704" s="556"/>
    </row>
    <row r="705" ht="15.75" customHeight="1">
      <c r="A705" s="594"/>
      <c r="B705" s="556"/>
      <c r="C705" s="556"/>
      <c r="D705" s="556"/>
      <c r="E705" s="556"/>
      <c r="F705" s="556"/>
      <c r="G705" s="556"/>
      <c r="H705" s="556"/>
      <c r="I705" s="556"/>
      <c r="J705" s="556"/>
      <c r="K705" s="556"/>
      <c r="L705" s="556"/>
      <c r="M705" s="556"/>
      <c r="N705" s="556"/>
      <c r="O705" s="556"/>
      <c r="P705" s="556"/>
      <c r="Q705" s="556"/>
      <c r="R705" s="556"/>
      <c r="S705" s="556"/>
      <c r="T705" s="556"/>
      <c r="U705" s="556"/>
      <c r="V705" s="556"/>
      <c r="W705" s="556"/>
      <c r="X705" s="556"/>
      <c r="Y705" s="556"/>
      <c r="Z705" s="579"/>
      <c r="AA705" s="556"/>
      <c r="AB705" s="556"/>
      <c r="AC705" s="556"/>
      <c r="AD705" s="556"/>
    </row>
    <row r="706" ht="15.75" customHeight="1">
      <c r="A706" s="594"/>
      <c r="B706" s="556"/>
      <c r="C706" s="556"/>
      <c r="D706" s="556"/>
      <c r="E706" s="556"/>
      <c r="F706" s="556"/>
      <c r="G706" s="556"/>
      <c r="H706" s="556"/>
      <c r="I706" s="556"/>
      <c r="J706" s="556"/>
      <c r="K706" s="556"/>
      <c r="L706" s="556"/>
      <c r="M706" s="556"/>
      <c r="N706" s="556"/>
      <c r="O706" s="556"/>
      <c r="P706" s="556"/>
      <c r="Q706" s="556"/>
      <c r="R706" s="556"/>
      <c r="S706" s="556"/>
      <c r="T706" s="556"/>
      <c r="U706" s="556"/>
      <c r="V706" s="556"/>
      <c r="W706" s="556"/>
      <c r="X706" s="556"/>
      <c r="Y706" s="556"/>
      <c r="Z706" s="579"/>
      <c r="AA706" s="556"/>
      <c r="AB706" s="556"/>
      <c r="AC706" s="556"/>
      <c r="AD706" s="556"/>
    </row>
    <row r="707" ht="15.75" customHeight="1">
      <c r="A707" s="594"/>
      <c r="B707" s="556"/>
      <c r="C707" s="556"/>
      <c r="D707" s="556"/>
      <c r="E707" s="556"/>
      <c r="F707" s="556"/>
      <c r="G707" s="556"/>
      <c r="H707" s="556"/>
      <c r="I707" s="556"/>
      <c r="J707" s="556"/>
      <c r="K707" s="556"/>
      <c r="L707" s="556"/>
      <c r="M707" s="556"/>
      <c r="N707" s="556"/>
      <c r="O707" s="556"/>
      <c r="P707" s="556"/>
      <c r="Q707" s="556"/>
      <c r="R707" s="556"/>
      <c r="S707" s="556"/>
      <c r="T707" s="556"/>
      <c r="U707" s="556"/>
      <c r="V707" s="556"/>
      <c r="W707" s="556"/>
      <c r="X707" s="556"/>
      <c r="Y707" s="556"/>
      <c r="Z707" s="579"/>
      <c r="AA707" s="556"/>
      <c r="AB707" s="556"/>
      <c r="AC707" s="556"/>
      <c r="AD707" s="556"/>
    </row>
    <row r="708" ht="15.75" customHeight="1">
      <c r="A708" s="594"/>
      <c r="B708" s="556"/>
      <c r="C708" s="556"/>
      <c r="D708" s="556"/>
      <c r="E708" s="556"/>
      <c r="F708" s="556"/>
      <c r="G708" s="556"/>
      <c r="H708" s="556"/>
      <c r="I708" s="556"/>
      <c r="J708" s="556"/>
      <c r="K708" s="556"/>
      <c r="L708" s="556"/>
      <c r="M708" s="556"/>
      <c r="N708" s="556"/>
      <c r="O708" s="556"/>
      <c r="P708" s="556"/>
      <c r="Q708" s="556"/>
      <c r="R708" s="556"/>
      <c r="S708" s="556"/>
      <c r="T708" s="556"/>
      <c r="U708" s="556"/>
      <c r="V708" s="556"/>
      <c r="W708" s="556"/>
      <c r="X708" s="556"/>
      <c r="Y708" s="556"/>
      <c r="Z708" s="579"/>
      <c r="AA708" s="556"/>
      <c r="AB708" s="556"/>
      <c r="AC708" s="556"/>
      <c r="AD708" s="556"/>
    </row>
    <row r="709" ht="15.75" customHeight="1">
      <c r="A709" s="594"/>
      <c r="B709" s="556"/>
      <c r="C709" s="556"/>
      <c r="D709" s="556"/>
      <c r="E709" s="556"/>
      <c r="F709" s="556"/>
      <c r="G709" s="556"/>
      <c r="H709" s="556"/>
      <c r="I709" s="556"/>
      <c r="J709" s="556"/>
      <c r="K709" s="556"/>
      <c r="L709" s="556"/>
      <c r="M709" s="556"/>
      <c r="N709" s="556"/>
      <c r="O709" s="556"/>
      <c r="P709" s="556"/>
      <c r="Q709" s="556"/>
      <c r="R709" s="556"/>
      <c r="S709" s="556"/>
      <c r="T709" s="556"/>
      <c r="U709" s="556"/>
      <c r="V709" s="556"/>
      <c r="W709" s="556"/>
      <c r="X709" s="556"/>
      <c r="Y709" s="556"/>
      <c r="Z709" s="579"/>
      <c r="AA709" s="556"/>
      <c r="AB709" s="556"/>
      <c r="AC709" s="556"/>
      <c r="AD709" s="556"/>
    </row>
    <row r="710" ht="15.75" customHeight="1">
      <c r="A710" s="594"/>
      <c r="B710" s="556"/>
      <c r="C710" s="556"/>
      <c r="D710" s="556"/>
      <c r="E710" s="556"/>
      <c r="F710" s="556"/>
      <c r="G710" s="556"/>
      <c r="H710" s="556"/>
      <c r="I710" s="556"/>
      <c r="J710" s="556"/>
      <c r="K710" s="556"/>
      <c r="L710" s="556"/>
      <c r="M710" s="556"/>
      <c r="N710" s="556"/>
      <c r="O710" s="556"/>
      <c r="P710" s="556"/>
      <c r="Q710" s="556"/>
      <c r="R710" s="556"/>
      <c r="S710" s="556"/>
      <c r="T710" s="556"/>
      <c r="U710" s="556"/>
      <c r="V710" s="556"/>
      <c r="W710" s="556"/>
      <c r="X710" s="556"/>
      <c r="Y710" s="556"/>
      <c r="Z710" s="579"/>
      <c r="AA710" s="556"/>
      <c r="AB710" s="556"/>
      <c r="AC710" s="556"/>
      <c r="AD710" s="556"/>
    </row>
    <row r="711" ht="15.75" customHeight="1">
      <c r="A711" s="594"/>
      <c r="B711" s="556"/>
      <c r="C711" s="556"/>
      <c r="D711" s="556"/>
      <c r="E711" s="556"/>
      <c r="F711" s="556"/>
      <c r="G711" s="556"/>
      <c r="H711" s="556"/>
      <c r="I711" s="556"/>
      <c r="J711" s="556"/>
      <c r="K711" s="556"/>
      <c r="L711" s="556"/>
      <c r="M711" s="556"/>
      <c r="N711" s="556"/>
      <c r="O711" s="556"/>
      <c r="P711" s="556"/>
      <c r="Q711" s="556"/>
      <c r="R711" s="556"/>
      <c r="S711" s="556"/>
      <c r="T711" s="556"/>
      <c r="U711" s="556"/>
      <c r="V711" s="556"/>
      <c r="W711" s="556"/>
      <c r="X711" s="556"/>
      <c r="Y711" s="556"/>
      <c r="Z711" s="579"/>
      <c r="AA711" s="556"/>
      <c r="AB711" s="556"/>
      <c r="AC711" s="556"/>
      <c r="AD711" s="556"/>
    </row>
    <row r="712" ht="15.75" customHeight="1">
      <c r="A712" s="594"/>
      <c r="B712" s="556"/>
      <c r="C712" s="556"/>
      <c r="D712" s="556"/>
      <c r="E712" s="556"/>
      <c r="F712" s="556"/>
      <c r="G712" s="556"/>
      <c r="H712" s="556"/>
      <c r="I712" s="556"/>
      <c r="J712" s="556"/>
      <c r="K712" s="556"/>
      <c r="L712" s="556"/>
      <c r="M712" s="556"/>
      <c r="N712" s="556"/>
      <c r="O712" s="556"/>
      <c r="P712" s="556"/>
      <c r="Q712" s="556"/>
      <c r="R712" s="556"/>
      <c r="S712" s="556"/>
      <c r="T712" s="556"/>
      <c r="U712" s="556"/>
      <c r="V712" s="556"/>
      <c r="W712" s="556"/>
      <c r="X712" s="556"/>
      <c r="Y712" s="556"/>
      <c r="Z712" s="579"/>
      <c r="AA712" s="556"/>
      <c r="AB712" s="556"/>
      <c r="AC712" s="556"/>
      <c r="AD712" s="556"/>
    </row>
    <row r="713" ht="15.75" customHeight="1">
      <c r="A713" s="594"/>
      <c r="B713" s="556"/>
      <c r="C713" s="556"/>
      <c r="D713" s="556"/>
      <c r="E713" s="556"/>
      <c r="F713" s="556"/>
      <c r="G713" s="556"/>
      <c r="H713" s="556"/>
      <c r="I713" s="556"/>
      <c r="J713" s="556"/>
      <c r="K713" s="556"/>
      <c r="L713" s="556"/>
      <c r="M713" s="556"/>
      <c r="N713" s="556"/>
      <c r="O713" s="556"/>
      <c r="P713" s="556"/>
      <c r="Q713" s="556"/>
      <c r="R713" s="556"/>
      <c r="S713" s="556"/>
      <c r="T713" s="556"/>
      <c r="U713" s="556"/>
      <c r="V713" s="556"/>
      <c r="W713" s="556"/>
      <c r="X713" s="556"/>
      <c r="Y713" s="556"/>
      <c r="Z713" s="579"/>
      <c r="AA713" s="556"/>
      <c r="AB713" s="556"/>
      <c r="AC713" s="556"/>
      <c r="AD713" s="556"/>
    </row>
    <row r="714" ht="15.75" customHeight="1">
      <c r="A714" s="594"/>
      <c r="B714" s="556"/>
      <c r="C714" s="556"/>
      <c r="D714" s="556"/>
      <c r="E714" s="556"/>
      <c r="F714" s="556"/>
      <c r="G714" s="556"/>
      <c r="H714" s="556"/>
      <c r="I714" s="556"/>
      <c r="J714" s="556"/>
      <c r="K714" s="556"/>
      <c r="L714" s="556"/>
      <c r="M714" s="556"/>
      <c r="N714" s="556"/>
      <c r="O714" s="556"/>
      <c r="P714" s="556"/>
      <c r="Q714" s="556"/>
      <c r="R714" s="556"/>
      <c r="S714" s="556"/>
      <c r="T714" s="556"/>
      <c r="U714" s="556"/>
      <c r="V714" s="556"/>
      <c r="W714" s="556"/>
      <c r="X714" s="556"/>
      <c r="Y714" s="556"/>
      <c r="Z714" s="579"/>
      <c r="AA714" s="556"/>
      <c r="AB714" s="556"/>
      <c r="AC714" s="556"/>
      <c r="AD714" s="556"/>
    </row>
    <row r="715" ht="15.75" customHeight="1">
      <c r="A715" s="594"/>
      <c r="B715" s="556"/>
      <c r="C715" s="556"/>
      <c r="D715" s="556"/>
      <c r="E715" s="556"/>
      <c r="F715" s="556"/>
      <c r="G715" s="556"/>
      <c r="H715" s="556"/>
      <c r="I715" s="556"/>
      <c r="J715" s="556"/>
      <c r="K715" s="556"/>
      <c r="L715" s="556"/>
      <c r="M715" s="556"/>
      <c r="N715" s="556"/>
      <c r="O715" s="556"/>
      <c r="P715" s="556"/>
      <c r="Q715" s="556"/>
      <c r="R715" s="556"/>
      <c r="S715" s="556"/>
      <c r="T715" s="556"/>
      <c r="U715" s="556"/>
      <c r="V715" s="556"/>
      <c r="W715" s="556"/>
      <c r="X715" s="556"/>
      <c r="Y715" s="556"/>
      <c r="Z715" s="579"/>
      <c r="AA715" s="556"/>
      <c r="AB715" s="556"/>
      <c r="AC715" s="556"/>
      <c r="AD715" s="556"/>
    </row>
    <row r="716" ht="15.75" customHeight="1">
      <c r="A716" s="594"/>
      <c r="B716" s="556"/>
      <c r="C716" s="556"/>
      <c r="D716" s="556"/>
      <c r="E716" s="556"/>
      <c r="F716" s="556"/>
      <c r="G716" s="556"/>
      <c r="H716" s="556"/>
      <c r="I716" s="556"/>
      <c r="J716" s="556"/>
      <c r="K716" s="556"/>
      <c r="L716" s="556"/>
      <c r="M716" s="556"/>
      <c r="N716" s="556"/>
      <c r="O716" s="556"/>
      <c r="P716" s="556"/>
      <c r="Q716" s="556"/>
      <c r="R716" s="556"/>
      <c r="S716" s="556"/>
      <c r="T716" s="556"/>
      <c r="U716" s="556"/>
      <c r="V716" s="556"/>
      <c r="W716" s="556"/>
      <c r="X716" s="556"/>
      <c r="Y716" s="556"/>
      <c r="Z716" s="579"/>
      <c r="AA716" s="556"/>
      <c r="AB716" s="556"/>
      <c r="AC716" s="556"/>
      <c r="AD716" s="556"/>
    </row>
    <row r="717" ht="15.75" customHeight="1">
      <c r="A717" s="594"/>
      <c r="B717" s="556"/>
      <c r="C717" s="556"/>
      <c r="D717" s="556"/>
      <c r="E717" s="556"/>
      <c r="F717" s="556"/>
      <c r="G717" s="556"/>
      <c r="H717" s="556"/>
      <c r="I717" s="556"/>
      <c r="J717" s="556"/>
      <c r="K717" s="556"/>
      <c r="L717" s="556"/>
      <c r="M717" s="556"/>
      <c r="N717" s="556"/>
      <c r="O717" s="556"/>
      <c r="P717" s="556"/>
      <c r="Q717" s="556"/>
      <c r="R717" s="556"/>
      <c r="S717" s="556"/>
      <c r="T717" s="556"/>
      <c r="U717" s="556"/>
      <c r="V717" s="556"/>
      <c r="W717" s="556"/>
      <c r="X717" s="556"/>
      <c r="Y717" s="556"/>
      <c r="Z717" s="579"/>
      <c r="AA717" s="556"/>
      <c r="AB717" s="556"/>
      <c r="AC717" s="556"/>
      <c r="AD717" s="556"/>
    </row>
    <row r="718" ht="15.75" customHeight="1">
      <c r="A718" s="594"/>
      <c r="B718" s="556"/>
      <c r="C718" s="556"/>
      <c r="D718" s="556"/>
      <c r="E718" s="556"/>
      <c r="F718" s="556"/>
      <c r="G718" s="556"/>
      <c r="H718" s="556"/>
      <c r="I718" s="556"/>
      <c r="J718" s="556"/>
      <c r="K718" s="556"/>
      <c r="L718" s="556"/>
      <c r="M718" s="556"/>
      <c r="N718" s="556"/>
      <c r="O718" s="556"/>
      <c r="P718" s="556"/>
      <c r="Q718" s="556"/>
      <c r="R718" s="556"/>
      <c r="S718" s="556"/>
      <c r="T718" s="556"/>
      <c r="U718" s="556"/>
      <c r="V718" s="556"/>
      <c r="W718" s="556"/>
      <c r="X718" s="556"/>
      <c r="Y718" s="556"/>
      <c r="Z718" s="579"/>
      <c r="AA718" s="556"/>
      <c r="AB718" s="556"/>
      <c r="AC718" s="556"/>
      <c r="AD718" s="556"/>
    </row>
    <row r="719" ht="15.75" customHeight="1">
      <c r="A719" s="594"/>
      <c r="B719" s="556"/>
      <c r="C719" s="556"/>
      <c r="D719" s="556"/>
      <c r="E719" s="556"/>
      <c r="F719" s="556"/>
      <c r="G719" s="556"/>
      <c r="H719" s="556"/>
      <c r="I719" s="556"/>
      <c r="J719" s="556"/>
      <c r="K719" s="556"/>
      <c r="L719" s="556"/>
      <c r="M719" s="556"/>
      <c r="N719" s="556"/>
      <c r="O719" s="556"/>
      <c r="P719" s="556"/>
      <c r="Q719" s="556"/>
      <c r="R719" s="556"/>
      <c r="S719" s="556"/>
      <c r="T719" s="556"/>
      <c r="U719" s="556"/>
      <c r="V719" s="556"/>
      <c r="W719" s="556"/>
      <c r="X719" s="556"/>
      <c r="Y719" s="556"/>
      <c r="Z719" s="579"/>
      <c r="AA719" s="556"/>
      <c r="AB719" s="556"/>
      <c r="AC719" s="556"/>
      <c r="AD719" s="556"/>
    </row>
    <row r="720" ht="15.75" customHeight="1">
      <c r="A720" s="594"/>
      <c r="B720" s="556"/>
      <c r="C720" s="556"/>
      <c r="D720" s="556"/>
      <c r="E720" s="556"/>
      <c r="F720" s="556"/>
      <c r="G720" s="556"/>
      <c r="H720" s="556"/>
      <c r="I720" s="556"/>
      <c r="J720" s="556"/>
      <c r="K720" s="556"/>
      <c r="L720" s="556"/>
      <c r="M720" s="556"/>
      <c r="N720" s="556"/>
      <c r="O720" s="556"/>
      <c r="P720" s="556"/>
      <c r="Q720" s="556"/>
      <c r="R720" s="556"/>
      <c r="S720" s="556"/>
      <c r="T720" s="556"/>
      <c r="U720" s="556"/>
      <c r="V720" s="556"/>
      <c r="W720" s="556"/>
      <c r="X720" s="556"/>
      <c r="Y720" s="556"/>
      <c r="Z720" s="579"/>
      <c r="AA720" s="556"/>
      <c r="AB720" s="556"/>
      <c r="AC720" s="556"/>
      <c r="AD720" s="556"/>
    </row>
    <row r="721" ht="15.75" customHeight="1">
      <c r="A721" s="594"/>
      <c r="B721" s="556"/>
      <c r="C721" s="556"/>
      <c r="D721" s="556"/>
      <c r="E721" s="556"/>
      <c r="F721" s="556"/>
      <c r="G721" s="556"/>
      <c r="H721" s="556"/>
      <c r="I721" s="556"/>
      <c r="J721" s="556"/>
      <c r="K721" s="556"/>
      <c r="L721" s="556"/>
      <c r="M721" s="556"/>
      <c r="N721" s="556"/>
      <c r="O721" s="556"/>
      <c r="P721" s="556"/>
      <c r="Q721" s="556"/>
      <c r="R721" s="556"/>
      <c r="S721" s="556"/>
      <c r="T721" s="556"/>
      <c r="U721" s="556"/>
      <c r="V721" s="556"/>
      <c r="W721" s="556"/>
      <c r="X721" s="556"/>
      <c r="Y721" s="556"/>
      <c r="Z721" s="579"/>
      <c r="AA721" s="556"/>
      <c r="AB721" s="556"/>
      <c r="AC721" s="556"/>
      <c r="AD721" s="556"/>
    </row>
    <row r="722" ht="15.75" customHeight="1">
      <c r="A722" s="594"/>
      <c r="B722" s="556"/>
      <c r="C722" s="556"/>
      <c r="D722" s="556"/>
      <c r="E722" s="556"/>
      <c r="F722" s="556"/>
      <c r="G722" s="556"/>
      <c r="H722" s="556"/>
      <c r="I722" s="556"/>
      <c r="J722" s="556"/>
      <c r="K722" s="556"/>
      <c r="L722" s="556"/>
      <c r="M722" s="556"/>
      <c r="N722" s="556"/>
      <c r="O722" s="556"/>
      <c r="P722" s="556"/>
      <c r="Q722" s="556"/>
      <c r="R722" s="556"/>
      <c r="S722" s="556"/>
      <c r="T722" s="556"/>
      <c r="U722" s="556"/>
      <c r="V722" s="556"/>
      <c r="W722" s="556"/>
      <c r="X722" s="556"/>
      <c r="Y722" s="556"/>
      <c r="Z722" s="579"/>
      <c r="AA722" s="556"/>
      <c r="AB722" s="556"/>
      <c r="AC722" s="556"/>
      <c r="AD722" s="556"/>
    </row>
    <row r="723" ht="15.75" customHeight="1">
      <c r="A723" s="594"/>
      <c r="B723" s="556"/>
      <c r="C723" s="556"/>
      <c r="D723" s="556"/>
      <c r="E723" s="556"/>
      <c r="F723" s="556"/>
      <c r="G723" s="556"/>
      <c r="H723" s="556"/>
      <c r="I723" s="556"/>
      <c r="J723" s="556"/>
      <c r="K723" s="556"/>
      <c r="L723" s="556"/>
      <c r="M723" s="556"/>
      <c r="N723" s="556"/>
      <c r="O723" s="556"/>
      <c r="P723" s="556"/>
      <c r="Q723" s="556"/>
      <c r="R723" s="556"/>
      <c r="S723" s="556"/>
      <c r="T723" s="556"/>
      <c r="U723" s="556"/>
      <c r="V723" s="556"/>
      <c r="W723" s="556"/>
      <c r="X723" s="556"/>
      <c r="Y723" s="556"/>
      <c r="Z723" s="579"/>
      <c r="AA723" s="556"/>
      <c r="AB723" s="556"/>
      <c r="AC723" s="556"/>
      <c r="AD723" s="556"/>
    </row>
    <row r="724" ht="15.75" customHeight="1">
      <c r="A724" s="594"/>
      <c r="B724" s="556"/>
      <c r="C724" s="556"/>
      <c r="D724" s="556"/>
      <c r="E724" s="556"/>
      <c r="F724" s="556"/>
      <c r="G724" s="556"/>
      <c r="H724" s="556"/>
      <c r="I724" s="556"/>
      <c r="J724" s="556"/>
      <c r="K724" s="556"/>
      <c r="L724" s="556"/>
      <c r="M724" s="556"/>
      <c r="N724" s="556"/>
      <c r="O724" s="556"/>
      <c r="P724" s="556"/>
      <c r="Q724" s="556"/>
      <c r="R724" s="556"/>
      <c r="S724" s="556"/>
      <c r="T724" s="556"/>
      <c r="U724" s="556"/>
      <c r="V724" s="556"/>
      <c r="W724" s="556"/>
      <c r="X724" s="556"/>
      <c r="Y724" s="556"/>
      <c r="Z724" s="579"/>
      <c r="AA724" s="556"/>
      <c r="AB724" s="556"/>
      <c r="AC724" s="556"/>
      <c r="AD724" s="556"/>
    </row>
    <row r="725" ht="15.75" customHeight="1">
      <c r="A725" s="594"/>
      <c r="B725" s="556"/>
      <c r="C725" s="556"/>
      <c r="D725" s="556"/>
      <c r="E725" s="556"/>
      <c r="F725" s="556"/>
      <c r="G725" s="556"/>
      <c r="H725" s="556"/>
      <c r="I725" s="556"/>
      <c r="J725" s="556"/>
      <c r="K725" s="556"/>
      <c r="L725" s="556"/>
      <c r="M725" s="556"/>
      <c r="N725" s="556"/>
      <c r="O725" s="556"/>
      <c r="P725" s="556"/>
      <c r="Q725" s="556"/>
      <c r="R725" s="556"/>
      <c r="S725" s="556"/>
      <c r="T725" s="556"/>
      <c r="U725" s="556"/>
      <c r="V725" s="556"/>
      <c r="W725" s="556"/>
      <c r="X725" s="556"/>
      <c r="Y725" s="556"/>
      <c r="Z725" s="579"/>
      <c r="AA725" s="556"/>
      <c r="AB725" s="556"/>
      <c r="AC725" s="556"/>
      <c r="AD725" s="556"/>
    </row>
    <row r="726" ht="15.75" customHeight="1">
      <c r="A726" s="594"/>
      <c r="B726" s="556"/>
      <c r="C726" s="556"/>
      <c r="D726" s="556"/>
      <c r="E726" s="556"/>
      <c r="F726" s="556"/>
      <c r="G726" s="556"/>
      <c r="H726" s="556"/>
      <c r="I726" s="556"/>
      <c r="J726" s="556"/>
      <c r="K726" s="556"/>
      <c r="L726" s="556"/>
      <c r="M726" s="556"/>
      <c r="N726" s="556"/>
      <c r="O726" s="556"/>
      <c r="P726" s="556"/>
      <c r="Q726" s="556"/>
      <c r="R726" s="556"/>
      <c r="S726" s="556"/>
      <c r="T726" s="556"/>
      <c r="U726" s="556"/>
      <c r="V726" s="556"/>
      <c r="W726" s="556"/>
      <c r="X726" s="556"/>
      <c r="Y726" s="556"/>
      <c r="Z726" s="579"/>
      <c r="AA726" s="556"/>
      <c r="AB726" s="556"/>
      <c r="AC726" s="556"/>
      <c r="AD726" s="556"/>
    </row>
    <row r="727" ht="15.75" customHeight="1">
      <c r="A727" s="594"/>
      <c r="B727" s="556"/>
      <c r="C727" s="556"/>
      <c r="D727" s="556"/>
      <c r="E727" s="556"/>
      <c r="F727" s="556"/>
      <c r="G727" s="556"/>
      <c r="H727" s="556"/>
      <c r="I727" s="556"/>
      <c r="J727" s="556"/>
      <c r="K727" s="556"/>
      <c r="L727" s="556"/>
      <c r="M727" s="556"/>
      <c r="N727" s="556"/>
      <c r="O727" s="556"/>
      <c r="P727" s="556"/>
      <c r="Q727" s="556"/>
      <c r="R727" s="556"/>
      <c r="S727" s="556"/>
      <c r="T727" s="556"/>
      <c r="U727" s="556"/>
      <c r="V727" s="556"/>
      <c r="W727" s="556"/>
      <c r="X727" s="556"/>
      <c r="Y727" s="556"/>
      <c r="Z727" s="579"/>
      <c r="AA727" s="556"/>
      <c r="AB727" s="556"/>
      <c r="AC727" s="556"/>
      <c r="AD727" s="556"/>
    </row>
    <row r="728" ht="15.75" customHeight="1">
      <c r="A728" s="594"/>
      <c r="B728" s="556"/>
      <c r="C728" s="556"/>
      <c r="D728" s="556"/>
      <c r="E728" s="556"/>
      <c r="F728" s="556"/>
      <c r="G728" s="556"/>
      <c r="H728" s="556"/>
      <c r="I728" s="556"/>
      <c r="J728" s="556"/>
      <c r="K728" s="556"/>
      <c r="L728" s="556"/>
      <c r="M728" s="556"/>
      <c r="N728" s="556"/>
      <c r="O728" s="556"/>
      <c r="P728" s="556"/>
      <c r="Q728" s="556"/>
      <c r="R728" s="556"/>
      <c r="S728" s="556"/>
      <c r="T728" s="556"/>
      <c r="U728" s="556"/>
      <c r="V728" s="556"/>
      <c r="W728" s="556"/>
      <c r="X728" s="556"/>
      <c r="Y728" s="556"/>
      <c r="Z728" s="579"/>
      <c r="AA728" s="556"/>
      <c r="AB728" s="556"/>
      <c r="AC728" s="556"/>
      <c r="AD728" s="556"/>
    </row>
    <row r="729" ht="15.75" customHeight="1">
      <c r="A729" s="594"/>
      <c r="B729" s="556"/>
      <c r="C729" s="556"/>
      <c r="D729" s="556"/>
      <c r="E729" s="556"/>
      <c r="F729" s="556"/>
      <c r="G729" s="556"/>
      <c r="H729" s="556"/>
      <c r="I729" s="556"/>
      <c r="J729" s="556"/>
      <c r="K729" s="556"/>
      <c r="L729" s="556"/>
      <c r="M729" s="556"/>
      <c r="N729" s="556"/>
      <c r="O729" s="556"/>
      <c r="P729" s="556"/>
      <c r="Q729" s="556"/>
      <c r="R729" s="556"/>
      <c r="S729" s="556"/>
      <c r="T729" s="556"/>
      <c r="U729" s="556"/>
      <c r="V729" s="556"/>
      <c r="W729" s="556"/>
      <c r="X729" s="556"/>
      <c r="Y729" s="556"/>
      <c r="Z729" s="579"/>
      <c r="AA729" s="556"/>
      <c r="AB729" s="556"/>
      <c r="AC729" s="556"/>
      <c r="AD729" s="556"/>
    </row>
    <row r="730" ht="15.75" customHeight="1">
      <c r="A730" s="594"/>
      <c r="B730" s="556"/>
      <c r="C730" s="556"/>
      <c r="D730" s="556"/>
      <c r="E730" s="556"/>
      <c r="F730" s="556"/>
      <c r="G730" s="556"/>
      <c r="H730" s="556"/>
      <c r="I730" s="556"/>
      <c r="J730" s="556"/>
      <c r="K730" s="556"/>
      <c r="L730" s="556"/>
      <c r="M730" s="556"/>
      <c r="N730" s="556"/>
      <c r="O730" s="556"/>
      <c r="P730" s="556"/>
      <c r="Q730" s="556"/>
      <c r="R730" s="556"/>
      <c r="S730" s="556"/>
      <c r="T730" s="556"/>
      <c r="U730" s="556"/>
      <c r="V730" s="556"/>
      <c r="W730" s="556"/>
      <c r="X730" s="556"/>
      <c r="Y730" s="556"/>
      <c r="Z730" s="579"/>
      <c r="AA730" s="556"/>
      <c r="AB730" s="556"/>
      <c r="AC730" s="556"/>
      <c r="AD730" s="556"/>
    </row>
    <row r="731" ht="15.75" customHeight="1">
      <c r="A731" s="594"/>
      <c r="B731" s="556"/>
      <c r="C731" s="556"/>
      <c r="D731" s="556"/>
      <c r="E731" s="556"/>
      <c r="F731" s="556"/>
      <c r="G731" s="556"/>
      <c r="H731" s="556"/>
      <c r="I731" s="556"/>
      <c r="J731" s="556"/>
      <c r="K731" s="556"/>
      <c r="L731" s="556"/>
      <c r="M731" s="556"/>
      <c r="N731" s="556"/>
      <c r="O731" s="556"/>
      <c r="P731" s="556"/>
      <c r="Q731" s="556"/>
      <c r="R731" s="556"/>
      <c r="S731" s="556"/>
      <c r="T731" s="556"/>
      <c r="U731" s="556"/>
      <c r="V731" s="556"/>
      <c r="W731" s="556"/>
      <c r="X731" s="556"/>
      <c r="Y731" s="556"/>
      <c r="Z731" s="579"/>
      <c r="AA731" s="556"/>
      <c r="AB731" s="556"/>
      <c r="AC731" s="556"/>
      <c r="AD731" s="556"/>
    </row>
    <row r="732" ht="15.75" customHeight="1">
      <c r="A732" s="594"/>
      <c r="B732" s="556"/>
      <c r="C732" s="556"/>
      <c r="D732" s="556"/>
      <c r="E732" s="556"/>
      <c r="F732" s="556"/>
      <c r="G732" s="556"/>
      <c r="H732" s="556"/>
      <c r="I732" s="556"/>
      <c r="J732" s="556"/>
      <c r="K732" s="556"/>
      <c r="L732" s="556"/>
      <c r="M732" s="556"/>
      <c r="N732" s="556"/>
      <c r="O732" s="556"/>
      <c r="P732" s="556"/>
      <c r="Q732" s="556"/>
      <c r="R732" s="556"/>
      <c r="S732" s="556"/>
      <c r="T732" s="556"/>
      <c r="U732" s="556"/>
      <c r="V732" s="556"/>
      <c r="W732" s="556"/>
      <c r="X732" s="556"/>
      <c r="Y732" s="556"/>
      <c r="Z732" s="579"/>
      <c r="AA732" s="556"/>
      <c r="AB732" s="556"/>
      <c r="AC732" s="556"/>
      <c r="AD732" s="556"/>
    </row>
    <row r="733" ht="15.75" customHeight="1">
      <c r="A733" s="594"/>
      <c r="B733" s="556"/>
      <c r="C733" s="556"/>
      <c r="D733" s="556"/>
      <c r="E733" s="556"/>
      <c r="F733" s="556"/>
      <c r="G733" s="556"/>
      <c r="H733" s="556"/>
      <c r="I733" s="556"/>
      <c r="J733" s="556"/>
      <c r="K733" s="556"/>
      <c r="L733" s="556"/>
      <c r="M733" s="556"/>
      <c r="N733" s="556"/>
      <c r="O733" s="556"/>
      <c r="P733" s="556"/>
      <c r="Q733" s="556"/>
      <c r="R733" s="556"/>
      <c r="S733" s="556"/>
      <c r="T733" s="556"/>
      <c r="U733" s="556"/>
      <c r="V733" s="556"/>
      <c r="W733" s="556"/>
      <c r="X733" s="556"/>
      <c r="Y733" s="556"/>
      <c r="Z733" s="579"/>
      <c r="AA733" s="556"/>
      <c r="AB733" s="556"/>
      <c r="AC733" s="556"/>
      <c r="AD733" s="556"/>
    </row>
    <row r="734" ht="15.75" customHeight="1">
      <c r="A734" s="594"/>
      <c r="B734" s="556"/>
      <c r="C734" s="556"/>
      <c r="D734" s="556"/>
      <c r="E734" s="556"/>
      <c r="F734" s="556"/>
      <c r="G734" s="556"/>
      <c r="H734" s="556"/>
      <c r="I734" s="556"/>
      <c r="J734" s="556"/>
      <c r="K734" s="556"/>
      <c r="L734" s="556"/>
      <c r="M734" s="556"/>
      <c r="N734" s="556"/>
      <c r="O734" s="556"/>
      <c r="P734" s="556"/>
      <c r="Q734" s="556"/>
      <c r="R734" s="556"/>
      <c r="S734" s="556"/>
      <c r="T734" s="556"/>
      <c r="U734" s="556"/>
      <c r="V734" s="556"/>
      <c r="W734" s="556"/>
      <c r="X734" s="556"/>
      <c r="Y734" s="556"/>
      <c r="Z734" s="579"/>
      <c r="AA734" s="556"/>
      <c r="AB734" s="556"/>
      <c r="AC734" s="556"/>
      <c r="AD734" s="556"/>
    </row>
    <row r="735" ht="15.75" customHeight="1">
      <c r="A735" s="594"/>
      <c r="B735" s="556"/>
      <c r="C735" s="556"/>
      <c r="D735" s="556"/>
      <c r="E735" s="556"/>
      <c r="F735" s="556"/>
      <c r="G735" s="556"/>
      <c r="H735" s="556"/>
      <c r="I735" s="556"/>
      <c r="J735" s="556"/>
      <c r="K735" s="556"/>
      <c r="L735" s="556"/>
      <c r="M735" s="556"/>
      <c r="N735" s="556"/>
      <c r="O735" s="556"/>
      <c r="P735" s="556"/>
      <c r="Q735" s="556"/>
      <c r="R735" s="556"/>
      <c r="S735" s="556"/>
      <c r="T735" s="556"/>
      <c r="U735" s="556"/>
      <c r="V735" s="556"/>
      <c r="W735" s="556"/>
      <c r="X735" s="556"/>
      <c r="Y735" s="556"/>
      <c r="Z735" s="579"/>
      <c r="AA735" s="556"/>
      <c r="AB735" s="556"/>
      <c r="AC735" s="556"/>
      <c r="AD735" s="556"/>
    </row>
    <row r="736" ht="15.75" customHeight="1">
      <c r="A736" s="594"/>
      <c r="B736" s="556"/>
      <c r="C736" s="556"/>
      <c r="D736" s="556"/>
      <c r="E736" s="556"/>
      <c r="F736" s="556"/>
      <c r="G736" s="556"/>
      <c r="H736" s="556"/>
      <c r="I736" s="556"/>
      <c r="J736" s="556"/>
      <c r="K736" s="556"/>
      <c r="L736" s="556"/>
      <c r="M736" s="556"/>
      <c r="N736" s="556"/>
      <c r="O736" s="556"/>
      <c r="P736" s="556"/>
      <c r="Q736" s="556"/>
      <c r="R736" s="556"/>
      <c r="S736" s="556"/>
      <c r="T736" s="556"/>
      <c r="U736" s="556"/>
      <c r="V736" s="556"/>
      <c r="W736" s="556"/>
      <c r="X736" s="556"/>
      <c r="Y736" s="556"/>
      <c r="Z736" s="579"/>
      <c r="AA736" s="556"/>
      <c r="AB736" s="556"/>
      <c r="AC736" s="556"/>
      <c r="AD736" s="556"/>
    </row>
    <row r="737" ht="15.75" customHeight="1">
      <c r="A737" s="594"/>
      <c r="B737" s="556"/>
      <c r="C737" s="556"/>
      <c r="D737" s="556"/>
      <c r="E737" s="556"/>
      <c r="F737" s="556"/>
      <c r="G737" s="556"/>
      <c r="H737" s="556"/>
      <c r="I737" s="556"/>
      <c r="J737" s="556"/>
      <c r="K737" s="556"/>
      <c r="L737" s="556"/>
      <c r="M737" s="556"/>
      <c r="N737" s="556"/>
      <c r="O737" s="556"/>
      <c r="P737" s="556"/>
      <c r="Q737" s="556"/>
      <c r="R737" s="556"/>
      <c r="S737" s="556"/>
      <c r="T737" s="556"/>
      <c r="U737" s="556"/>
      <c r="V737" s="556"/>
      <c r="W737" s="556"/>
      <c r="X737" s="556"/>
      <c r="Y737" s="556"/>
      <c r="Z737" s="579"/>
      <c r="AA737" s="556"/>
      <c r="AB737" s="556"/>
      <c r="AC737" s="556"/>
      <c r="AD737" s="556"/>
    </row>
    <row r="738" ht="15.75" customHeight="1">
      <c r="A738" s="594"/>
      <c r="B738" s="556"/>
      <c r="C738" s="556"/>
      <c r="D738" s="556"/>
      <c r="E738" s="556"/>
      <c r="F738" s="556"/>
      <c r="G738" s="556"/>
      <c r="H738" s="556"/>
      <c r="I738" s="556"/>
      <c r="J738" s="556"/>
      <c r="K738" s="556"/>
      <c r="L738" s="556"/>
      <c r="M738" s="556"/>
      <c r="N738" s="556"/>
      <c r="O738" s="556"/>
      <c r="P738" s="556"/>
      <c r="Q738" s="556"/>
      <c r="R738" s="556"/>
      <c r="S738" s="556"/>
      <c r="T738" s="556"/>
      <c r="U738" s="556"/>
      <c r="V738" s="556"/>
      <c r="W738" s="556"/>
      <c r="X738" s="556"/>
      <c r="Y738" s="556"/>
      <c r="Z738" s="579"/>
      <c r="AA738" s="556"/>
      <c r="AB738" s="556"/>
      <c r="AC738" s="556"/>
      <c r="AD738" s="556"/>
    </row>
    <row r="739" ht="15.75" customHeight="1">
      <c r="A739" s="594"/>
      <c r="B739" s="556"/>
      <c r="C739" s="556"/>
      <c r="D739" s="556"/>
      <c r="E739" s="556"/>
      <c r="F739" s="556"/>
      <c r="G739" s="556"/>
      <c r="H739" s="556"/>
      <c r="I739" s="556"/>
      <c r="J739" s="556"/>
      <c r="K739" s="556"/>
      <c r="L739" s="556"/>
      <c r="M739" s="556"/>
      <c r="N739" s="556"/>
      <c r="O739" s="556"/>
      <c r="P739" s="556"/>
      <c r="Q739" s="556"/>
      <c r="R739" s="556"/>
      <c r="S739" s="556"/>
      <c r="T739" s="556"/>
      <c r="U739" s="556"/>
      <c r="V739" s="556"/>
      <c r="W739" s="556"/>
      <c r="X739" s="556"/>
      <c r="Y739" s="556"/>
      <c r="Z739" s="579"/>
      <c r="AA739" s="556"/>
      <c r="AB739" s="556"/>
      <c r="AC739" s="556"/>
      <c r="AD739" s="556"/>
    </row>
    <row r="740" ht="15.75" customHeight="1">
      <c r="A740" s="594"/>
      <c r="B740" s="556"/>
      <c r="C740" s="556"/>
      <c r="D740" s="556"/>
      <c r="E740" s="556"/>
      <c r="F740" s="556"/>
      <c r="G740" s="556"/>
      <c r="H740" s="556"/>
      <c r="I740" s="556"/>
      <c r="J740" s="556"/>
      <c r="K740" s="556"/>
      <c r="L740" s="556"/>
      <c r="M740" s="556"/>
      <c r="N740" s="556"/>
      <c r="O740" s="556"/>
      <c r="P740" s="556"/>
      <c r="Q740" s="556"/>
      <c r="R740" s="556"/>
      <c r="S740" s="556"/>
      <c r="T740" s="556"/>
      <c r="U740" s="556"/>
      <c r="V740" s="556"/>
      <c r="W740" s="556"/>
      <c r="X740" s="556"/>
      <c r="Y740" s="556"/>
      <c r="Z740" s="579"/>
      <c r="AA740" s="556"/>
      <c r="AB740" s="556"/>
      <c r="AC740" s="556"/>
      <c r="AD740" s="556"/>
    </row>
    <row r="741" ht="15.75" customHeight="1">
      <c r="A741" s="594"/>
      <c r="B741" s="556"/>
      <c r="C741" s="556"/>
      <c r="D741" s="556"/>
      <c r="E741" s="556"/>
      <c r="F741" s="556"/>
      <c r="G741" s="556"/>
      <c r="H741" s="556"/>
      <c r="I741" s="556"/>
      <c r="J741" s="556"/>
      <c r="K741" s="556"/>
      <c r="L741" s="556"/>
      <c r="M741" s="556"/>
      <c r="N741" s="556"/>
      <c r="O741" s="556"/>
      <c r="P741" s="556"/>
      <c r="Q741" s="556"/>
      <c r="R741" s="556"/>
      <c r="S741" s="556"/>
      <c r="T741" s="556"/>
      <c r="U741" s="556"/>
      <c r="V741" s="556"/>
      <c r="W741" s="556"/>
      <c r="X741" s="556"/>
      <c r="Y741" s="556"/>
      <c r="Z741" s="579"/>
      <c r="AA741" s="556"/>
      <c r="AB741" s="556"/>
      <c r="AC741" s="556"/>
      <c r="AD741" s="556"/>
    </row>
    <row r="742" ht="15.75" customHeight="1">
      <c r="A742" s="594"/>
      <c r="B742" s="556"/>
      <c r="C742" s="556"/>
      <c r="D742" s="556"/>
      <c r="E742" s="556"/>
      <c r="F742" s="556"/>
      <c r="G742" s="556"/>
      <c r="H742" s="556"/>
      <c r="I742" s="556"/>
      <c r="J742" s="556"/>
      <c r="K742" s="556"/>
      <c r="L742" s="556"/>
      <c r="M742" s="556"/>
      <c r="N742" s="556"/>
      <c r="O742" s="556"/>
      <c r="P742" s="556"/>
      <c r="Q742" s="556"/>
      <c r="R742" s="556"/>
      <c r="S742" s="556"/>
      <c r="T742" s="556"/>
      <c r="U742" s="556"/>
      <c r="V742" s="556"/>
      <c r="W742" s="556"/>
      <c r="X742" s="556"/>
      <c r="Y742" s="556"/>
      <c r="Z742" s="579"/>
      <c r="AA742" s="556"/>
      <c r="AB742" s="556"/>
      <c r="AC742" s="556"/>
      <c r="AD742" s="556"/>
    </row>
    <row r="743" ht="15.75" customHeight="1">
      <c r="A743" s="594"/>
      <c r="B743" s="556"/>
      <c r="C743" s="556"/>
      <c r="D743" s="556"/>
      <c r="E743" s="556"/>
      <c r="F743" s="556"/>
      <c r="G743" s="556"/>
      <c r="H743" s="556"/>
      <c r="I743" s="556"/>
      <c r="J743" s="556"/>
      <c r="K743" s="556"/>
      <c r="L743" s="556"/>
      <c r="M743" s="556"/>
      <c r="N743" s="556"/>
      <c r="O743" s="556"/>
      <c r="P743" s="556"/>
      <c r="Q743" s="556"/>
      <c r="R743" s="556"/>
      <c r="S743" s="556"/>
      <c r="T743" s="556"/>
      <c r="U743" s="556"/>
      <c r="V743" s="556"/>
      <c r="W743" s="556"/>
      <c r="X743" s="556"/>
      <c r="Y743" s="556"/>
      <c r="Z743" s="579"/>
      <c r="AA743" s="556"/>
      <c r="AB743" s="556"/>
      <c r="AC743" s="556"/>
      <c r="AD743" s="556"/>
    </row>
    <row r="744" ht="15.75" customHeight="1">
      <c r="A744" s="594"/>
      <c r="B744" s="556"/>
      <c r="C744" s="556"/>
      <c r="D744" s="556"/>
      <c r="E744" s="556"/>
      <c r="F744" s="556"/>
      <c r="G744" s="556"/>
      <c r="H744" s="556"/>
      <c r="I744" s="556"/>
      <c r="J744" s="556"/>
      <c r="K744" s="556"/>
      <c r="L744" s="556"/>
      <c r="M744" s="556"/>
      <c r="N744" s="556"/>
      <c r="O744" s="556"/>
      <c r="P744" s="556"/>
      <c r="Q744" s="556"/>
      <c r="R744" s="556"/>
      <c r="S744" s="556"/>
      <c r="T744" s="556"/>
      <c r="U744" s="556"/>
      <c r="V744" s="556"/>
      <c r="W744" s="556"/>
      <c r="X744" s="556"/>
      <c r="Y744" s="556"/>
      <c r="Z744" s="579"/>
      <c r="AA744" s="556"/>
      <c r="AB744" s="556"/>
      <c r="AC744" s="556"/>
      <c r="AD744" s="556"/>
    </row>
    <row r="745" ht="15.75" customHeight="1">
      <c r="A745" s="594"/>
      <c r="B745" s="556"/>
      <c r="C745" s="556"/>
      <c r="D745" s="556"/>
      <c r="E745" s="556"/>
      <c r="F745" s="556"/>
      <c r="G745" s="556"/>
      <c r="H745" s="556"/>
      <c r="I745" s="556"/>
      <c r="J745" s="556"/>
      <c r="K745" s="556"/>
      <c r="L745" s="556"/>
      <c r="M745" s="556"/>
      <c r="N745" s="556"/>
      <c r="O745" s="556"/>
      <c r="P745" s="556"/>
      <c r="Q745" s="556"/>
      <c r="R745" s="556"/>
      <c r="S745" s="556"/>
      <c r="T745" s="556"/>
      <c r="U745" s="556"/>
      <c r="V745" s="556"/>
      <c r="W745" s="556"/>
      <c r="X745" s="556"/>
      <c r="Y745" s="556"/>
      <c r="Z745" s="579"/>
      <c r="AA745" s="556"/>
      <c r="AB745" s="556"/>
      <c r="AC745" s="556"/>
      <c r="AD745" s="556"/>
    </row>
    <row r="746" ht="15.75" customHeight="1">
      <c r="A746" s="594"/>
      <c r="B746" s="556"/>
      <c r="C746" s="556"/>
      <c r="D746" s="556"/>
      <c r="E746" s="556"/>
      <c r="F746" s="556"/>
      <c r="G746" s="556"/>
      <c r="H746" s="556"/>
      <c r="I746" s="556"/>
      <c r="J746" s="556"/>
      <c r="K746" s="556"/>
      <c r="L746" s="556"/>
      <c r="M746" s="556"/>
      <c r="N746" s="556"/>
      <c r="O746" s="556"/>
      <c r="P746" s="556"/>
      <c r="Q746" s="556"/>
      <c r="R746" s="556"/>
      <c r="S746" s="556"/>
      <c r="T746" s="556"/>
      <c r="U746" s="556"/>
      <c r="V746" s="556"/>
      <c r="W746" s="556"/>
      <c r="X746" s="556"/>
      <c r="Y746" s="556"/>
      <c r="Z746" s="579"/>
      <c r="AA746" s="556"/>
      <c r="AB746" s="556"/>
      <c r="AC746" s="556"/>
      <c r="AD746" s="556"/>
    </row>
    <row r="747" ht="15.75" customHeight="1">
      <c r="A747" s="594"/>
      <c r="B747" s="556"/>
      <c r="C747" s="556"/>
      <c r="D747" s="556"/>
      <c r="E747" s="556"/>
      <c r="F747" s="556"/>
      <c r="G747" s="556"/>
      <c r="H747" s="556"/>
      <c r="I747" s="556"/>
      <c r="J747" s="556"/>
      <c r="K747" s="556"/>
      <c r="L747" s="556"/>
      <c r="M747" s="556"/>
      <c r="N747" s="556"/>
      <c r="O747" s="556"/>
      <c r="P747" s="556"/>
      <c r="Q747" s="556"/>
      <c r="R747" s="556"/>
      <c r="S747" s="556"/>
      <c r="T747" s="556"/>
      <c r="U747" s="556"/>
      <c r="V747" s="556"/>
      <c r="W747" s="556"/>
      <c r="X747" s="556"/>
      <c r="Y747" s="556"/>
      <c r="Z747" s="579"/>
      <c r="AA747" s="556"/>
      <c r="AB747" s="556"/>
      <c r="AC747" s="556"/>
      <c r="AD747" s="556"/>
    </row>
    <row r="748" ht="15.75" customHeight="1">
      <c r="A748" s="594"/>
      <c r="B748" s="556"/>
      <c r="C748" s="556"/>
      <c r="D748" s="556"/>
      <c r="E748" s="556"/>
      <c r="F748" s="556"/>
      <c r="G748" s="556"/>
      <c r="H748" s="556"/>
      <c r="I748" s="556"/>
      <c r="J748" s="556"/>
      <c r="K748" s="556"/>
      <c r="L748" s="556"/>
      <c r="M748" s="556"/>
      <c r="N748" s="556"/>
      <c r="O748" s="556"/>
      <c r="P748" s="556"/>
      <c r="Q748" s="556"/>
      <c r="R748" s="556"/>
      <c r="S748" s="556"/>
      <c r="T748" s="556"/>
      <c r="U748" s="556"/>
      <c r="V748" s="556"/>
      <c r="W748" s="556"/>
      <c r="X748" s="556"/>
      <c r="Y748" s="556"/>
      <c r="Z748" s="579"/>
      <c r="AA748" s="556"/>
      <c r="AB748" s="556"/>
      <c r="AC748" s="556"/>
      <c r="AD748" s="556"/>
    </row>
    <row r="749" ht="15.75" customHeight="1">
      <c r="A749" s="594"/>
      <c r="B749" s="556"/>
      <c r="C749" s="556"/>
      <c r="D749" s="556"/>
      <c r="E749" s="556"/>
      <c r="F749" s="556"/>
      <c r="G749" s="556"/>
      <c r="H749" s="556"/>
      <c r="I749" s="556"/>
      <c r="J749" s="556"/>
      <c r="K749" s="556"/>
      <c r="L749" s="556"/>
      <c r="M749" s="556"/>
      <c r="N749" s="556"/>
      <c r="O749" s="556"/>
      <c r="P749" s="556"/>
      <c r="Q749" s="556"/>
      <c r="R749" s="556"/>
      <c r="S749" s="556"/>
      <c r="T749" s="556"/>
      <c r="U749" s="556"/>
      <c r="V749" s="556"/>
      <c r="W749" s="556"/>
      <c r="X749" s="556"/>
      <c r="Y749" s="556"/>
      <c r="Z749" s="579"/>
      <c r="AA749" s="556"/>
      <c r="AB749" s="556"/>
      <c r="AC749" s="556"/>
      <c r="AD749" s="556"/>
    </row>
    <row r="750" ht="15.75" customHeight="1">
      <c r="A750" s="594"/>
      <c r="B750" s="556"/>
      <c r="C750" s="556"/>
      <c r="D750" s="556"/>
      <c r="E750" s="556"/>
      <c r="F750" s="556"/>
      <c r="G750" s="556"/>
      <c r="H750" s="556"/>
      <c r="I750" s="556"/>
      <c r="J750" s="556"/>
      <c r="K750" s="556"/>
      <c r="L750" s="556"/>
      <c r="M750" s="556"/>
      <c r="N750" s="556"/>
      <c r="O750" s="556"/>
      <c r="P750" s="556"/>
      <c r="Q750" s="556"/>
      <c r="R750" s="556"/>
      <c r="S750" s="556"/>
      <c r="T750" s="556"/>
      <c r="U750" s="556"/>
      <c r="V750" s="556"/>
      <c r="W750" s="556"/>
      <c r="X750" s="556"/>
      <c r="Y750" s="556"/>
      <c r="Z750" s="579"/>
      <c r="AA750" s="556"/>
      <c r="AB750" s="556"/>
      <c r="AC750" s="556"/>
      <c r="AD750" s="556"/>
    </row>
    <row r="751" ht="15.75" customHeight="1">
      <c r="A751" s="594"/>
      <c r="B751" s="556"/>
      <c r="C751" s="556"/>
      <c r="D751" s="556"/>
      <c r="E751" s="556"/>
      <c r="F751" s="556"/>
      <c r="G751" s="556"/>
      <c r="H751" s="556"/>
      <c r="I751" s="556"/>
      <c r="J751" s="556"/>
      <c r="K751" s="556"/>
      <c r="L751" s="556"/>
      <c r="M751" s="556"/>
      <c r="N751" s="556"/>
      <c r="O751" s="556"/>
      <c r="P751" s="556"/>
      <c r="Q751" s="556"/>
      <c r="R751" s="556"/>
      <c r="S751" s="556"/>
      <c r="T751" s="556"/>
      <c r="U751" s="556"/>
      <c r="V751" s="556"/>
      <c r="W751" s="556"/>
      <c r="X751" s="556"/>
      <c r="Y751" s="556"/>
      <c r="Z751" s="579"/>
      <c r="AA751" s="556"/>
      <c r="AB751" s="556"/>
      <c r="AC751" s="556"/>
      <c r="AD751" s="556"/>
    </row>
    <row r="752" ht="15.75" customHeight="1">
      <c r="A752" s="594"/>
      <c r="B752" s="556"/>
      <c r="C752" s="556"/>
      <c r="D752" s="556"/>
      <c r="E752" s="556"/>
      <c r="F752" s="556"/>
      <c r="G752" s="556"/>
      <c r="H752" s="556"/>
      <c r="I752" s="556"/>
      <c r="J752" s="556"/>
      <c r="K752" s="556"/>
      <c r="L752" s="556"/>
      <c r="M752" s="556"/>
      <c r="N752" s="556"/>
      <c r="O752" s="556"/>
      <c r="P752" s="556"/>
      <c r="Q752" s="556"/>
      <c r="R752" s="556"/>
      <c r="S752" s="556"/>
      <c r="T752" s="556"/>
      <c r="U752" s="556"/>
      <c r="V752" s="556"/>
      <c r="W752" s="556"/>
      <c r="X752" s="556"/>
      <c r="Y752" s="556"/>
      <c r="Z752" s="579"/>
      <c r="AA752" s="556"/>
      <c r="AB752" s="556"/>
      <c r="AC752" s="556"/>
      <c r="AD752" s="556"/>
    </row>
    <row r="753" ht="15.75" customHeight="1">
      <c r="A753" s="594"/>
      <c r="B753" s="556"/>
      <c r="C753" s="556"/>
      <c r="D753" s="556"/>
      <c r="E753" s="556"/>
      <c r="F753" s="556"/>
      <c r="G753" s="556"/>
      <c r="H753" s="556"/>
      <c r="I753" s="556"/>
      <c r="J753" s="556"/>
      <c r="K753" s="556"/>
      <c r="L753" s="556"/>
      <c r="M753" s="556"/>
      <c r="N753" s="556"/>
      <c r="O753" s="556"/>
      <c r="P753" s="556"/>
      <c r="Q753" s="556"/>
      <c r="R753" s="556"/>
      <c r="S753" s="556"/>
      <c r="T753" s="556"/>
      <c r="U753" s="556"/>
      <c r="V753" s="556"/>
      <c r="W753" s="556"/>
      <c r="X753" s="556"/>
      <c r="Y753" s="556"/>
      <c r="Z753" s="579"/>
      <c r="AA753" s="556"/>
      <c r="AB753" s="556"/>
      <c r="AC753" s="556"/>
      <c r="AD753" s="556"/>
    </row>
    <row r="754" ht="15.75" customHeight="1">
      <c r="A754" s="594"/>
      <c r="B754" s="556"/>
      <c r="C754" s="556"/>
      <c r="D754" s="556"/>
      <c r="E754" s="556"/>
      <c r="F754" s="556"/>
      <c r="G754" s="556"/>
      <c r="H754" s="556"/>
      <c r="I754" s="556"/>
      <c r="J754" s="556"/>
      <c r="K754" s="556"/>
      <c r="L754" s="556"/>
      <c r="M754" s="556"/>
      <c r="N754" s="556"/>
      <c r="O754" s="556"/>
      <c r="P754" s="556"/>
      <c r="Q754" s="556"/>
      <c r="R754" s="556"/>
      <c r="S754" s="556"/>
      <c r="T754" s="556"/>
      <c r="U754" s="556"/>
      <c r="V754" s="556"/>
      <c r="W754" s="556"/>
      <c r="X754" s="556"/>
      <c r="Y754" s="556"/>
      <c r="Z754" s="579"/>
      <c r="AA754" s="556"/>
      <c r="AB754" s="556"/>
      <c r="AC754" s="556"/>
      <c r="AD754" s="556"/>
    </row>
    <row r="755" ht="15.75" customHeight="1">
      <c r="A755" s="594"/>
      <c r="B755" s="556"/>
      <c r="C755" s="556"/>
      <c r="D755" s="556"/>
      <c r="E755" s="556"/>
      <c r="F755" s="556"/>
      <c r="G755" s="556"/>
      <c r="H755" s="556"/>
      <c r="I755" s="556"/>
      <c r="J755" s="556"/>
      <c r="K755" s="556"/>
      <c r="L755" s="556"/>
      <c r="M755" s="556"/>
      <c r="N755" s="556"/>
      <c r="O755" s="556"/>
      <c r="P755" s="556"/>
      <c r="Q755" s="556"/>
      <c r="R755" s="556"/>
      <c r="S755" s="556"/>
      <c r="T755" s="556"/>
      <c r="U755" s="556"/>
      <c r="V755" s="556"/>
      <c r="W755" s="556"/>
      <c r="X755" s="556"/>
      <c r="Y755" s="556"/>
      <c r="Z755" s="579"/>
      <c r="AA755" s="556"/>
      <c r="AB755" s="556"/>
      <c r="AC755" s="556"/>
      <c r="AD755" s="556"/>
    </row>
    <row r="756" ht="15.75" customHeight="1">
      <c r="A756" s="594"/>
      <c r="B756" s="556"/>
      <c r="C756" s="556"/>
      <c r="D756" s="556"/>
      <c r="E756" s="556"/>
      <c r="F756" s="556"/>
      <c r="G756" s="556"/>
      <c r="H756" s="556"/>
      <c r="I756" s="556"/>
      <c r="J756" s="556"/>
      <c r="K756" s="556"/>
      <c r="L756" s="556"/>
      <c r="M756" s="556"/>
      <c r="N756" s="556"/>
      <c r="O756" s="556"/>
      <c r="P756" s="556"/>
      <c r="Q756" s="556"/>
      <c r="R756" s="556"/>
      <c r="S756" s="556"/>
      <c r="T756" s="556"/>
      <c r="U756" s="556"/>
      <c r="V756" s="556"/>
      <c r="W756" s="556"/>
      <c r="X756" s="556"/>
      <c r="Y756" s="556"/>
      <c r="Z756" s="579"/>
      <c r="AA756" s="556"/>
      <c r="AB756" s="556"/>
      <c r="AC756" s="556"/>
      <c r="AD756" s="556"/>
    </row>
    <row r="757" ht="15.75" customHeight="1">
      <c r="A757" s="594"/>
      <c r="B757" s="556"/>
      <c r="C757" s="556"/>
      <c r="D757" s="556"/>
      <c r="E757" s="556"/>
      <c r="F757" s="556"/>
      <c r="G757" s="556"/>
      <c r="H757" s="556"/>
      <c r="I757" s="556"/>
      <c r="J757" s="556"/>
      <c r="K757" s="556"/>
      <c r="L757" s="556"/>
      <c r="M757" s="556"/>
      <c r="N757" s="556"/>
      <c r="O757" s="556"/>
      <c r="P757" s="556"/>
      <c r="Q757" s="556"/>
      <c r="R757" s="556"/>
      <c r="S757" s="556"/>
      <c r="T757" s="556"/>
      <c r="U757" s="556"/>
      <c r="V757" s="556"/>
      <c r="W757" s="556"/>
      <c r="X757" s="556"/>
      <c r="Y757" s="556"/>
      <c r="Z757" s="579"/>
      <c r="AA757" s="556"/>
      <c r="AB757" s="556"/>
      <c r="AC757" s="556"/>
      <c r="AD757" s="556"/>
    </row>
    <row r="758" ht="15.75" customHeight="1">
      <c r="A758" s="594"/>
      <c r="B758" s="556"/>
      <c r="C758" s="556"/>
      <c r="D758" s="556"/>
      <c r="E758" s="556"/>
      <c r="F758" s="556"/>
      <c r="G758" s="556"/>
      <c r="H758" s="556"/>
      <c r="I758" s="556"/>
      <c r="J758" s="556"/>
      <c r="K758" s="556"/>
      <c r="L758" s="556"/>
      <c r="M758" s="556"/>
      <c r="N758" s="556"/>
      <c r="O758" s="556"/>
      <c r="P758" s="556"/>
      <c r="Q758" s="556"/>
      <c r="R758" s="556"/>
      <c r="S758" s="556"/>
      <c r="T758" s="556"/>
      <c r="U758" s="556"/>
      <c r="V758" s="556"/>
      <c r="W758" s="556"/>
      <c r="X758" s="556"/>
      <c r="Y758" s="556"/>
      <c r="Z758" s="579"/>
      <c r="AA758" s="556"/>
      <c r="AB758" s="556"/>
      <c r="AC758" s="556"/>
      <c r="AD758" s="556"/>
    </row>
    <row r="759" ht="15.75" customHeight="1">
      <c r="A759" s="594"/>
      <c r="B759" s="556"/>
      <c r="C759" s="556"/>
      <c r="D759" s="556"/>
      <c r="E759" s="556"/>
      <c r="F759" s="556"/>
      <c r="G759" s="556"/>
      <c r="H759" s="556"/>
      <c r="I759" s="556"/>
      <c r="J759" s="556"/>
      <c r="K759" s="556"/>
      <c r="L759" s="556"/>
      <c r="M759" s="556"/>
      <c r="N759" s="556"/>
      <c r="O759" s="556"/>
      <c r="P759" s="556"/>
      <c r="Q759" s="556"/>
      <c r="R759" s="556"/>
      <c r="S759" s="556"/>
      <c r="T759" s="556"/>
      <c r="U759" s="556"/>
      <c r="V759" s="556"/>
      <c r="W759" s="556"/>
      <c r="X759" s="556"/>
      <c r="Y759" s="556"/>
      <c r="Z759" s="579"/>
      <c r="AA759" s="556"/>
      <c r="AB759" s="556"/>
      <c r="AC759" s="556"/>
      <c r="AD759" s="556"/>
    </row>
    <row r="760" ht="15.75" customHeight="1">
      <c r="A760" s="594"/>
      <c r="B760" s="556"/>
      <c r="C760" s="556"/>
      <c r="D760" s="556"/>
      <c r="E760" s="556"/>
      <c r="F760" s="556"/>
      <c r="G760" s="556"/>
      <c r="H760" s="556"/>
      <c r="I760" s="556"/>
      <c r="J760" s="556"/>
      <c r="K760" s="556"/>
      <c r="L760" s="556"/>
      <c r="M760" s="556"/>
      <c r="N760" s="556"/>
      <c r="O760" s="556"/>
      <c r="P760" s="556"/>
      <c r="Q760" s="556"/>
      <c r="R760" s="556"/>
      <c r="S760" s="556"/>
      <c r="T760" s="556"/>
      <c r="U760" s="556"/>
      <c r="V760" s="556"/>
      <c r="W760" s="556"/>
      <c r="X760" s="556"/>
      <c r="Y760" s="556"/>
      <c r="Z760" s="579"/>
      <c r="AA760" s="556"/>
      <c r="AB760" s="556"/>
      <c r="AC760" s="556"/>
      <c r="AD760" s="556"/>
    </row>
    <row r="761" ht="15.75" customHeight="1">
      <c r="A761" s="594"/>
      <c r="B761" s="556"/>
      <c r="C761" s="556"/>
      <c r="D761" s="556"/>
      <c r="E761" s="556"/>
      <c r="F761" s="556"/>
      <c r="G761" s="556"/>
      <c r="H761" s="556"/>
      <c r="I761" s="556"/>
      <c r="J761" s="556"/>
      <c r="K761" s="556"/>
      <c r="L761" s="556"/>
      <c r="M761" s="556"/>
      <c r="N761" s="556"/>
      <c r="O761" s="556"/>
      <c r="P761" s="556"/>
      <c r="Q761" s="556"/>
      <c r="R761" s="556"/>
      <c r="S761" s="556"/>
      <c r="T761" s="556"/>
      <c r="U761" s="556"/>
      <c r="V761" s="556"/>
      <c r="W761" s="556"/>
      <c r="X761" s="556"/>
      <c r="Y761" s="556"/>
      <c r="Z761" s="579"/>
      <c r="AA761" s="556"/>
      <c r="AB761" s="556"/>
      <c r="AC761" s="556"/>
      <c r="AD761" s="556"/>
    </row>
    <row r="762" ht="15.75" customHeight="1">
      <c r="A762" s="594"/>
      <c r="B762" s="556"/>
      <c r="C762" s="556"/>
      <c r="D762" s="556"/>
      <c r="E762" s="556"/>
      <c r="F762" s="556"/>
      <c r="G762" s="556"/>
      <c r="H762" s="556"/>
      <c r="I762" s="556"/>
      <c r="J762" s="556"/>
      <c r="K762" s="556"/>
      <c r="L762" s="556"/>
      <c r="M762" s="556"/>
      <c r="N762" s="556"/>
      <c r="O762" s="556"/>
      <c r="P762" s="556"/>
      <c r="Q762" s="556"/>
      <c r="R762" s="556"/>
      <c r="S762" s="556"/>
      <c r="T762" s="556"/>
      <c r="U762" s="556"/>
      <c r="V762" s="556"/>
      <c r="W762" s="556"/>
      <c r="X762" s="556"/>
      <c r="Y762" s="556"/>
      <c r="Z762" s="579"/>
      <c r="AA762" s="556"/>
      <c r="AB762" s="556"/>
      <c r="AC762" s="556"/>
      <c r="AD762" s="556"/>
    </row>
    <row r="763" ht="15.75" customHeight="1">
      <c r="A763" s="594"/>
      <c r="B763" s="556"/>
      <c r="C763" s="556"/>
      <c r="D763" s="556"/>
      <c r="E763" s="556"/>
      <c r="F763" s="556"/>
      <c r="G763" s="556"/>
      <c r="H763" s="556"/>
      <c r="I763" s="556"/>
      <c r="J763" s="556"/>
      <c r="K763" s="556"/>
      <c r="L763" s="556"/>
      <c r="M763" s="556"/>
      <c r="N763" s="556"/>
      <c r="O763" s="556"/>
      <c r="P763" s="556"/>
      <c r="Q763" s="556"/>
      <c r="R763" s="556"/>
      <c r="S763" s="556"/>
      <c r="T763" s="556"/>
      <c r="U763" s="556"/>
      <c r="V763" s="556"/>
      <c r="W763" s="556"/>
      <c r="X763" s="556"/>
      <c r="Y763" s="556"/>
      <c r="Z763" s="579"/>
      <c r="AA763" s="556"/>
      <c r="AB763" s="556"/>
      <c r="AC763" s="556"/>
      <c r="AD763" s="556"/>
    </row>
    <row r="764" ht="15.75" customHeight="1">
      <c r="A764" s="594"/>
      <c r="B764" s="556"/>
      <c r="C764" s="556"/>
      <c r="D764" s="556"/>
      <c r="E764" s="556"/>
      <c r="F764" s="556"/>
      <c r="G764" s="556"/>
      <c r="H764" s="556"/>
      <c r="I764" s="556"/>
      <c r="J764" s="556"/>
      <c r="K764" s="556"/>
      <c r="L764" s="556"/>
      <c r="M764" s="556"/>
      <c r="N764" s="556"/>
      <c r="O764" s="556"/>
      <c r="P764" s="556"/>
      <c r="Q764" s="556"/>
      <c r="R764" s="556"/>
      <c r="S764" s="556"/>
      <c r="T764" s="556"/>
      <c r="U764" s="556"/>
      <c r="V764" s="556"/>
      <c r="W764" s="556"/>
      <c r="X764" s="556"/>
      <c r="Y764" s="556"/>
      <c r="Z764" s="579"/>
      <c r="AA764" s="556"/>
      <c r="AB764" s="556"/>
      <c r="AC764" s="556"/>
      <c r="AD764" s="556"/>
    </row>
    <row r="765" ht="15.75" customHeight="1">
      <c r="A765" s="594"/>
      <c r="B765" s="556"/>
      <c r="C765" s="556"/>
      <c r="D765" s="556"/>
      <c r="E765" s="556"/>
      <c r="F765" s="556"/>
      <c r="G765" s="556"/>
      <c r="H765" s="556"/>
      <c r="I765" s="556"/>
      <c r="J765" s="556"/>
      <c r="K765" s="556"/>
      <c r="L765" s="556"/>
      <c r="M765" s="556"/>
      <c r="N765" s="556"/>
      <c r="O765" s="556"/>
      <c r="P765" s="556"/>
      <c r="Q765" s="556"/>
      <c r="R765" s="556"/>
      <c r="S765" s="556"/>
      <c r="T765" s="556"/>
      <c r="U765" s="556"/>
      <c r="V765" s="556"/>
      <c r="W765" s="556"/>
      <c r="X765" s="556"/>
      <c r="Y765" s="556"/>
      <c r="Z765" s="579"/>
      <c r="AA765" s="556"/>
      <c r="AB765" s="556"/>
      <c r="AC765" s="556"/>
      <c r="AD765" s="556"/>
    </row>
    <row r="766" ht="15.75" customHeight="1">
      <c r="A766" s="594"/>
      <c r="B766" s="556"/>
      <c r="C766" s="556"/>
      <c r="D766" s="556"/>
      <c r="E766" s="556"/>
      <c r="F766" s="556"/>
      <c r="G766" s="556"/>
      <c r="H766" s="556"/>
      <c r="I766" s="556"/>
      <c r="J766" s="556"/>
      <c r="K766" s="556"/>
      <c r="L766" s="556"/>
      <c r="M766" s="556"/>
      <c r="N766" s="556"/>
      <c r="O766" s="556"/>
      <c r="P766" s="556"/>
      <c r="Q766" s="556"/>
      <c r="R766" s="556"/>
      <c r="S766" s="556"/>
      <c r="T766" s="556"/>
      <c r="U766" s="556"/>
      <c r="V766" s="556"/>
      <c r="W766" s="556"/>
      <c r="X766" s="556"/>
      <c r="Y766" s="556"/>
      <c r="Z766" s="579"/>
      <c r="AA766" s="556"/>
      <c r="AB766" s="556"/>
      <c r="AC766" s="556"/>
      <c r="AD766" s="556"/>
    </row>
    <row r="767" ht="15.75" customHeight="1">
      <c r="A767" s="594"/>
      <c r="B767" s="556"/>
      <c r="C767" s="556"/>
      <c r="D767" s="556"/>
      <c r="E767" s="556"/>
      <c r="F767" s="556"/>
      <c r="G767" s="556"/>
      <c r="H767" s="556"/>
      <c r="I767" s="556"/>
      <c r="J767" s="556"/>
      <c r="K767" s="556"/>
      <c r="L767" s="556"/>
      <c r="M767" s="556"/>
      <c r="N767" s="556"/>
      <c r="O767" s="556"/>
      <c r="P767" s="556"/>
      <c r="Q767" s="556"/>
      <c r="R767" s="556"/>
      <c r="S767" s="556"/>
      <c r="T767" s="556"/>
      <c r="U767" s="556"/>
      <c r="V767" s="556"/>
      <c r="W767" s="556"/>
      <c r="X767" s="556"/>
      <c r="Y767" s="556"/>
      <c r="Z767" s="579"/>
      <c r="AA767" s="556"/>
      <c r="AB767" s="556"/>
      <c r="AC767" s="556"/>
      <c r="AD767" s="556"/>
    </row>
    <row r="768" ht="15.75" customHeight="1">
      <c r="A768" s="594"/>
      <c r="B768" s="556"/>
      <c r="C768" s="556"/>
      <c r="D768" s="556"/>
      <c r="E768" s="556"/>
      <c r="F768" s="556"/>
      <c r="G768" s="556"/>
      <c r="H768" s="556"/>
      <c r="I768" s="556"/>
      <c r="J768" s="556"/>
      <c r="K768" s="556"/>
      <c r="L768" s="556"/>
      <c r="M768" s="556"/>
      <c r="N768" s="556"/>
      <c r="O768" s="556"/>
      <c r="P768" s="556"/>
      <c r="Q768" s="556"/>
      <c r="R768" s="556"/>
      <c r="S768" s="556"/>
      <c r="T768" s="556"/>
      <c r="U768" s="556"/>
      <c r="V768" s="556"/>
      <c r="W768" s="556"/>
      <c r="X768" s="556"/>
      <c r="Y768" s="556"/>
      <c r="Z768" s="579"/>
      <c r="AA768" s="556"/>
      <c r="AB768" s="556"/>
      <c r="AC768" s="556"/>
      <c r="AD768" s="556"/>
    </row>
    <row r="769" ht="15.75" customHeight="1">
      <c r="A769" s="594"/>
      <c r="B769" s="556"/>
      <c r="C769" s="556"/>
      <c r="D769" s="556"/>
      <c r="E769" s="556"/>
      <c r="F769" s="556"/>
      <c r="G769" s="556"/>
      <c r="H769" s="556"/>
      <c r="I769" s="556"/>
      <c r="J769" s="556"/>
      <c r="K769" s="556"/>
      <c r="L769" s="556"/>
      <c r="M769" s="556"/>
      <c r="N769" s="556"/>
      <c r="O769" s="556"/>
      <c r="P769" s="556"/>
      <c r="Q769" s="556"/>
      <c r="R769" s="556"/>
      <c r="S769" s="556"/>
      <c r="T769" s="556"/>
      <c r="U769" s="556"/>
      <c r="V769" s="556"/>
      <c r="W769" s="556"/>
      <c r="X769" s="556"/>
      <c r="Y769" s="556"/>
      <c r="Z769" s="579"/>
      <c r="AA769" s="556"/>
      <c r="AB769" s="556"/>
      <c r="AC769" s="556"/>
      <c r="AD769" s="556"/>
    </row>
    <row r="770" ht="15.75" customHeight="1">
      <c r="A770" s="594"/>
      <c r="B770" s="556"/>
      <c r="C770" s="556"/>
      <c r="D770" s="556"/>
      <c r="E770" s="556"/>
      <c r="F770" s="556"/>
      <c r="G770" s="556"/>
      <c r="H770" s="556"/>
      <c r="I770" s="556"/>
      <c r="J770" s="556"/>
      <c r="K770" s="556"/>
      <c r="L770" s="556"/>
      <c r="M770" s="556"/>
      <c r="N770" s="556"/>
      <c r="O770" s="556"/>
      <c r="P770" s="556"/>
      <c r="Q770" s="556"/>
      <c r="R770" s="556"/>
      <c r="S770" s="556"/>
      <c r="T770" s="556"/>
      <c r="U770" s="556"/>
      <c r="V770" s="556"/>
      <c r="W770" s="556"/>
      <c r="X770" s="556"/>
      <c r="Y770" s="556"/>
      <c r="Z770" s="579"/>
      <c r="AA770" s="556"/>
      <c r="AB770" s="556"/>
      <c r="AC770" s="556"/>
      <c r="AD770" s="556"/>
    </row>
    <row r="771" ht="15.75" customHeight="1">
      <c r="A771" s="594"/>
      <c r="B771" s="556"/>
      <c r="C771" s="556"/>
      <c r="D771" s="556"/>
      <c r="E771" s="556"/>
      <c r="F771" s="556"/>
      <c r="G771" s="556"/>
      <c r="H771" s="556"/>
      <c r="I771" s="556"/>
      <c r="J771" s="556"/>
      <c r="K771" s="556"/>
      <c r="L771" s="556"/>
      <c r="M771" s="556"/>
      <c r="N771" s="556"/>
      <c r="O771" s="556"/>
      <c r="P771" s="556"/>
      <c r="Q771" s="556"/>
      <c r="R771" s="556"/>
      <c r="S771" s="556"/>
      <c r="T771" s="556"/>
      <c r="U771" s="556"/>
      <c r="V771" s="556"/>
      <c r="W771" s="556"/>
      <c r="X771" s="556"/>
      <c r="Y771" s="556"/>
      <c r="Z771" s="579"/>
      <c r="AA771" s="556"/>
      <c r="AB771" s="556"/>
      <c r="AC771" s="556"/>
      <c r="AD771" s="556"/>
    </row>
    <row r="772" ht="15.75" customHeight="1">
      <c r="A772" s="594"/>
      <c r="B772" s="556"/>
      <c r="C772" s="556"/>
      <c r="D772" s="556"/>
      <c r="E772" s="556"/>
      <c r="F772" s="556"/>
      <c r="G772" s="556"/>
      <c r="H772" s="556"/>
      <c r="I772" s="556"/>
      <c r="J772" s="556"/>
      <c r="K772" s="556"/>
      <c r="L772" s="556"/>
      <c r="M772" s="556"/>
      <c r="N772" s="556"/>
      <c r="O772" s="556"/>
      <c r="P772" s="556"/>
      <c r="Q772" s="556"/>
      <c r="R772" s="556"/>
      <c r="S772" s="556"/>
      <c r="T772" s="556"/>
      <c r="U772" s="556"/>
      <c r="V772" s="556"/>
      <c r="W772" s="556"/>
      <c r="X772" s="556"/>
      <c r="Y772" s="556"/>
      <c r="Z772" s="579"/>
      <c r="AA772" s="556"/>
      <c r="AB772" s="556"/>
      <c r="AC772" s="556"/>
      <c r="AD772" s="556"/>
    </row>
    <row r="773" ht="15.75" customHeight="1">
      <c r="A773" s="594"/>
      <c r="B773" s="556"/>
      <c r="C773" s="556"/>
      <c r="D773" s="556"/>
      <c r="E773" s="556"/>
      <c r="F773" s="556"/>
      <c r="G773" s="556"/>
      <c r="H773" s="556"/>
      <c r="I773" s="556"/>
      <c r="J773" s="556"/>
      <c r="K773" s="556"/>
      <c r="L773" s="556"/>
      <c r="M773" s="556"/>
      <c r="N773" s="556"/>
      <c r="O773" s="556"/>
      <c r="P773" s="556"/>
      <c r="Q773" s="556"/>
      <c r="R773" s="556"/>
      <c r="S773" s="556"/>
      <c r="T773" s="556"/>
      <c r="U773" s="556"/>
      <c r="V773" s="556"/>
      <c r="W773" s="556"/>
      <c r="X773" s="556"/>
      <c r="Y773" s="556"/>
      <c r="Z773" s="579"/>
      <c r="AA773" s="556"/>
      <c r="AB773" s="556"/>
      <c r="AC773" s="556"/>
      <c r="AD773" s="556"/>
    </row>
    <row r="774" ht="15.75" customHeight="1">
      <c r="A774" s="594"/>
      <c r="B774" s="556"/>
      <c r="C774" s="556"/>
      <c r="D774" s="556"/>
      <c r="E774" s="556"/>
      <c r="F774" s="556"/>
      <c r="G774" s="556"/>
      <c r="H774" s="556"/>
      <c r="I774" s="556"/>
      <c r="J774" s="556"/>
      <c r="K774" s="556"/>
      <c r="L774" s="556"/>
      <c r="M774" s="556"/>
      <c r="N774" s="556"/>
      <c r="O774" s="556"/>
      <c r="P774" s="556"/>
      <c r="Q774" s="556"/>
      <c r="R774" s="556"/>
      <c r="S774" s="556"/>
      <c r="T774" s="556"/>
      <c r="U774" s="556"/>
      <c r="V774" s="556"/>
      <c r="W774" s="556"/>
      <c r="X774" s="556"/>
      <c r="Y774" s="556"/>
      <c r="Z774" s="579"/>
      <c r="AA774" s="556"/>
      <c r="AB774" s="556"/>
      <c r="AC774" s="556"/>
      <c r="AD774" s="556"/>
    </row>
    <row r="775" ht="15.75" customHeight="1">
      <c r="A775" s="594"/>
      <c r="B775" s="556"/>
      <c r="C775" s="556"/>
      <c r="D775" s="556"/>
      <c r="E775" s="556"/>
      <c r="F775" s="556"/>
      <c r="G775" s="556"/>
      <c r="H775" s="556"/>
      <c r="I775" s="556"/>
      <c r="J775" s="556"/>
      <c r="K775" s="556"/>
      <c r="L775" s="556"/>
      <c r="M775" s="556"/>
      <c r="N775" s="556"/>
      <c r="O775" s="556"/>
      <c r="P775" s="556"/>
      <c r="Q775" s="556"/>
      <c r="R775" s="556"/>
      <c r="S775" s="556"/>
      <c r="T775" s="556"/>
      <c r="U775" s="556"/>
      <c r="V775" s="556"/>
      <c r="W775" s="556"/>
      <c r="X775" s="556"/>
      <c r="Y775" s="556"/>
      <c r="Z775" s="579"/>
      <c r="AA775" s="556"/>
      <c r="AB775" s="556"/>
      <c r="AC775" s="556"/>
      <c r="AD775" s="556"/>
    </row>
    <row r="776" ht="15.75" customHeight="1">
      <c r="A776" s="594"/>
      <c r="B776" s="556"/>
      <c r="C776" s="556"/>
      <c r="D776" s="556"/>
      <c r="E776" s="556"/>
      <c r="F776" s="556"/>
      <c r="G776" s="556"/>
      <c r="H776" s="556"/>
      <c r="I776" s="556"/>
      <c r="J776" s="556"/>
      <c r="K776" s="556"/>
      <c r="L776" s="556"/>
      <c r="M776" s="556"/>
      <c r="N776" s="556"/>
      <c r="O776" s="556"/>
      <c r="P776" s="556"/>
      <c r="Q776" s="556"/>
      <c r="R776" s="556"/>
      <c r="S776" s="556"/>
      <c r="T776" s="556"/>
      <c r="U776" s="556"/>
      <c r="V776" s="556"/>
      <c r="W776" s="556"/>
      <c r="X776" s="556"/>
      <c r="Y776" s="556"/>
      <c r="Z776" s="579"/>
      <c r="AA776" s="556"/>
      <c r="AB776" s="556"/>
      <c r="AC776" s="556"/>
      <c r="AD776" s="556"/>
    </row>
    <row r="777" ht="15.75" customHeight="1">
      <c r="A777" s="594"/>
      <c r="B777" s="556"/>
      <c r="C777" s="556"/>
      <c r="D777" s="556"/>
      <c r="E777" s="556"/>
      <c r="F777" s="556"/>
      <c r="G777" s="556"/>
      <c r="H777" s="556"/>
      <c r="I777" s="556"/>
      <c r="J777" s="556"/>
      <c r="K777" s="556"/>
      <c r="L777" s="556"/>
      <c r="M777" s="556"/>
      <c r="N777" s="556"/>
      <c r="O777" s="556"/>
      <c r="P777" s="556"/>
      <c r="Q777" s="556"/>
      <c r="R777" s="556"/>
      <c r="S777" s="556"/>
      <c r="T777" s="556"/>
      <c r="U777" s="556"/>
      <c r="V777" s="556"/>
      <c r="W777" s="556"/>
      <c r="X777" s="556"/>
      <c r="Y777" s="556"/>
      <c r="Z777" s="579"/>
      <c r="AA777" s="556"/>
      <c r="AB777" s="556"/>
      <c r="AC777" s="556"/>
      <c r="AD777" s="556"/>
    </row>
    <row r="778" ht="15.75" customHeight="1">
      <c r="A778" s="594"/>
      <c r="B778" s="556"/>
      <c r="C778" s="556"/>
      <c r="D778" s="556"/>
      <c r="E778" s="556"/>
      <c r="F778" s="556"/>
      <c r="G778" s="556"/>
      <c r="H778" s="556"/>
      <c r="I778" s="556"/>
      <c r="J778" s="556"/>
      <c r="K778" s="556"/>
      <c r="L778" s="556"/>
      <c r="M778" s="556"/>
      <c r="N778" s="556"/>
      <c r="O778" s="556"/>
      <c r="P778" s="556"/>
      <c r="Q778" s="556"/>
      <c r="R778" s="556"/>
      <c r="S778" s="556"/>
      <c r="T778" s="556"/>
      <c r="U778" s="556"/>
      <c r="V778" s="556"/>
      <c r="W778" s="556"/>
      <c r="X778" s="556"/>
      <c r="Y778" s="556"/>
      <c r="Z778" s="579"/>
      <c r="AA778" s="556"/>
      <c r="AB778" s="556"/>
      <c r="AC778" s="556"/>
      <c r="AD778" s="556"/>
    </row>
    <row r="779" ht="15.75" customHeight="1">
      <c r="A779" s="594"/>
      <c r="B779" s="556"/>
      <c r="C779" s="556"/>
      <c r="D779" s="556"/>
      <c r="E779" s="556"/>
      <c r="F779" s="556"/>
      <c r="G779" s="556"/>
      <c r="H779" s="556"/>
      <c r="I779" s="556"/>
      <c r="J779" s="556"/>
      <c r="K779" s="556"/>
      <c r="L779" s="556"/>
      <c r="M779" s="556"/>
      <c r="N779" s="556"/>
      <c r="O779" s="556"/>
      <c r="P779" s="556"/>
      <c r="Q779" s="556"/>
      <c r="R779" s="556"/>
      <c r="S779" s="556"/>
      <c r="T779" s="556"/>
      <c r="U779" s="556"/>
      <c r="V779" s="556"/>
      <c r="W779" s="556"/>
      <c r="X779" s="556"/>
      <c r="Y779" s="556"/>
      <c r="Z779" s="579"/>
      <c r="AA779" s="556"/>
      <c r="AB779" s="556"/>
      <c r="AC779" s="556"/>
      <c r="AD779" s="556"/>
    </row>
    <row r="780" ht="15.75" customHeight="1">
      <c r="A780" s="594"/>
      <c r="B780" s="556"/>
      <c r="C780" s="556"/>
      <c r="D780" s="556"/>
      <c r="E780" s="556"/>
      <c r="F780" s="556"/>
      <c r="G780" s="556"/>
      <c r="H780" s="556"/>
      <c r="I780" s="556"/>
      <c r="J780" s="556"/>
      <c r="K780" s="556"/>
      <c r="L780" s="556"/>
      <c r="M780" s="556"/>
      <c r="N780" s="556"/>
      <c r="O780" s="556"/>
      <c r="P780" s="556"/>
      <c r="Q780" s="556"/>
      <c r="R780" s="556"/>
      <c r="S780" s="556"/>
      <c r="T780" s="556"/>
      <c r="U780" s="556"/>
      <c r="V780" s="556"/>
      <c r="W780" s="556"/>
      <c r="X780" s="556"/>
      <c r="Y780" s="556"/>
      <c r="Z780" s="579"/>
      <c r="AA780" s="556"/>
      <c r="AB780" s="556"/>
      <c r="AC780" s="556"/>
      <c r="AD780" s="556"/>
    </row>
    <row r="781" ht="15.75" customHeight="1">
      <c r="A781" s="594"/>
      <c r="B781" s="556"/>
      <c r="C781" s="556"/>
      <c r="D781" s="556"/>
      <c r="E781" s="556"/>
      <c r="F781" s="556"/>
      <c r="G781" s="556"/>
      <c r="H781" s="556"/>
      <c r="I781" s="556"/>
      <c r="J781" s="556"/>
      <c r="K781" s="556"/>
      <c r="L781" s="556"/>
      <c r="M781" s="556"/>
      <c r="N781" s="556"/>
      <c r="O781" s="556"/>
      <c r="P781" s="556"/>
      <c r="Q781" s="556"/>
      <c r="R781" s="556"/>
      <c r="S781" s="556"/>
      <c r="T781" s="556"/>
      <c r="U781" s="556"/>
      <c r="V781" s="556"/>
      <c r="W781" s="556"/>
      <c r="X781" s="556"/>
      <c r="Y781" s="556"/>
      <c r="Z781" s="579"/>
      <c r="AA781" s="556"/>
      <c r="AB781" s="556"/>
      <c r="AC781" s="556"/>
      <c r="AD781" s="556"/>
    </row>
    <row r="782" ht="15.75" customHeight="1">
      <c r="A782" s="594"/>
      <c r="B782" s="556"/>
      <c r="C782" s="556"/>
      <c r="D782" s="556"/>
      <c r="E782" s="556"/>
      <c r="F782" s="556"/>
      <c r="G782" s="556"/>
      <c r="H782" s="556"/>
      <c r="I782" s="556"/>
      <c r="J782" s="556"/>
      <c r="K782" s="556"/>
      <c r="L782" s="556"/>
      <c r="M782" s="556"/>
      <c r="N782" s="556"/>
      <c r="O782" s="556"/>
      <c r="P782" s="556"/>
      <c r="Q782" s="556"/>
      <c r="R782" s="556"/>
      <c r="S782" s="556"/>
      <c r="T782" s="556"/>
      <c r="U782" s="556"/>
      <c r="V782" s="556"/>
      <c r="W782" s="556"/>
      <c r="X782" s="556"/>
      <c r="Y782" s="556"/>
      <c r="Z782" s="579"/>
      <c r="AA782" s="556"/>
      <c r="AB782" s="556"/>
      <c r="AC782" s="556"/>
      <c r="AD782" s="556"/>
    </row>
    <row r="783" ht="15.75" customHeight="1">
      <c r="A783" s="594"/>
      <c r="B783" s="556"/>
      <c r="C783" s="556"/>
      <c r="D783" s="556"/>
      <c r="E783" s="556"/>
      <c r="F783" s="556"/>
      <c r="G783" s="556"/>
      <c r="H783" s="556"/>
      <c r="I783" s="556"/>
      <c r="J783" s="556"/>
      <c r="K783" s="556"/>
      <c r="L783" s="556"/>
      <c r="M783" s="556"/>
      <c r="N783" s="556"/>
      <c r="O783" s="556"/>
      <c r="P783" s="556"/>
      <c r="Q783" s="556"/>
      <c r="R783" s="556"/>
      <c r="S783" s="556"/>
      <c r="T783" s="556"/>
      <c r="U783" s="556"/>
      <c r="V783" s="556"/>
      <c r="W783" s="556"/>
      <c r="X783" s="556"/>
      <c r="Y783" s="556"/>
      <c r="Z783" s="579"/>
      <c r="AA783" s="556"/>
      <c r="AB783" s="556"/>
      <c r="AC783" s="556"/>
      <c r="AD783" s="556"/>
    </row>
    <row r="784" ht="15.75" customHeight="1">
      <c r="A784" s="594"/>
      <c r="B784" s="556"/>
      <c r="C784" s="556"/>
      <c r="D784" s="556"/>
      <c r="E784" s="556"/>
      <c r="F784" s="556"/>
      <c r="G784" s="556"/>
      <c r="H784" s="556"/>
      <c r="I784" s="556"/>
      <c r="J784" s="556"/>
      <c r="K784" s="556"/>
      <c r="L784" s="556"/>
      <c r="M784" s="556"/>
      <c r="N784" s="556"/>
      <c r="O784" s="556"/>
      <c r="P784" s="556"/>
      <c r="Q784" s="556"/>
      <c r="R784" s="556"/>
      <c r="S784" s="556"/>
      <c r="T784" s="556"/>
      <c r="U784" s="556"/>
      <c r="V784" s="556"/>
      <c r="W784" s="556"/>
      <c r="X784" s="556"/>
      <c r="Y784" s="556"/>
      <c r="Z784" s="579"/>
      <c r="AA784" s="556"/>
      <c r="AB784" s="556"/>
      <c r="AC784" s="556"/>
      <c r="AD784" s="556"/>
    </row>
    <row r="785" ht="15.75" customHeight="1">
      <c r="A785" s="594"/>
      <c r="B785" s="556"/>
      <c r="C785" s="556"/>
      <c r="D785" s="556"/>
      <c r="E785" s="556"/>
      <c r="F785" s="556"/>
      <c r="G785" s="556"/>
      <c r="H785" s="556"/>
      <c r="I785" s="556"/>
      <c r="J785" s="556"/>
      <c r="K785" s="556"/>
      <c r="L785" s="556"/>
      <c r="M785" s="556"/>
      <c r="N785" s="556"/>
      <c r="O785" s="556"/>
      <c r="P785" s="556"/>
      <c r="Q785" s="556"/>
      <c r="R785" s="556"/>
      <c r="S785" s="556"/>
      <c r="T785" s="556"/>
      <c r="U785" s="556"/>
      <c r="V785" s="556"/>
      <c r="W785" s="556"/>
      <c r="X785" s="556"/>
      <c r="Y785" s="556"/>
      <c r="Z785" s="579"/>
      <c r="AA785" s="556"/>
      <c r="AB785" s="556"/>
      <c r="AC785" s="556"/>
      <c r="AD785" s="556"/>
    </row>
    <row r="786" ht="15.75" customHeight="1">
      <c r="A786" s="594"/>
      <c r="B786" s="556"/>
      <c r="C786" s="556"/>
      <c r="D786" s="556"/>
      <c r="E786" s="556"/>
      <c r="F786" s="556"/>
      <c r="G786" s="556"/>
      <c r="H786" s="556"/>
      <c r="I786" s="556"/>
      <c r="J786" s="556"/>
      <c r="K786" s="556"/>
      <c r="L786" s="556"/>
      <c r="M786" s="556"/>
      <c r="N786" s="556"/>
      <c r="O786" s="556"/>
      <c r="P786" s="556"/>
      <c r="Q786" s="556"/>
      <c r="R786" s="556"/>
      <c r="S786" s="556"/>
      <c r="T786" s="556"/>
      <c r="U786" s="556"/>
      <c r="V786" s="556"/>
      <c r="W786" s="556"/>
      <c r="X786" s="556"/>
      <c r="Y786" s="556"/>
      <c r="Z786" s="579"/>
      <c r="AA786" s="556"/>
      <c r="AB786" s="556"/>
      <c r="AC786" s="556"/>
      <c r="AD786" s="556"/>
    </row>
    <row r="787" ht="15.75" customHeight="1">
      <c r="A787" s="594"/>
      <c r="B787" s="556"/>
      <c r="C787" s="556"/>
      <c r="D787" s="556"/>
      <c r="E787" s="556"/>
      <c r="F787" s="556"/>
      <c r="G787" s="556"/>
      <c r="H787" s="556"/>
      <c r="I787" s="556"/>
      <c r="J787" s="556"/>
      <c r="K787" s="556"/>
      <c r="L787" s="556"/>
      <c r="M787" s="556"/>
      <c r="N787" s="556"/>
      <c r="O787" s="556"/>
      <c r="P787" s="556"/>
      <c r="Q787" s="556"/>
      <c r="R787" s="556"/>
      <c r="S787" s="556"/>
      <c r="T787" s="556"/>
      <c r="U787" s="556"/>
      <c r="V787" s="556"/>
      <c r="W787" s="556"/>
      <c r="X787" s="556"/>
      <c r="Y787" s="556"/>
      <c r="Z787" s="579"/>
      <c r="AA787" s="556"/>
      <c r="AB787" s="556"/>
      <c r="AC787" s="556"/>
      <c r="AD787" s="556"/>
    </row>
    <row r="788" ht="15.75" customHeight="1">
      <c r="A788" s="594"/>
      <c r="B788" s="556"/>
      <c r="C788" s="556"/>
      <c r="D788" s="556"/>
      <c r="E788" s="556"/>
      <c r="F788" s="556"/>
      <c r="G788" s="556"/>
      <c r="H788" s="556"/>
      <c r="I788" s="556"/>
      <c r="J788" s="556"/>
      <c r="K788" s="556"/>
      <c r="L788" s="556"/>
      <c r="M788" s="556"/>
      <c r="N788" s="556"/>
      <c r="O788" s="556"/>
      <c r="P788" s="556"/>
      <c r="Q788" s="556"/>
      <c r="R788" s="556"/>
      <c r="S788" s="556"/>
      <c r="T788" s="556"/>
      <c r="U788" s="556"/>
      <c r="V788" s="556"/>
      <c r="W788" s="556"/>
      <c r="X788" s="556"/>
      <c r="Y788" s="556"/>
      <c r="Z788" s="579"/>
      <c r="AA788" s="556"/>
      <c r="AB788" s="556"/>
      <c r="AC788" s="556"/>
      <c r="AD788" s="556"/>
    </row>
    <row r="789" ht="15.75" customHeight="1">
      <c r="A789" s="594"/>
      <c r="B789" s="556"/>
      <c r="C789" s="556"/>
      <c r="D789" s="556"/>
      <c r="E789" s="556"/>
      <c r="F789" s="556"/>
      <c r="G789" s="556"/>
      <c r="H789" s="556"/>
      <c r="I789" s="556"/>
      <c r="J789" s="556"/>
      <c r="K789" s="556"/>
      <c r="L789" s="556"/>
      <c r="M789" s="556"/>
      <c r="N789" s="556"/>
      <c r="O789" s="556"/>
      <c r="P789" s="556"/>
      <c r="Q789" s="556"/>
      <c r="R789" s="556"/>
      <c r="S789" s="556"/>
      <c r="T789" s="556"/>
      <c r="U789" s="556"/>
      <c r="V789" s="556"/>
      <c r="W789" s="556"/>
      <c r="X789" s="556"/>
      <c r="Y789" s="556"/>
      <c r="Z789" s="579"/>
      <c r="AA789" s="556"/>
      <c r="AB789" s="556"/>
      <c r="AC789" s="556"/>
      <c r="AD789" s="556"/>
    </row>
    <row r="790" ht="15.75" customHeight="1">
      <c r="A790" s="594"/>
      <c r="B790" s="556"/>
      <c r="C790" s="556"/>
      <c r="D790" s="556"/>
      <c r="E790" s="556"/>
      <c r="F790" s="556"/>
      <c r="G790" s="556"/>
      <c r="H790" s="556"/>
      <c r="I790" s="556"/>
      <c r="J790" s="556"/>
      <c r="K790" s="556"/>
      <c r="L790" s="556"/>
      <c r="M790" s="556"/>
      <c r="N790" s="556"/>
      <c r="O790" s="556"/>
      <c r="P790" s="556"/>
      <c r="Q790" s="556"/>
      <c r="R790" s="556"/>
      <c r="S790" s="556"/>
      <c r="T790" s="556"/>
      <c r="U790" s="556"/>
      <c r="V790" s="556"/>
      <c r="W790" s="556"/>
      <c r="X790" s="556"/>
      <c r="Y790" s="556"/>
      <c r="Z790" s="579"/>
      <c r="AA790" s="556"/>
      <c r="AB790" s="556"/>
      <c r="AC790" s="556"/>
      <c r="AD790" s="556"/>
    </row>
    <row r="791" ht="15.75" customHeight="1">
      <c r="A791" s="594"/>
      <c r="B791" s="556"/>
      <c r="C791" s="556"/>
      <c r="D791" s="556"/>
      <c r="E791" s="556"/>
      <c r="F791" s="556"/>
      <c r="G791" s="556"/>
      <c r="H791" s="556"/>
      <c r="I791" s="556"/>
      <c r="J791" s="556"/>
      <c r="K791" s="556"/>
      <c r="L791" s="556"/>
      <c r="M791" s="556"/>
      <c r="N791" s="556"/>
      <c r="O791" s="556"/>
      <c r="P791" s="556"/>
      <c r="Q791" s="556"/>
      <c r="R791" s="556"/>
      <c r="S791" s="556"/>
      <c r="T791" s="556"/>
      <c r="U791" s="556"/>
      <c r="V791" s="556"/>
      <c r="W791" s="556"/>
      <c r="X791" s="556"/>
      <c r="Y791" s="556"/>
      <c r="Z791" s="579"/>
      <c r="AA791" s="556"/>
      <c r="AB791" s="556"/>
      <c r="AC791" s="556"/>
      <c r="AD791" s="556"/>
    </row>
    <row r="792" ht="15.75" customHeight="1">
      <c r="A792" s="594"/>
      <c r="B792" s="556"/>
      <c r="C792" s="556"/>
      <c r="D792" s="556"/>
      <c r="E792" s="556"/>
      <c r="F792" s="556"/>
      <c r="G792" s="556"/>
      <c r="H792" s="556"/>
      <c r="I792" s="556"/>
      <c r="J792" s="556"/>
      <c r="K792" s="556"/>
      <c r="L792" s="556"/>
      <c r="M792" s="556"/>
      <c r="N792" s="556"/>
      <c r="O792" s="556"/>
      <c r="P792" s="556"/>
      <c r="Q792" s="556"/>
      <c r="R792" s="556"/>
      <c r="S792" s="556"/>
      <c r="T792" s="556"/>
      <c r="U792" s="556"/>
      <c r="V792" s="556"/>
      <c r="W792" s="556"/>
      <c r="X792" s="556"/>
      <c r="Y792" s="556"/>
      <c r="Z792" s="579"/>
      <c r="AA792" s="556"/>
      <c r="AB792" s="556"/>
      <c r="AC792" s="556"/>
      <c r="AD792" s="556"/>
    </row>
    <row r="793" ht="15.75" customHeight="1">
      <c r="A793" s="594"/>
      <c r="B793" s="556"/>
      <c r="C793" s="556"/>
      <c r="D793" s="556"/>
      <c r="E793" s="556"/>
      <c r="F793" s="556"/>
      <c r="G793" s="556"/>
      <c r="H793" s="556"/>
      <c r="I793" s="556"/>
      <c r="J793" s="556"/>
      <c r="K793" s="556"/>
      <c r="L793" s="556"/>
      <c r="M793" s="556"/>
      <c r="N793" s="556"/>
      <c r="O793" s="556"/>
      <c r="P793" s="556"/>
      <c r="Q793" s="556"/>
      <c r="R793" s="556"/>
      <c r="S793" s="556"/>
      <c r="T793" s="556"/>
      <c r="U793" s="556"/>
      <c r="V793" s="556"/>
      <c r="W793" s="556"/>
      <c r="X793" s="556"/>
      <c r="Y793" s="556"/>
      <c r="Z793" s="579"/>
      <c r="AA793" s="556"/>
      <c r="AB793" s="556"/>
      <c r="AC793" s="556"/>
      <c r="AD793" s="556"/>
    </row>
    <row r="794" ht="15.75" customHeight="1">
      <c r="A794" s="594"/>
      <c r="B794" s="556"/>
      <c r="C794" s="556"/>
      <c r="D794" s="556"/>
      <c r="E794" s="556"/>
      <c r="F794" s="556"/>
      <c r="G794" s="556"/>
      <c r="H794" s="556"/>
      <c r="I794" s="556"/>
      <c r="J794" s="556"/>
      <c r="K794" s="556"/>
      <c r="L794" s="556"/>
      <c r="M794" s="556"/>
      <c r="N794" s="556"/>
      <c r="O794" s="556"/>
      <c r="P794" s="556"/>
      <c r="Q794" s="556"/>
      <c r="R794" s="556"/>
      <c r="S794" s="556"/>
      <c r="T794" s="556"/>
      <c r="U794" s="556"/>
      <c r="V794" s="556"/>
      <c r="W794" s="556"/>
      <c r="X794" s="556"/>
      <c r="Y794" s="556"/>
      <c r="Z794" s="579"/>
      <c r="AA794" s="556"/>
      <c r="AB794" s="556"/>
      <c r="AC794" s="556"/>
      <c r="AD794" s="556"/>
    </row>
    <row r="795" ht="15.75" customHeight="1">
      <c r="A795" s="594"/>
      <c r="B795" s="556"/>
      <c r="C795" s="556"/>
      <c r="D795" s="556"/>
      <c r="E795" s="556"/>
      <c r="F795" s="556"/>
      <c r="G795" s="556"/>
      <c r="H795" s="556"/>
      <c r="I795" s="556"/>
      <c r="J795" s="556"/>
      <c r="K795" s="556"/>
      <c r="L795" s="556"/>
      <c r="M795" s="556"/>
      <c r="N795" s="556"/>
      <c r="O795" s="556"/>
      <c r="P795" s="556"/>
      <c r="Q795" s="556"/>
      <c r="R795" s="556"/>
      <c r="S795" s="556"/>
      <c r="T795" s="556"/>
      <c r="U795" s="556"/>
      <c r="V795" s="556"/>
      <c r="W795" s="556"/>
      <c r="X795" s="556"/>
      <c r="Y795" s="556"/>
      <c r="Z795" s="579"/>
      <c r="AA795" s="556"/>
      <c r="AB795" s="556"/>
      <c r="AC795" s="556"/>
      <c r="AD795" s="556"/>
    </row>
    <row r="796" ht="15.75" customHeight="1">
      <c r="A796" s="594"/>
      <c r="B796" s="556"/>
      <c r="C796" s="556"/>
      <c r="D796" s="556"/>
      <c r="E796" s="556"/>
      <c r="F796" s="556"/>
      <c r="G796" s="556"/>
      <c r="H796" s="556"/>
      <c r="I796" s="556"/>
      <c r="J796" s="556"/>
      <c r="K796" s="556"/>
      <c r="L796" s="556"/>
      <c r="M796" s="556"/>
      <c r="N796" s="556"/>
      <c r="O796" s="556"/>
      <c r="P796" s="556"/>
      <c r="Q796" s="556"/>
      <c r="R796" s="556"/>
      <c r="S796" s="556"/>
      <c r="T796" s="556"/>
      <c r="U796" s="556"/>
      <c r="V796" s="556"/>
      <c r="W796" s="556"/>
      <c r="X796" s="556"/>
      <c r="Y796" s="556"/>
      <c r="Z796" s="579"/>
      <c r="AA796" s="556"/>
      <c r="AB796" s="556"/>
      <c r="AC796" s="556"/>
      <c r="AD796" s="556"/>
    </row>
    <row r="797" ht="15.75" customHeight="1">
      <c r="A797" s="594"/>
      <c r="B797" s="556"/>
      <c r="C797" s="556"/>
      <c r="D797" s="556"/>
      <c r="E797" s="556"/>
      <c r="F797" s="556"/>
      <c r="G797" s="556"/>
      <c r="H797" s="556"/>
      <c r="I797" s="556"/>
      <c r="J797" s="556"/>
      <c r="K797" s="556"/>
      <c r="L797" s="556"/>
      <c r="M797" s="556"/>
      <c r="N797" s="556"/>
      <c r="O797" s="556"/>
      <c r="P797" s="556"/>
      <c r="Q797" s="556"/>
      <c r="R797" s="556"/>
      <c r="S797" s="556"/>
      <c r="T797" s="556"/>
      <c r="U797" s="556"/>
      <c r="V797" s="556"/>
      <c r="W797" s="556"/>
      <c r="X797" s="556"/>
      <c r="Y797" s="556"/>
      <c r="Z797" s="579"/>
      <c r="AA797" s="556"/>
      <c r="AB797" s="556"/>
      <c r="AC797" s="556"/>
      <c r="AD797" s="556"/>
    </row>
    <row r="798" ht="15.75" customHeight="1">
      <c r="A798" s="594"/>
      <c r="B798" s="556"/>
      <c r="C798" s="556"/>
      <c r="D798" s="556"/>
      <c r="E798" s="556"/>
      <c r="F798" s="556"/>
      <c r="G798" s="556"/>
      <c r="H798" s="556"/>
      <c r="I798" s="556"/>
      <c r="J798" s="556"/>
      <c r="K798" s="556"/>
      <c r="L798" s="556"/>
      <c r="M798" s="556"/>
      <c r="N798" s="556"/>
      <c r="O798" s="556"/>
      <c r="P798" s="556"/>
      <c r="Q798" s="556"/>
      <c r="R798" s="556"/>
      <c r="S798" s="556"/>
      <c r="T798" s="556"/>
      <c r="U798" s="556"/>
      <c r="V798" s="556"/>
      <c r="W798" s="556"/>
      <c r="X798" s="556"/>
      <c r="Y798" s="556"/>
      <c r="Z798" s="579"/>
      <c r="AA798" s="556"/>
      <c r="AB798" s="556"/>
      <c r="AC798" s="556"/>
      <c r="AD798" s="556"/>
    </row>
    <row r="799" ht="15.75" customHeight="1">
      <c r="A799" s="594"/>
      <c r="B799" s="556"/>
      <c r="C799" s="556"/>
      <c r="D799" s="556"/>
      <c r="E799" s="556"/>
      <c r="F799" s="556"/>
      <c r="G799" s="556"/>
      <c r="H799" s="556"/>
      <c r="I799" s="556"/>
      <c r="J799" s="556"/>
      <c r="K799" s="556"/>
      <c r="L799" s="556"/>
      <c r="M799" s="556"/>
      <c r="N799" s="556"/>
      <c r="O799" s="556"/>
      <c r="P799" s="556"/>
      <c r="Q799" s="556"/>
      <c r="R799" s="556"/>
      <c r="S799" s="556"/>
      <c r="T799" s="556"/>
      <c r="U799" s="556"/>
      <c r="V799" s="556"/>
      <c r="W799" s="556"/>
      <c r="X799" s="556"/>
      <c r="Y799" s="556"/>
      <c r="Z799" s="579"/>
      <c r="AA799" s="556"/>
      <c r="AB799" s="556"/>
      <c r="AC799" s="556"/>
      <c r="AD799" s="556"/>
    </row>
    <row r="800" ht="15.75" customHeight="1">
      <c r="A800" s="594"/>
      <c r="B800" s="556"/>
      <c r="C800" s="556"/>
      <c r="D800" s="556"/>
      <c r="E800" s="556"/>
      <c r="F800" s="556"/>
      <c r="G800" s="556"/>
      <c r="H800" s="556"/>
      <c r="I800" s="556"/>
      <c r="J800" s="556"/>
      <c r="K800" s="556"/>
      <c r="L800" s="556"/>
      <c r="M800" s="556"/>
      <c r="N800" s="556"/>
      <c r="O800" s="556"/>
      <c r="P800" s="556"/>
      <c r="Q800" s="556"/>
      <c r="R800" s="556"/>
      <c r="S800" s="556"/>
      <c r="T800" s="556"/>
      <c r="U800" s="556"/>
      <c r="V800" s="556"/>
      <c r="W800" s="556"/>
      <c r="X800" s="556"/>
      <c r="Y800" s="556"/>
      <c r="Z800" s="579"/>
      <c r="AA800" s="556"/>
      <c r="AB800" s="556"/>
      <c r="AC800" s="556"/>
      <c r="AD800" s="556"/>
    </row>
    <row r="801" ht="15.75" customHeight="1">
      <c r="A801" s="594"/>
      <c r="B801" s="556"/>
      <c r="C801" s="556"/>
      <c r="D801" s="556"/>
      <c r="E801" s="556"/>
      <c r="F801" s="556"/>
      <c r="G801" s="556"/>
      <c r="H801" s="556"/>
      <c r="I801" s="556"/>
      <c r="J801" s="556"/>
      <c r="K801" s="556"/>
      <c r="L801" s="556"/>
      <c r="M801" s="556"/>
      <c r="N801" s="556"/>
      <c r="O801" s="556"/>
      <c r="P801" s="556"/>
      <c r="Q801" s="556"/>
      <c r="R801" s="556"/>
      <c r="S801" s="556"/>
      <c r="T801" s="556"/>
      <c r="U801" s="556"/>
      <c r="V801" s="556"/>
      <c r="W801" s="556"/>
      <c r="X801" s="556"/>
      <c r="Y801" s="556"/>
      <c r="Z801" s="579"/>
      <c r="AA801" s="556"/>
      <c r="AB801" s="556"/>
      <c r="AC801" s="556"/>
      <c r="AD801" s="556"/>
    </row>
    <row r="802" ht="15.75" customHeight="1">
      <c r="A802" s="594"/>
      <c r="B802" s="556"/>
      <c r="C802" s="556"/>
      <c r="D802" s="556"/>
      <c r="E802" s="556"/>
      <c r="F802" s="556"/>
      <c r="G802" s="556"/>
      <c r="H802" s="556"/>
      <c r="I802" s="556"/>
      <c r="J802" s="556"/>
      <c r="K802" s="556"/>
      <c r="L802" s="556"/>
      <c r="M802" s="556"/>
      <c r="N802" s="556"/>
      <c r="O802" s="556"/>
      <c r="P802" s="556"/>
      <c r="Q802" s="556"/>
      <c r="R802" s="556"/>
      <c r="S802" s="556"/>
      <c r="T802" s="556"/>
      <c r="U802" s="556"/>
      <c r="V802" s="556"/>
      <c r="W802" s="556"/>
      <c r="X802" s="556"/>
      <c r="Y802" s="556"/>
      <c r="Z802" s="579"/>
      <c r="AA802" s="556"/>
      <c r="AB802" s="556"/>
      <c r="AC802" s="556"/>
      <c r="AD802" s="556"/>
    </row>
    <row r="803" ht="15.75" customHeight="1">
      <c r="A803" s="594"/>
      <c r="B803" s="556"/>
      <c r="C803" s="556"/>
      <c r="D803" s="556"/>
      <c r="E803" s="556"/>
      <c r="F803" s="556"/>
      <c r="G803" s="556"/>
      <c r="H803" s="556"/>
      <c r="I803" s="556"/>
      <c r="J803" s="556"/>
      <c r="K803" s="556"/>
      <c r="L803" s="556"/>
      <c r="M803" s="556"/>
      <c r="N803" s="556"/>
      <c r="O803" s="556"/>
      <c r="P803" s="556"/>
      <c r="Q803" s="556"/>
      <c r="R803" s="556"/>
      <c r="S803" s="556"/>
      <c r="T803" s="556"/>
      <c r="U803" s="556"/>
      <c r="V803" s="556"/>
      <c r="W803" s="556"/>
      <c r="X803" s="556"/>
      <c r="Y803" s="556"/>
      <c r="Z803" s="579"/>
      <c r="AA803" s="556"/>
      <c r="AB803" s="556"/>
      <c r="AC803" s="556"/>
      <c r="AD803" s="556"/>
    </row>
    <row r="804" ht="15.75" customHeight="1">
      <c r="A804" s="594"/>
      <c r="B804" s="556"/>
      <c r="C804" s="556"/>
      <c r="D804" s="556"/>
      <c r="E804" s="556"/>
      <c r="F804" s="556"/>
      <c r="G804" s="556"/>
      <c r="H804" s="556"/>
      <c r="I804" s="556"/>
      <c r="J804" s="556"/>
      <c r="K804" s="556"/>
      <c r="L804" s="556"/>
      <c r="M804" s="556"/>
      <c r="N804" s="556"/>
      <c r="O804" s="556"/>
      <c r="P804" s="556"/>
      <c r="Q804" s="556"/>
      <c r="R804" s="556"/>
      <c r="S804" s="556"/>
      <c r="T804" s="556"/>
      <c r="U804" s="556"/>
      <c r="V804" s="556"/>
      <c r="W804" s="556"/>
      <c r="X804" s="556"/>
      <c r="Y804" s="556"/>
      <c r="Z804" s="579"/>
      <c r="AA804" s="556"/>
      <c r="AB804" s="556"/>
      <c r="AC804" s="556"/>
      <c r="AD804" s="556"/>
    </row>
    <row r="805" ht="15.75" customHeight="1">
      <c r="A805" s="594"/>
      <c r="B805" s="556"/>
      <c r="C805" s="556"/>
      <c r="D805" s="556"/>
      <c r="E805" s="556"/>
      <c r="F805" s="556"/>
      <c r="G805" s="556"/>
      <c r="H805" s="556"/>
      <c r="I805" s="556"/>
      <c r="J805" s="556"/>
      <c r="K805" s="556"/>
      <c r="L805" s="556"/>
      <c r="M805" s="556"/>
      <c r="N805" s="556"/>
      <c r="O805" s="556"/>
      <c r="P805" s="556"/>
      <c r="Q805" s="556"/>
      <c r="R805" s="556"/>
      <c r="S805" s="556"/>
      <c r="T805" s="556"/>
      <c r="U805" s="556"/>
      <c r="V805" s="556"/>
      <c r="W805" s="556"/>
      <c r="X805" s="556"/>
      <c r="Y805" s="556"/>
      <c r="Z805" s="579"/>
      <c r="AA805" s="556"/>
      <c r="AB805" s="556"/>
      <c r="AC805" s="556"/>
      <c r="AD805" s="556"/>
    </row>
    <row r="806" ht="15.75" customHeight="1">
      <c r="A806" s="594"/>
      <c r="B806" s="556"/>
      <c r="C806" s="556"/>
      <c r="D806" s="556"/>
      <c r="E806" s="556"/>
      <c r="F806" s="556"/>
      <c r="G806" s="556"/>
      <c r="H806" s="556"/>
      <c r="I806" s="556"/>
      <c r="J806" s="556"/>
      <c r="K806" s="556"/>
      <c r="L806" s="556"/>
      <c r="M806" s="556"/>
      <c r="N806" s="556"/>
      <c r="O806" s="556"/>
      <c r="P806" s="556"/>
      <c r="Q806" s="556"/>
      <c r="R806" s="556"/>
      <c r="S806" s="556"/>
      <c r="T806" s="556"/>
      <c r="U806" s="556"/>
      <c r="V806" s="556"/>
      <c r="W806" s="556"/>
      <c r="X806" s="556"/>
      <c r="Y806" s="556"/>
      <c r="Z806" s="579"/>
      <c r="AA806" s="556"/>
      <c r="AB806" s="556"/>
      <c r="AC806" s="556"/>
      <c r="AD806" s="556"/>
    </row>
    <row r="807" ht="15.75" customHeight="1">
      <c r="A807" s="594"/>
      <c r="B807" s="556"/>
      <c r="C807" s="556"/>
      <c r="D807" s="556"/>
      <c r="E807" s="556"/>
      <c r="F807" s="556"/>
      <c r="G807" s="556"/>
      <c r="H807" s="556"/>
      <c r="I807" s="556"/>
      <c r="J807" s="556"/>
      <c r="K807" s="556"/>
      <c r="L807" s="556"/>
      <c r="M807" s="556"/>
      <c r="N807" s="556"/>
      <c r="O807" s="556"/>
      <c r="P807" s="556"/>
      <c r="Q807" s="556"/>
      <c r="R807" s="556"/>
      <c r="S807" s="556"/>
      <c r="T807" s="556"/>
      <c r="U807" s="556"/>
      <c r="V807" s="556"/>
      <c r="W807" s="556"/>
      <c r="X807" s="556"/>
      <c r="Y807" s="556"/>
      <c r="Z807" s="579"/>
      <c r="AA807" s="556"/>
      <c r="AB807" s="556"/>
      <c r="AC807" s="556"/>
      <c r="AD807" s="556"/>
    </row>
    <row r="808" ht="15.75" customHeight="1">
      <c r="A808" s="594"/>
      <c r="B808" s="556"/>
      <c r="C808" s="556"/>
      <c r="D808" s="556"/>
      <c r="E808" s="556"/>
      <c r="F808" s="556"/>
      <c r="G808" s="556"/>
      <c r="H808" s="556"/>
      <c r="I808" s="556"/>
      <c r="J808" s="556"/>
      <c r="K808" s="556"/>
      <c r="L808" s="556"/>
      <c r="M808" s="556"/>
      <c r="N808" s="556"/>
      <c r="O808" s="556"/>
      <c r="P808" s="556"/>
      <c r="Q808" s="556"/>
      <c r="R808" s="556"/>
      <c r="S808" s="556"/>
      <c r="T808" s="556"/>
      <c r="U808" s="556"/>
      <c r="V808" s="556"/>
      <c r="W808" s="556"/>
      <c r="X808" s="556"/>
      <c r="Y808" s="556"/>
      <c r="Z808" s="579"/>
      <c r="AA808" s="556"/>
      <c r="AB808" s="556"/>
      <c r="AC808" s="556"/>
      <c r="AD808" s="556"/>
    </row>
    <row r="809" ht="15.75" customHeight="1">
      <c r="A809" s="594"/>
      <c r="B809" s="556"/>
      <c r="C809" s="556"/>
      <c r="D809" s="556"/>
      <c r="E809" s="556"/>
      <c r="F809" s="556"/>
      <c r="G809" s="556"/>
      <c r="H809" s="556"/>
      <c r="I809" s="556"/>
      <c r="J809" s="556"/>
      <c r="K809" s="556"/>
      <c r="L809" s="556"/>
      <c r="M809" s="556"/>
      <c r="N809" s="556"/>
      <c r="O809" s="556"/>
      <c r="P809" s="556"/>
      <c r="Q809" s="556"/>
      <c r="R809" s="556"/>
      <c r="S809" s="556"/>
      <c r="T809" s="556"/>
      <c r="U809" s="556"/>
      <c r="V809" s="556"/>
      <c r="W809" s="556"/>
      <c r="X809" s="556"/>
      <c r="Y809" s="556"/>
      <c r="Z809" s="579"/>
      <c r="AA809" s="556"/>
      <c r="AB809" s="556"/>
      <c r="AC809" s="556"/>
      <c r="AD809" s="556"/>
    </row>
    <row r="810" ht="15.75" customHeight="1">
      <c r="A810" s="594"/>
      <c r="B810" s="556"/>
      <c r="C810" s="556"/>
      <c r="D810" s="556"/>
      <c r="E810" s="556"/>
      <c r="F810" s="556"/>
      <c r="G810" s="556"/>
      <c r="H810" s="556"/>
      <c r="I810" s="556"/>
      <c r="J810" s="556"/>
      <c r="K810" s="556"/>
      <c r="L810" s="556"/>
      <c r="M810" s="556"/>
      <c r="N810" s="556"/>
      <c r="O810" s="556"/>
      <c r="P810" s="556"/>
      <c r="Q810" s="556"/>
      <c r="R810" s="556"/>
      <c r="S810" s="556"/>
      <c r="T810" s="556"/>
      <c r="U810" s="556"/>
      <c r="V810" s="556"/>
      <c r="W810" s="556"/>
      <c r="X810" s="556"/>
      <c r="Y810" s="556"/>
      <c r="Z810" s="579"/>
      <c r="AA810" s="556"/>
      <c r="AB810" s="556"/>
      <c r="AC810" s="556"/>
      <c r="AD810" s="556"/>
    </row>
    <row r="811" ht="15.75" customHeight="1">
      <c r="A811" s="594"/>
      <c r="B811" s="556"/>
      <c r="C811" s="556"/>
      <c r="D811" s="556"/>
      <c r="E811" s="556"/>
      <c r="F811" s="556"/>
      <c r="G811" s="556"/>
      <c r="H811" s="556"/>
      <c r="I811" s="556"/>
      <c r="J811" s="556"/>
      <c r="K811" s="556"/>
      <c r="L811" s="556"/>
      <c r="M811" s="556"/>
      <c r="N811" s="556"/>
      <c r="O811" s="556"/>
      <c r="P811" s="556"/>
      <c r="Q811" s="556"/>
      <c r="R811" s="556"/>
      <c r="S811" s="556"/>
      <c r="T811" s="556"/>
      <c r="U811" s="556"/>
      <c r="V811" s="556"/>
      <c r="W811" s="556"/>
      <c r="X811" s="556"/>
      <c r="Y811" s="556"/>
      <c r="Z811" s="579"/>
      <c r="AA811" s="556"/>
      <c r="AB811" s="556"/>
      <c r="AC811" s="556"/>
      <c r="AD811" s="556"/>
    </row>
    <row r="812" ht="15.75" customHeight="1">
      <c r="A812" s="594"/>
      <c r="B812" s="556"/>
      <c r="C812" s="556"/>
      <c r="D812" s="556"/>
      <c r="E812" s="556"/>
      <c r="F812" s="556"/>
      <c r="G812" s="556"/>
      <c r="H812" s="556"/>
      <c r="I812" s="556"/>
      <c r="J812" s="556"/>
      <c r="K812" s="556"/>
      <c r="L812" s="556"/>
      <c r="M812" s="556"/>
      <c r="N812" s="556"/>
      <c r="O812" s="556"/>
      <c r="P812" s="556"/>
      <c r="Q812" s="556"/>
      <c r="R812" s="556"/>
      <c r="S812" s="556"/>
      <c r="T812" s="556"/>
      <c r="U812" s="556"/>
      <c r="V812" s="556"/>
      <c r="W812" s="556"/>
      <c r="X812" s="556"/>
      <c r="Y812" s="556"/>
      <c r="Z812" s="579"/>
      <c r="AA812" s="556"/>
      <c r="AB812" s="556"/>
      <c r="AC812" s="556"/>
      <c r="AD812" s="556"/>
    </row>
    <row r="813" ht="15.75" customHeight="1">
      <c r="A813" s="594"/>
      <c r="B813" s="556"/>
      <c r="C813" s="556"/>
      <c r="D813" s="556"/>
      <c r="E813" s="556"/>
      <c r="F813" s="556"/>
      <c r="G813" s="556"/>
      <c r="H813" s="556"/>
      <c r="I813" s="556"/>
      <c r="J813" s="556"/>
      <c r="K813" s="556"/>
      <c r="L813" s="556"/>
      <c r="M813" s="556"/>
      <c r="N813" s="556"/>
      <c r="O813" s="556"/>
      <c r="P813" s="556"/>
      <c r="Q813" s="556"/>
      <c r="R813" s="556"/>
      <c r="S813" s="556"/>
      <c r="T813" s="556"/>
      <c r="U813" s="556"/>
      <c r="V813" s="556"/>
      <c r="W813" s="556"/>
      <c r="X813" s="556"/>
      <c r="Y813" s="556"/>
      <c r="Z813" s="579"/>
      <c r="AA813" s="556"/>
      <c r="AB813" s="556"/>
      <c r="AC813" s="556"/>
      <c r="AD813" s="556"/>
    </row>
    <row r="814" ht="15.75" customHeight="1">
      <c r="A814" s="594"/>
      <c r="B814" s="556"/>
      <c r="C814" s="556"/>
      <c r="D814" s="556"/>
      <c r="E814" s="556"/>
      <c r="F814" s="556"/>
      <c r="G814" s="556"/>
      <c r="H814" s="556"/>
      <c r="I814" s="556"/>
      <c r="J814" s="556"/>
      <c r="K814" s="556"/>
      <c r="L814" s="556"/>
      <c r="M814" s="556"/>
      <c r="N814" s="556"/>
      <c r="O814" s="556"/>
      <c r="P814" s="556"/>
      <c r="Q814" s="556"/>
      <c r="R814" s="556"/>
      <c r="S814" s="556"/>
      <c r="T814" s="556"/>
      <c r="U814" s="556"/>
      <c r="V814" s="556"/>
      <c r="W814" s="556"/>
      <c r="X814" s="556"/>
      <c r="Y814" s="556"/>
      <c r="Z814" s="579"/>
      <c r="AA814" s="556"/>
      <c r="AB814" s="556"/>
      <c r="AC814" s="556"/>
      <c r="AD814" s="556"/>
    </row>
    <row r="815" ht="15.75" customHeight="1">
      <c r="A815" s="594"/>
      <c r="B815" s="556"/>
      <c r="C815" s="556"/>
      <c r="D815" s="556"/>
      <c r="E815" s="556"/>
      <c r="F815" s="556"/>
      <c r="G815" s="556"/>
      <c r="H815" s="556"/>
      <c r="I815" s="556"/>
      <c r="J815" s="556"/>
      <c r="K815" s="556"/>
      <c r="L815" s="556"/>
      <c r="M815" s="556"/>
      <c r="N815" s="556"/>
      <c r="O815" s="556"/>
      <c r="P815" s="556"/>
      <c r="Q815" s="556"/>
      <c r="R815" s="556"/>
      <c r="S815" s="556"/>
      <c r="T815" s="556"/>
      <c r="U815" s="556"/>
      <c r="V815" s="556"/>
      <c r="W815" s="556"/>
      <c r="X815" s="556"/>
      <c r="Y815" s="556"/>
      <c r="Z815" s="579"/>
      <c r="AA815" s="556"/>
      <c r="AB815" s="556"/>
      <c r="AC815" s="556"/>
      <c r="AD815" s="556"/>
    </row>
    <row r="816" ht="15.75" customHeight="1">
      <c r="A816" s="594"/>
      <c r="B816" s="556"/>
      <c r="C816" s="556"/>
      <c r="D816" s="556"/>
      <c r="E816" s="556"/>
      <c r="F816" s="556"/>
      <c r="G816" s="556"/>
      <c r="H816" s="556"/>
      <c r="I816" s="556"/>
      <c r="J816" s="556"/>
      <c r="K816" s="556"/>
      <c r="L816" s="556"/>
      <c r="M816" s="556"/>
      <c r="N816" s="556"/>
      <c r="O816" s="556"/>
      <c r="P816" s="556"/>
      <c r="Q816" s="556"/>
      <c r="R816" s="556"/>
      <c r="S816" s="556"/>
      <c r="T816" s="556"/>
      <c r="U816" s="556"/>
      <c r="V816" s="556"/>
      <c r="W816" s="556"/>
      <c r="X816" s="556"/>
      <c r="Y816" s="556"/>
      <c r="Z816" s="579"/>
      <c r="AA816" s="556"/>
      <c r="AB816" s="556"/>
      <c r="AC816" s="556"/>
      <c r="AD816" s="556"/>
    </row>
    <row r="817" ht="15.75" customHeight="1">
      <c r="A817" s="594"/>
      <c r="B817" s="556"/>
      <c r="C817" s="556"/>
      <c r="D817" s="556"/>
      <c r="E817" s="556"/>
      <c r="F817" s="556"/>
      <c r="G817" s="556"/>
      <c r="H817" s="556"/>
      <c r="I817" s="556"/>
      <c r="J817" s="556"/>
      <c r="K817" s="556"/>
      <c r="L817" s="556"/>
      <c r="M817" s="556"/>
      <c r="N817" s="556"/>
      <c r="O817" s="556"/>
      <c r="P817" s="556"/>
      <c r="Q817" s="556"/>
      <c r="R817" s="556"/>
      <c r="S817" s="556"/>
      <c r="T817" s="556"/>
      <c r="U817" s="556"/>
      <c r="V817" s="556"/>
      <c r="W817" s="556"/>
      <c r="X817" s="556"/>
      <c r="Y817" s="556"/>
      <c r="Z817" s="579"/>
      <c r="AA817" s="556"/>
      <c r="AB817" s="556"/>
      <c r="AC817" s="556"/>
      <c r="AD817" s="556"/>
    </row>
    <row r="818" ht="15.75" customHeight="1">
      <c r="A818" s="594"/>
      <c r="B818" s="556"/>
      <c r="C818" s="556"/>
      <c r="D818" s="556"/>
      <c r="E818" s="556"/>
      <c r="F818" s="556"/>
      <c r="G818" s="556"/>
      <c r="H818" s="556"/>
      <c r="I818" s="556"/>
      <c r="J818" s="556"/>
      <c r="K818" s="556"/>
      <c r="L818" s="556"/>
      <c r="M818" s="556"/>
      <c r="N818" s="556"/>
      <c r="O818" s="556"/>
      <c r="P818" s="556"/>
      <c r="Q818" s="556"/>
      <c r="R818" s="556"/>
      <c r="S818" s="556"/>
      <c r="T818" s="556"/>
      <c r="U818" s="556"/>
      <c r="V818" s="556"/>
      <c r="W818" s="556"/>
      <c r="X818" s="556"/>
      <c r="Y818" s="556"/>
      <c r="Z818" s="579"/>
      <c r="AA818" s="556"/>
      <c r="AB818" s="556"/>
      <c r="AC818" s="556"/>
      <c r="AD818" s="556"/>
    </row>
    <row r="819" ht="15.75" customHeight="1">
      <c r="A819" s="594"/>
      <c r="B819" s="556"/>
      <c r="C819" s="556"/>
      <c r="D819" s="556"/>
      <c r="E819" s="556"/>
      <c r="F819" s="556"/>
      <c r="G819" s="556"/>
      <c r="H819" s="556"/>
      <c r="I819" s="556"/>
      <c r="J819" s="556"/>
      <c r="K819" s="556"/>
      <c r="L819" s="556"/>
      <c r="M819" s="556"/>
      <c r="N819" s="556"/>
      <c r="O819" s="556"/>
      <c r="P819" s="556"/>
      <c r="Q819" s="556"/>
      <c r="R819" s="556"/>
      <c r="S819" s="556"/>
      <c r="T819" s="556"/>
      <c r="U819" s="556"/>
      <c r="V819" s="556"/>
      <c r="W819" s="556"/>
      <c r="X819" s="556"/>
      <c r="Y819" s="556"/>
      <c r="Z819" s="579"/>
      <c r="AA819" s="556"/>
      <c r="AB819" s="556"/>
      <c r="AC819" s="556"/>
      <c r="AD819" s="556"/>
    </row>
    <row r="820" ht="15.75" customHeight="1">
      <c r="A820" s="594"/>
      <c r="B820" s="556"/>
      <c r="C820" s="556"/>
      <c r="D820" s="556"/>
      <c r="E820" s="556"/>
      <c r="F820" s="556"/>
      <c r="G820" s="556"/>
      <c r="H820" s="556"/>
      <c r="I820" s="556"/>
      <c r="J820" s="556"/>
      <c r="K820" s="556"/>
      <c r="L820" s="556"/>
      <c r="M820" s="556"/>
      <c r="N820" s="556"/>
      <c r="O820" s="556"/>
      <c r="P820" s="556"/>
      <c r="Q820" s="556"/>
      <c r="R820" s="556"/>
      <c r="S820" s="556"/>
      <c r="T820" s="556"/>
      <c r="U820" s="556"/>
      <c r="V820" s="556"/>
      <c r="W820" s="556"/>
      <c r="X820" s="556"/>
      <c r="Y820" s="556"/>
      <c r="Z820" s="579"/>
      <c r="AA820" s="556"/>
      <c r="AB820" s="556"/>
      <c r="AC820" s="556"/>
      <c r="AD820" s="556"/>
    </row>
    <row r="821" ht="15.75" customHeight="1">
      <c r="A821" s="594"/>
      <c r="B821" s="556"/>
      <c r="C821" s="556"/>
      <c r="D821" s="556"/>
      <c r="E821" s="556"/>
      <c r="F821" s="556"/>
      <c r="G821" s="556"/>
      <c r="H821" s="556"/>
      <c r="I821" s="556"/>
      <c r="J821" s="556"/>
      <c r="K821" s="556"/>
      <c r="L821" s="556"/>
      <c r="M821" s="556"/>
      <c r="N821" s="556"/>
      <c r="O821" s="556"/>
      <c r="P821" s="556"/>
      <c r="Q821" s="556"/>
      <c r="R821" s="556"/>
      <c r="S821" s="556"/>
      <c r="T821" s="556"/>
      <c r="U821" s="556"/>
      <c r="V821" s="556"/>
      <c r="W821" s="556"/>
      <c r="X821" s="556"/>
      <c r="Y821" s="556"/>
      <c r="Z821" s="579"/>
      <c r="AA821" s="556"/>
      <c r="AB821" s="556"/>
      <c r="AC821" s="556"/>
      <c r="AD821" s="556"/>
    </row>
    <row r="822" ht="15.75" customHeight="1">
      <c r="A822" s="594"/>
      <c r="B822" s="556"/>
      <c r="C822" s="556"/>
      <c r="D822" s="556"/>
      <c r="E822" s="556"/>
      <c r="F822" s="556"/>
      <c r="G822" s="556"/>
      <c r="H822" s="556"/>
      <c r="I822" s="556"/>
      <c r="J822" s="556"/>
      <c r="K822" s="556"/>
      <c r="L822" s="556"/>
      <c r="M822" s="556"/>
      <c r="N822" s="556"/>
      <c r="O822" s="556"/>
      <c r="P822" s="556"/>
      <c r="Q822" s="556"/>
      <c r="R822" s="556"/>
      <c r="S822" s="556"/>
      <c r="T822" s="556"/>
      <c r="U822" s="556"/>
      <c r="V822" s="556"/>
      <c r="W822" s="556"/>
      <c r="X822" s="556"/>
      <c r="Y822" s="556"/>
      <c r="Z822" s="579"/>
      <c r="AA822" s="556"/>
      <c r="AB822" s="556"/>
      <c r="AC822" s="556"/>
      <c r="AD822" s="556"/>
    </row>
    <row r="823" ht="15.75" customHeight="1">
      <c r="A823" s="594"/>
      <c r="B823" s="556"/>
      <c r="C823" s="556"/>
      <c r="D823" s="556"/>
      <c r="E823" s="556"/>
      <c r="F823" s="556"/>
      <c r="G823" s="556"/>
      <c r="H823" s="556"/>
      <c r="I823" s="556"/>
      <c r="J823" s="556"/>
      <c r="K823" s="556"/>
      <c r="L823" s="556"/>
      <c r="M823" s="556"/>
      <c r="N823" s="556"/>
      <c r="O823" s="556"/>
      <c r="P823" s="556"/>
      <c r="Q823" s="556"/>
      <c r="R823" s="556"/>
      <c r="S823" s="556"/>
      <c r="T823" s="556"/>
      <c r="U823" s="556"/>
      <c r="V823" s="556"/>
      <c r="W823" s="556"/>
      <c r="X823" s="556"/>
      <c r="Y823" s="556"/>
      <c r="Z823" s="579"/>
      <c r="AA823" s="556"/>
      <c r="AB823" s="556"/>
      <c r="AC823" s="556"/>
      <c r="AD823" s="556"/>
    </row>
    <row r="824" ht="15.75" customHeight="1">
      <c r="A824" s="594"/>
      <c r="B824" s="556"/>
      <c r="C824" s="556"/>
      <c r="D824" s="556"/>
      <c r="E824" s="556"/>
      <c r="F824" s="556"/>
      <c r="G824" s="556"/>
      <c r="H824" s="556"/>
      <c r="I824" s="556"/>
      <c r="J824" s="556"/>
      <c r="K824" s="556"/>
      <c r="L824" s="556"/>
      <c r="M824" s="556"/>
      <c r="N824" s="556"/>
      <c r="O824" s="556"/>
      <c r="P824" s="556"/>
      <c r="Q824" s="556"/>
      <c r="R824" s="556"/>
      <c r="S824" s="556"/>
      <c r="T824" s="556"/>
      <c r="U824" s="556"/>
      <c r="V824" s="556"/>
      <c r="W824" s="556"/>
      <c r="X824" s="556"/>
      <c r="Y824" s="556"/>
      <c r="Z824" s="579"/>
      <c r="AA824" s="556"/>
      <c r="AB824" s="556"/>
      <c r="AC824" s="556"/>
      <c r="AD824" s="556"/>
    </row>
    <row r="825" ht="15.75" customHeight="1">
      <c r="A825" s="594"/>
      <c r="B825" s="556"/>
      <c r="C825" s="556"/>
      <c r="D825" s="556"/>
      <c r="E825" s="556"/>
      <c r="F825" s="556"/>
      <c r="G825" s="556"/>
      <c r="H825" s="556"/>
      <c r="I825" s="556"/>
      <c r="J825" s="556"/>
      <c r="K825" s="556"/>
      <c r="L825" s="556"/>
      <c r="M825" s="556"/>
      <c r="N825" s="556"/>
      <c r="O825" s="556"/>
      <c r="P825" s="556"/>
      <c r="Q825" s="556"/>
      <c r="R825" s="556"/>
      <c r="S825" s="556"/>
      <c r="T825" s="556"/>
      <c r="U825" s="556"/>
      <c r="V825" s="556"/>
      <c r="W825" s="556"/>
      <c r="X825" s="556"/>
      <c r="Y825" s="556"/>
      <c r="Z825" s="579"/>
      <c r="AA825" s="556"/>
      <c r="AB825" s="556"/>
      <c r="AC825" s="556"/>
      <c r="AD825" s="556"/>
    </row>
    <row r="826" ht="15.75" customHeight="1">
      <c r="A826" s="594"/>
      <c r="B826" s="556"/>
      <c r="C826" s="556"/>
      <c r="D826" s="556"/>
      <c r="E826" s="556"/>
      <c r="F826" s="556"/>
      <c r="G826" s="556"/>
      <c r="H826" s="556"/>
      <c r="I826" s="556"/>
      <c r="J826" s="556"/>
      <c r="K826" s="556"/>
      <c r="L826" s="556"/>
      <c r="M826" s="556"/>
      <c r="N826" s="556"/>
      <c r="O826" s="556"/>
      <c r="P826" s="556"/>
      <c r="Q826" s="556"/>
      <c r="R826" s="556"/>
      <c r="S826" s="556"/>
      <c r="T826" s="556"/>
      <c r="U826" s="556"/>
      <c r="V826" s="556"/>
      <c r="W826" s="556"/>
      <c r="X826" s="556"/>
      <c r="Y826" s="556"/>
      <c r="Z826" s="579"/>
      <c r="AA826" s="556"/>
      <c r="AB826" s="556"/>
      <c r="AC826" s="556"/>
      <c r="AD826" s="556"/>
    </row>
    <row r="827" ht="15.75" customHeight="1">
      <c r="A827" s="594"/>
      <c r="B827" s="556"/>
      <c r="C827" s="556"/>
      <c r="D827" s="556"/>
      <c r="E827" s="556"/>
      <c r="F827" s="556"/>
      <c r="G827" s="556"/>
      <c r="H827" s="556"/>
      <c r="I827" s="556"/>
      <c r="J827" s="556"/>
      <c r="K827" s="556"/>
      <c r="L827" s="556"/>
      <c r="M827" s="556"/>
      <c r="N827" s="556"/>
      <c r="O827" s="556"/>
      <c r="P827" s="556"/>
      <c r="Q827" s="556"/>
      <c r="R827" s="556"/>
      <c r="S827" s="556"/>
      <c r="T827" s="556"/>
      <c r="U827" s="556"/>
      <c r="V827" s="556"/>
      <c r="W827" s="556"/>
      <c r="X827" s="556"/>
      <c r="Y827" s="556"/>
      <c r="Z827" s="579"/>
      <c r="AA827" s="556"/>
      <c r="AB827" s="556"/>
      <c r="AC827" s="556"/>
      <c r="AD827" s="556"/>
    </row>
    <row r="828" ht="15.75" customHeight="1">
      <c r="A828" s="594"/>
      <c r="B828" s="556"/>
      <c r="C828" s="556"/>
      <c r="D828" s="556"/>
      <c r="E828" s="556"/>
      <c r="F828" s="556"/>
      <c r="G828" s="556"/>
      <c r="H828" s="556"/>
      <c r="I828" s="556"/>
      <c r="J828" s="556"/>
      <c r="K828" s="556"/>
      <c r="L828" s="556"/>
      <c r="M828" s="556"/>
      <c r="N828" s="556"/>
      <c r="O828" s="556"/>
      <c r="P828" s="556"/>
      <c r="Q828" s="556"/>
      <c r="R828" s="556"/>
      <c r="S828" s="556"/>
      <c r="T828" s="556"/>
      <c r="U828" s="556"/>
      <c r="V828" s="556"/>
      <c r="W828" s="556"/>
      <c r="X828" s="556"/>
      <c r="Y828" s="556"/>
      <c r="Z828" s="579"/>
      <c r="AA828" s="556"/>
      <c r="AB828" s="556"/>
      <c r="AC828" s="556"/>
      <c r="AD828" s="556"/>
    </row>
    <row r="829" ht="15.75" customHeight="1">
      <c r="A829" s="594"/>
      <c r="B829" s="556"/>
      <c r="C829" s="556"/>
      <c r="D829" s="556"/>
      <c r="E829" s="556"/>
      <c r="F829" s="556"/>
      <c r="G829" s="556"/>
      <c r="H829" s="556"/>
      <c r="I829" s="556"/>
      <c r="J829" s="556"/>
      <c r="K829" s="556"/>
      <c r="L829" s="556"/>
      <c r="M829" s="556"/>
      <c r="N829" s="556"/>
      <c r="O829" s="556"/>
      <c r="P829" s="556"/>
      <c r="Q829" s="556"/>
      <c r="R829" s="556"/>
      <c r="S829" s="556"/>
      <c r="T829" s="556"/>
      <c r="U829" s="556"/>
      <c r="V829" s="556"/>
      <c r="W829" s="556"/>
      <c r="X829" s="556"/>
      <c r="Y829" s="556"/>
      <c r="Z829" s="579"/>
      <c r="AA829" s="556"/>
      <c r="AB829" s="556"/>
      <c r="AC829" s="556"/>
      <c r="AD829" s="556"/>
    </row>
    <row r="830" ht="15.75" customHeight="1">
      <c r="A830" s="594"/>
      <c r="B830" s="556"/>
      <c r="C830" s="556"/>
      <c r="D830" s="556"/>
      <c r="E830" s="556"/>
      <c r="F830" s="556"/>
      <c r="G830" s="556"/>
      <c r="H830" s="556"/>
      <c r="I830" s="556"/>
      <c r="J830" s="556"/>
      <c r="K830" s="556"/>
      <c r="L830" s="556"/>
      <c r="M830" s="556"/>
      <c r="N830" s="556"/>
      <c r="O830" s="556"/>
      <c r="P830" s="556"/>
      <c r="Q830" s="556"/>
      <c r="R830" s="556"/>
      <c r="S830" s="556"/>
      <c r="T830" s="556"/>
      <c r="U830" s="556"/>
      <c r="V830" s="556"/>
      <c r="W830" s="556"/>
      <c r="X830" s="556"/>
      <c r="Y830" s="556"/>
      <c r="Z830" s="579"/>
      <c r="AA830" s="556"/>
      <c r="AB830" s="556"/>
      <c r="AC830" s="556"/>
      <c r="AD830" s="556"/>
    </row>
    <row r="831" ht="15.75" customHeight="1">
      <c r="A831" s="594"/>
      <c r="B831" s="556"/>
      <c r="C831" s="556"/>
      <c r="D831" s="556"/>
      <c r="E831" s="556"/>
      <c r="F831" s="556"/>
      <c r="G831" s="556"/>
      <c r="H831" s="556"/>
      <c r="I831" s="556"/>
      <c r="J831" s="556"/>
      <c r="K831" s="556"/>
      <c r="L831" s="556"/>
      <c r="M831" s="556"/>
      <c r="N831" s="556"/>
      <c r="O831" s="556"/>
      <c r="P831" s="556"/>
      <c r="Q831" s="556"/>
      <c r="R831" s="556"/>
      <c r="S831" s="556"/>
      <c r="T831" s="556"/>
      <c r="U831" s="556"/>
      <c r="V831" s="556"/>
      <c r="W831" s="556"/>
      <c r="X831" s="556"/>
      <c r="Y831" s="556"/>
      <c r="Z831" s="579"/>
      <c r="AA831" s="556"/>
      <c r="AB831" s="556"/>
      <c r="AC831" s="556"/>
      <c r="AD831" s="556"/>
    </row>
    <row r="832" ht="15.75" customHeight="1">
      <c r="A832" s="594"/>
      <c r="B832" s="556"/>
      <c r="C832" s="556"/>
      <c r="D832" s="556"/>
      <c r="E832" s="556"/>
      <c r="F832" s="556"/>
      <c r="G832" s="556"/>
      <c r="H832" s="556"/>
      <c r="I832" s="556"/>
      <c r="J832" s="556"/>
      <c r="K832" s="556"/>
      <c r="L832" s="556"/>
      <c r="M832" s="556"/>
      <c r="N832" s="556"/>
      <c r="O832" s="556"/>
      <c r="P832" s="556"/>
      <c r="Q832" s="556"/>
      <c r="R832" s="556"/>
      <c r="S832" s="556"/>
      <c r="T832" s="556"/>
      <c r="U832" s="556"/>
      <c r="V832" s="556"/>
      <c r="W832" s="556"/>
      <c r="X832" s="556"/>
      <c r="Y832" s="556"/>
      <c r="Z832" s="579"/>
      <c r="AA832" s="556"/>
      <c r="AB832" s="556"/>
      <c r="AC832" s="556"/>
      <c r="AD832" s="556"/>
    </row>
    <row r="833" ht="15.75" customHeight="1">
      <c r="A833" s="594"/>
      <c r="B833" s="556"/>
      <c r="C833" s="556"/>
      <c r="D833" s="556"/>
      <c r="E833" s="556"/>
      <c r="F833" s="556"/>
      <c r="G833" s="556"/>
      <c r="H833" s="556"/>
      <c r="I833" s="556"/>
      <c r="J833" s="556"/>
      <c r="K833" s="556"/>
      <c r="L833" s="556"/>
      <c r="M833" s="556"/>
      <c r="N833" s="556"/>
      <c r="O833" s="556"/>
      <c r="P833" s="556"/>
      <c r="Q833" s="556"/>
      <c r="R833" s="556"/>
      <c r="S833" s="556"/>
      <c r="T833" s="556"/>
      <c r="U833" s="556"/>
      <c r="V833" s="556"/>
      <c r="W833" s="556"/>
      <c r="X833" s="556"/>
      <c r="Y833" s="556"/>
      <c r="Z833" s="579"/>
      <c r="AA833" s="556"/>
      <c r="AB833" s="556"/>
      <c r="AC833" s="556"/>
      <c r="AD833" s="556"/>
    </row>
    <row r="834" ht="15.75" customHeight="1">
      <c r="A834" s="594"/>
      <c r="B834" s="556"/>
      <c r="C834" s="556"/>
      <c r="D834" s="556"/>
      <c r="E834" s="556"/>
      <c r="F834" s="556"/>
      <c r="G834" s="556"/>
      <c r="H834" s="556"/>
      <c r="I834" s="556"/>
      <c r="J834" s="556"/>
      <c r="K834" s="556"/>
      <c r="L834" s="556"/>
      <c r="M834" s="556"/>
      <c r="N834" s="556"/>
      <c r="O834" s="556"/>
      <c r="P834" s="556"/>
      <c r="Q834" s="556"/>
      <c r="R834" s="556"/>
      <c r="S834" s="556"/>
      <c r="T834" s="556"/>
      <c r="U834" s="556"/>
      <c r="V834" s="556"/>
      <c r="W834" s="556"/>
      <c r="X834" s="556"/>
      <c r="Y834" s="556"/>
      <c r="Z834" s="579"/>
      <c r="AA834" s="556"/>
      <c r="AB834" s="556"/>
      <c r="AC834" s="556"/>
      <c r="AD834" s="556"/>
    </row>
    <row r="835" ht="15.75" customHeight="1">
      <c r="A835" s="594"/>
      <c r="B835" s="556"/>
      <c r="C835" s="556"/>
      <c r="D835" s="556"/>
      <c r="E835" s="556"/>
      <c r="F835" s="556"/>
      <c r="G835" s="556"/>
      <c r="H835" s="556"/>
      <c r="I835" s="556"/>
      <c r="J835" s="556"/>
      <c r="K835" s="556"/>
      <c r="L835" s="556"/>
      <c r="M835" s="556"/>
      <c r="N835" s="556"/>
      <c r="O835" s="556"/>
      <c r="P835" s="556"/>
      <c r="Q835" s="556"/>
      <c r="R835" s="556"/>
      <c r="S835" s="556"/>
      <c r="T835" s="556"/>
      <c r="U835" s="556"/>
      <c r="V835" s="556"/>
      <c r="W835" s="556"/>
      <c r="X835" s="556"/>
      <c r="Y835" s="556"/>
      <c r="Z835" s="579"/>
      <c r="AA835" s="556"/>
      <c r="AB835" s="556"/>
      <c r="AC835" s="556"/>
      <c r="AD835" s="556"/>
    </row>
    <row r="836" ht="15.75" customHeight="1">
      <c r="A836" s="594"/>
      <c r="B836" s="556"/>
      <c r="C836" s="556"/>
      <c r="D836" s="556"/>
      <c r="E836" s="556"/>
      <c r="F836" s="556"/>
      <c r="G836" s="556"/>
      <c r="H836" s="556"/>
      <c r="I836" s="556"/>
      <c r="J836" s="556"/>
      <c r="K836" s="556"/>
      <c r="L836" s="556"/>
      <c r="M836" s="556"/>
      <c r="N836" s="556"/>
      <c r="O836" s="556"/>
      <c r="P836" s="556"/>
      <c r="Q836" s="556"/>
      <c r="R836" s="556"/>
      <c r="S836" s="556"/>
      <c r="T836" s="556"/>
      <c r="U836" s="556"/>
      <c r="V836" s="556"/>
      <c r="W836" s="556"/>
      <c r="X836" s="556"/>
      <c r="Y836" s="556"/>
      <c r="Z836" s="579"/>
      <c r="AA836" s="556"/>
      <c r="AB836" s="556"/>
      <c r="AC836" s="556"/>
      <c r="AD836" s="556"/>
    </row>
    <row r="837" ht="15.75" customHeight="1">
      <c r="A837" s="594"/>
      <c r="B837" s="556"/>
      <c r="C837" s="556"/>
      <c r="D837" s="556"/>
      <c r="E837" s="556"/>
      <c r="F837" s="556"/>
      <c r="G837" s="556"/>
      <c r="H837" s="556"/>
      <c r="I837" s="556"/>
      <c r="J837" s="556"/>
      <c r="K837" s="556"/>
      <c r="L837" s="556"/>
      <c r="M837" s="556"/>
      <c r="N837" s="556"/>
      <c r="O837" s="556"/>
      <c r="P837" s="556"/>
      <c r="Q837" s="556"/>
      <c r="R837" s="556"/>
      <c r="S837" s="556"/>
      <c r="T837" s="556"/>
      <c r="U837" s="556"/>
      <c r="V837" s="556"/>
      <c r="W837" s="556"/>
      <c r="X837" s="556"/>
      <c r="Y837" s="556"/>
      <c r="Z837" s="579"/>
      <c r="AA837" s="556"/>
      <c r="AB837" s="556"/>
      <c r="AC837" s="556"/>
      <c r="AD837" s="556"/>
    </row>
    <row r="838" ht="15.75" customHeight="1">
      <c r="A838" s="594"/>
      <c r="B838" s="556"/>
      <c r="C838" s="556"/>
      <c r="D838" s="556"/>
      <c r="E838" s="556"/>
      <c r="F838" s="556"/>
      <c r="G838" s="556"/>
      <c r="H838" s="556"/>
      <c r="I838" s="556"/>
      <c r="J838" s="556"/>
      <c r="K838" s="556"/>
      <c r="L838" s="556"/>
      <c r="M838" s="556"/>
      <c r="N838" s="556"/>
      <c r="O838" s="556"/>
      <c r="P838" s="556"/>
      <c r="Q838" s="556"/>
      <c r="R838" s="556"/>
      <c r="S838" s="556"/>
      <c r="T838" s="556"/>
      <c r="U838" s="556"/>
      <c r="V838" s="556"/>
      <c r="W838" s="556"/>
      <c r="X838" s="556"/>
      <c r="Y838" s="556"/>
      <c r="Z838" s="579"/>
      <c r="AA838" s="556"/>
      <c r="AB838" s="556"/>
      <c r="AC838" s="556"/>
      <c r="AD838" s="556"/>
    </row>
    <row r="839" ht="15.75" customHeight="1">
      <c r="A839" s="594"/>
      <c r="B839" s="556"/>
      <c r="C839" s="556"/>
      <c r="D839" s="556"/>
      <c r="E839" s="556"/>
      <c r="F839" s="556"/>
      <c r="G839" s="556"/>
      <c r="H839" s="556"/>
      <c r="I839" s="556"/>
      <c r="J839" s="556"/>
      <c r="K839" s="556"/>
      <c r="L839" s="556"/>
      <c r="M839" s="556"/>
      <c r="N839" s="556"/>
      <c r="O839" s="556"/>
      <c r="P839" s="556"/>
      <c r="Q839" s="556"/>
      <c r="R839" s="556"/>
      <c r="S839" s="556"/>
      <c r="T839" s="556"/>
      <c r="U839" s="556"/>
      <c r="V839" s="556"/>
      <c r="W839" s="556"/>
      <c r="X839" s="556"/>
      <c r="Y839" s="556"/>
      <c r="Z839" s="579"/>
      <c r="AA839" s="556"/>
      <c r="AB839" s="556"/>
      <c r="AC839" s="556"/>
      <c r="AD839" s="556"/>
    </row>
    <row r="840" ht="15.75" customHeight="1">
      <c r="A840" s="594"/>
      <c r="B840" s="556"/>
      <c r="C840" s="556"/>
      <c r="D840" s="556"/>
      <c r="E840" s="556"/>
      <c r="F840" s="556"/>
      <c r="G840" s="556"/>
      <c r="H840" s="556"/>
      <c r="I840" s="556"/>
      <c r="J840" s="556"/>
      <c r="K840" s="556"/>
      <c r="L840" s="556"/>
      <c r="M840" s="556"/>
      <c r="N840" s="556"/>
      <c r="O840" s="556"/>
      <c r="P840" s="556"/>
      <c r="Q840" s="556"/>
      <c r="R840" s="556"/>
      <c r="S840" s="556"/>
      <c r="T840" s="556"/>
      <c r="U840" s="556"/>
      <c r="V840" s="556"/>
      <c r="W840" s="556"/>
      <c r="X840" s="556"/>
      <c r="Y840" s="556"/>
      <c r="Z840" s="579"/>
      <c r="AA840" s="556"/>
      <c r="AB840" s="556"/>
      <c r="AC840" s="556"/>
      <c r="AD840" s="556"/>
    </row>
    <row r="841" ht="15.75" customHeight="1">
      <c r="A841" s="594"/>
      <c r="B841" s="556"/>
      <c r="C841" s="556"/>
      <c r="D841" s="556"/>
      <c r="E841" s="556"/>
      <c r="F841" s="556"/>
      <c r="G841" s="556"/>
      <c r="H841" s="556"/>
      <c r="I841" s="556"/>
      <c r="J841" s="556"/>
      <c r="K841" s="556"/>
      <c r="L841" s="556"/>
      <c r="M841" s="556"/>
      <c r="N841" s="556"/>
      <c r="O841" s="556"/>
      <c r="P841" s="556"/>
      <c r="Q841" s="556"/>
      <c r="R841" s="556"/>
      <c r="S841" s="556"/>
      <c r="T841" s="556"/>
      <c r="U841" s="556"/>
      <c r="V841" s="556"/>
      <c r="W841" s="556"/>
      <c r="X841" s="556"/>
      <c r="Y841" s="556"/>
      <c r="Z841" s="579"/>
      <c r="AA841" s="556"/>
      <c r="AB841" s="556"/>
      <c r="AC841" s="556"/>
      <c r="AD841" s="556"/>
    </row>
    <row r="842" ht="15.75" customHeight="1">
      <c r="A842" s="594"/>
      <c r="B842" s="556"/>
      <c r="C842" s="556"/>
      <c r="D842" s="556"/>
      <c r="E842" s="556"/>
      <c r="F842" s="556"/>
      <c r="G842" s="556"/>
      <c r="H842" s="556"/>
      <c r="I842" s="556"/>
      <c r="J842" s="556"/>
      <c r="K842" s="556"/>
      <c r="L842" s="556"/>
      <c r="M842" s="556"/>
      <c r="N842" s="556"/>
      <c r="O842" s="556"/>
      <c r="P842" s="556"/>
      <c r="Q842" s="556"/>
      <c r="R842" s="556"/>
      <c r="S842" s="556"/>
      <c r="T842" s="556"/>
      <c r="U842" s="556"/>
      <c r="V842" s="556"/>
      <c r="W842" s="556"/>
      <c r="X842" s="556"/>
      <c r="Y842" s="556"/>
      <c r="Z842" s="579"/>
      <c r="AA842" s="556"/>
      <c r="AB842" s="556"/>
      <c r="AC842" s="556"/>
      <c r="AD842" s="556"/>
    </row>
    <row r="843" ht="15.75" customHeight="1">
      <c r="A843" s="594"/>
      <c r="B843" s="556"/>
      <c r="C843" s="556"/>
      <c r="D843" s="556"/>
      <c r="E843" s="556"/>
      <c r="F843" s="556"/>
      <c r="G843" s="556"/>
      <c r="H843" s="556"/>
      <c r="I843" s="556"/>
      <c r="J843" s="556"/>
      <c r="K843" s="556"/>
      <c r="L843" s="556"/>
      <c r="M843" s="556"/>
      <c r="N843" s="556"/>
      <c r="O843" s="556"/>
      <c r="P843" s="556"/>
      <c r="Q843" s="556"/>
      <c r="R843" s="556"/>
      <c r="S843" s="556"/>
      <c r="T843" s="556"/>
      <c r="U843" s="556"/>
      <c r="V843" s="556"/>
      <c r="W843" s="556"/>
      <c r="X843" s="556"/>
      <c r="Y843" s="556"/>
      <c r="Z843" s="579"/>
      <c r="AA843" s="556"/>
      <c r="AB843" s="556"/>
      <c r="AC843" s="556"/>
      <c r="AD843" s="556"/>
    </row>
    <row r="844" ht="15.75" customHeight="1">
      <c r="A844" s="594"/>
      <c r="B844" s="556"/>
      <c r="C844" s="556"/>
      <c r="D844" s="556"/>
      <c r="E844" s="556"/>
      <c r="F844" s="556"/>
      <c r="G844" s="556"/>
      <c r="H844" s="556"/>
      <c r="I844" s="556"/>
      <c r="J844" s="556"/>
      <c r="K844" s="556"/>
      <c r="L844" s="556"/>
      <c r="M844" s="556"/>
      <c r="N844" s="556"/>
      <c r="O844" s="556"/>
      <c r="P844" s="556"/>
      <c r="Q844" s="556"/>
      <c r="R844" s="556"/>
      <c r="S844" s="556"/>
      <c r="T844" s="556"/>
      <c r="U844" s="556"/>
      <c r="V844" s="556"/>
      <c r="W844" s="556"/>
      <c r="X844" s="556"/>
      <c r="Y844" s="556"/>
      <c r="Z844" s="579"/>
      <c r="AA844" s="556"/>
      <c r="AB844" s="556"/>
      <c r="AC844" s="556"/>
      <c r="AD844" s="556"/>
    </row>
    <row r="845" ht="15.75" customHeight="1">
      <c r="A845" s="594"/>
      <c r="B845" s="556"/>
      <c r="C845" s="556"/>
      <c r="D845" s="556"/>
      <c r="E845" s="556"/>
      <c r="F845" s="556"/>
      <c r="G845" s="556"/>
      <c r="H845" s="556"/>
      <c r="I845" s="556"/>
      <c r="J845" s="556"/>
      <c r="K845" s="556"/>
      <c r="L845" s="556"/>
      <c r="M845" s="556"/>
      <c r="N845" s="556"/>
      <c r="O845" s="556"/>
      <c r="P845" s="556"/>
      <c r="Q845" s="556"/>
      <c r="R845" s="556"/>
      <c r="S845" s="556"/>
      <c r="T845" s="556"/>
      <c r="U845" s="556"/>
      <c r="V845" s="556"/>
      <c r="W845" s="556"/>
      <c r="X845" s="556"/>
      <c r="Y845" s="556"/>
      <c r="Z845" s="579"/>
      <c r="AA845" s="556"/>
      <c r="AB845" s="556"/>
      <c r="AC845" s="556"/>
      <c r="AD845" s="556"/>
    </row>
    <row r="846" ht="15.75" customHeight="1">
      <c r="A846" s="594"/>
      <c r="B846" s="556"/>
      <c r="C846" s="556"/>
      <c r="D846" s="556"/>
      <c r="E846" s="556"/>
      <c r="F846" s="556"/>
      <c r="G846" s="556"/>
      <c r="H846" s="556"/>
      <c r="I846" s="556"/>
      <c r="J846" s="556"/>
      <c r="K846" s="556"/>
      <c r="L846" s="556"/>
      <c r="M846" s="556"/>
      <c r="N846" s="556"/>
      <c r="O846" s="556"/>
      <c r="P846" s="556"/>
      <c r="Q846" s="556"/>
      <c r="R846" s="556"/>
      <c r="S846" s="556"/>
      <c r="T846" s="556"/>
      <c r="U846" s="556"/>
      <c r="V846" s="556"/>
      <c r="W846" s="556"/>
      <c r="X846" s="556"/>
      <c r="Y846" s="556"/>
      <c r="Z846" s="579"/>
      <c r="AA846" s="556"/>
      <c r="AB846" s="556"/>
      <c r="AC846" s="556"/>
      <c r="AD846" s="556"/>
    </row>
    <row r="847" ht="15.75" customHeight="1">
      <c r="A847" s="594"/>
      <c r="B847" s="556"/>
      <c r="C847" s="556"/>
      <c r="D847" s="556"/>
      <c r="E847" s="556"/>
      <c r="F847" s="556"/>
      <c r="G847" s="556"/>
      <c r="H847" s="556"/>
      <c r="I847" s="556"/>
      <c r="J847" s="556"/>
      <c r="K847" s="556"/>
      <c r="L847" s="556"/>
      <c r="M847" s="556"/>
      <c r="N847" s="556"/>
      <c r="O847" s="556"/>
      <c r="P847" s="556"/>
      <c r="Q847" s="556"/>
      <c r="R847" s="556"/>
      <c r="S847" s="556"/>
      <c r="T847" s="556"/>
      <c r="U847" s="556"/>
      <c r="V847" s="556"/>
      <c r="W847" s="556"/>
      <c r="X847" s="556"/>
      <c r="Y847" s="556"/>
      <c r="Z847" s="579"/>
      <c r="AA847" s="556"/>
      <c r="AB847" s="556"/>
      <c r="AC847" s="556"/>
      <c r="AD847" s="556"/>
    </row>
    <row r="848" ht="15.75" customHeight="1">
      <c r="A848" s="594"/>
      <c r="B848" s="556"/>
      <c r="C848" s="556"/>
      <c r="D848" s="556"/>
      <c r="E848" s="556"/>
      <c r="F848" s="556"/>
      <c r="G848" s="556"/>
      <c r="H848" s="556"/>
      <c r="I848" s="556"/>
      <c r="J848" s="556"/>
      <c r="K848" s="556"/>
      <c r="L848" s="556"/>
      <c r="M848" s="556"/>
      <c r="N848" s="556"/>
      <c r="O848" s="556"/>
      <c r="P848" s="556"/>
      <c r="Q848" s="556"/>
      <c r="R848" s="556"/>
      <c r="S848" s="556"/>
      <c r="T848" s="556"/>
      <c r="U848" s="556"/>
      <c r="V848" s="556"/>
      <c r="W848" s="556"/>
      <c r="X848" s="556"/>
      <c r="Y848" s="556"/>
      <c r="Z848" s="579"/>
      <c r="AA848" s="556"/>
      <c r="AB848" s="556"/>
      <c r="AC848" s="556"/>
      <c r="AD848" s="556"/>
    </row>
    <row r="849" ht="15.75" customHeight="1">
      <c r="A849" s="594"/>
      <c r="B849" s="556"/>
      <c r="C849" s="556"/>
      <c r="D849" s="556"/>
      <c r="E849" s="556"/>
      <c r="F849" s="556"/>
      <c r="G849" s="556"/>
      <c r="H849" s="556"/>
      <c r="I849" s="556"/>
      <c r="J849" s="556"/>
      <c r="K849" s="556"/>
      <c r="L849" s="556"/>
      <c r="M849" s="556"/>
      <c r="N849" s="556"/>
      <c r="O849" s="556"/>
      <c r="P849" s="556"/>
      <c r="Q849" s="556"/>
      <c r="R849" s="556"/>
      <c r="S849" s="556"/>
      <c r="T849" s="556"/>
      <c r="U849" s="556"/>
      <c r="V849" s="556"/>
      <c r="W849" s="556"/>
      <c r="X849" s="556"/>
      <c r="Y849" s="556"/>
      <c r="Z849" s="579"/>
      <c r="AA849" s="556"/>
      <c r="AB849" s="556"/>
      <c r="AC849" s="556"/>
      <c r="AD849" s="556"/>
    </row>
    <row r="850" ht="15.75" customHeight="1">
      <c r="A850" s="594"/>
      <c r="B850" s="556"/>
      <c r="C850" s="556"/>
      <c r="D850" s="556"/>
      <c r="E850" s="556"/>
      <c r="F850" s="556"/>
      <c r="G850" s="556"/>
      <c r="H850" s="556"/>
      <c r="I850" s="556"/>
      <c r="J850" s="556"/>
      <c r="K850" s="556"/>
      <c r="L850" s="556"/>
      <c r="M850" s="556"/>
      <c r="N850" s="556"/>
      <c r="O850" s="556"/>
      <c r="P850" s="556"/>
      <c r="Q850" s="556"/>
      <c r="R850" s="556"/>
      <c r="S850" s="556"/>
      <c r="T850" s="556"/>
      <c r="U850" s="556"/>
      <c r="V850" s="556"/>
      <c r="W850" s="556"/>
      <c r="X850" s="556"/>
      <c r="Y850" s="556"/>
      <c r="Z850" s="579"/>
      <c r="AA850" s="556"/>
      <c r="AB850" s="556"/>
      <c r="AC850" s="556"/>
      <c r="AD850" s="556"/>
    </row>
    <row r="851" ht="15.75" customHeight="1">
      <c r="A851" s="594"/>
      <c r="B851" s="556"/>
      <c r="C851" s="556"/>
      <c r="D851" s="556"/>
      <c r="E851" s="556"/>
      <c r="F851" s="556"/>
      <c r="G851" s="556"/>
      <c r="H851" s="556"/>
      <c r="I851" s="556"/>
      <c r="J851" s="556"/>
      <c r="K851" s="556"/>
      <c r="L851" s="556"/>
      <c r="M851" s="556"/>
      <c r="N851" s="556"/>
      <c r="O851" s="556"/>
      <c r="P851" s="556"/>
      <c r="Q851" s="556"/>
      <c r="R851" s="556"/>
      <c r="S851" s="556"/>
      <c r="T851" s="556"/>
      <c r="U851" s="556"/>
      <c r="V851" s="556"/>
      <c r="W851" s="556"/>
      <c r="X851" s="556"/>
      <c r="Y851" s="556"/>
      <c r="Z851" s="579"/>
      <c r="AA851" s="556"/>
      <c r="AB851" s="556"/>
      <c r="AC851" s="556"/>
      <c r="AD851" s="556"/>
    </row>
    <row r="852" ht="15.75" customHeight="1">
      <c r="A852" s="594"/>
      <c r="B852" s="556"/>
      <c r="C852" s="556"/>
      <c r="D852" s="556"/>
      <c r="E852" s="556"/>
      <c r="F852" s="556"/>
      <c r="G852" s="556"/>
      <c r="H852" s="556"/>
      <c r="I852" s="556"/>
      <c r="J852" s="556"/>
      <c r="K852" s="556"/>
      <c r="L852" s="556"/>
      <c r="M852" s="556"/>
      <c r="N852" s="556"/>
      <c r="O852" s="556"/>
      <c r="P852" s="556"/>
      <c r="Q852" s="556"/>
      <c r="R852" s="556"/>
      <c r="S852" s="556"/>
      <c r="T852" s="556"/>
      <c r="U852" s="556"/>
      <c r="V852" s="556"/>
      <c r="W852" s="556"/>
      <c r="X852" s="556"/>
      <c r="Y852" s="556"/>
      <c r="Z852" s="579"/>
      <c r="AA852" s="556"/>
      <c r="AB852" s="556"/>
      <c r="AC852" s="556"/>
      <c r="AD852" s="556"/>
    </row>
    <row r="853" ht="15.75" customHeight="1">
      <c r="A853" s="594"/>
      <c r="B853" s="556"/>
      <c r="C853" s="556"/>
      <c r="D853" s="556"/>
      <c r="E853" s="556"/>
      <c r="F853" s="556"/>
      <c r="G853" s="556"/>
      <c r="H853" s="556"/>
      <c r="I853" s="556"/>
      <c r="J853" s="556"/>
      <c r="K853" s="556"/>
      <c r="L853" s="556"/>
      <c r="M853" s="556"/>
      <c r="N853" s="556"/>
      <c r="O853" s="556"/>
      <c r="P853" s="556"/>
      <c r="Q853" s="556"/>
      <c r="R853" s="556"/>
      <c r="S853" s="556"/>
      <c r="T853" s="556"/>
      <c r="U853" s="556"/>
      <c r="V853" s="556"/>
      <c r="W853" s="556"/>
      <c r="X853" s="556"/>
      <c r="Y853" s="556"/>
      <c r="Z853" s="579"/>
      <c r="AA853" s="556"/>
      <c r="AB853" s="556"/>
      <c r="AC853" s="556"/>
      <c r="AD853" s="556"/>
    </row>
    <row r="854" ht="15.75" customHeight="1">
      <c r="A854" s="594"/>
      <c r="B854" s="556"/>
      <c r="C854" s="556"/>
      <c r="D854" s="556"/>
      <c r="E854" s="556"/>
      <c r="F854" s="556"/>
      <c r="G854" s="556"/>
      <c r="H854" s="556"/>
      <c r="I854" s="556"/>
      <c r="J854" s="556"/>
      <c r="K854" s="556"/>
      <c r="L854" s="556"/>
      <c r="M854" s="556"/>
      <c r="N854" s="556"/>
      <c r="O854" s="556"/>
      <c r="P854" s="556"/>
      <c r="Q854" s="556"/>
      <c r="R854" s="556"/>
      <c r="S854" s="556"/>
      <c r="T854" s="556"/>
      <c r="U854" s="556"/>
      <c r="V854" s="556"/>
      <c r="W854" s="556"/>
      <c r="X854" s="556"/>
      <c r="Y854" s="556"/>
      <c r="Z854" s="579"/>
      <c r="AA854" s="556"/>
      <c r="AB854" s="556"/>
      <c r="AC854" s="556"/>
      <c r="AD854" s="556"/>
    </row>
    <row r="855" ht="15.75" customHeight="1">
      <c r="A855" s="594"/>
      <c r="B855" s="556"/>
      <c r="C855" s="556"/>
      <c r="D855" s="556"/>
      <c r="E855" s="556"/>
      <c r="F855" s="556"/>
      <c r="G855" s="556"/>
      <c r="H855" s="556"/>
      <c r="I855" s="556"/>
      <c r="J855" s="556"/>
      <c r="K855" s="556"/>
      <c r="L855" s="556"/>
      <c r="M855" s="556"/>
      <c r="N855" s="556"/>
      <c r="O855" s="556"/>
      <c r="P855" s="556"/>
      <c r="Q855" s="556"/>
      <c r="R855" s="556"/>
      <c r="S855" s="556"/>
      <c r="T855" s="556"/>
      <c r="U855" s="556"/>
      <c r="V855" s="556"/>
      <c r="W855" s="556"/>
      <c r="X855" s="556"/>
      <c r="Y855" s="556"/>
      <c r="Z855" s="579"/>
      <c r="AA855" s="556"/>
      <c r="AB855" s="556"/>
      <c r="AC855" s="556"/>
      <c r="AD855" s="556"/>
    </row>
    <row r="856" ht="15.75" customHeight="1">
      <c r="A856" s="594"/>
      <c r="B856" s="556"/>
      <c r="C856" s="556"/>
      <c r="D856" s="556"/>
      <c r="E856" s="556"/>
      <c r="F856" s="556"/>
      <c r="G856" s="556"/>
      <c r="H856" s="556"/>
      <c r="I856" s="556"/>
      <c r="J856" s="556"/>
      <c r="K856" s="556"/>
      <c r="L856" s="556"/>
      <c r="M856" s="556"/>
      <c r="N856" s="556"/>
      <c r="O856" s="556"/>
      <c r="P856" s="556"/>
      <c r="Q856" s="556"/>
      <c r="R856" s="556"/>
      <c r="S856" s="556"/>
      <c r="T856" s="556"/>
      <c r="U856" s="556"/>
      <c r="V856" s="556"/>
      <c r="W856" s="556"/>
      <c r="X856" s="556"/>
      <c r="Y856" s="556"/>
      <c r="Z856" s="579"/>
      <c r="AA856" s="556"/>
      <c r="AB856" s="556"/>
      <c r="AC856" s="556"/>
      <c r="AD856" s="556"/>
    </row>
    <row r="857" ht="15.75" customHeight="1">
      <c r="A857" s="594"/>
      <c r="B857" s="556"/>
      <c r="C857" s="556"/>
      <c r="D857" s="556"/>
      <c r="E857" s="556"/>
      <c r="F857" s="556"/>
      <c r="G857" s="556"/>
      <c r="H857" s="556"/>
      <c r="I857" s="556"/>
      <c r="J857" s="556"/>
      <c r="K857" s="556"/>
      <c r="L857" s="556"/>
      <c r="M857" s="556"/>
      <c r="N857" s="556"/>
      <c r="O857" s="556"/>
      <c r="P857" s="556"/>
      <c r="Q857" s="556"/>
      <c r="R857" s="556"/>
      <c r="S857" s="556"/>
      <c r="T857" s="556"/>
      <c r="U857" s="556"/>
      <c r="V857" s="556"/>
      <c r="W857" s="556"/>
      <c r="X857" s="556"/>
      <c r="Y857" s="556"/>
      <c r="Z857" s="579"/>
      <c r="AA857" s="556"/>
      <c r="AB857" s="556"/>
      <c r="AC857" s="556"/>
      <c r="AD857" s="556"/>
    </row>
    <row r="858" ht="15.75" customHeight="1">
      <c r="A858" s="594"/>
      <c r="B858" s="556"/>
      <c r="C858" s="556"/>
      <c r="D858" s="556"/>
      <c r="E858" s="556"/>
      <c r="F858" s="556"/>
      <c r="G858" s="556"/>
      <c r="H858" s="556"/>
      <c r="I858" s="556"/>
      <c r="J858" s="556"/>
      <c r="K858" s="556"/>
      <c r="L858" s="556"/>
      <c r="M858" s="556"/>
      <c r="N858" s="556"/>
      <c r="O858" s="556"/>
      <c r="P858" s="556"/>
      <c r="Q858" s="556"/>
      <c r="R858" s="556"/>
      <c r="S858" s="556"/>
      <c r="T858" s="556"/>
      <c r="U858" s="556"/>
      <c r="V858" s="556"/>
      <c r="W858" s="556"/>
      <c r="X858" s="556"/>
      <c r="Y858" s="556"/>
      <c r="Z858" s="579"/>
      <c r="AA858" s="556"/>
      <c r="AB858" s="556"/>
      <c r="AC858" s="556"/>
      <c r="AD858" s="556"/>
    </row>
    <row r="859" ht="15.75" customHeight="1">
      <c r="A859" s="594"/>
      <c r="B859" s="556"/>
      <c r="C859" s="556"/>
      <c r="D859" s="556"/>
      <c r="E859" s="556"/>
      <c r="F859" s="556"/>
      <c r="G859" s="556"/>
      <c r="H859" s="556"/>
      <c r="I859" s="556"/>
      <c r="J859" s="556"/>
      <c r="K859" s="556"/>
      <c r="L859" s="556"/>
      <c r="M859" s="556"/>
      <c r="N859" s="556"/>
      <c r="O859" s="556"/>
      <c r="P859" s="556"/>
      <c r="Q859" s="556"/>
      <c r="R859" s="556"/>
      <c r="S859" s="556"/>
      <c r="T859" s="556"/>
      <c r="U859" s="556"/>
      <c r="V859" s="556"/>
      <c r="W859" s="556"/>
      <c r="X859" s="556"/>
      <c r="Y859" s="556"/>
      <c r="Z859" s="579"/>
      <c r="AA859" s="556"/>
      <c r="AB859" s="556"/>
      <c r="AC859" s="556"/>
      <c r="AD859" s="556"/>
    </row>
    <row r="860" ht="15.75" customHeight="1">
      <c r="A860" s="594"/>
      <c r="B860" s="556"/>
      <c r="C860" s="556"/>
      <c r="D860" s="556"/>
      <c r="E860" s="556"/>
      <c r="F860" s="556"/>
      <c r="G860" s="556"/>
      <c r="H860" s="556"/>
      <c r="I860" s="556"/>
      <c r="J860" s="556"/>
      <c r="K860" s="556"/>
      <c r="L860" s="556"/>
      <c r="M860" s="556"/>
      <c r="N860" s="556"/>
      <c r="O860" s="556"/>
      <c r="P860" s="556"/>
      <c r="Q860" s="556"/>
      <c r="R860" s="556"/>
      <c r="S860" s="556"/>
      <c r="T860" s="556"/>
      <c r="U860" s="556"/>
      <c r="V860" s="556"/>
      <c r="W860" s="556"/>
      <c r="X860" s="556"/>
      <c r="Y860" s="556"/>
      <c r="Z860" s="579"/>
      <c r="AA860" s="556"/>
      <c r="AB860" s="556"/>
      <c r="AC860" s="556"/>
      <c r="AD860" s="556"/>
    </row>
    <row r="861" ht="15.75" customHeight="1">
      <c r="A861" s="594"/>
      <c r="B861" s="556"/>
      <c r="C861" s="556"/>
      <c r="D861" s="556"/>
      <c r="E861" s="556"/>
      <c r="F861" s="556"/>
      <c r="G861" s="556"/>
      <c r="H861" s="556"/>
      <c r="I861" s="556"/>
      <c r="J861" s="556"/>
      <c r="K861" s="556"/>
      <c r="L861" s="556"/>
      <c r="M861" s="556"/>
      <c r="N861" s="556"/>
      <c r="O861" s="556"/>
      <c r="P861" s="556"/>
      <c r="Q861" s="556"/>
      <c r="R861" s="556"/>
      <c r="S861" s="556"/>
      <c r="T861" s="556"/>
      <c r="U861" s="556"/>
      <c r="V861" s="556"/>
      <c r="W861" s="556"/>
      <c r="X861" s="556"/>
      <c r="Y861" s="556"/>
      <c r="Z861" s="579"/>
      <c r="AA861" s="556"/>
      <c r="AB861" s="556"/>
      <c r="AC861" s="556"/>
      <c r="AD861" s="556"/>
    </row>
    <row r="862" ht="15.75" customHeight="1">
      <c r="A862" s="594"/>
      <c r="B862" s="556"/>
      <c r="C862" s="556"/>
      <c r="D862" s="556"/>
      <c r="E862" s="556"/>
      <c r="F862" s="556"/>
      <c r="G862" s="556"/>
      <c r="H862" s="556"/>
      <c r="I862" s="556"/>
      <c r="J862" s="556"/>
      <c r="K862" s="556"/>
      <c r="L862" s="556"/>
      <c r="M862" s="556"/>
      <c r="N862" s="556"/>
      <c r="O862" s="556"/>
      <c r="P862" s="556"/>
      <c r="Q862" s="556"/>
      <c r="R862" s="556"/>
      <c r="S862" s="556"/>
      <c r="T862" s="556"/>
      <c r="U862" s="556"/>
      <c r="V862" s="556"/>
      <c r="W862" s="556"/>
      <c r="X862" s="556"/>
      <c r="Y862" s="556"/>
      <c r="Z862" s="579"/>
      <c r="AA862" s="556"/>
      <c r="AB862" s="556"/>
      <c r="AC862" s="556"/>
      <c r="AD862" s="556"/>
    </row>
    <row r="863" ht="15.75" customHeight="1">
      <c r="A863" s="594"/>
      <c r="B863" s="556"/>
      <c r="C863" s="556"/>
      <c r="D863" s="556"/>
      <c r="E863" s="556"/>
      <c r="F863" s="556"/>
      <c r="G863" s="556"/>
      <c r="H863" s="556"/>
      <c r="I863" s="556"/>
      <c r="J863" s="556"/>
      <c r="K863" s="556"/>
      <c r="L863" s="556"/>
      <c r="M863" s="556"/>
      <c r="N863" s="556"/>
      <c r="O863" s="556"/>
      <c r="P863" s="556"/>
      <c r="Q863" s="556"/>
      <c r="R863" s="556"/>
      <c r="S863" s="556"/>
      <c r="T863" s="556"/>
      <c r="U863" s="556"/>
      <c r="V863" s="556"/>
      <c r="W863" s="556"/>
      <c r="X863" s="556"/>
      <c r="Y863" s="556"/>
      <c r="Z863" s="579"/>
      <c r="AA863" s="556"/>
      <c r="AB863" s="556"/>
      <c r="AC863" s="556"/>
      <c r="AD863" s="556"/>
    </row>
    <row r="864" ht="15.75" customHeight="1">
      <c r="A864" s="594"/>
      <c r="B864" s="556"/>
      <c r="C864" s="556"/>
      <c r="D864" s="556"/>
      <c r="E864" s="556"/>
      <c r="F864" s="556"/>
      <c r="G864" s="556"/>
      <c r="H864" s="556"/>
      <c r="I864" s="556"/>
      <c r="J864" s="556"/>
      <c r="K864" s="556"/>
      <c r="L864" s="556"/>
      <c r="M864" s="556"/>
      <c r="N864" s="556"/>
      <c r="O864" s="556"/>
      <c r="P864" s="556"/>
      <c r="Q864" s="556"/>
      <c r="R864" s="556"/>
      <c r="S864" s="556"/>
      <c r="T864" s="556"/>
      <c r="U864" s="556"/>
      <c r="V864" s="556"/>
      <c r="W864" s="556"/>
      <c r="X864" s="556"/>
      <c r="Y864" s="556"/>
      <c r="Z864" s="579"/>
      <c r="AA864" s="556"/>
      <c r="AB864" s="556"/>
      <c r="AC864" s="556"/>
      <c r="AD864" s="556"/>
    </row>
    <row r="865" ht="15.75" customHeight="1">
      <c r="A865" s="594"/>
      <c r="B865" s="556"/>
      <c r="C865" s="556"/>
      <c r="D865" s="556"/>
      <c r="E865" s="556"/>
      <c r="F865" s="556"/>
      <c r="G865" s="556"/>
      <c r="H865" s="556"/>
      <c r="I865" s="556"/>
      <c r="J865" s="556"/>
      <c r="K865" s="556"/>
      <c r="L865" s="556"/>
      <c r="M865" s="556"/>
      <c r="N865" s="556"/>
      <c r="O865" s="556"/>
      <c r="P865" s="556"/>
      <c r="Q865" s="556"/>
      <c r="R865" s="556"/>
      <c r="S865" s="556"/>
      <c r="T865" s="556"/>
      <c r="U865" s="556"/>
      <c r="V865" s="556"/>
      <c r="W865" s="556"/>
      <c r="X865" s="556"/>
      <c r="Y865" s="556"/>
      <c r="Z865" s="579"/>
      <c r="AA865" s="556"/>
      <c r="AB865" s="556"/>
      <c r="AC865" s="556"/>
      <c r="AD865" s="556"/>
    </row>
    <row r="866" ht="15.75" customHeight="1">
      <c r="A866" s="594"/>
      <c r="B866" s="556"/>
      <c r="C866" s="556"/>
      <c r="D866" s="556"/>
      <c r="E866" s="556"/>
      <c r="F866" s="556"/>
      <c r="G866" s="556"/>
      <c r="H866" s="556"/>
      <c r="I866" s="556"/>
      <c r="J866" s="556"/>
      <c r="K866" s="556"/>
      <c r="L866" s="556"/>
      <c r="M866" s="556"/>
      <c r="N866" s="556"/>
      <c r="O866" s="556"/>
      <c r="P866" s="556"/>
      <c r="Q866" s="556"/>
      <c r="R866" s="556"/>
      <c r="S866" s="556"/>
      <c r="T866" s="556"/>
      <c r="U866" s="556"/>
      <c r="V866" s="556"/>
      <c r="W866" s="556"/>
      <c r="X866" s="556"/>
      <c r="Y866" s="556"/>
      <c r="Z866" s="579"/>
      <c r="AA866" s="556"/>
      <c r="AB866" s="556"/>
      <c r="AC866" s="556"/>
      <c r="AD866" s="556"/>
    </row>
    <row r="867" ht="15.75" customHeight="1">
      <c r="A867" s="594"/>
      <c r="B867" s="556"/>
      <c r="C867" s="556"/>
      <c r="D867" s="556"/>
      <c r="E867" s="556"/>
      <c r="F867" s="556"/>
      <c r="G867" s="556"/>
      <c r="H867" s="556"/>
      <c r="I867" s="556"/>
      <c r="J867" s="556"/>
      <c r="K867" s="556"/>
      <c r="L867" s="556"/>
      <c r="M867" s="556"/>
      <c r="N867" s="556"/>
      <c r="O867" s="556"/>
      <c r="P867" s="556"/>
      <c r="Q867" s="556"/>
      <c r="R867" s="556"/>
      <c r="S867" s="556"/>
      <c r="T867" s="556"/>
      <c r="U867" s="556"/>
      <c r="V867" s="556"/>
      <c r="W867" s="556"/>
      <c r="X867" s="556"/>
      <c r="Y867" s="556"/>
      <c r="Z867" s="579"/>
      <c r="AA867" s="556"/>
      <c r="AB867" s="556"/>
      <c r="AC867" s="556"/>
      <c r="AD867" s="556"/>
    </row>
    <row r="868" ht="15.75" customHeight="1">
      <c r="A868" s="594"/>
      <c r="B868" s="556"/>
      <c r="C868" s="556"/>
      <c r="D868" s="556"/>
      <c r="E868" s="556"/>
      <c r="F868" s="556"/>
      <c r="G868" s="556"/>
      <c r="H868" s="556"/>
      <c r="I868" s="556"/>
      <c r="J868" s="556"/>
      <c r="K868" s="556"/>
      <c r="L868" s="556"/>
      <c r="M868" s="556"/>
      <c r="N868" s="556"/>
      <c r="O868" s="556"/>
      <c r="P868" s="556"/>
      <c r="Q868" s="556"/>
      <c r="R868" s="556"/>
      <c r="S868" s="556"/>
      <c r="T868" s="556"/>
      <c r="U868" s="556"/>
      <c r="V868" s="556"/>
      <c r="W868" s="556"/>
      <c r="X868" s="556"/>
      <c r="Y868" s="556"/>
      <c r="Z868" s="579"/>
      <c r="AA868" s="556"/>
      <c r="AB868" s="556"/>
      <c r="AC868" s="556"/>
      <c r="AD868" s="556"/>
    </row>
    <row r="869" ht="15.75" customHeight="1">
      <c r="A869" s="594"/>
      <c r="B869" s="556"/>
      <c r="C869" s="556"/>
      <c r="D869" s="556"/>
      <c r="E869" s="556"/>
      <c r="F869" s="556"/>
      <c r="G869" s="556"/>
      <c r="H869" s="556"/>
      <c r="I869" s="556"/>
      <c r="J869" s="556"/>
      <c r="K869" s="556"/>
      <c r="L869" s="556"/>
      <c r="M869" s="556"/>
      <c r="N869" s="556"/>
      <c r="O869" s="556"/>
      <c r="P869" s="556"/>
      <c r="Q869" s="556"/>
      <c r="R869" s="556"/>
      <c r="S869" s="556"/>
      <c r="T869" s="556"/>
      <c r="U869" s="556"/>
      <c r="V869" s="556"/>
      <c r="W869" s="556"/>
      <c r="X869" s="556"/>
      <c r="Y869" s="556"/>
      <c r="Z869" s="579"/>
      <c r="AA869" s="556"/>
      <c r="AB869" s="556"/>
      <c r="AC869" s="556"/>
      <c r="AD869" s="556"/>
    </row>
    <row r="870" ht="15.75" customHeight="1">
      <c r="A870" s="594"/>
      <c r="B870" s="556"/>
      <c r="C870" s="556"/>
      <c r="D870" s="556"/>
      <c r="E870" s="556"/>
      <c r="F870" s="556"/>
      <c r="G870" s="556"/>
      <c r="H870" s="556"/>
      <c r="I870" s="556"/>
      <c r="J870" s="556"/>
      <c r="K870" s="556"/>
      <c r="L870" s="556"/>
      <c r="M870" s="556"/>
      <c r="N870" s="556"/>
      <c r="O870" s="556"/>
      <c r="P870" s="556"/>
      <c r="Q870" s="556"/>
      <c r="R870" s="556"/>
      <c r="S870" s="556"/>
      <c r="T870" s="556"/>
      <c r="U870" s="556"/>
      <c r="V870" s="556"/>
      <c r="W870" s="556"/>
      <c r="X870" s="556"/>
      <c r="Y870" s="556"/>
      <c r="Z870" s="579"/>
      <c r="AA870" s="556"/>
      <c r="AB870" s="556"/>
      <c r="AC870" s="556"/>
      <c r="AD870" s="556"/>
    </row>
    <row r="871" ht="15.75" customHeight="1">
      <c r="A871" s="594"/>
      <c r="B871" s="556"/>
      <c r="C871" s="556"/>
      <c r="D871" s="556"/>
      <c r="E871" s="556"/>
      <c r="F871" s="556"/>
      <c r="G871" s="556"/>
      <c r="H871" s="556"/>
      <c r="I871" s="556"/>
      <c r="J871" s="556"/>
      <c r="K871" s="556"/>
      <c r="L871" s="556"/>
      <c r="M871" s="556"/>
      <c r="N871" s="556"/>
      <c r="O871" s="556"/>
      <c r="P871" s="556"/>
      <c r="Q871" s="556"/>
      <c r="R871" s="556"/>
      <c r="S871" s="556"/>
      <c r="T871" s="556"/>
      <c r="U871" s="556"/>
      <c r="V871" s="556"/>
      <c r="W871" s="556"/>
      <c r="X871" s="556"/>
      <c r="Y871" s="556"/>
      <c r="Z871" s="579"/>
      <c r="AA871" s="556"/>
      <c r="AB871" s="556"/>
      <c r="AC871" s="556"/>
      <c r="AD871" s="556"/>
    </row>
    <row r="872" ht="15.75" customHeight="1">
      <c r="A872" s="594"/>
      <c r="B872" s="556"/>
      <c r="C872" s="556"/>
      <c r="D872" s="556"/>
      <c r="E872" s="556"/>
      <c r="F872" s="556"/>
      <c r="G872" s="556"/>
      <c r="H872" s="556"/>
      <c r="I872" s="556"/>
      <c r="J872" s="556"/>
      <c r="K872" s="556"/>
      <c r="L872" s="556"/>
      <c r="M872" s="556"/>
      <c r="N872" s="556"/>
      <c r="O872" s="556"/>
      <c r="P872" s="556"/>
      <c r="Q872" s="556"/>
      <c r="R872" s="556"/>
      <c r="S872" s="556"/>
      <c r="T872" s="556"/>
      <c r="U872" s="556"/>
      <c r="V872" s="556"/>
      <c r="W872" s="556"/>
      <c r="X872" s="556"/>
      <c r="Y872" s="556"/>
      <c r="Z872" s="579"/>
      <c r="AA872" s="556"/>
      <c r="AB872" s="556"/>
      <c r="AC872" s="556"/>
      <c r="AD872" s="556"/>
    </row>
    <row r="873" ht="15.75" customHeight="1">
      <c r="A873" s="594"/>
      <c r="B873" s="556"/>
      <c r="C873" s="556"/>
      <c r="D873" s="556"/>
      <c r="E873" s="556"/>
      <c r="F873" s="556"/>
      <c r="G873" s="556"/>
      <c r="H873" s="556"/>
      <c r="I873" s="556"/>
      <c r="J873" s="556"/>
      <c r="K873" s="556"/>
      <c r="L873" s="556"/>
      <c r="M873" s="556"/>
      <c r="N873" s="556"/>
      <c r="O873" s="556"/>
      <c r="P873" s="556"/>
      <c r="Q873" s="556"/>
      <c r="R873" s="556"/>
      <c r="S873" s="556"/>
      <c r="T873" s="556"/>
      <c r="U873" s="556"/>
      <c r="V873" s="556"/>
      <c r="W873" s="556"/>
      <c r="X873" s="556"/>
      <c r="Y873" s="556"/>
      <c r="Z873" s="579"/>
      <c r="AA873" s="556"/>
      <c r="AB873" s="556"/>
      <c r="AC873" s="556"/>
      <c r="AD873" s="556"/>
    </row>
    <row r="874" ht="15.75" customHeight="1">
      <c r="A874" s="594"/>
      <c r="B874" s="556"/>
      <c r="C874" s="556"/>
      <c r="D874" s="556"/>
      <c r="E874" s="556"/>
      <c r="F874" s="556"/>
      <c r="G874" s="556"/>
      <c r="H874" s="556"/>
      <c r="I874" s="556"/>
      <c r="J874" s="556"/>
      <c r="K874" s="556"/>
      <c r="L874" s="556"/>
      <c r="M874" s="556"/>
      <c r="N874" s="556"/>
      <c r="O874" s="556"/>
      <c r="P874" s="556"/>
      <c r="Q874" s="556"/>
      <c r="R874" s="556"/>
      <c r="S874" s="556"/>
      <c r="T874" s="556"/>
      <c r="U874" s="556"/>
      <c r="V874" s="556"/>
      <c r="W874" s="556"/>
      <c r="X874" s="556"/>
      <c r="Y874" s="556"/>
      <c r="Z874" s="579"/>
      <c r="AA874" s="556"/>
      <c r="AB874" s="556"/>
      <c r="AC874" s="556"/>
      <c r="AD874" s="556"/>
    </row>
    <row r="875" ht="15.75" customHeight="1">
      <c r="A875" s="594"/>
      <c r="B875" s="556"/>
      <c r="C875" s="556"/>
      <c r="D875" s="556"/>
      <c r="E875" s="556"/>
      <c r="F875" s="556"/>
      <c r="G875" s="556"/>
      <c r="H875" s="556"/>
      <c r="I875" s="556"/>
      <c r="J875" s="556"/>
      <c r="K875" s="556"/>
      <c r="L875" s="556"/>
      <c r="M875" s="556"/>
      <c r="N875" s="556"/>
      <c r="O875" s="556"/>
      <c r="P875" s="556"/>
      <c r="Q875" s="556"/>
      <c r="R875" s="556"/>
      <c r="S875" s="556"/>
      <c r="T875" s="556"/>
      <c r="U875" s="556"/>
      <c r="V875" s="556"/>
      <c r="W875" s="556"/>
      <c r="X875" s="556"/>
      <c r="Y875" s="556"/>
      <c r="Z875" s="579"/>
      <c r="AA875" s="556"/>
      <c r="AB875" s="556"/>
      <c r="AC875" s="556"/>
      <c r="AD875" s="556"/>
    </row>
    <row r="876" ht="15.75" customHeight="1">
      <c r="A876" s="594"/>
      <c r="B876" s="556"/>
      <c r="C876" s="556"/>
      <c r="D876" s="556"/>
      <c r="E876" s="556"/>
      <c r="F876" s="556"/>
      <c r="G876" s="556"/>
      <c r="H876" s="556"/>
      <c r="I876" s="556"/>
      <c r="J876" s="556"/>
      <c r="K876" s="556"/>
      <c r="L876" s="556"/>
      <c r="M876" s="556"/>
      <c r="N876" s="556"/>
      <c r="O876" s="556"/>
      <c r="P876" s="556"/>
      <c r="Q876" s="556"/>
      <c r="R876" s="556"/>
      <c r="S876" s="556"/>
      <c r="T876" s="556"/>
      <c r="U876" s="556"/>
      <c r="V876" s="556"/>
      <c r="W876" s="556"/>
      <c r="X876" s="556"/>
      <c r="Y876" s="556"/>
      <c r="Z876" s="579"/>
      <c r="AA876" s="556"/>
      <c r="AB876" s="556"/>
      <c r="AC876" s="556"/>
      <c r="AD876" s="556"/>
    </row>
    <row r="877" ht="15.75" customHeight="1">
      <c r="A877" s="594"/>
      <c r="B877" s="556"/>
      <c r="C877" s="556"/>
      <c r="D877" s="556"/>
      <c r="E877" s="556"/>
      <c r="F877" s="556"/>
      <c r="G877" s="556"/>
      <c r="H877" s="556"/>
      <c r="I877" s="556"/>
      <c r="J877" s="556"/>
      <c r="K877" s="556"/>
      <c r="L877" s="556"/>
      <c r="M877" s="556"/>
      <c r="N877" s="556"/>
      <c r="O877" s="556"/>
      <c r="P877" s="556"/>
      <c r="Q877" s="556"/>
      <c r="R877" s="556"/>
      <c r="S877" s="556"/>
      <c r="T877" s="556"/>
      <c r="U877" s="556"/>
      <c r="V877" s="556"/>
      <c r="W877" s="556"/>
      <c r="X877" s="556"/>
      <c r="Y877" s="556"/>
      <c r="Z877" s="579"/>
      <c r="AA877" s="556"/>
      <c r="AB877" s="556"/>
      <c r="AC877" s="556"/>
      <c r="AD877" s="556"/>
    </row>
    <row r="878" ht="15.75" customHeight="1">
      <c r="A878" s="594"/>
      <c r="B878" s="556"/>
      <c r="C878" s="556"/>
      <c r="D878" s="556"/>
      <c r="E878" s="556"/>
      <c r="F878" s="556"/>
      <c r="G878" s="556"/>
      <c r="H878" s="556"/>
      <c r="I878" s="556"/>
      <c r="J878" s="556"/>
      <c r="K878" s="556"/>
      <c r="L878" s="556"/>
      <c r="M878" s="556"/>
      <c r="N878" s="556"/>
      <c r="O878" s="556"/>
      <c r="P878" s="556"/>
      <c r="Q878" s="556"/>
      <c r="R878" s="556"/>
      <c r="S878" s="556"/>
      <c r="T878" s="556"/>
      <c r="U878" s="556"/>
      <c r="V878" s="556"/>
      <c r="W878" s="556"/>
      <c r="X878" s="556"/>
      <c r="Y878" s="556"/>
      <c r="Z878" s="579"/>
      <c r="AA878" s="556"/>
      <c r="AB878" s="556"/>
      <c r="AC878" s="556"/>
      <c r="AD878" s="556"/>
    </row>
    <row r="879" ht="15.75" customHeight="1">
      <c r="A879" s="594"/>
      <c r="B879" s="556"/>
      <c r="C879" s="556"/>
      <c r="D879" s="556"/>
      <c r="E879" s="556"/>
      <c r="F879" s="556"/>
      <c r="G879" s="556"/>
      <c r="H879" s="556"/>
      <c r="I879" s="556"/>
      <c r="J879" s="556"/>
      <c r="K879" s="556"/>
      <c r="L879" s="556"/>
      <c r="M879" s="556"/>
      <c r="N879" s="556"/>
      <c r="O879" s="556"/>
      <c r="P879" s="556"/>
      <c r="Q879" s="556"/>
      <c r="R879" s="556"/>
      <c r="S879" s="556"/>
      <c r="T879" s="556"/>
      <c r="U879" s="556"/>
      <c r="V879" s="556"/>
      <c r="W879" s="556"/>
      <c r="X879" s="556"/>
      <c r="Y879" s="556"/>
      <c r="Z879" s="579"/>
      <c r="AA879" s="556"/>
      <c r="AB879" s="556"/>
      <c r="AC879" s="556"/>
      <c r="AD879" s="556"/>
    </row>
    <row r="880" ht="15.75" customHeight="1">
      <c r="A880" s="594"/>
      <c r="B880" s="556"/>
      <c r="C880" s="556"/>
      <c r="D880" s="556"/>
      <c r="E880" s="556"/>
      <c r="F880" s="556"/>
      <c r="G880" s="556"/>
      <c r="H880" s="556"/>
      <c r="I880" s="556"/>
      <c r="J880" s="556"/>
      <c r="K880" s="556"/>
      <c r="L880" s="556"/>
      <c r="M880" s="556"/>
      <c r="N880" s="556"/>
      <c r="O880" s="556"/>
      <c r="P880" s="556"/>
      <c r="Q880" s="556"/>
      <c r="R880" s="556"/>
      <c r="S880" s="556"/>
      <c r="T880" s="556"/>
      <c r="U880" s="556"/>
      <c r="V880" s="556"/>
      <c r="W880" s="556"/>
      <c r="X880" s="556"/>
      <c r="Y880" s="556"/>
      <c r="Z880" s="579"/>
      <c r="AA880" s="556"/>
      <c r="AB880" s="556"/>
      <c r="AC880" s="556"/>
      <c r="AD880" s="556"/>
    </row>
    <row r="881" ht="15.75" customHeight="1">
      <c r="A881" s="594"/>
      <c r="B881" s="556"/>
      <c r="C881" s="556"/>
      <c r="D881" s="556"/>
      <c r="E881" s="556"/>
      <c r="F881" s="556"/>
      <c r="G881" s="556"/>
      <c r="H881" s="556"/>
      <c r="I881" s="556"/>
      <c r="J881" s="556"/>
      <c r="K881" s="556"/>
      <c r="L881" s="556"/>
      <c r="M881" s="556"/>
      <c r="N881" s="556"/>
      <c r="O881" s="556"/>
      <c r="P881" s="556"/>
      <c r="Q881" s="556"/>
      <c r="R881" s="556"/>
      <c r="S881" s="556"/>
      <c r="T881" s="556"/>
      <c r="U881" s="556"/>
      <c r="V881" s="556"/>
      <c r="W881" s="556"/>
      <c r="X881" s="556"/>
      <c r="Y881" s="556"/>
      <c r="Z881" s="579"/>
      <c r="AA881" s="556"/>
      <c r="AB881" s="556"/>
      <c r="AC881" s="556"/>
      <c r="AD881" s="556"/>
    </row>
    <row r="882" ht="15.75" customHeight="1">
      <c r="A882" s="594"/>
      <c r="B882" s="556"/>
      <c r="C882" s="556"/>
      <c r="D882" s="556"/>
      <c r="E882" s="556"/>
      <c r="F882" s="556"/>
      <c r="G882" s="556"/>
      <c r="H882" s="556"/>
      <c r="I882" s="556"/>
      <c r="J882" s="556"/>
      <c r="K882" s="556"/>
      <c r="L882" s="556"/>
      <c r="M882" s="556"/>
      <c r="N882" s="556"/>
      <c r="O882" s="556"/>
      <c r="P882" s="556"/>
      <c r="Q882" s="556"/>
      <c r="R882" s="556"/>
      <c r="S882" s="556"/>
      <c r="T882" s="556"/>
      <c r="U882" s="556"/>
      <c r="V882" s="556"/>
      <c r="W882" s="556"/>
      <c r="X882" s="556"/>
      <c r="Y882" s="556"/>
      <c r="Z882" s="579"/>
      <c r="AA882" s="556"/>
      <c r="AB882" s="556"/>
      <c r="AC882" s="556"/>
      <c r="AD882" s="556"/>
    </row>
    <row r="883" ht="15.75" customHeight="1">
      <c r="A883" s="594"/>
      <c r="B883" s="556"/>
      <c r="C883" s="556"/>
      <c r="D883" s="556"/>
      <c r="E883" s="556"/>
      <c r="F883" s="556"/>
      <c r="G883" s="556"/>
      <c r="H883" s="556"/>
      <c r="I883" s="556"/>
      <c r="J883" s="556"/>
      <c r="K883" s="556"/>
      <c r="L883" s="556"/>
      <c r="M883" s="556"/>
      <c r="N883" s="556"/>
      <c r="O883" s="556"/>
      <c r="P883" s="556"/>
      <c r="Q883" s="556"/>
      <c r="R883" s="556"/>
      <c r="S883" s="556"/>
      <c r="T883" s="556"/>
      <c r="U883" s="556"/>
      <c r="V883" s="556"/>
      <c r="W883" s="556"/>
      <c r="X883" s="556"/>
      <c r="Y883" s="556"/>
      <c r="Z883" s="579"/>
      <c r="AA883" s="556"/>
      <c r="AB883" s="556"/>
      <c r="AC883" s="556"/>
      <c r="AD883" s="556"/>
    </row>
    <row r="884" ht="15.75" customHeight="1">
      <c r="A884" s="594"/>
      <c r="B884" s="556"/>
      <c r="C884" s="556"/>
      <c r="D884" s="556"/>
      <c r="E884" s="556"/>
      <c r="F884" s="556"/>
      <c r="G884" s="556"/>
      <c r="H884" s="556"/>
      <c r="I884" s="556"/>
      <c r="J884" s="556"/>
      <c r="K884" s="556"/>
      <c r="L884" s="556"/>
      <c r="M884" s="556"/>
      <c r="N884" s="556"/>
      <c r="O884" s="556"/>
      <c r="P884" s="556"/>
      <c r="Q884" s="556"/>
      <c r="R884" s="556"/>
      <c r="S884" s="556"/>
      <c r="T884" s="556"/>
      <c r="U884" s="556"/>
      <c r="V884" s="556"/>
      <c r="W884" s="556"/>
      <c r="X884" s="556"/>
      <c r="Y884" s="556"/>
      <c r="Z884" s="579"/>
      <c r="AA884" s="556"/>
      <c r="AB884" s="556"/>
      <c r="AC884" s="556"/>
      <c r="AD884" s="556"/>
    </row>
    <row r="885" ht="15.75" customHeight="1">
      <c r="A885" s="594"/>
      <c r="B885" s="556"/>
      <c r="C885" s="556"/>
      <c r="D885" s="556"/>
      <c r="E885" s="556"/>
      <c r="F885" s="556"/>
      <c r="G885" s="556"/>
      <c r="H885" s="556"/>
      <c r="I885" s="556"/>
      <c r="J885" s="556"/>
      <c r="K885" s="556"/>
      <c r="L885" s="556"/>
      <c r="M885" s="556"/>
      <c r="N885" s="556"/>
      <c r="O885" s="556"/>
      <c r="P885" s="556"/>
      <c r="Q885" s="556"/>
      <c r="R885" s="556"/>
      <c r="S885" s="556"/>
      <c r="T885" s="556"/>
      <c r="U885" s="556"/>
      <c r="V885" s="556"/>
      <c r="W885" s="556"/>
      <c r="X885" s="556"/>
      <c r="Y885" s="556"/>
      <c r="Z885" s="579"/>
      <c r="AA885" s="556"/>
      <c r="AB885" s="556"/>
      <c r="AC885" s="556"/>
      <c r="AD885" s="556"/>
    </row>
    <row r="886" ht="15.75" customHeight="1">
      <c r="A886" s="594"/>
      <c r="B886" s="556"/>
      <c r="C886" s="556"/>
      <c r="D886" s="556"/>
      <c r="E886" s="556"/>
      <c r="F886" s="556"/>
      <c r="G886" s="556"/>
      <c r="H886" s="556"/>
      <c r="I886" s="556"/>
      <c r="J886" s="556"/>
      <c r="K886" s="556"/>
      <c r="L886" s="556"/>
      <c r="M886" s="556"/>
      <c r="N886" s="556"/>
      <c r="O886" s="556"/>
      <c r="P886" s="556"/>
      <c r="Q886" s="556"/>
      <c r="R886" s="556"/>
      <c r="S886" s="556"/>
      <c r="T886" s="556"/>
      <c r="U886" s="556"/>
      <c r="V886" s="556"/>
      <c r="W886" s="556"/>
      <c r="X886" s="556"/>
      <c r="Y886" s="556"/>
      <c r="Z886" s="579"/>
      <c r="AA886" s="556"/>
      <c r="AB886" s="556"/>
      <c r="AC886" s="556"/>
      <c r="AD886" s="556"/>
    </row>
    <row r="887" ht="15.75" customHeight="1">
      <c r="A887" s="594"/>
      <c r="B887" s="556"/>
      <c r="C887" s="556"/>
      <c r="D887" s="556"/>
      <c r="E887" s="556"/>
      <c r="F887" s="556"/>
      <c r="G887" s="556"/>
      <c r="H887" s="556"/>
      <c r="I887" s="556"/>
      <c r="J887" s="556"/>
      <c r="K887" s="556"/>
      <c r="L887" s="556"/>
      <c r="M887" s="556"/>
      <c r="N887" s="556"/>
      <c r="O887" s="556"/>
      <c r="P887" s="556"/>
      <c r="Q887" s="556"/>
      <c r="R887" s="556"/>
      <c r="S887" s="556"/>
      <c r="T887" s="556"/>
      <c r="U887" s="556"/>
      <c r="V887" s="556"/>
      <c r="W887" s="556"/>
      <c r="X887" s="556"/>
      <c r="Y887" s="556"/>
      <c r="Z887" s="579"/>
      <c r="AA887" s="556"/>
      <c r="AB887" s="556"/>
      <c r="AC887" s="556"/>
      <c r="AD887" s="556"/>
    </row>
    <row r="888" ht="15.75" customHeight="1">
      <c r="A888" s="594"/>
      <c r="B888" s="556"/>
      <c r="C888" s="556"/>
      <c r="D888" s="556"/>
      <c r="E888" s="556"/>
      <c r="F888" s="556"/>
      <c r="G888" s="556"/>
      <c r="H888" s="556"/>
      <c r="I888" s="556"/>
      <c r="J888" s="556"/>
      <c r="K888" s="556"/>
      <c r="L888" s="556"/>
      <c r="M888" s="556"/>
      <c r="N888" s="556"/>
      <c r="O888" s="556"/>
      <c r="P888" s="556"/>
      <c r="Q888" s="556"/>
      <c r="R888" s="556"/>
      <c r="S888" s="556"/>
      <c r="T888" s="556"/>
      <c r="U888" s="556"/>
      <c r="V888" s="556"/>
      <c r="W888" s="556"/>
      <c r="X888" s="556"/>
      <c r="Y888" s="556"/>
      <c r="Z888" s="579"/>
      <c r="AA888" s="556"/>
      <c r="AB888" s="556"/>
      <c r="AC888" s="556"/>
      <c r="AD888" s="556"/>
    </row>
    <row r="889" ht="15.75" customHeight="1">
      <c r="A889" s="594"/>
      <c r="B889" s="556"/>
      <c r="C889" s="556"/>
      <c r="D889" s="556"/>
      <c r="E889" s="556"/>
      <c r="F889" s="556"/>
      <c r="G889" s="556"/>
      <c r="H889" s="556"/>
      <c r="I889" s="556"/>
      <c r="J889" s="556"/>
      <c r="K889" s="556"/>
      <c r="L889" s="556"/>
      <c r="M889" s="556"/>
      <c r="N889" s="556"/>
      <c r="O889" s="556"/>
      <c r="P889" s="556"/>
      <c r="Q889" s="556"/>
      <c r="R889" s="556"/>
      <c r="S889" s="556"/>
      <c r="T889" s="556"/>
      <c r="U889" s="556"/>
      <c r="V889" s="556"/>
      <c r="W889" s="556"/>
      <c r="X889" s="556"/>
      <c r="Y889" s="556"/>
      <c r="Z889" s="579"/>
      <c r="AA889" s="556"/>
      <c r="AB889" s="556"/>
      <c r="AC889" s="556"/>
      <c r="AD889" s="556"/>
    </row>
    <row r="890" ht="15.75" customHeight="1">
      <c r="A890" s="594"/>
      <c r="B890" s="556"/>
      <c r="C890" s="556"/>
      <c r="D890" s="556"/>
      <c r="E890" s="556"/>
      <c r="F890" s="556"/>
      <c r="G890" s="556"/>
      <c r="H890" s="556"/>
      <c r="I890" s="556"/>
      <c r="J890" s="556"/>
      <c r="K890" s="556"/>
      <c r="L890" s="556"/>
      <c r="M890" s="556"/>
      <c r="N890" s="556"/>
      <c r="O890" s="556"/>
      <c r="P890" s="556"/>
      <c r="Q890" s="556"/>
      <c r="R890" s="556"/>
      <c r="S890" s="556"/>
      <c r="T890" s="556"/>
      <c r="U890" s="556"/>
      <c r="V890" s="556"/>
      <c r="W890" s="556"/>
      <c r="X890" s="556"/>
      <c r="Y890" s="556"/>
      <c r="Z890" s="579"/>
      <c r="AA890" s="556"/>
      <c r="AB890" s="556"/>
      <c r="AC890" s="556"/>
      <c r="AD890" s="556"/>
    </row>
    <row r="891" ht="15.75" customHeight="1">
      <c r="A891" s="594"/>
      <c r="B891" s="556"/>
      <c r="C891" s="556"/>
      <c r="D891" s="556"/>
      <c r="E891" s="556"/>
      <c r="F891" s="556"/>
      <c r="G891" s="556"/>
      <c r="H891" s="556"/>
      <c r="I891" s="556"/>
      <c r="J891" s="556"/>
      <c r="K891" s="556"/>
      <c r="L891" s="556"/>
      <c r="M891" s="556"/>
      <c r="N891" s="556"/>
      <c r="O891" s="556"/>
      <c r="P891" s="556"/>
      <c r="Q891" s="556"/>
      <c r="R891" s="556"/>
      <c r="S891" s="556"/>
      <c r="T891" s="556"/>
      <c r="U891" s="556"/>
      <c r="V891" s="556"/>
      <c r="W891" s="556"/>
      <c r="X891" s="556"/>
      <c r="Y891" s="556"/>
      <c r="Z891" s="579"/>
      <c r="AA891" s="556"/>
      <c r="AB891" s="556"/>
      <c r="AC891" s="556"/>
      <c r="AD891" s="556"/>
    </row>
    <row r="892" ht="15.75" customHeight="1">
      <c r="A892" s="594"/>
      <c r="B892" s="556"/>
      <c r="C892" s="556"/>
      <c r="D892" s="556"/>
      <c r="E892" s="556"/>
      <c r="F892" s="556"/>
      <c r="G892" s="556"/>
      <c r="H892" s="556"/>
      <c r="I892" s="556"/>
      <c r="J892" s="556"/>
      <c r="K892" s="556"/>
      <c r="L892" s="556"/>
      <c r="M892" s="556"/>
      <c r="N892" s="556"/>
      <c r="O892" s="556"/>
      <c r="P892" s="556"/>
      <c r="Q892" s="556"/>
      <c r="R892" s="556"/>
      <c r="S892" s="556"/>
      <c r="T892" s="556"/>
      <c r="U892" s="556"/>
      <c r="V892" s="556"/>
      <c r="W892" s="556"/>
      <c r="X892" s="556"/>
      <c r="Y892" s="556"/>
      <c r="Z892" s="579"/>
      <c r="AA892" s="556"/>
      <c r="AB892" s="556"/>
      <c r="AC892" s="556"/>
      <c r="AD892" s="556"/>
    </row>
    <row r="893" ht="15.75" customHeight="1">
      <c r="A893" s="594"/>
      <c r="B893" s="556"/>
      <c r="C893" s="556"/>
      <c r="D893" s="556"/>
      <c r="E893" s="556"/>
      <c r="F893" s="556"/>
      <c r="G893" s="556"/>
      <c r="H893" s="556"/>
      <c r="I893" s="556"/>
      <c r="J893" s="556"/>
      <c r="K893" s="556"/>
      <c r="L893" s="556"/>
      <c r="M893" s="556"/>
      <c r="N893" s="556"/>
      <c r="O893" s="556"/>
      <c r="P893" s="556"/>
      <c r="Q893" s="556"/>
      <c r="R893" s="556"/>
      <c r="S893" s="556"/>
      <c r="T893" s="556"/>
      <c r="U893" s="556"/>
      <c r="V893" s="556"/>
      <c r="W893" s="556"/>
      <c r="X893" s="556"/>
      <c r="Y893" s="556"/>
      <c r="Z893" s="579"/>
      <c r="AA893" s="556"/>
      <c r="AB893" s="556"/>
      <c r="AC893" s="556"/>
      <c r="AD893" s="556"/>
    </row>
    <row r="894" ht="15.75" customHeight="1">
      <c r="A894" s="594"/>
      <c r="B894" s="556"/>
      <c r="C894" s="556"/>
      <c r="D894" s="556"/>
      <c r="E894" s="556"/>
      <c r="F894" s="556"/>
      <c r="G894" s="556"/>
      <c r="H894" s="556"/>
      <c r="I894" s="556"/>
      <c r="J894" s="556"/>
      <c r="K894" s="556"/>
      <c r="L894" s="556"/>
      <c r="M894" s="556"/>
      <c r="N894" s="556"/>
      <c r="O894" s="556"/>
      <c r="P894" s="556"/>
      <c r="Q894" s="556"/>
      <c r="R894" s="556"/>
      <c r="S894" s="556"/>
      <c r="T894" s="556"/>
      <c r="U894" s="556"/>
      <c r="V894" s="556"/>
      <c r="W894" s="556"/>
      <c r="X894" s="556"/>
      <c r="Y894" s="556"/>
      <c r="Z894" s="579"/>
      <c r="AA894" s="556"/>
      <c r="AB894" s="556"/>
      <c r="AC894" s="556"/>
      <c r="AD894" s="556"/>
    </row>
    <row r="895" ht="15.75" customHeight="1">
      <c r="A895" s="594"/>
      <c r="B895" s="556"/>
      <c r="C895" s="556"/>
      <c r="D895" s="556"/>
      <c r="E895" s="556"/>
      <c r="F895" s="556"/>
      <c r="G895" s="556"/>
      <c r="H895" s="556"/>
      <c r="I895" s="556"/>
      <c r="J895" s="556"/>
      <c r="K895" s="556"/>
      <c r="L895" s="556"/>
      <c r="M895" s="556"/>
      <c r="N895" s="556"/>
      <c r="O895" s="556"/>
      <c r="P895" s="556"/>
      <c r="Q895" s="556"/>
      <c r="R895" s="556"/>
      <c r="S895" s="556"/>
      <c r="T895" s="556"/>
      <c r="U895" s="556"/>
      <c r="V895" s="556"/>
      <c r="W895" s="556"/>
      <c r="X895" s="556"/>
      <c r="Y895" s="556"/>
      <c r="Z895" s="579"/>
      <c r="AA895" s="556"/>
      <c r="AB895" s="556"/>
      <c r="AC895" s="556"/>
      <c r="AD895" s="556"/>
    </row>
    <row r="896" ht="15.75" customHeight="1">
      <c r="A896" s="594"/>
      <c r="B896" s="556"/>
      <c r="C896" s="556"/>
      <c r="D896" s="556"/>
      <c r="E896" s="556"/>
      <c r="F896" s="556"/>
      <c r="G896" s="556"/>
      <c r="H896" s="556"/>
      <c r="I896" s="556"/>
      <c r="J896" s="556"/>
      <c r="K896" s="556"/>
      <c r="L896" s="556"/>
      <c r="M896" s="556"/>
      <c r="N896" s="556"/>
      <c r="O896" s="556"/>
      <c r="P896" s="556"/>
      <c r="Q896" s="556"/>
      <c r="R896" s="556"/>
      <c r="S896" s="556"/>
      <c r="T896" s="556"/>
      <c r="U896" s="556"/>
      <c r="V896" s="556"/>
      <c r="W896" s="556"/>
      <c r="X896" s="556"/>
      <c r="Y896" s="556"/>
      <c r="Z896" s="579"/>
      <c r="AA896" s="556"/>
      <c r="AB896" s="556"/>
      <c r="AC896" s="556"/>
      <c r="AD896" s="556"/>
    </row>
    <row r="897" ht="15.75" customHeight="1">
      <c r="A897" s="594"/>
      <c r="B897" s="556"/>
      <c r="C897" s="556"/>
      <c r="D897" s="556"/>
      <c r="E897" s="556"/>
      <c r="F897" s="556"/>
      <c r="G897" s="556"/>
      <c r="H897" s="556"/>
      <c r="I897" s="556"/>
      <c r="J897" s="556"/>
      <c r="K897" s="556"/>
      <c r="L897" s="556"/>
      <c r="M897" s="556"/>
      <c r="N897" s="556"/>
      <c r="O897" s="556"/>
      <c r="P897" s="556"/>
      <c r="Q897" s="556"/>
      <c r="R897" s="556"/>
      <c r="S897" s="556"/>
      <c r="T897" s="556"/>
      <c r="U897" s="556"/>
      <c r="V897" s="556"/>
      <c r="W897" s="556"/>
      <c r="X897" s="556"/>
      <c r="Y897" s="556"/>
      <c r="Z897" s="579"/>
      <c r="AA897" s="556"/>
      <c r="AB897" s="556"/>
      <c r="AC897" s="556"/>
      <c r="AD897" s="556"/>
    </row>
    <row r="898" ht="15.75" customHeight="1">
      <c r="A898" s="594"/>
      <c r="B898" s="556"/>
      <c r="C898" s="556"/>
      <c r="D898" s="556"/>
      <c r="E898" s="556"/>
      <c r="F898" s="556"/>
      <c r="G898" s="556"/>
      <c r="H898" s="556"/>
      <c r="I898" s="556"/>
      <c r="J898" s="556"/>
      <c r="K898" s="556"/>
      <c r="L898" s="556"/>
      <c r="M898" s="556"/>
      <c r="N898" s="556"/>
      <c r="O898" s="556"/>
      <c r="P898" s="556"/>
      <c r="Q898" s="556"/>
      <c r="R898" s="556"/>
      <c r="S898" s="556"/>
      <c r="T898" s="556"/>
      <c r="U898" s="556"/>
      <c r="V898" s="556"/>
      <c r="W898" s="556"/>
      <c r="X898" s="556"/>
      <c r="Y898" s="556"/>
      <c r="Z898" s="579"/>
      <c r="AA898" s="556"/>
      <c r="AB898" s="556"/>
      <c r="AC898" s="556"/>
      <c r="AD898" s="556"/>
    </row>
    <row r="899" ht="15.75" customHeight="1">
      <c r="A899" s="594"/>
      <c r="B899" s="556"/>
      <c r="C899" s="556"/>
      <c r="D899" s="556"/>
      <c r="E899" s="556"/>
      <c r="F899" s="556"/>
      <c r="G899" s="556"/>
      <c r="H899" s="556"/>
      <c r="I899" s="556"/>
      <c r="J899" s="556"/>
      <c r="K899" s="556"/>
      <c r="L899" s="556"/>
      <c r="M899" s="556"/>
      <c r="N899" s="556"/>
      <c r="O899" s="556"/>
      <c r="P899" s="556"/>
      <c r="Q899" s="556"/>
      <c r="R899" s="556"/>
      <c r="S899" s="556"/>
      <c r="T899" s="556"/>
      <c r="U899" s="556"/>
      <c r="V899" s="556"/>
      <c r="W899" s="556"/>
      <c r="X899" s="556"/>
      <c r="Y899" s="556"/>
      <c r="Z899" s="579"/>
      <c r="AA899" s="556"/>
      <c r="AB899" s="556"/>
      <c r="AC899" s="556"/>
      <c r="AD899" s="556"/>
    </row>
    <row r="900" ht="15.75" customHeight="1">
      <c r="A900" s="594"/>
      <c r="B900" s="556"/>
      <c r="C900" s="556"/>
      <c r="D900" s="556"/>
      <c r="E900" s="556"/>
      <c r="F900" s="556"/>
      <c r="G900" s="556"/>
      <c r="H900" s="556"/>
      <c r="I900" s="556"/>
      <c r="J900" s="556"/>
      <c r="K900" s="556"/>
      <c r="L900" s="556"/>
      <c r="M900" s="556"/>
      <c r="N900" s="556"/>
      <c r="O900" s="556"/>
      <c r="P900" s="556"/>
      <c r="Q900" s="556"/>
      <c r="R900" s="556"/>
      <c r="S900" s="556"/>
      <c r="T900" s="556"/>
      <c r="U900" s="556"/>
      <c r="V900" s="556"/>
      <c r="W900" s="556"/>
      <c r="X900" s="556"/>
      <c r="Y900" s="556"/>
      <c r="Z900" s="579"/>
      <c r="AA900" s="556"/>
      <c r="AB900" s="556"/>
      <c r="AC900" s="556"/>
      <c r="AD900" s="556"/>
    </row>
    <row r="901" ht="15.75" customHeight="1">
      <c r="A901" s="594"/>
      <c r="B901" s="556"/>
      <c r="C901" s="556"/>
      <c r="D901" s="556"/>
      <c r="E901" s="556"/>
      <c r="F901" s="556"/>
      <c r="G901" s="556"/>
      <c r="H901" s="556"/>
      <c r="I901" s="556"/>
      <c r="J901" s="556"/>
      <c r="K901" s="556"/>
      <c r="L901" s="556"/>
      <c r="M901" s="556"/>
      <c r="N901" s="556"/>
      <c r="O901" s="556"/>
      <c r="P901" s="556"/>
      <c r="Q901" s="556"/>
      <c r="R901" s="556"/>
      <c r="S901" s="556"/>
      <c r="T901" s="556"/>
      <c r="U901" s="556"/>
      <c r="V901" s="556"/>
      <c r="W901" s="556"/>
      <c r="X901" s="556"/>
      <c r="Y901" s="556"/>
      <c r="Z901" s="579"/>
      <c r="AA901" s="556"/>
      <c r="AB901" s="556"/>
      <c r="AC901" s="556"/>
      <c r="AD901" s="556"/>
    </row>
    <row r="902" ht="15.75" customHeight="1">
      <c r="A902" s="594"/>
      <c r="B902" s="556"/>
      <c r="C902" s="556"/>
      <c r="D902" s="556"/>
      <c r="E902" s="556"/>
      <c r="F902" s="556"/>
      <c r="G902" s="556"/>
      <c r="H902" s="556"/>
      <c r="I902" s="556"/>
      <c r="J902" s="556"/>
      <c r="K902" s="556"/>
      <c r="L902" s="556"/>
      <c r="M902" s="556"/>
      <c r="N902" s="556"/>
      <c r="O902" s="556"/>
      <c r="P902" s="556"/>
      <c r="Q902" s="556"/>
      <c r="R902" s="556"/>
      <c r="S902" s="556"/>
      <c r="T902" s="556"/>
      <c r="U902" s="556"/>
      <c r="V902" s="556"/>
      <c r="W902" s="556"/>
      <c r="X902" s="556"/>
      <c r="Y902" s="556"/>
      <c r="Z902" s="579"/>
      <c r="AA902" s="556"/>
      <c r="AB902" s="556"/>
      <c r="AC902" s="556"/>
      <c r="AD902" s="556"/>
    </row>
    <row r="903" ht="15.75" customHeight="1">
      <c r="A903" s="594"/>
      <c r="B903" s="556"/>
      <c r="C903" s="556"/>
      <c r="D903" s="556"/>
      <c r="E903" s="556"/>
      <c r="F903" s="556"/>
      <c r="G903" s="556"/>
      <c r="H903" s="556"/>
      <c r="I903" s="556"/>
      <c r="J903" s="556"/>
      <c r="K903" s="556"/>
      <c r="L903" s="556"/>
      <c r="M903" s="556"/>
      <c r="N903" s="556"/>
      <c r="O903" s="556"/>
      <c r="P903" s="556"/>
      <c r="Q903" s="556"/>
      <c r="R903" s="556"/>
      <c r="S903" s="556"/>
      <c r="T903" s="556"/>
      <c r="U903" s="556"/>
      <c r="V903" s="556"/>
      <c r="W903" s="556"/>
      <c r="X903" s="556"/>
      <c r="Y903" s="556"/>
      <c r="Z903" s="579"/>
      <c r="AA903" s="556"/>
      <c r="AB903" s="556"/>
      <c r="AC903" s="556"/>
      <c r="AD903" s="556"/>
    </row>
    <row r="904" ht="15.75" customHeight="1">
      <c r="A904" s="594"/>
      <c r="B904" s="556"/>
      <c r="C904" s="556"/>
      <c r="D904" s="556"/>
      <c r="E904" s="556"/>
      <c r="F904" s="556"/>
      <c r="G904" s="556"/>
      <c r="H904" s="556"/>
      <c r="I904" s="556"/>
      <c r="J904" s="556"/>
      <c r="K904" s="556"/>
      <c r="L904" s="556"/>
      <c r="M904" s="556"/>
      <c r="N904" s="556"/>
      <c r="O904" s="556"/>
      <c r="P904" s="556"/>
      <c r="Q904" s="556"/>
      <c r="R904" s="556"/>
      <c r="S904" s="556"/>
      <c r="T904" s="556"/>
      <c r="U904" s="556"/>
      <c r="V904" s="556"/>
      <c r="W904" s="556"/>
      <c r="X904" s="556"/>
      <c r="Y904" s="556"/>
      <c r="Z904" s="579"/>
      <c r="AA904" s="556"/>
      <c r="AB904" s="556"/>
      <c r="AC904" s="556"/>
      <c r="AD904" s="556"/>
    </row>
    <row r="905" ht="15.75" customHeight="1">
      <c r="A905" s="594"/>
      <c r="B905" s="556"/>
      <c r="C905" s="556"/>
      <c r="D905" s="556"/>
      <c r="E905" s="556"/>
      <c r="F905" s="556"/>
      <c r="G905" s="556"/>
      <c r="H905" s="556"/>
      <c r="I905" s="556"/>
      <c r="J905" s="556"/>
      <c r="K905" s="556"/>
      <c r="L905" s="556"/>
      <c r="M905" s="556"/>
      <c r="N905" s="556"/>
      <c r="O905" s="556"/>
      <c r="P905" s="556"/>
      <c r="Q905" s="556"/>
      <c r="R905" s="556"/>
      <c r="S905" s="556"/>
      <c r="T905" s="556"/>
      <c r="U905" s="556"/>
      <c r="V905" s="556"/>
      <c r="W905" s="556"/>
      <c r="X905" s="556"/>
      <c r="Y905" s="556"/>
      <c r="Z905" s="579"/>
      <c r="AA905" s="556"/>
      <c r="AB905" s="556"/>
      <c r="AC905" s="556"/>
      <c r="AD905" s="556"/>
    </row>
    <row r="906" ht="15.75" customHeight="1">
      <c r="A906" s="594"/>
      <c r="B906" s="556"/>
      <c r="C906" s="556"/>
      <c r="D906" s="556"/>
      <c r="E906" s="556"/>
      <c r="F906" s="556"/>
      <c r="G906" s="556"/>
      <c r="H906" s="556"/>
      <c r="I906" s="556"/>
      <c r="J906" s="556"/>
      <c r="K906" s="556"/>
      <c r="L906" s="556"/>
      <c r="M906" s="556"/>
      <c r="N906" s="556"/>
      <c r="O906" s="556"/>
      <c r="P906" s="556"/>
      <c r="Q906" s="556"/>
      <c r="R906" s="556"/>
      <c r="S906" s="556"/>
      <c r="T906" s="556"/>
      <c r="U906" s="556"/>
      <c r="V906" s="556"/>
      <c r="W906" s="556"/>
      <c r="X906" s="556"/>
      <c r="Y906" s="556"/>
      <c r="Z906" s="579"/>
      <c r="AA906" s="556"/>
      <c r="AB906" s="556"/>
      <c r="AC906" s="556"/>
      <c r="AD906" s="556"/>
    </row>
    <row r="907" ht="15.75" customHeight="1">
      <c r="A907" s="594"/>
      <c r="B907" s="556"/>
      <c r="C907" s="556"/>
      <c r="D907" s="556"/>
      <c r="E907" s="556"/>
      <c r="F907" s="556"/>
      <c r="G907" s="556"/>
      <c r="H907" s="556"/>
      <c r="I907" s="556"/>
      <c r="J907" s="556"/>
      <c r="K907" s="556"/>
      <c r="L907" s="556"/>
      <c r="M907" s="556"/>
      <c r="N907" s="556"/>
      <c r="O907" s="556"/>
      <c r="P907" s="556"/>
      <c r="Q907" s="556"/>
      <c r="R907" s="556"/>
      <c r="S907" s="556"/>
      <c r="T907" s="556"/>
      <c r="U907" s="556"/>
      <c r="V907" s="556"/>
      <c r="W907" s="556"/>
      <c r="X907" s="556"/>
      <c r="Y907" s="556"/>
      <c r="Z907" s="579"/>
      <c r="AA907" s="556"/>
      <c r="AB907" s="556"/>
      <c r="AC907" s="556"/>
      <c r="AD907" s="556"/>
    </row>
    <row r="908" ht="15.75" customHeight="1">
      <c r="A908" s="594"/>
      <c r="B908" s="556"/>
      <c r="C908" s="556"/>
      <c r="D908" s="556"/>
      <c r="E908" s="556"/>
      <c r="F908" s="556"/>
      <c r="G908" s="556"/>
      <c r="H908" s="556"/>
      <c r="I908" s="556"/>
      <c r="J908" s="556"/>
      <c r="K908" s="556"/>
      <c r="L908" s="556"/>
      <c r="M908" s="556"/>
      <c r="N908" s="556"/>
      <c r="O908" s="556"/>
      <c r="P908" s="556"/>
      <c r="Q908" s="556"/>
      <c r="R908" s="556"/>
      <c r="S908" s="556"/>
      <c r="T908" s="556"/>
      <c r="U908" s="556"/>
      <c r="V908" s="556"/>
      <c r="W908" s="556"/>
      <c r="X908" s="556"/>
      <c r="Y908" s="556"/>
      <c r="Z908" s="579"/>
      <c r="AA908" s="556"/>
      <c r="AB908" s="556"/>
      <c r="AC908" s="556"/>
      <c r="AD908" s="556"/>
    </row>
    <row r="909" ht="15.75" customHeight="1">
      <c r="A909" s="594"/>
      <c r="B909" s="556"/>
      <c r="C909" s="556"/>
      <c r="D909" s="556"/>
      <c r="E909" s="556"/>
      <c r="F909" s="556"/>
      <c r="G909" s="556"/>
      <c r="H909" s="556"/>
      <c r="I909" s="556"/>
      <c r="J909" s="556"/>
      <c r="K909" s="556"/>
      <c r="L909" s="556"/>
      <c r="M909" s="556"/>
      <c r="N909" s="556"/>
      <c r="O909" s="556"/>
      <c r="P909" s="556"/>
      <c r="Q909" s="556"/>
      <c r="R909" s="556"/>
      <c r="S909" s="556"/>
      <c r="T909" s="556"/>
      <c r="U909" s="556"/>
      <c r="V909" s="556"/>
      <c r="W909" s="556"/>
      <c r="X909" s="556"/>
      <c r="Y909" s="556"/>
      <c r="Z909" s="579"/>
      <c r="AA909" s="556"/>
      <c r="AB909" s="556"/>
      <c r="AC909" s="556"/>
      <c r="AD909" s="556"/>
    </row>
    <row r="910" ht="15.75" customHeight="1">
      <c r="A910" s="594"/>
      <c r="B910" s="556"/>
      <c r="C910" s="556"/>
      <c r="D910" s="556"/>
      <c r="E910" s="556"/>
      <c r="F910" s="556"/>
      <c r="G910" s="556"/>
      <c r="H910" s="556"/>
      <c r="I910" s="556"/>
      <c r="J910" s="556"/>
      <c r="K910" s="556"/>
      <c r="L910" s="556"/>
      <c r="M910" s="556"/>
      <c r="N910" s="556"/>
      <c r="O910" s="556"/>
      <c r="P910" s="556"/>
      <c r="Q910" s="556"/>
      <c r="R910" s="556"/>
      <c r="S910" s="556"/>
      <c r="T910" s="556"/>
      <c r="U910" s="556"/>
      <c r="V910" s="556"/>
      <c r="W910" s="556"/>
      <c r="X910" s="556"/>
      <c r="Y910" s="556"/>
      <c r="Z910" s="579"/>
      <c r="AA910" s="556"/>
      <c r="AB910" s="556"/>
      <c r="AC910" s="556"/>
      <c r="AD910" s="556"/>
    </row>
    <row r="911" ht="15.75" customHeight="1">
      <c r="A911" s="594"/>
      <c r="B911" s="556"/>
      <c r="C911" s="556"/>
      <c r="D911" s="556"/>
      <c r="E911" s="556"/>
      <c r="F911" s="556"/>
      <c r="G911" s="556"/>
      <c r="H911" s="556"/>
      <c r="I911" s="556"/>
      <c r="J911" s="556"/>
      <c r="K911" s="556"/>
      <c r="L911" s="556"/>
      <c r="M911" s="556"/>
      <c r="N911" s="556"/>
      <c r="O911" s="556"/>
      <c r="P911" s="556"/>
      <c r="Q911" s="556"/>
      <c r="R911" s="556"/>
      <c r="S911" s="556"/>
      <c r="T911" s="556"/>
      <c r="U911" s="556"/>
      <c r="V911" s="556"/>
      <c r="W911" s="556"/>
      <c r="X911" s="556"/>
      <c r="Y911" s="556"/>
      <c r="Z911" s="579"/>
      <c r="AA911" s="556"/>
      <c r="AB911" s="556"/>
      <c r="AC911" s="556"/>
      <c r="AD911" s="556"/>
    </row>
    <row r="912" ht="15.75" customHeight="1">
      <c r="A912" s="594"/>
      <c r="B912" s="556"/>
      <c r="C912" s="556"/>
      <c r="D912" s="556"/>
      <c r="E912" s="556"/>
      <c r="F912" s="556"/>
      <c r="G912" s="556"/>
      <c r="H912" s="556"/>
      <c r="I912" s="556"/>
      <c r="J912" s="556"/>
      <c r="K912" s="556"/>
      <c r="L912" s="556"/>
      <c r="M912" s="556"/>
      <c r="N912" s="556"/>
      <c r="O912" s="556"/>
      <c r="P912" s="556"/>
      <c r="Q912" s="556"/>
      <c r="R912" s="556"/>
      <c r="S912" s="556"/>
      <c r="T912" s="556"/>
      <c r="U912" s="556"/>
      <c r="V912" s="556"/>
      <c r="W912" s="556"/>
      <c r="X912" s="556"/>
      <c r="Y912" s="556"/>
      <c r="Z912" s="579"/>
      <c r="AA912" s="556"/>
      <c r="AB912" s="556"/>
      <c r="AC912" s="556"/>
      <c r="AD912" s="556"/>
    </row>
    <row r="913" ht="15.75" customHeight="1">
      <c r="A913" s="594"/>
      <c r="B913" s="556"/>
      <c r="C913" s="556"/>
      <c r="D913" s="556"/>
      <c r="E913" s="556"/>
      <c r="F913" s="556"/>
      <c r="G913" s="556"/>
      <c r="H913" s="556"/>
      <c r="I913" s="556"/>
      <c r="J913" s="556"/>
      <c r="K913" s="556"/>
      <c r="L913" s="556"/>
      <c r="M913" s="556"/>
      <c r="N913" s="556"/>
      <c r="O913" s="556"/>
      <c r="P913" s="556"/>
      <c r="Q913" s="556"/>
      <c r="R913" s="556"/>
      <c r="S913" s="556"/>
      <c r="T913" s="556"/>
      <c r="U913" s="556"/>
      <c r="V913" s="556"/>
      <c r="W913" s="556"/>
      <c r="X913" s="556"/>
      <c r="Y913" s="556"/>
      <c r="Z913" s="579"/>
      <c r="AA913" s="556"/>
      <c r="AB913" s="556"/>
      <c r="AC913" s="556"/>
      <c r="AD913" s="556"/>
    </row>
    <row r="914" ht="15.75" customHeight="1">
      <c r="A914" s="594"/>
      <c r="B914" s="556"/>
      <c r="C914" s="556"/>
      <c r="D914" s="556"/>
      <c r="E914" s="556"/>
      <c r="F914" s="556"/>
      <c r="G914" s="556"/>
      <c r="H914" s="556"/>
      <c r="I914" s="556"/>
      <c r="J914" s="556"/>
      <c r="K914" s="556"/>
      <c r="L914" s="556"/>
      <c r="M914" s="556"/>
      <c r="N914" s="556"/>
      <c r="O914" s="556"/>
      <c r="P914" s="556"/>
      <c r="Q914" s="556"/>
      <c r="R914" s="556"/>
      <c r="S914" s="556"/>
      <c r="T914" s="556"/>
      <c r="U914" s="556"/>
      <c r="V914" s="556"/>
      <c r="W914" s="556"/>
      <c r="X914" s="556"/>
      <c r="Y914" s="556"/>
      <c r="Z914" s="579"/>
      <c r="AA914" s="556"/>
      <c r="AB914" s="556"/>
      <c r="AC914" s="556"/>
      <c r="AD914" s="556"/>
    </row>
    <row r="915" ht="15.75" customHeight="1">
      <c r="A915" s="594"/>
      <c r="B915" s="556"/>
      <c r="C915" s="556"/>
      <c r="D915" s="556"/>
      <c r="E915" s="556"/>
      <c r="F915" s="556"/>
      <c r="G915" s="556"/>
      <c r="H915" s="556"/>
      <c r="I915" s="556"/>
      <c r="J915" s="556"/>
      <c r="K915" s="556"/>
      <c r="L915" s="556"/>
      <c r="M915" s="556"/>
      <c r="N915" s="556"/>
      <c r="O915" s="556"/>
      <c r="P915" s="556"/>
      <c r="Q915" s="556"/>
      <c r="R915" s="556"/>
      <c r="S915" s="556"/>
      <c r="T915" s="556"/>
      <c r="U915" s="556"/>
      <c r="V915" s="556"/>
      <c r="W915" s="556"/>
      <c r="X915" s="556"/>
      <c r="Y915" s="556"/>
      <c r="Z915" s="579"/>
      <c r="AA915" s="556"/>
      <c r="AB915" s="556"/>
      <c r="AC915" s="556"/>
      <c r="AD915" s="556"/>
    </row>
    <row r="916" ht="15.75" customHeight="1">
      <c r="A916" s="594"/>
      <c r="B916" s="556"/>
      <c r="C916" s="556"/>
      <c r="D916" s="556"/>
      <c r="E916" s="556"/>
      <c r="F916" s="556"/>
      <c r="G916" s="556"/>
      <c r="H916" s="556"/>
      <c r="I916" s="556"/>
      <c r="J916" s="556"/>
      <c r="K916" s="556"/>
      <c r="L916" s="556"/>
      <c r="M916" s="556"/>
      <c r="N916" s="556"/>
      <c r="O916" s="556"/>
      <c r="P916" s="556"/>
      <c r="Q916" s="556"/>
      <c r="R916" s="556"/>
      <c r="S916" s="556"/>
      <c r="T916" s="556"/>
      <c r="U916" s="556"/>
      <c r="V916" s="556"/>
      <c r="W916" s="556"/>
      <c r="X916" s="556"/>
      <c r="Y916" s="556"/>
      <c r="Z916" s="579"/>
      <c r="AA916" s="556"/>
      <c r="AB916" s="556"/>
      <c r="AC916" s="556"/>
      <c r="AD916" s="556"/>
    </row>
    <row r="917" ht="15.75" customHeight="1">
      <c r="A917" s="594"/>
      <c r="B917" s="556"/>
      <c r="C917" s="556"/>
      <c r="D917" s="556"/>
      <c r="E917" s="556"/>
      <c r="F917" s="556"/>
      <c r="G917" s="556"/>
      <c r="H917" s="556"/>
      <c r="I917" s="556"/>
      <c r="J917" s="556"/>
      <c r="K917" s="556"/>
      <c r="L917" s="556"/>
      <c r="M917" s="556"/>
      <c r="N917" s="556"/>
      <c r="O917" s="556"/>
      <c r="P917" s="556"/>
      <c r="Q917" s="556"/>
      <c r="R917" s="556"/>
      <c r="S917" s="556"/>
      <c r="T917" s="556"/>
      <c r="U917" s="556"/>
      <c r="V917" s="556"/>
      <c r="W917" s="556"/>
      <c r="X917" s="556"/>
      <c r="Y917" s="556"/>
      <c r="Z917" s="579"/>
      <c r="AA917" s="556"/>
      <c r="AB917" s="556"/>
      <c r="AC917" s="556"/>
      <c r="AD917" s="556"/>
    </row>
    <row r="918" ht="15.75" customHeight="1">
      <c r="A918" s="594"/>
      <c r="B918" s="556"/>
      <c r="C918" s="556"/>
      <c r="D918" s="556"/>
      <c r="E918" s="556"/>
      <c r="F918" s="556"/>
      <c r="G918" s="556"/>
      <c r="H918" s="556"/>
      <c r="I918" s="556"/>
      <c r="J918" s="556"/>
      <c r="K918" s="556"/>
      <c r="L918" s="556"/>
      <c r="M918" s="556"/>
      <c r="N918" s="556"/>
      <c r="O918" s="556"/>
      <c r="P918" s="556"/>
      <c r="Q918" s="556"/>
      <c r="R918" s="556"/>
      <c r="S918" s="556"/>
      <c r="T918" s="556"/>
      <c r="U918" s="556"/>
      <c r="V918" s="556"/>
      <c r="W918" s="556"/>
      <c r="X918" s="556"/>
      <c r="Y918" s="556"/>
      <c r="Z918" s="579"/>
      <c r="AA918" s="556"/>
      <c r="AB918" s="556"/>
      <c r="AC918" s="556"/>
      <c r="AD918" s="556"/>
    </row>
    <row r="919" ht="15.75" customHeight="1">
      <c r="A919" s="594"/>
      <c r="B919" s="556"/>
      <c r="C919" s="556"/>
      <c r="D919" s="556"/>
      <c r="E919" s="556"/>
      <c r="F919" s="556"/>
      <c r="G919" s="556"/>
      <c r="H919" s="556"/>
      <c r="I919" s="556"/>
      <c r="J919" s="556"/>
      <c r="K919" s="556"/>
      <c r="L919" s="556"/>
      <c r="M919" s="556"/>
      <c r="N919" s="556"/>
      <c r="O919" s="556"/>
      <c r="P919" s="556"/>
      <c r="Q919" s="556"/>
      <c r="R919" s="556"/>
      <c r="S919" s="556"/>
      <c r="T919" s="556"/>
      <c r="U919" s="556"/>
      <c r="V919" s="556"/>
      <c r="W919" s="556"/>
      <c r="X919" s="556"/>
      <c r="Y919" s="556"/>
      <c r="Z919" s="579"/>
      <c r="AA919" s="556"/>
      <c r="AB919" s="556"/>
      <c r="AC919" s="556"/>
      <c r="AD919" s="556"/>
    </row>
    <row r="920" ht="15.75" customHeight="1">
      <c r="A920" s="594"/>
      <c r="B920" s="556"/>
      <c r="C920" s="556"/>
      <c r="D920" s="556"/>
      <c r="E920" s="556"/>
      <c r="F920" s="556"/>
      <c r="G920" s="556"/>
      <c r="H920" s="556"/>
      <c r="I920" s="556"/>
      <c r="J920" s="556"/>
      <c r="K920" s="556"/>
      <c r="L920" s="556"/>
      <c r="M920" s="556"/>
      <c r="N920" s="556"/>
      <c r="O920" s="556"/>
      <c r="P920" s="556"/>
      <c r="Q920" s="556"/>
      <c r="R920" s="556"/>
      <c r="S920" s="556"/>
      <c r="T920" s="556"/>
      <c r="U920" s="556"/>
      <c r="V920" s="556"/>
      <c r="W920" s="556"/>
      <c r="X920" s="556"/>
      <c r="Y920" s="556"/>
      <c r="Z920" s="579"/>
      <c r="AA920" s="556"/>
      <c r="AB920" s="556"/>
      <c r="AC920" s="556"/>
      <c r="AD920" s="556"/>
    </row>
    <row r="921" ht="15.75" customHeight="1">
      <c r="A921" s="594"/>
      <c r="B921" s="556"/>
      <c r="C921" s="556"/>
      <c r="D921" s="556"/>
      <c r="E921" s="556"/>
      <c r="F921" s="556"/>
      <c r="G921" s="556"/>
      <c r="H921" s="556"/>
      <c r="I921" s="556"/>
      <c r="J921" s="556"/>
      <c r="K921" s="556"/>
      <c r="L921" s="556"/>
      <c r="M921" s="556"/>
      <c r="N921" s="556"/>
      <c r="O921" s="556"/>
      <c r="P921" s="556"/>
      <c r="Q921" s="556"/>
      <c r="R921" s="556"/>
      <c r="S921" s="556"/>
      <c r="T921" s="556"/>
      <c r="U921" s="556"/>
      <c r="V921" s="556"/>
      <c r="W921" s="556"/>
      <c r="X921" s="556"/>
      <c r="Y921" s="556"/>
      <c r="Z921" s="579"/>
      <c r="AA921" s="556"/>
      <c r="AB921" s="556"/>
      <c r="AC921" s="556"/>
      <c r="AD921" s="556"/>
    </row>
    <row r="922" ht="15.75" customHeight="1">
      <c r="A922" s="594"/>
      <c r="B922" s="556"/>
      <c r="C922" s="556"/>
      <c r="D922" s="556"/>
      <c r="E922" s="556"/>
      <c r="F922" s="556"/>
      <c r="G922" s="556"/>
      <c r="H922" s="556"/>
      <c r="I922" s="556"/>
      <c r="J922" s="556"/>
      <c r="K922" s="556"/>
      <c r="L922" s="556"/>
      <c r="M922" s="556"/>
      <c r="N922" s="556"/>
      <c r="O922" s="556"/>
      <c r="P922" s="556"/>
      <c r="Q922" s="556"/>
      <c r="R922" s="556"/>
      <c r="S922" s="556"/>
      <c r="T922" s="556"/>
      <c r="U922" s="556"/>
      <c r="V922" s="556"/>
      <c r="W922" s="556"/>
      <c r="X922" s="556"/>
      <c r="Y922" s="556"/>
      <c r="Z922" s="579"/>
      <c r="AA922" s="556"/>
      <c r="AB922" s="556"/>
      <c r="AC922" s="556"/>
      <c r="AD922" s="556"/>
    </row>
    <row r="923" ht="15.75" customHeight="1">
      <c r="A923" s="594"/>
      <c r="B923" s="556"/>
      <c r="C923" s="556"/>
      <c r="D923" s="556"/>
      <c r="E923" s="556"/>
      <c r="F923" s="556"/>
      <c r="G923" s="556"/>
      <c r="H923" s="556"/>
      <c r="I923" s="556"/>
      <c r="J923" s="556"/>
      <c r="K923" s="556"/>
      <c r="L923" s="556"/>
      <c r="M923" s="556"/>
      <c r="N923" s="556"/>
      <c r="O923" s="556"/>
      <c r="P923" s="556"/>
      <c r="Q923" s="556"/>
      <c r="R923" s="556"/>
      <c r="S923" s="556"/>
      <c r="T923" s="556"/>
      <c r="U923" s="556"/>
      <c r="V923" s="556"/>
      <c r="W923" s="556"/>
      <c r="X923" s="556"/>
      <c r="Y923" s="556"/>
      <c r="Z923" s="579"/>
      <c r="AA923" s="556"/>
      <c r="AB923" s="556"/>
      <c r="AC923" s="556"/>
      <c r="AD923" s="556"/>
    </row>
    <row r="924" ht="15.75" customHeight="1">
      <c r="A924" s="594"/>
      <c r="B924" s="556"/>
      <c r="C924" s="556"/>
      <c r="D924" s="556"/>
      <c r="E924" s="556"/>
      <c r="F924" s="556"/>
      <c r="G924" s="556"/>
      <c r="H924" s="556"/>
      <c r="I924" s="556"/>
      <c r="J924" s="556"/>
      <c r="K924" s="556"/>
      <c r="L924" s="556"/>
      <c r="M924" s="556"/>
      <c r="N924" s="556"/>
      <c r="O924" s="556"/>
      <c r="P924" s="556"/>
      <c r="Q924" s="556"/>
      <c r="R924" s="556"/>
      <c r="S924" s="556"/>
      <c r="T924" s="556"/>
      <c r="U924" s="556"/>
      <c r="V924" s="556"/>
      <c r="W924" s="556"/>
      <c r="X924" s="556"/>
      <c r="Y924" s="556"/>
      <c r="Z924" s="579"/>
      <c r="AA924" s="556"/>
      <c r="AB924" s="556"/>
      <c r="AC924" s="556"/>
      <c r="AD924" s="556"/>
    </row>
    <row r="925" ht="15.75" customHeight="1">
      <c r="A925" s="594"/>
      <c r="B925" s="556"/>
      <c r="C925" s="556"/>
      <c r="D925" s="556"/>
      <c r="E925" s="556"/>
      <c r="F925" s="556"/>
      <c r="G925" s="556"/>
      <c r="H925" s="556"/>
      <c r="I925" s="556"/>
      <c r="J925" s="556"/>
      <c r="K925" s="556"/>
      <c r="L925" s="556"/>
      <c r="M925" s="556"/>
      <c r="N925" s="556"/>
      <c r="O925" s="556"/>
      <c r="P925" s="556"/>
      <c r="Q925" s="556"/>
      <c r="R925" s="556"/>
      <c r="S925" s="556"/>
      <c r="T925" s="556"/>
      <c r="U925" s="556"/>
      <c r="V925" s="556"/>
      <c r="W925" s="556"/>
      <c r="X925" s="556"/>
      <c r="Y925" s="556"/>
      <c r="Z925" s="579"/>
      <c r="AA925" s="556"/>
      <c r="AB925" s="556"/>
      <c r="AC925" s="556"/>
      <c r="AD925" s="556"/>
    </row>
    <row r="926" ht="15.75" customHeight="1">
      <c r="A926" s="594"/>
      <c r="B926" s="556"/>
      <c r="C926" s="556"/>
      <c r="D926" s="556"/>
      <c r="E926" s="556"/>
      <c r="F926" s="556"/>
      <c r="G926" s="556"/>
      <c r="H926" s="556"/>
      <c r="I926" s="556"/>
      <c r="J926" s="556"/>
      <c r="K926" s="556"/>
      <c r="L926" s="556"/>
      <c r="M926" s="556"/>
      <c r="N926" s="556"/>
      <c r="O926" s="556"/>
      <c r="P926" s="556"/>
      <c r="Q926" s="556"/>
      <c r="R926" s="556"/>
      <c r="S926" s="556"/>
      <c r="T926" s="556"/>
      <c r="U926" s="556"/>
      <c r="V926" s="556"/>
      <c r="W926" s="556"/>
      <c r="X926" s="556"/>
      <c r="Y926" s="556"/>
      <c r="Z926" s="579"/>
      <c r="AA926" s="556"/>
      <c r="AB926" s="556"/>
      <c r="AC926" s="556"/>
      <c r="AD926" s="556"/>
    </row>
    <row r="927" ht="15.75" customHeight="1">
      <c r="A927" s="594"/>
      <c r="B927" s="556"/>
      <c r="C927" s="556"/>
      <c r="D927" s="556"/>
      <c r="E927" s="556"/>
      <c r="F927" s="556"/>
      <c r="G927" s="556"/>
      <c r="H927" s="556"/>
      <c r="I927" s="556"/>
      <c r="J927" s="556"/>
      <c r="K927" s="556"/>
      <c r="L927" s="556"/>
      <c r="M927" s="556"/>
      <c r="N927" s="556"/>
      <c r="O927" s="556"/>
      <c r="P927" s="556"/>
      <c r="Q927" s="556"/>
      <c r="R927" s="556"/>
      <c r="S927" s="556"/>
      <c r="T927" s="556"/>
      <c r="U927" s="556"/>
      <c r="V927" s="556"/>
      <c r="W927" s="556"/>
      <c r="X927" s="556"/>
      <c r="Y927" s="556"/>
      <c r="Z927" s="579"/>
      <c r="AA927" s="556"/>
      <c r="AB927" s="556"/>
      <c r="AC927" s="556"/>
      <c r="AD927" s="556"/>
    </row>
    <row r="928" ht="15.75" customHeight="1">
      <c r="A928" s="594"/>
      <c r="B928" s="556"/>
      <c r="C928" s="556"/>
      <c r="D928" s="556"/>
      <c r="E928" s="556"/>
      <c r="F928" s="556"/>
      <c r="G928" s="556"/>
      <c r="H928" s="556"/>
      <c r="I928" s="556"/>
      <c r="J928" s="556"/>
      <c r="K928" s="556"/>
      <c r="L928" s="556"/>
      <c r="M928" s="556"/>
      <c r="N928" s="556"/>
      <c r="O928" s="556"/>
      <c r="P928" s="556"/>
      <c r="Q928" s="556"/>
      <c r="R928" s="556"/>
      <c r="S928" s="556"/>
      <c r="T928" s="556"/>
      <c r="U928" s="556"/>
      <c r="V928" s="556"/>
      <c r="W928" s="556"/>
      <c r="X928" s="556"/>
      <c r="Y928" s="556"/>
      <c r="Z928" s="579"/>
      <c r="AA928" s="556"/>
      <c r="AB928" s="556"/>
      <c r="AC928" s="556"/>
      <c r="AD928" s="556"/>
    </row>
    <row r="929" ht="15.75" customHeight="1">
      <c r="A929" s="594"/>
      <c r="B929" s="556"/>
      <c r="C929" s="556"/>
      <c r="D929" s="556"/>
      <c r="E929" s="556"/>
      <c r="F929" s="556"/>
      <c r="G929" s="556"/>
      <c r="H929" s="556"/>
      <c r="I929" s="556"/>
      <c r="J929" s="556"/>
      <c r="K929" s="556"/>
      <c r="L929" s="556"/>
      <c r="M929" s="556"/>
      <c r="N929" s="556"/>
      <c r="O929" s="556"/>
      <c r="P929" s="556"/>
      <c r="Q929" s="556"/>
      <c r="R929" s="556"/>
      <c r="S929" s="556"/>
      <c r="T929" s="556"/>
      <c r="U929" s="556"/>
      <c r="V929" s="556"/>
      <c r="W929" s="556"/>
      <c r="X929" s="556"/>
      <c r="Y929" s="556"/>
      <c r="Z929" s="579"/>
      <c r="AA929" s="556"/>
      <c r="AB929" s="556"/>
      <c r="AC929" s="556"/>
      <c r="AD929" s="556"/>
    </row>
    <row r="930" ht="15.75" customHeight="1">
      <c r="A930" s="594"/>
      <c r="B930" s="556"/>
      <c r="C930" s="556"/>
      <c r="D930" s="556"/>
      <c r="E930" s="556"/>
      <c r="F930" s="556"/>
      <c r="G930" s="556"/>
      <c r="H930" s="556"/>
      <c r="I930" s="556"/>
      <c r="J930" s="556"/>
      <c r="K930" s="556"/>
      <c r="L930" s="556"/>
      <c r="M930" s="556"/>
      <c r="N930" s="556"/>
      <c r="O930" s="556"/>
      <c r="P930" s="556"/>
      <c r="Q930" s="556"/>
      <c r="R930" s="556"/>
      <c r="S930" s="556"/>
      <c r="T930" s="556"/>
      <c r="U930" s="556"/>
      <c r="V930" s="556"/>
      <c r="W930" s="556"/>
      <c r="X930" s="556"/>
      <c r="Y930" s="556"/>
      <c r="Z930" s="579"/>
      <c r="AA930" s="556"/>
      <c r="AB930" s="556"/>
      <c r="AC930" s="556"/>
      <c r="AD930" s="556"/>
    </row>
    <row r="931" ht="15.75" customHeight="1">
      <c r="A931" s="594"/>
      <c r="B931" s="556"/>
      <c r="C931" s="556"/>
      <c r="D931" s="556"/>
      <c r="E931" s="556"/>
      <c r="F931" s="556"/>
      <c r="G931" s="556"/>
      <c r="H931" s="556"/>
      <c r="I931" s="556"/>
      <c r="J931" s="556"/>
      <c r="K931" s="556"/>
      <c r="L931" s="556"/>
      <c r="M931" s="556"/>
      <c r="N931" s="556"/>
      <c r="O931" s="556"/>
      <c r="P931" s="556"/>
      <c r="Q931" s="556"/>
      <c r="R931" s="556"/>
      <c r="S931" s="556"/>
      <c r="T931" s="556"/>
      <c r="U931" s="556"/>
      <c r="V931" s="556"/>
      <c r="W931" s="556"/>
      <c r="X931" s="556"/>
      <c r="Y931" s="556"/>
      <c r="Z931" s="579"/>
      <c r="AA931" s="556"/>
      <c r="AB931" s="556"/>
      <c r="AC931" s="556"/>
      <c r="AD931" s="556"/>
    </row>
    <row r="932" ht="15.75" customHeight="1">
      <c r="A932" s="594"/>
      <c r="B932" s="556"/>
      <c r="C932" s="556"/>
      <c r="D932" s="556"/>
      <c r="E932" s="556"/>
      <c r="F932" s="556"/>
      <c r="G932" s="556"/>
      <c r="H932" s="556"/>
      <c r="I932" s="556"/>
      <c r="J932" s="556"/>
      <c r="K932" s="556"/>
      <c r="L932" s="556"/>
      <c r="M932" s="556"/>
      <c r="N932" s="556"/>
      <c r="O932" s="556"/>
      <c r="P932" s="556"/>
      <c r="Q932" s="556"/>
      <c r="R932" s="556"/>
      <c r="S932" s="556"/>
      <c r="T932" s="556"/>
      <c r="U932" s="556"/>
      <c r="V932" s="556"/>
      <c r="W932" s="556"/>
      <c r="X932" s="556"/>
      <c r="Y932" s="556"/>
      <c r="Z932" s="579"/>
      <c r="AA932" s="556"/>
      <c r="AB932" s="556"/>
      <c r="AC932" s="556"/>
      <c r="AD932" s="556"/>
    </row>
    <row r="933" ht="15.75" customHeight="1">
      <c r="A933" s="594"/>
      <c r="B933" s="556"/>
      <c r="C933" s="556"/>
      <c r="D933" s="556"/>
      <c r="E933" s="556"/>
      <c r="F933" s="556"/>
      <c r="G933" s="556"/>
      <c r="H933" s="556"/>
      <c r="I933" s="556"/>
      <c r="J933" s="556"/>
      <c r="K933" s="556"/>
      <c r="L933" s="556"/>
      <c r="M933" s="556"/>
      <c r="N933" s="556"/>
      <c r="O933" s="556"/>
      <c r="P933" s="556"/>
      <c r="Q933" s="556"/>
      <c r="R933" s="556"/>
      <c r="S933" s="556"/>
      <c r="T933" s="556"/>
      <c r="U933" s="556"/>
      <c r="V933" s="556"/>
      <c r="W933" s="556"/>
      <c r="X933" s="556"/>
      <c r="Y933" s="556"/>
      <c r="Z933" s="579"/>
      <c r="AA933" s="556"/>
      <c r="AB933" s="556"/>
      <c r="AC933" s="556"/>
      <c r="AD933" s="556"/>
    </row>
    <row r="934" ht="15.75" customHeight="1">
      <c r="A934" s="594"/>
      <c r="B934" s="556"/>
      <c r="C934" s="556"/>
      <c r="D934" s="556"/>
      <c r="E934" s="556"/>
      <c r="F934" s="556"/>
      <c r="G934" s="556"/>
      <c r="H934" s="556"/>
      <c r="I934" s="556"/>
      <c r="J934" s="556"/>
      <c r="K934" s="556"/>
      <c r="L934" s="556"/>
      <c r="M934" s="556"/>
      <c r="N934" s="556"/>
      <c r="O934" s="556"/>
      <c r="P934" s="556"/>
      <c r="Q934" s="556"/>
      <c r="R934" s="556"/>
      <c r="S934" s="556"/>
      <c r="T934" s="556"/>
      <c r="U934" s="556"/>
      <c r="V934" s="556"/>
      <c r="W934" s="556"/>
      <c r="X934" s="556"/>
      <c r="Y934" s="556"/>
      <c r="Z934" s="579"/>
      <c r="AA934" s="556"/>
      <c r="AB934" s="556"/>
      <c r="AC934" s="556"/>
      <c r="AD934" s="556"/>
    </row>
    <row r="935" ht="15.75" customHeight="1">
      <c r="A935" s="594"/>
      <c r="B935" s="556"/>
      <c r="C935" s="556"/>
      <c r="D935" s="556"/>
      <c r="E935" s="556"/>
      <c r="F935" s="556"/>
      <c r="G935" s="556"/>
      <c r="H935" s="556"/>
      <c r="I935" s="556"/>
      <c r="J935" s="556"/>
      <c r="K935" s="556"/>
      <c r="L935" s="556"/>
      <c r="M935" s="556"/>
      <c r="N935" s="556"/>
      <c r="O935" s="556"/>
      <c r="P935" s="556"/>
      <c r="Q935" s="556"/>
      <c r="R935" s="556"/>
      <c r="S935" s="556"/>
      <c r="T935" s="556"/>
      <c r="U935" s="556"/>
      <c r="V935" s="556"/>
      <c r="W935" s="556"/>
      <c r="X935" s="556"/>
      <c r="Y935" s="556"/>
      <c r="Z935" s="579"/>
      <c r="AA935" s="556"/>
      <c r="AB935" s="556"/>
      <c r="AC935" s="556"/>
      <c r="AD935" s="556"/>
    </row>
    <row r="936" ht="15.75" customHeight="1">
      <c r="A936" s="594"/>
      <c r="B936" s="556"/>
      <c r="C936" s="556"/>
      <c r="D936" s="556"/>
      <c r="E936" s="556"/>
      <c r="F936" s="556"/>
      <c r="G936" s="556"/>
      <c r="H936" s="556"/>
      <c r="I936" s="556"/>
      <c r="J936" s="556"/>
      <c r="K936" s="556"/>
      <c r="L936" s="556"/>
      <c r="M936" s="556"/>
      <c r="N936" s="556"/>
      <c r="O936" s="556"/>
      <c r="P936" s="556"/>
      <c r="Q936" s="556"/>
      <c r="R936" s="556"/>
      <c r="S936" s="556"/>
      <c r="T936" s="556"/>
      <c r="U936" s="556"/>
      <c r="V936" s="556"/>
      <c r="W936" s="556"/>
      <c r="X936" s="556"/>
      <c r="Y936" s="556"/>
      <c r="Z936" s="579"/>
      <c r="AA936" s="556"/>
      <c r="AB936" s="556"/>
      <c r="AC936" s="556"/>
      <c r="AD936" s="556"/>
    </row>
    <row r="937" ht="15.75" customHeight="1">
      <c r="A937" s="594"/>
      <c r="B937" s="556"/>
      <c r="C937" s="556"/>
      <c r="D937" s="556"/>
      <c r="E937" s="556"/>
      <c r="F937" s="556"/>
      <c r="G937" s="556"/>
      <c r="H937" s="556"/>
      <c r="I937" s="556"/>
      <c r="J937" s="556"/>
      <c r="K937" s="556"/>
      <c r="L937" s="556"/>
      <c r="M937" s="556"/>
      <c r="N937" s="556"/>
      <c r="O937" s="556"/>
      <c r="P937" s="556"/>
      <c r="Q937" s="556"/>
      <c r="R937" s="556"/>
      <c r="S937" s="556"/>
      <c r="T937" s="556"/>
      <c r="U937" s="556"/>
      <c r="V937" s="556"/>
      <c r="W937" s="556"/>
      <c r="X937" s="556"/>
      <c r="Y937" s="556"/>
      <c r="Z937" s="579"/>
      <c r="AA937" s="556"/>
      <c r="AB937" s="556"/>
      <c r="AC937" s="556"/>
      <c r="AD937" s="556"/>
    </row>
    <row r="938" ht="15.75" customHeight="1">
      <c r="A938" s="594"/>
      <c r="B938" s="556"/>
      <c r="C938" s="556"/>
      <c r="D938" s="556"/>
      <c r="E938" s="556"/>
      <c r="F938" s="556"/>
      <c r="G938" s="556"/>
      <c r="H938" s="556"/>
      <c r="I938" s="556"/>
      <c r="J938" s="556"/>
      <c r="K938" s="556"/>
      <c r="L938" s="556"/>
      <c r="M938" s="556"/>
      <c r="N938" s="556"/>
      <c r="O938" s="556"/>
      <c r="P938" s="556"/>
      <c r="Q938" s="556"/>
      <c r="R938" s="556"/>
      <c r="S938" s="556"/>
      <c r="T938" s="556"/>
      <c r="U938" s="556"/>
      <c r="V938" s="556"/>
      <c r="W938" s="556"/>
      <c r="X938" s="556"/>
      <c r="Y938" s="556"/>
      <c r="Z938" s="579"/>
      <c r="AA938" s="556"/>
      <c r="AB938" s="556"/>
      <c r="AC938" s="556"/>
      <c r="AD938" s="556"/>
    </row>
    <row r="939" ht="15.75" customHeight="1">
      <c r="A939" s="594"/>
      <c r="B939" s="556"/>
      <c r="C939" s="556"/>
      <c r="D939" s="556"/>
      <c r="E939" s="556"/>
      <c r="F939" s="556"/>
      <c r="G939" s="556"/>
      <c r="H939" s="556"/>
      <c r="I939" s="556"/>
      <c r="J939" s="556"/>
      <c r="K939" s="556"/>
      <c r="L939" s="556"/>
      <c r="M939" s="556"/>
      <c r="N939" s="556"/>
      <c r="O939" s="556"/>
      <c r="P939" s="556"/>
      <c r="Q939" s="556"/>
      <c r="R939" s="556"/>
      <c r="S939" s="556"/>
      <c r="T939" s="556"/>
      <c r="U939" s="556"/>
      <c r="V939" s="556"/>
      <c r="W939" s="556"/>
      <c r="X939" s="556"/>
      <c r="Y939" s="556"/>
      <c r="Z939" s="579"/>
      <c r="AA939" s="556"/>
      <c r="AB939" s="556"/>
      <c r="AC939" s="556"/>
      <c r="AD939" s="556"/>
    </row>
    <row r="940" ht="15.75" customHeight="1">
      <c r="A940" s="594"/>
      <c r="B940" s="556"/>
      <c r="C940" s="556"/>
      <c r="D940" s="556"/>
      <c r="E940" s="556"/>
      <c r="F940" s="556"/>
      <c r="G940" s="556"/>
      <c r="H940" s="556"/>
      <c r="I940" s="556"/>
      <c r="J940" s="556"/>
      <c r="K940" s="556"/>
      <c r="L940" s="556"/>
      <c r="M940" s="556"/>
      <c r="N940" s="556"/>
      <c r="O940" s="556"/>
      <c r="P940" s="556"/>
      <c r="Q940" s="556"/>
      <c r="R940" s="556"/>
      <c r="S940" s="556"/>
      <c r="T940" s="556"/>
      <c r="U940" s="556"/>
      <c r="V940" s="556"/>
      <c r="W940" s="556"/>
      <c r="X940" s="556"/>
      <c r="Y940" s="556"/>
      <c r="Z940" s="579"/>
      <c r="AA940" s="556"/>
      <c r="AB940" s="556"/>
      <c r="AC940" s="556"/>
      <c r="AD940" s="556"/>
    </row>
    <row r="941" ht="15.75" customHeight="1">
      <c r="A941" s="594"/>
      <c r="B941" s="556"/>
      <c r="C941" s="556"/>
      <c r="D941" s="556"/>
      <c r="E941" s="556"/>
      <c r="F941" s="556"/>
      <c r="G941" s="556"/>
      <c r="H941" s="556"/>
      <c r="I941" s="556"/>
      <c r="J941" s="556"/>
      <c r="K941" s="556"/>
      <c r="L941" s="556"/>
      <c r="M941" s="556"/>
      <c r="N941" s="556"/>
      <c r="O941" s="556"/>
      <c r="P941" s="556"/>
      <c r="Q941" s="556"/>
      <c r="R941" s="556"/>
      <c r="S941" s="556"/>
      <c r="T941" s="556"/>
      <c r="U941" s="556"/>
      <c r="V941" s="556"/>
      <c r="W941" s="556"/>
      <c r="X941" s="556"/>
      <c r="Y941" s="556"/>
      <c r="Z941" s="579"/>
      <c r="AA941" s="556"/>
      <c r="AB941" s="556"/>
      <c r="AC941" s="556"/>
      <c r="AD941" s="556"/>
    </row>
    <row r="942" ht="15.75" customHeight="1">
      <c r="A942" s="594"/>
      <c r="B942" s="556"/>
      <c r="C942" s="556"/>
      <c r="D942" s="556"/>
      <c r="E942" s="556"/>
      <c r="F942" s="556"/>
      <c r="G942" s="556"/>
      <c r="H942" s="556"/>
      <c r="I942" s="556"/>
      <c r="J942" s="556"/>
      <c r="K942" s="556"/>
      <c r="L942" s="556"/>
      <c r="M942" s="556"/>
      <c r="N942" s="556"/>
      <c r="O942" s="556"/>
      <c r="P942" s="556"/>
      <c r="Q942" s="556"/>
      <c r="R942" s="556"/>
      <c r="S942" s="556"/>
      <c r="T942" s="556"/>
      <c r="U942" s="556"/>
      <c r="V942" s="556"/>
      <c r="W942" s="556"/>
      <c r="X942" s="556"/>
      <c r="Y942" s="556"/>
      <c r="Z942" s="579"/>
      <c r="AA942" s="556"/>
      <c r="AB942" s="556"/>
      <c r="AC942" s="556"/>
      <c r="AD942" s="556"/>
    </row>
    <row r="943" ht="15.75" customHeight="1">
      <c r="A943" s="594"/>
      <c r="B943" s="556"/>
      <c r="C943" s="556"/>
      <c r="D943" s="556"/>
      <c r="E943" s="556"/>
      <c r="F943" s="556"/>
      <c r="G943" s="556"/>
      <c r="H943" s="556"/>
      <c r="I943" s="556"/>
      <c r="J943" s="556"/>
      <c r="K943" s="556"/>
      <c r="L943" s="556"/>
      <c r="M943" s="556"/>
      <c r="N943" s="556"/>
      <c r="O943" s="556"/>
      <c r="P943" s="556"/>
      <c r="Q943" s="556"/>
      <c r="R943" s="556"/>
      <c r="S943" s="556"/>
      <c r="T943" s="556"/>
      <c r="U943" s="556"/>
      <c r="V943" s="556"/>
      <c r="W943" s="556"/>
      <c r="X943" s="556"/>
      <c r="Y943" s="556"/>
      <c r="Z943" s="579"/>
      <c r="AA943" s="556"/>
      <c r="AB943" s="556"/>
      <c r="AC943" s="556"/>
      <c r="AD943" s="556"/>
    </row>
    <row r="944" ht="15.75" customHeight="1">
      <c r="A944" s="594"/>
      <c r="B944" s="556"/>
      <c r="C944" s="556"/>
      <c r="D944" s="556"/>
      <c r="E944" s="556"/>
      <c r="F944" s="556"/>
      <c r="G944" s="556"/>
      <c r="H944" s="556"/>
      <c r="I944" s="556"/>
      <c r="J944" s="556"/>
      <c r="K944" s="556"/>
      <c r="L944" s="556"/>
      <c r="M944" s="556"/>
      <c r="N944" s="556"/>
      <c r="O944" s="556"/>
      <c r="P944" s="556"/>
      <c r="Q944" s="556"/>
      <c r="R944" s="556"/>
      <c r="S944" s="556"/>
      <c r="T944" s="556"/>
      <c r="U944" s="556"/>
      <c r="V944" s="556"/>
      <c r="W944" s="556"/>
      <c r="X944" s="556"/>
      <c r="Y944" s="556"/>
      <c r="Z944" s="579"/>
      <c r="AA944" s="556"/>
      <c r="AB944" s="556"/>
      <c r="AC944" s="556"/>
      <c r="AD944" s="556"/>
    </row>
    <row r="945" ht="15.75" customHeight="1">
      <c r="A945" s="594"/>
      <c r="B945" s="556"/>
      <c r="C945" s="556"/>
      <c r="D945" s="556"/>
      <c r="E945" s="556"/>
      <c r="F945" s="556"/>
      <c r="G945" s="556"/>
      <c r="H945" s="556"/>
      <c r="I945" s="556"/>
      <c r="J945" s="556"/>
      <c r="K945" s="556"/>
      <c r="L945" s="556"/>
      <c r="M945" s="556"/>
      <c r="N945" s="556"/>
      <c r="O945" s="556"/>
      <c r="P945" s="556"/>
      <c r="Q945" s="556"/>
      <c r="R945" s="556"/>
      <c r="S945" s="556"/>
      <c r="T945" s="556"/>
      <c r="U945" s="556"/>
      <c r="V945" s="556"/>
      <c r="W945" s="556"/>
      <c r="X945" s="556"/>
      <c r="Y945" s="556"/>
      <c r="Z945" s="579"/>
      <c r="AA945" s="556"/>
      <c r="AB945" s="556"/>
      <c r="AC945" s="556"/>
      <c r="AD945" s="556"/>
    </row>
    <row r="946" ht="15.75" customHeight="1">
      <c r="A946" s="594"/>
      <c r="B946" s="556"/>
      <c r="C946" s="556"/>
      <c r="D946" s="556"/>
      <c r="E946" s="556"/>
      <c r="F946" s="556"/>
      <c r="G946" s="556"/>
      <c r="H946" s="556"/>
      <c r="I946" s="556"/>
      <c r="J946" s="556"/>
      <c r="K946" s="556"/>
      <c r="L946" s="556"/>
      <c r="M946" s="556"/>
      <c r="N946" s="556"/>
      <c r="O946" s="556"/>
      <c r="P946" s="556"/>
      <c r="Q946" s="556"/>
      <c r="R946" s="556"/>
      <c r="S946" s="556"/>
      <c r="T946" s="556"/>
      <c r="U946" s="556"/>
      <c r="V946" s="556"/>
      <c r="W946" s="556"/>
      <c r="X946" s="556"/>
      <c r="Y946" s="556"/>
      <c r="Z946" s="579"/>
      <c r="AA946" s="556"/>
      <c r="AB946" s="556"/>
      <c r="AC946" s="556"/>
      <c r="AD946" s="556"/>
    </row>
    <row r="947" ht="15.75" customHeight="1">
      <c r="A947" s="594"/>
      <c r="B947" s="556"/>
      <c r="C947" s="556"/>
      <c r="D947" s="556"/>
      <c r="E947" s="556"/>
      <c r="F947" s="556"/>
      <c r="G947" s="556"/>
      <c r="H947" s="556"/>
      <c r="I947" s="556"/>
      <c r="J947" s="556"/>
      <c r="K947" s="556"/>
      <c r="L947" s="556"/>
      <c r="M947" s="556"/>
      <c r="N947" s="556"/>
      <c r="O947" s="556"/>
      <c r="P947" s="556"/>
      <c r="Q947" s="556"/>
      <c r="R947" s="556"/>
      <c r="S947" s="556"/>
      <c r="T947" s="556"/>
      <c r="U947" s="556"/>
      <c r="V947" s="556"/>
      <c r="W947" s="556"/>
      <c r="X947" s="556"/>
      <c r="Y947" s="556"/>
      <c r="Z947" s="579"/>
      <c r="AA947" s="556"/>
      <c r="AB947" s="556"/>
      <c r="AC947" s="556"/>
      <c r="AD947" s="556"/>
    </row>
    <row r="948" ht="15.75" customHeight="1">
      <c r="A948" s="594"/>
      <c r="B948" s="556"/>
      <c r="C948" s="556"/>
      <c r="D948" s="556"/>
      <c r="E948" s="556"/>
      <c r="F948" s="556"/>
      <c r="G948" s="556"/>
      <c r="H948" s="556"/>
      <c r="I948" s="556"/>
      <c r="J948" s="556"/>
      <c r="K948" s="556"/>
      <c r="L948" s="556"/>
      <c r="M948" s="556"/>
      <c r="N948" s="556"/>
      <c r="O948" s="556"/>
      <c r="P948" s="556"/>
      <c r="Q948" s="556"/>
      <c r="R948" s="556"/>
      <c r="S948" s="556"/>
      <c r="T948" s="556"/>
      <c r="U948" s="556"/>
      <c r="V948" s="556"/>
      <c r="W948" s="556"/>
      <c r="X948" s="556"/>
      <c r="Y948" s="556"/>
      <c r="Z948" s="579"/>
      <c r="AA948" s="556"/>
      <c r="AB948" s="556"/>
      <c r="AC948" s="556"/>
      <c r="AD948" s="556"/>
    </row>
    <row r="949" ht="15.75" customHeight="1">
      <c r="A949" s="594"/>
      <c r="B949" s="556"/>
      <c r="C949" s="556"/>
      <c r="D949" s="556"/>
      <c r="E949" s="556"/>
      <c r="F949" s="556"/>
      <c r="G949" s="556"/>
      <c r="H949" s="556"/>
      <c r="I949" s="556"/>
      <c r="J949" s="556"/>
      <c r="K949" s="556"/>
      <c r="L949" s="556"/>
      <c r="M949" s="556"/>
      <c r="N949" s="556"/>
      <c r="O949" s="556"/>
      <c r="P949" s="556"/>
      <c r="Q949" s="556"/>
      <c r="R949" s="556"/>
      <c r="S949" s="556"/>
      <c r="T949" s="556"/>
      <c r="U949" s="556"/>
      <c r="V949" s="556"/>
      <c r="W949" s="556"/>
      <c r="X949" s="556"/>
      <c r="Y949" s="556"/>
      <c r="Z949" s="579"/>
      <c r="AA949" s="556"/>
      <c r="AB949" s="556"/>
      <c r="AC949" s="556"/>
      <c r="AD949" s="556"/>
    </row>
    <row r="950" ht="15.75" customHeight="1">
      <c r="A950" s="594"/>
      <c r="B950" s="556"/>
      <c r="C950" s="556"/>
      <c r="D950" s="556"/>
      <c r="E950" s="556"/>
      <c r="F950" s="556"/>
      <c r="G950" s="556"/>
      <c r="H950" s="556"/>
      <c r="I950" s="556"/>
      <c r="J950" s="556"/>
      <c r="K950" s="556"/>
      <c r="L950" s="556"/>
      <c r="M950" s="556"/>
      <c r="N950" s="556"/>
      <c r="O950" s="556"/>
      <c r="P950" s="556"/>
      <c r="Q950" s="556"/>
      <c r="R950" s="556"/>
      <c r="S950" s="556"/>
      <c r="T950" s="556"/>
      <c r="U950" s="556"/>
      <c r="V950" s="556"/>
      <c r="W950" s="556"/>
      <c r="X950" s="556"/>
      <c r="Y950" s="556"/>
      <c r="Z950" s="579"/>
      <c r="AA950" s="556"/>
      <c r="AB950" s="556"/>
      <c r="AC950" s="556"/>
      <c r="AD950" s="556"/>
    </row>
    <row r="951" ht="15.75" customHeight="1">
      <c r="A951" s="594"/>
      <c r="B951" s="556"/>
      <c r="C951" s="556"/>
      <c r="D951" s="556"/>
      <c r="E951" s="556"/>
      <c r="F951" s="556"/>
      <c r="G951" s="556"/>
      <c r="H951" s="556"/>
      <c r="I951" s="556"/>
      <c r="J951" s="556"/>
      <c r="K951" s="556"/>
      <c r="L951" s="556"/>
      <c r="M951" s="556"/>
      <c r="N951" s="556"/>
      <c r="O951" s="556"/>
      <c r="P951" s="556"/>
      <c r="Q951" s="556"/>
      <c r="R951" s="556"/>
      <c r="S951" s="556"/>
      <c r="T951" s="556"/>
      <c r="U951" s="556"/>
      <c r="V951" s="556"/>
      <c r="W951" s="556"/>
      <c r="X951" s="556"/>
      <c r="Y951" s="556"/>
      <c r="Z951" s="579"/>
      <c r="AA951" s="556"/>
      <c r="AB951" s="556"/>
      <c r="AC951" s="556"/>
      <c r="AD951" s="556"/>
    </row>
    <row r="952" ht="15.75" customHeight="1">
      <c r="A952" s="594"/>
      <c r="B952" s="556"/>
      <c r="C952" s="556"/>
      <c r="D952" s="556"/>
      <c r="E952" s="556"/>
      <c r="F952" s="556"/>
      <c r="G952" s="556"/>
      <c r="H952" s="556"/>
      <c r="I952" s="556"/>
      <c r="J952" s="556"/>
      <c r="K952" s="556"/>
      <c r="L952" s="556"/>
      <c r="M952" s="556"/>
      <c r="N952" s="556"/>
      <c r="O952" s="556"/>
      <c r="P952" s="556"/>
      <c r="Q952" s="556"/>
      <c r="R952" s="556"/>
      <c r="S952" s="556"/>
      <c r="T952" s="556"/>
      <c r="U952" s="556"/>
      <c r="V952" s="556"/>
      <c r="W952" s="556"/>
      <c r="X952" s="556"/>
      <c r="Y952" s="556"/>
      <c r="Z952" s="579"/>
      <c r="AA952" s="556"/>
      <c r="AB952" s="556"/>
      <c r="AC952" s="556"/>
      <c r="AD952" s="556"/>
    </row>
    <row r="953" ht="15.75" customHeight="1">
      <c r="A953" s="594"/>
      <c r="B953" s="556"/>
      <c r="C953" s="556"/>
      <c r="D953" s="556"/>
      <c r="E953" s="556"/>
      <c r="F953" s="556"/>
      <c r="G953" s="556"/>
      <c r="H953" s="556"/>
      <c r="I953" s="556"/>
      <c r="J953" s="556"/>
      <c r="K953" s="556"/>
      <c r="L953" s="556"/>
      <c r="M953" s="556"/>
      <c r="N953" s="556"/>
      <c r="O953" s="556"/>
      <c r="P953" s="556"/>
      <c r="Q953" s="556"/>
      <c r="R953" s="556"/>
      <c r="S953" s="556"/>
      <c r="T953" s="556"/>
      <c r="U953" s="556"/>
      <c r="V953" s="556"/>
      <c r="W953" s="556"/>
      <c r="X953" s="556"/>
      <c r="Y953" s="556"/>
      <c r="Z953" s="579"/>
      <c r="AA953" s="556"/>
      <c r="AB953" s="556"/>
      <c r="AC953" s="556"/>
      <c r="AD953" s="556"/>
    </row>
    <row r="954" ht="15.75" customHeight="1">
      <c r="A954" s="594"/>
      <c r="B954" s="556"/>
      <c r="C954" s="556"/>
      <c r="D954" s="556"/>
      <c r="E954" s="556"/>
      <c r="F954" s="556"/>
      <c r="G954" s="556"/>
      <c r="H954" s="556"/>
      <c r="I954" s="556"/>
      <c r="J954" s="556"/>
      <c r="K954" s="556"/>
      <c r="L954" s="556"/>
      <c r="M954" s="556"/>
      <c r="N954" s="556"/>
      <c r="O954" s="556"/>
      <c r="P954" s="556"/>
      <c r="Q954" s="556"/>
      <c r="R954" s="556"/>
      <c r="S954" s="556"/>
      <c r="T954" s="556"/>
      <c r="U954" s="556"/>
      <c r="V954" s="556"/>
      <c r="W954" s="556"/>
      <c r="X954" s="556"/>
      <c r="Y954" s="556"/>
      <c r="Z954" s="579"/>
      <c r="AA954" s="556"/>
      <c r="AB954" s="556"/>
      <c r="AC954" s="556"/>
      <c r="AD954" s="556"/>
    </row>
    <row r="955" ht="15.75" customHeight="1">
      <c r="A955" s="594"/>
      <c r="B955" s="556"/>
      <c r="C955" s="556"/>
      <c r="D955" s="556"/>
      <c r="E955" s="556"/>
      <c r="F955" s="556"/>
      <c r="G955" s="556"/>
      <c r="H955" s="556"/>
      <c r="I955" s="556"/>
      <c r="J955" s="556"/>
      <c r="K955" s="556"/>
      <c r="L955" s="556"/>
      <c r="M955" s="556"/>
      <c r="N955" s="556"/>
      <c r="O955" s="556"/>
      <c r="P955" s="556"/>
      <c r="Q955" s="556"/>
      <c r="R955" s="556"/>
      <c r="S955" s="556"/>
      <c r="T955" s="556"/>
      <c r="U955" s="556"/>
      <c r="V955" s="556"/>
      <c r="W955" s="556"/>
      <c r="X955" s="556"/>
      <c r="Y955" s="556"/>
      <c r="Z955" s="579"/>
      <c r="AA955" s="556"/>
      <c r="AB955" s="556"/>
      <c r="AC955" s="556"/>
      <c r="AD955" s="556"/>
    </row>
    <row r="956" ht="15.75" customHeight="1">
      <c r="A956" s="594"/>
      <c r="B956" s="556"/>
      <c r="C956" s="556"/>
      <c r="D956" s="556"/>
      <c r="E956" s="556"/>
      <c r="F956" s="556"/>
      <c r="G956" s="556"/>
      <c r="H956" s="556"/>
      <c r="I956" s="556"/>
      <c r="J956" s="556"/>
      <c r="K956" s="556"/>
      <c r="L956" s="556"/>
      <c r="M956" s="556"/>
      <c r="N956" s="556"/>
      <c r="O956" s="556"/>
      <c r="P956" s="556"/>
      <c r="Q956" s="556"/>
      <c r="R956" s="556"/>
      <c r="S956" s="556"/>
      <c r="T956" s="556"/>
      <c r="U956" s="556"/>
      <c r="V956" s="556"/>
      <c r="W956" s="556"/>
      <c r="X956" s="556"/>
      <c r="Y956" s="556"/>
      <c r="Z956" s="579"/>
      <c r="AA956" s="556"/>
      <c r="AB956" s="556"/>
      <c r="AC956" s="556"/>
      <c r="AD956" s="556"/>
    </row>
    <row r="957" ht="15.75" customHeight="1">
      <c r="A957" s="594"/>
      <c r="B957" s="556"/>
      <c r="C957" s="556"/>
      <c r="D957" s="556"/>
      <c r="E957" s="556"/>
      <c r="F957" s="556"/>
      <c r="G957" s="556"/>
      <c r="H957" s="556"/>
      <c r="I957" s="556"/>
      <c r="J957" s="556"/>
      <c r="K957" s="556"/>
      <c r="L957" s="556"/>
      <c r="M957" s="556"/>
      <c r="N957" s="556"/>
      <c r="O957" s="556"/>
      <c r="P957" s="556"/>
      <c r="Q957" s="556"/>
      <c r="R957" s="556"/>
      <c r="S957" s="556"/>
      <c r="T957" s="556"/>
      <c r="U957" s="556"/>
      <c r="V957" s="556"/>
      <c r="W957" s="556"/>
      <c r="X957" s="556"/>
      <c r="Y957" s="556"/>
      <c r="Z957" s="579"/>
      <c r="AA957" s="556"/>
      <c r="AB957" s="556"/>
      <c r="AC957" s="556"/>
      <c r="AD957" s="556"/>
    </row>
    <row r="958" ht="15.75" customHeight="1">
      <c r="A958" s="594"/>
      <c r="B958" s="556"/>
      <c r="C958" s="556"/>
      <c r="D958" s="556"/>
      <c r="E958" s="556"/>
      <c r="F958" s="556"/>
      <c r="G958" s="556"/>
      <c r="H958" s="556"/>
      <c r="I958" s="556"/>
      <c r="J958" s="556"/>
      <c r="K958" s="556"/>
      <c r="L958" s="556"/>
      <c r="M958" s="556"/>
      <c r="N958" s="556"/>
      <c r="O958" s="556"/>
      <c r="P958" s="556"/>
      <c r="Q958" s="556"/>
      <c r="R958" s="556"/>
      <c r="S958" s="556"/>
      <c r="T958" s="556"/>
      <c r="U958" s="556"/>
      <c r="V958" s="556"/>
      <c r="W958" s="556"/>
      <c r="X958" s="556"/>
      <c r="Y958" s="556"/>
      <c r="Z958" s="579"/>
      <c r="AA958" s="556"/>
      <c r="AB958" s="556"/>
      <c r="AC958" s="556"/>
      <c r="AD958" s="556"/>
    </row>
    <row r="959" ht="15.75" customHeight="1">
      <c r="A959" s="594"/>
      <c r="B959" s="556"/>
      <c r="C959" s="556"/>
      <c r="D959" s="556"/>
      <c r="E959" s="556"/>
      <c r="F959" s="556"/>
      <c r="G959" s="556"/>
      <c r="H959" s="556"/>
      <c r="I959" s="556"/>
      <c r="J959" s="556"/>
      <c r="K959" s="556"/>
      <c r="L959" s="556"/>
      <c r="M959" s="556"/>
      <c r="N959" s="556"/>
      <c r="O959" s="556"/>
      <c r="P959" s="556"/>
      <c r="Q959" s="556"/>
      <c r="R959" s="556"/>
      <c r="S959" s="556"/>
      <c r="T959" s="556"/>
      <c r="U959" s="556"/>
      <c r="V959" s="556"/>
      <c r="W959" s="556"/>
      <c r="X959" s="556"/>
      <c r="Y959" s="556"/>
      <c r="Z959" s="579"/>
      <c r="AA959" s="556"/>
      <c r="AB959" s="556"/>
      <c r="AC959" s="556"/>
      <c r="AD959" s="556"/>
    </row>
    <row r="960" ht="15.75" customHeight="1">
      <c r="A960" s="594"/>
      <c r="B960" s="556"/>
      <c r="C960" s="556"/>
      <c r="D960" s="556"/>
      <c r="E960" s="556"/>
      <c r="F960" s="556"/>
      <c r="G960" s="556"/>
      <c r="H960" s="556"/>
      <c r="I960" s="556"/>
      <c r="J960" s="556"/>
      <c r="K960" s="556"/>
      <c r="L960" s="556"/>
      <c r="M960" s="556"/>
      <c r="N960" s="556"/>
      <c r="O960" s="556"/>
      <c r="P960" s="556"/>
      <c r="Q960" s="556"/>
      <c r="R960" s="556"/>
      <c r="S960" s="556"/>
      <c r="T960" s="556"/>
      <c r="U960" s="556"/>
      <c r="V960" s="556"/>
      <c r="W960" s="556"/>
      <c r="X960" s="556"/>
      <c r="Y960" s="556"/>
      <c r="Z960" s="579"/>
      <c r="AA960" s="556"/>
      <c r="AB960" s="556"/>
      <c r="AC960" s="556"/>
      <c r="AD960" s="556"/>
    </row>
    <row r="961" ht="15.75" customHeight="1">
      <c r="A961" s="594"/>
      <c r="B961" s="556"/>
      <c r="C961" s="556"/>
      <c r="D961" s="556"/>
      <c r="E961" s="556"/>
      <c r="F961" s="556"/>
      <c r="G961" s="556"/>
      <c r="H961" s="556"/>
      <c r="I961" s="556"/>
      <c r="J961" s="556"/>
      <c r="K961" s="556"/>
      <c r="L961" s="556"/>
      <c r="M961" s="556"/>
      <c r="N961" s="556"/>
      <c r="O961" s="556"/>
      <c r="P961" s="556"/>
      <c r="Q961" s="556"/>
      <c r="R961" s="556"/>
      <c r="S961" s="556"/>
      <c r="T961" s="556"/>
      <c r="U961" s="556"/>
      <c r="V961" s="556"/>
      <c r="W961" s="556"/>
      <c r="X961" s="556"/>
      <c r="Y961" s="556"/>
      <c r="Z961" s="579"/>
      <c r="AA961" s="556"/>
      <c r="AB961" s="556"/>
      <c r="AC961" s="556"/>
      <c r="AD961" s="556"/>
    </row>
    <row r="962" ht="15.75" customHeight="1">
      <c r="A962" s="594"/>
      <c r="B962" s="556"/>
      <c r="C962" s="556"/>
      <c r="D962" s="556"/>
      <c r="E962" s="556"/>
      <c r="F962" s="556"/>
      <c r="G962" s="556"/>
      <c r="H962" s="556"/>
      <c r="I962" s="556"/>
      <c r="J962" s="556"/>
      <c r="K962" s="556"/>
      <c r="L962" s="556"/>
      <c r="M962" s="556"/>
      <c r="N962" s="556"/>
      <c r="O962" s="556"/>
      <c r="P962" s="556"/>
      <c r="Q962" s="556"/>
      <c r="R962" s="556"/>
      <c r="S962" s="556"/>
      <c r="T962" s="556"/>
      <c r="U962" s="556"/>
      <c r="V962" s="556"/>
      <c r="W962" s="556"/>
      <c r="X962" s="556"/>
      <c r="Y962" s="556"/>
      <c r="Z962" s="579"/>
      <c r="AA962" s="556"/>
      <c r="AB962" s="556"/>
      <c r="AC962" s="556"/>
      <c r="AD962" s="556"/>
    </row>
    <row r="963" ht="15.75" customHeight="1">
      <c r="A963" s="594"/>
      <c r="B963" s="556"/>
      <c r="C963" s="556"/>
      <c r="D963" s="556"/>
      <c r="E963" s="556"/>
      <c r="F963" s="556"/>
      <c r="G963" s="556"/>
      <c r="H963" s="556"/>
      <c r="I963" s="556"/>
      <c r="J963" s="556"/>
      <c r="K963" s="556"/>
      <c r="L963" s="556"/>
      <c r="M963" s="556"/>
      <c r="N963" s="556"/>
      <c r="O963" s="556"/>
      <c r="P963" s="556"/>
      <c r="Q963" s="556"/>
      <c r="R963" s="556"/>
      <c r="S963" s="556"/>
      <c r="T963" s="556"/>
      <c r="U963" s="556"/>
      <c r="V963" s="556"/>
      <c r="W963" s="556"/>
      <c r="X963" s="556"/>
      <c r="Y963" s="556"/>
      <c r="Z963" s="579"/>
      <c r="AA963" s="556"/>
      <c r="AB963" s="556"/>
      <c r="AC963" s="556"/>
      <c r="AD963" s="556"/>
    </row>
    <row r="964" ht="15.75" customHeight="1">
      <c r="A964" s="594"/>
      <c r="B964" s="556"/>
      <c r="C964" s="556"/>
      <c r="D964" s="556"/>
      <c r="E964" s="556"/>
      <c r="F964" s="556"/>
      <c r="G964" s="556"/>
      <c r="H964" s="556"/>
      <c r="I964" s="556"/>
      <c r="J964" s="556"/>
      <c r="K964" s="556"/>
      <c r="L964" s="556"/>
      <c r="M964" s="556"/>
      <c r="N964" s="556"/>
      <c r="O964" s="556"/>
      <c r="P964" s="556"/>
      <c r="Q964" s="556"/>
      <c r="R964" s="556"/>
      <c r="S964" s="556"/>
      <c r="T964" s="556"/>
      <c r="U964" s="556"/>
      <c r="V964" s="556"/>
      <c r="W964" s="556"/>
      <c r="X964" s="556"/>
      <c r="Y964" s="556"/>
      <c r="Z964" s="579"/>
      <c r="AA964" s="556"/>
      <c r="AB964" s="556"/>
      <c r="AC964" s="556"/>
      <c r="AD964" s="556"/>
    </row>
    <row r="965" ht="15.75" customHeight="1">
      <c r="A965" s="594"/>
      <c r="B965" s="556"/>
      <c r="C965" s="556"/>
      <c r="D965" s="556"/>
      <c r="E965" s="556"/>
      <c r="F965" s="556"/>
      <c r="G965" s="556"/>
      <c r="H965" s="556"/>
      <c r="I965" s="556"/>
      <c r="J965" s="556"/>
      <c r="K965" s="556"/>
      <c r="L965" s="556"/>
      <c r="M965" s="556"/>
      <c r="N965" s="556"/>
      <c r="O965" s="556"/>
      <c r="P965" s="556"/>
      <c r="Q965" s="556"/>
      <c r="R965" s="556"/>
      <c r="S965" s="556"/>
      <c r="T965" s="556"/>
      <c r="U965" s="556"/>
      <c r="V965" s="556"/>
      <c r="W965" s="556"/>
      <c r="X965" s="556"/>
      <c r="Y965" s="556"/>
      <c r="Z965" s="579"/>
      <c r="AA965" s="556"/>
      <c r="AB965" s="556"/>
      <c r="AC965" s="556"/>
      <c r="AD965" s="556"/>
    </row>
    <row r="966" ht="15.75" customHeight="1">
      <c r="A966" s="594"/>
      <c r="B966" s="556"/>
      <c r="C966" s="556"/>
      <c r="D966" s="556"/>
      <c r="E966" s="556"/>
      <c r="F966" s="556"/>
      <c r="G966" s="556"/>
      <c r="H966" s="556"/>
      <c r="I966" s="556"/>
      <c r="J966" s="556"/>
      <c r="K966" s="556"/>
      <c r="L966" s="556"/>
      <c r="M966" s="556"/>
      <c r="N966" s="556"/>
      <c r="O966" s="556"/>
      <c r="P966" s="556"/>
      <c r="Q966" s="556"/>
      <c r="R966" s="556"/>
      <c r="S966" s="556"/>
      <c r="T966" s="556"/>
      <c r="U966" s="556"/>
      <c r="V966" s="556"/>
      <c r="W966" s="556"/>
      <c r="X966" s="556"/>
      <c r="Y966" s="556"/>
      <c r="Z966" s="579"/>
      <c r="AA966" s="556"/>
      <c r="AB966" s="556"/>
      <c r="AC966" s="556"/>
      <c r="AD966" s="556"/>
    </row>
    <row r="967" ht="15.75" customHeight="1">
      <c r="A967" s="594"/>
      <c r="B967" s="556"/>
      <c r="C967" s="556"/>
      <c r="D967" s="556"/>
      <c r="E967" s="556"/>
      <c r="F967" s="556"/>
      <c r="G967" s="556"/>
      <c r="H967" s="556"/>
      <c r="I967" s="556"/>
      <c r="J967" s="556"/>
      <c r="K967" s="556"/>
      <c r="L967" s="556"/>
      <c r="M967" s="556"/>
      <c r="N967" s="556"/>
      <c r="O967" s="556"/>
      <c r="P967" s="556"/>
      <c r="Q967" s="556"/>
      <c r="R967" s="556"/>
      <c r="S967" s="556"/>
      <c r="T967" s="556"/>
      <c r="U967" s="556"/>
      <c r="V967" s="556"/>
      <c r="W967" s="556"/>
      <c r="X967" s="556"/>
      <c r="Y967" s="556"/>
      <c r="Z967" s="579"/>
      <c r="AA967" s="556"/>
      <c r="AB967" s="556"/>
      <c r="AC967" s="556"/>
      <c r="AD967" s="556"/>
    </row>
    <row r="968" ht="15.75" customHeight="1">
      <c r="A968" s="594"/>
      <c r="B968" s="556"/>
      <c r="C968" s="556"/>
      <c r="D968" s="556"/>
      <c r="E968" s="556"/>
      <c r="F968" s="556"/>
      <c r="G968" s="556"/>
      <c r="H968" s="556"/>
      <c r="I968" s="556"/>
      <c r="J968" s="556"/>
      <c r="K968" s="556"/>
      <c r="L968" s="556"/>
      <c r="M968" s="556"/>
      <c r="N968" s="556"/>
      <c r="O968" s="556"/>
      <c r="P968" s="556"/>
      <c r="Q968" s="556"/>
      <c r="R968" s="556"/>
      <c r="S968" s="556"/>
      <c r="T968" s="556"/>
      <c r="U968" s="556"/>
      <c r="V968" s="556"/>
      <c r="W968" s="556"/>
      <c r="X968" s="556"/>
      <c r="Y968" s="556"/>
      <c r="Z968" s="579"/>
      <c r="AA968" s="556"/>
      <c r="AB968" s="556"/>
      <c r="AC968" s="556"/>
      <c r="AD968" s="556"/>
    </row>
    <row r="969" ht="15.75" customHeight="1">
      <c r="A969" s="594"/>
      <c r="B969" s="556"/>
      <c r="C969" s="556"/>
      <c r="D969" s="556"/>
      <c r="E969" s="556"/>
      <c r="F969" s="556"/>
      <c r="G969" s="556"/>
      <c r="H969" s="556"/>
      <c r="I969" s="556"/>
      <c r="J969" s="556"/>
      <c r="K969" s="556"/>
      <c r="L969" s="556"/>
      <c r="M969" s="556"/>
      <c r="N969" s="556"/>
      <c r="O969" s="556"/>
      <c r="P969" s="556"/>
      <c r="Q969" s="556"/>
      <c r="R969" s="556"/>
      <c r="S969" s="556"/>
      <c r="T969" s="556"/>
      <c r="U969" s="556"/>
      <c r="V969" s="556"/>
      <c r="W969" s="556"/>
      <c r="X969" s="556"/>
      <c r="Y969" s="556"/>
      <c r="Z969" s="579"/>
      <c r="AA969" s="556"/>
      <c r="AB969" s="556"/>
      <c r="AC969" s="556"/>
      <c r="AD969" s="556"/>
    </row>
    <row r="970" ht="15.75" customHeight="1">
      <c r="A970" s="594"/>
      <c r="B970" s="556"/>
      <c r="C970" s="556"/>
      <c r="D970" s="556"/>
      <c r="E970" s="556"/>
      <c r="F970" s="556"/>
      <c r="G970" s="556"/>
      <c r="H970" s="556"/>
      <c r="I970" s="556"/>
      <c r="J970" s="556"/>
      <c r="K970" s="556"/>
      <c r="L970" s="556"/>
      <c r="M970" s="556"/>
      <c r="N970" s="556"/>
      <c r="O970" s="556"/>
      <c r="P970" s="556"/>
      <c r="Q970" s="556"/>
      <c r="R970" s="556"/>
      <c r="S970" s="556"/>
      <c r="T970" s="556"/>
      <c r="U970" s="556"/>
      <c r="V970" s="556"/>
      <c r="W970" s="556"/>
      <c r="X970" s="556"/>
      <c r="Y970" s="556"/>
      <c r="Z970" s="579"/>
      <c r="AA970" s="556"/>
      <c r="AB970" s="556"/>
      <c r="AC970" s="556"/>
      <c r="AD970" s="556"/>
    </row>
    <row r="971" ht="15.75" customHeight="1">
      <c r="A971" s="594"/>
      <c r="B971" s="556"/>
      <c r="C971" s="556"/>
      <c r="D971" s="556"/>
      <c r="E971" s="556"/>
      <c r="F971" s="556"/>
      <c r="G971" s="556"/>
      <c r="H971" s="556"/>
      <c r="I971" s="556"/>
      <c r="J971" s="556"/>
      <c r="K971" s="556"/>
      <c r="L971" s="556"/>
      <c r="M971" s="556"/>
      <c r="N971" s="556"/>
      <c r="O971" s="556"/>
      <c r="P971" s="556"/>
      <c r="Q971" s="556"/>
      <c r="R971" s="556"/>
      <c r="S971" s="556"/>
      <c r="T971" s="556"/>
      <c r="U971" s="556"/>
      <c r="V971" s="556"/>
      <c r="W971" s="556"/>
      <c r="X971" s="556"/>
      <c r="Y971" s="556"/>
      <c r="Z971" s="579"/>
      <c r="AA971" s="556"/>
      <c r="AB971" s="556"/>
      <c r="AC971" s="556"/>
      <c r="AD971" s="556"/>
    </row>
    <row r="972" ht="15.75" customHeight="1">
      <c r="A972" s="594"/>
      <c r="B972" s="556"/>
      <c r="C972" s="556"/>
      <c r="D972" s="556"/>
      <c r="E972" s="556"/>
      <c r="F972" s="556"/>
      <c r="G972" s="556"/>
      <c r="H972" s="556"/>
      <c r="I972" s="556"/>
      <c r="J972" s="556"/>
      <c r="K972" s="556"/>
      <c r="L972" s="556"/>
      <c r="M972" s="556"/>
      <c r="N972" s="556"/>
      <c r="O972" s="556"/>
      <c r="P972" s="556"/>
      <c r="Q972" s="556"/>
      <c r="R972" s="556"/>
      <c r="S972" s="556"/>
      <c r="T972" s="556"/>
      <c r="U972" s="556"/>
      <c r="V972" s="556"/>
      <c r="W972" s="556"/>
      <c r="X972" s="556"/>
      <c r="Y972" s="556"/>
      <c r="Z972" s="579"/>
      <c r="AA972" s="556"/>
      <c r="AB972" s="556"/>
      <c r="AC972" s="556"/>
      <c r="AD972" s="556"/>
    </row>
    <row r="973" ht="15.75" customHeight="1">
      <c r="A973" s="594"/>
      <c r="B973" s="556"/>
      <c r="C973" s="556"/>
      <c r="D973" s="556"/>
      <c r="E973" s="556"/>
      <c r="F973" s="556"/>
      <c r="G973" s="556"/>
      <c r="H973" s="556"/>
      <c r="I973" s="556"/>
      <c r="J973" s="556"/>
      <c r="K973" s="556"/>
      <c r="L973" s="556"/>
      <c r="M973" s="556"/>
      <c r="N973" s="556"/>
      <c r="O973" s="556"/>
      <c r="P973" s="556"/>
      <c r="Q973" s="556"/>
      <c r="R973" s="556"/>
      <c r="S973" s="556"/>
      <c r="T973" s="556"/>
      <c r="U973" s="556"/>
      <c r="V973" s="556"/>
      <c r="W973" s="556"/>
      <c r="X973" s="556"/>
      <c r="Y973" s="556"/>
      <c r="Z973" s="579"/>
      <c r="AA973" s="556"/>
      <c r="AB973" s="556"/>
      <c r="AC973" s="556"/>
      <c r="AD973" s="556"/>
    </row>
    <row r="974" ht="15.75" customHeight="1">
      <c r="A974" s="594"/>
      <c r="B974" s="556"/>
      <c r="C974" s="556"/>
      <c r="D974" s="556"/>
      <c r="E974" s="556"/>
      <c r="F974" s="556"/>
      <c r="G974" s="556"/>
      <c r="H974" s="556"/>
      <c r="I974" s="556"/>
      <c r="J974" s="556"/>
      <c r="K974" s="556"/>
      <c r="L974" s="556"/>
      <c r="M974" s="556"/>
      <c r="N974" s="556"/>
      <c r="O974" s="556"/>
      <c r="P974" s="556"/>
      <c r="Q974" s="556"/>
      <c r="R974" s="556"/>
      <c r="S974" s="556"/>
      <c r="T974" s="556"/>
      <c r="U974" s="556"/>
      <c r="V974" s="556"/>
      <c r="W974" s="556"/>
      <c r="X974" s="556"/>
      <c r="Y974" s="556"/>
      <c r="Z974" s="579"/>
      <c r="AA974" s="556"/>
      <c r="AB974" s="556"/>
      <c r="AC974" s="556"/>
      <c r="AD974" s="556"/>
    </row>
    <row r="975" ht="15.75" customHeight="1">
      <c r="A975" s="594"/>
      <c r="B975" s="556"/>
      <c r="C975" s="556"/>
      <c r="D975" s="556"/>
      <c r="E975" s="556"/>
      <c r="F975" s="556"/>
      <c r="G975" s="556"/>
      <c r="H975" s="556"/>
      <c r="I975" s="556"/>
      <c r="J975" s="556"/>
      <c r="K975" s="556"/>
      <c r="L975" s="556"/>
      <c r="M975" s="556"/>
      <c r="N975" s="556"/>
      <c r="O975" s="556"/>
      <c r="P975" s="556"/>
      <c r="Q975" s="556"/>
      <c r="R975" s="556"/>
      <c r="S975" s="556"/>
      <c r="T975" s="556"/>
      <c r="U975" s="556"/>
      <c r="V975" s="556"/>
      <c r="W975" s="556"/>
      <c r="X975" s="556"/>
      <c r="Y975" s="556"/>
      <c r="Z975" s="579"/>
      <c r="AA975" s="556"/>
      <c r="AB975" s="556"/>
      <c r="AC975" s="556"/>
      <c r="AD975" s="556"/>
    </row>
    <row r="976" ht="15.75" customHeight="1">
      <c r="A976" s="594"/>
      <c r="B976" s="556"/>
      <c r="C976" s="556"/>
      <c r="D976" s="556"/>
      <c r="E976" s="556"/>
      <c r="F976" s="556"/>
      <c r="G976" s="556"/>
      <c r="H976" s="556"/>
      <c r="I976" s="556"/>
      <c r="J976" s="556"/>
      <c r="K976" s="556"/>
      <c r="L976" s="556"/>
      <c r="M976" s="556"/>
      <c r="N976" s="556"/>
      <c r="O976" s="556"/>
      <c r="P976" s="556"/>
      <c r="Q976" s="556"/>
      <c r="R976" s="556"/>
      <c r="S976" s="556"/>
      <c r="T976" s="556"/>
      <c r="U976" s="556"/>
      <c r="V976" s="556"/>
      <c r="W976" s="556"/>
      <c r="X976" s="556"/>
      <c r="Y976" s="556"/>
      <c r="Z976" s="579"/>
      <c r="AA976" s="556"/>
      <c r="AB976" s="556"/>
      <c r="AC976" s="556"/>
      <c r="AD976" s="556"/>
    </row>
    <row r="977" ht="15.75" customHeight="1">
      <c r="A977" s="594"/>
      <c r="B977" s="556"/>
      <c r="C977" s="556"/>
      <c r="D977" s="556"/>
      <c r="E977" s="556"/>
      <c r="F977" s="556"/>
      <c r="G977" s="556"/>
      <c r="H977" s="556"/>
      <c r="I977" s="556"/>
      <c r="J977" s="556"/>
      <c r="K977" s="556"/>
      <c r="L977" s="556"/>
      <c r="M977" s="556"/>
      <c r="N977" s="556"/>
      <c r="O977" s="556"/>
      <c r="P977" s="556"/>
      <c r="Q977" s="556"/>
      <c r="R977" s="556"/>
      <c r="S977" s="556"/>
      <c r="T977" s="556"/>
      <c r="U977" s="556"/>
      <c r="V977" s="556"/>
      <c r="W977" s="556"/>
      <c r="X977" s="556"/>
      <c r="Y977" s="556"/>
      <c r="Z977" s="579"/>
      <c r="AA977" s="556"/>
      <c r="AB977" s="556"/>
      <c r="AC977" s="556"/>
      <c r="AD977" s="556"/>
    </row>
    <row r="978" ht="15.75" customHeight="1">
      <c r="A978" s="594"/>
      <c r="B978" s="556"/>
      <c r="C978" s="556"/>
      <c r="D978" s="556"/>
      <c r="E978" s="556"/>
      <c r="F978" s="556"/>
      <c r="G978" s="556"/>
      <c r="H978" s="556"/>
      <c r="I978" s="556"/>
      <c r="J978" s="556"/>
      <c r="K978" s="556"/>
      <c r="L978" s="556"/>
      <c r="M978" s="556"/>
      <c r="N978" s="556"/>
      <c r="O978" s="556"/>
      <c r="P978" s="556"/>
      <c r="Q978" s="556"/>
      <c r="R978" s="556"/>
      <c r="S978" s="556"/>
      <c r="T978" s="556"/>
      <c r="U978" s="556"/>
      <c r="V978" s="556"/>
      <c r="W978" s="556"/>
      <c r="X978" s="556"/>
      <c r="Y978" s="556"/>
      <c r="Z978" s="579"/>
      <c r="AA978" s="556"/>
      <c r="AB978" s="556"/>
      <c r="AC978" s="556"/>
      <c r="AD978" s="556"/>
    </row>
    <row r="979" ht="15.75" customHeight="1">
      <c r="A979" s="594"/>
      <c r="B979" s="556"/>
      <c r="C979" s="556"/>
      <c r="D979" s="556"/>
      <c r="E979" s="556"/>
      <c r="F979" s="556"/>
      <c r="G979" s="556"/>
      <c r="H979" s="556"/>
      <c r="I979" s="556"/>
      <c r="J979" s="556"/>
      <c r="K979" s="556"/>
      <c r="L979" s="556"/>
      <c r="M979" s="556"/>
      <c r="N979" s="556"/>
      <c r="O979" s="556"/>
      <c r="P979" s="556"/>
      <c r="Q979" s="556"/>
      <c r="R979" s="556"/>
      <c r="S979" s="556"/>
      <c r="T979" s="556"/>
      <c r="U979" s="556"/>
      <c r="V979" s="556"/>
      <c r="W979" s="556"/>
      <c r="X979" s="556"/>
      <c r="Y979" s="556"/>
      <c r="Z979" s="579"/>
      <c r="AA979" s="556"/>
      <c r="AB979" s="556"/>
      <c r="AC979" s="556"/>
      <c r="AD979" s="556"/>
    </row>
    <row r="980" ht="15.75" customHeight="1">
      <c r="A980" s="594"/>
      <c r="B980" s="556"/>
      <c r="C980" s="556"/>
      <c r="D980" s="556"/>
      <c r="E980" s="556"/>
      <c r="F980" s="556"/>
      <c r="G980" s="556"/>
      <c r="H980" s="556"/>
      <c r="I980" s="556"/>
      <c r="J980" s="556"/>
      <c r="K980" s="556"/>
      <c r="L980" s="556"/>
      <c r="M980" s="556"/>
      <c r="N980" s="556"/>
      <c r="O980" s="556"/>
      <c r="P980" s="556"/>
      <c r="Q980" s="556"/>
      <c r="R980" s="556"/>
      <c r="S980" s="556"/>
      <c r="T980" s="556"/>
      <c r="U980" s="556"/>
      <c r="V980" s="556"/>
      <c r="W980" s="556"/>
      <c r="X980" s="556"/>
      <c r="Y980" s="556"/>
      <c r="Z980" s="579"/>
      <c r="AA980" s="556"/>
      <c r="AB980" s="556"/>
      <c r="AC980" s="556"/>
      <c r="AD980" s="556"/>
    </row>
    <row r="981" ht="15.75" customHeight="1">
      <c r="A981" s="594"/>
      <c r="B981" s="556"/>
      <c r="C981" s="556"/>
      <c r="D981" s="556"/>
      <c r="E981" s="556"/>
      <c r="F981" s="556"/>
      <c r="G981" s="556"/>
      <c r="H981" s="556"/>
      <c r="I981" s="556"/>
      <c r="J981" s="556"/>
      <c r="K981" s="556"/>
      <c r="L981" s="556"/>
      <c r="M981" s="556"/>
      <c r="N981" s="556"/>
      <c r="O981" s="556"/>
      <c r="P981" s="556"/>
      <c r="Q981" s="556"/>
      <c r="R981" s="556"/>
      <c r="S981" s="556"/>
      <c r="T981" s="556"/>
      <c r="U981" s="556"/>
      <c r="V981" s="556"/>
      <c r="W981" s="556"/>
      <c r="X981" s="556"/>
      <c r="Y981" s="556"/>
      <c r="Z981" s="579"/>
      <c r="AA981" s="556"/>
      <c r="AB981" s="556"/>
      <c r="AC981" s="556"/>
      <c r="AD981" s="556"/>
    </row>
    <row r="982" ht="15.75" customHeight="1">
      <c r="A982" s="594"/>
      <c r="B982" s="556"/>
      <c r="C982" s="556"/>
      <c r="D982" s="556"/>
      <c r="E982" s="556"/>
      <c r="F982" s="556"/>
      <c r="G982" s="556"/>
      <c r="H982" s="556"/>
      <c r="I982" s="556"/>
      <c r="J982" s="556"/>
      <c r="K982" s="556"/>
      <c r="L982" s="556"/>
      <c r="M982" s="556"/>
      <c r="N982" s="556"/>
      <c r="O982" s="556"/>
      <c r="P982" s="556"/>
      <c r="Q982" s="556"/>
      <c r="R982" s="556"/>
      <c r="S982" s="556"/>
      <c r="T982" s="556"/>
      <c r="U982" s="556"/>
      <c r="V982" s="556"/>
      <c r="W982" s="556"/>
      <c r="X982" s="556"/>
      <c r="Y982" s="556"/>
      <c r="Z982" s="579"/>
      <c r="AA982" s="556"/>
      <c r="AB982" s="556"/>
      <c r="AC982" s="556"/>
      <c r="AD982" s="556"/>
    </row>
    <row r="983" ht="15.75" customHeight="1">
      <c r="A983" s="594"/>
      <c r="B983" s="556"/>
      <c r="C983" s="556"/>
      <c r="D983" s="556"/>
      <c r="E983" s="556"/>
      <c r="F983" s="556"/>
      <c r="G983" s="556"/>
      <c r="H983" s="556"/>
      <c r="I983" s="556"/>
      <c r="J983" s="556"/>
      <c r="K983" s="556"/>
      <c r="L983" s="556"/>
      <c r="M983" s="556"/>
      <c r="N983" s="556"/>
      <c r="O983" s="556"/>
      <c r="P983" s="556"/>
      <c r="Q983" s="556"/>
      <c r="R983" s="556"/>
      <c r="S983" s="556"/>
      <c r="T983" s="556"/>
      <c r="U983" s="556"/>
      <c r="V983" s="556"/>
      <c r="W983" s="556"/>
      <c r="X983" s="556"/>
      <c r="Y983" s="556"/>
      <c r="Z983" s="579"/>
      <c r="AA983" s="556"/>
      <c r="AB983" s="556"/>
      <c r="AC983" s="556"/>
      <c r="AD983" s="556"/>
    </row>
    <row r="984" ht="15.75" customHeight="1">
      <c r="A984" s="594"/>
      <c r="B984" s="556"/>
      <c r="C984" s="556"/>
      <c r="D984" s="556"/>
      <c r="E984" s="556"/>
      <c r="F984" s="556"/>
      <c r="G984" s="556"/>
      <c r="H984" s="556"/>
      <c r="I984" s="556"/>
      <c r="J984" s="556"/>
      <c r="K984" s="556"/>
      <c r="L984" s="556"/>
      <c r="M984" s="556"/>
      <c r="N984" s="556"/>
      <c r="O984" s="556"/>
      <c r="P984" s="556"/>
      <c r="Q984" s="556"/>
      <c r="R984" s="556"/>
      <c r="S984" s="556"/>
      <c r="T984" s="556"/>
      <c r="U984" s="556"/>
      <c r="V984" s="556"/>
      <c r="W984" s="556"/>
      <c r="X984" s="556"/>
      <c r="Y984" s="556"/>
      <c r="Z984" s="579"/>
      <c r="AA984" s="556"/>
      <c r="AB984" s="556"/>
      <c r="AC984" s="556"/>
      <c r="AD984" s="556"/>
    </row>
    <row r="985" ht="15.75" customHeight="1">
      <c r="A985" s="594"/>
      <c r="B985" s="556"/>
      <c r="C985" s="556"/>
      <c r="D985" s="556"/>
      <c r="E985" s="556"/>
      <c r="F985" s="556"/>
      <c r="G985" s="556"/>
      <c r="H985" s="556"/>
      <c r="I985" s="556"/>
      <c r="J985" s="556"/>
      <c r="K985" s="556"/>
      <c r="L985" s="556"/>
      <c r="M985" s="556"/>
      <c r="N985" s="556"/>
      <c r="O985" s="556"/>
      <c r="P985" s="556"/>
      <c r="Q985" s="556"/>
      <c r="R985" s="556"/>
      <c r="S985" s="556"/>
      <c r="T985" s="556"/>
      <c r="U985" s="556"/>
      <c r="V985" s="556"/>
      <c r="W985" s="556"/>
      <c r="X985" s="556"/>
      <c r="Y985" s="556"/>
      <c r="Z985" s="579"/>
      <c r="AA985" s="556"/>
      <c r="AB985" s="556"/>
      <c r="AC985" s="556"/>
      <c r="AD985" s="556"/>
    </row>
    <row r="986" ht="15.75" customHeight="1">
      <c r="A986" s="594"/>
      <c r="B986" s="556"/>
      <c r="C986" s="556"/>
      <c r="D986" s="556"/>
      <c r="E986" s="556"/>
      <c r="F986" s="556"/>
      <c r="G986" s="556"/>
      <c r="H986" s="556"/>
      <c r="I986" s="556"/>
      <c r="J986" s="556"/>
      <c r="K986" s="556"/>
      <c r="L986" s="556"/>
      <c r="M986" s="556"/>
      <c r="N986" s="556"/>
      <c r="O986" s="556"/>
      <c r="P986" s="556"/>
      <c r="Q986" s="556"/>
      <c r="R986" s="556"/>
      <c r="S986" s="556"/>
      <c r="T986" s="556"/>
      <c r="U986" s="556"/>
      <c r="V986" s="556"/>
      <c r="W986" s="556"/>
      <c r="X986" s="556"/>
      <c r="Y986" s="556"/>
      <c r="Z986" s="579"/>
      <c r="AA986" s="556"/>
      <c r="AB986" s="556"/>
      <c r="AC986" s="556"/>
      <c r="AD986" s="556"/>
    </row>
    <row r="987" ht="15.75" customHeight="1">
      <c r="A987" s="594"/>
      <c r="B987" s="556"/>
      <c r="C987" s="556"/>
      <c r="D987" s="556"/>
      <c r="E987" s="556"/>
      <c r="F987" s="556"/>
      <c r="G987" s="556"/>
      <c r="H987" s="556"/>
      <c r="I987" s="556"/>
      <c r="J987" s="556"/>
      <c r="K987" s="556"/>
      <c r="L987" s="556"/>
      <c r="M987" s="556"/>
      <c r="N987" s="556"/>
      <c r="O987" s="556"/>
      <c r="P987" s="556"/>
      <c r="Q987" s="556"/>
      <c r="R987" s="556"/>
      <c r="S987" s="556"/>
      <c r="T987" s="556"/>
      <c r="U987" s="556"/>
      <c r="V987" s="556"/>
      <c r="W987" s="556"/>
      <c r="X987" s="556"/>
      <c r="Y987" s="556"/>
      <c r="Z987" s="579"/>
      <c r="AA987" s="556"/>
      <c r="AB987" s="556"/>
      <c r="AC987" s="556"/>
      <c r="AD987" s="556"/>
    </row>
    <row r="988" ht="15.75" customHeight="1">
      <c r="A988" s="594"/>
      <c r="B988" s="556"/>
      <c r="C988" s="556"/>
      <c r="D988" s="556"/>
      <c r="E988" s="556"/>
      <c r="F988" s="556"/>
      <c r="G988" s="556"/>
      <c r="H988" s="556"/>
      <c r="I988" s="556"/>
      <c r="J988" s="556"/>
      <c r="K988" s="556"/>
      <c r="L988" s="556"/>
      <c r="M988" s="556"/>
      <c r="N988" s="556"/>
      <c r="O988" s="556"/>
      <c r="P988" s="556"/>
      <c r="Q988" s="556"/>
      <c r="R988" s="556"/>
      <c r="S988" s="556"/>
      <c r="T988" s="556"/>
      <c r="U988" s="556"/>
      <c r="V988" s="556"/>
      <c r="W988" s="556"/>
      <c r="X988" s="556"/>
      <c r="Y988" s="556"/>
      <c r="Z988" s="579"/>
      <c r="AA988" s="556"/>
      <c r="AB988" s="556"/>
      <c r="AC988" s="556"/>
      <c r="AD988" s="556"/>
    </row>
    <row r="989" ht="15.75" customHeight="1">
      <c r="A989" s="594"/>
      <c r="B989" s="556"/>
      <c r="C989" s="556"/>
      <c r="D989" s="556"/>
      <c r="E989" s="556"/>
      <c r="F989" s="556"/>
      <c r="G989" s="556"/>
      <c r="H989" s="556"/>
      <c r="I989" s="556"/>
      <c r="J989" s="556"/>
      <c r="K989" s="556"/>
      <c r="L989" s="556"/>
      <c r="M989" s="556"/>
      <c r="N989" s="556"/>
      <c r="O989" s="556"/>
      <c r="P989" s="556"/>
      <c r="Q989" s="556"/>
      <c r="R989" s="556"/>
      <c r="S989" s="556"/>
      <c r="T989" s="556"/>
      <c r="U989" s="556"/>
      <c r="V989" s="556"/>
      <c r="W989" s="556"/>
      <c r="X989" s="556"/>
      <c r="Y989" s="556"/>
      <c r="Z989" s="579"/>
      <c r="AA989" s="556"/>
      <c r="AB989" s="556"/>
      <c r="AC989" s="556"/>
      <c r="AD989" s="556"/>
    </row>
    <row r="990" ht="15.75" customHeight="1">
      <c r="A990" s="594"/>
      <c r="B990" s="556"/>
      <c r="C990" s="556"/>
      <c r="D990" s="556"/>
      <c r="E990" s="556"/>
      <c r="F990" s="556"/>
      <c r="G990" s="556"/>
      <c r="H990" s="556"/>
      <c r="I990" s="556"/>
      <c r="J990" s="556"/>
      <c r="K990" s="556"/>
      <c r="L990" s="556"/>
      <c r="M990" s="556"/>
      <c r="N990" s="556"/>
      <c r="O990" s="556"/>
      <c r="P990" s="556"/>
      <c r="Q990" s="556"/>
      <c r="R990" s="556"/>
      <c r="S990" s="556"/>
      <c r="T990" s="556"/>
      <c r="U990" s="556"/>
      <c r="V990" s="556"/>
      <c r="W990" s="556"/>
      <c r="X990" s="556"/>
      <c r="Y990" s="556"/>
      <c r="Z990" s="579"/>
      <c r="AA990" s="556"/>
      <c r="AB990" s="556"/>
      <c r="AC990" s="556"/>
      <c r="AD990" s="556"/>
    </row>
    <row r="991" ht="15.75" customHeight="1">
      <c r="A991" s="594"/>
      <c r="B991" s="556"/>
      <c r="C991" s="556"/>
      <c r="D991" s="556"/>
      <c r="E991" s="556"/>
      <c r="F991" s="556"/>
      <c r="G991" s="556"/>
      <c r="H991" s="556"/>
      <c r="I991" s="556"/>
      <c r="J991" s="556"/>
      <c r="K991" s="556"/>
      <c r="L991" s="556"/>
      <c r="M991" s="556"/>
      <c r="N991" s="556"/>
      <c r="O991" s="556"/>
      <c r="P991" s="556"/>
      <c r="Q991" s="556"/>
      <c r="R991" s="556"/>
      <c r="S991" s="556"/>
      <c r="T991" s="556"/>
      <c r="U991" s="556"/>
      <c r="V991" s="556"/>
      <c r="W991" s="556"/>
      <c r="X991" s="556"/>
      <c r="Y991" s="556"/>
      <c r="Z991" s="579"/>
      <c r="AA991" s="556"/>
      <c r="AB991" s="556"/>
      <c r="AC991" s="556"/>
      <c r="AD991" s="556"/>
    </row>
    <row r="992" ht="15.75" customHeight="1">
      <c r="A992" s="594"/>
      <c r="B992" s="556"/>
      <c r="C992" s="556"/>
      <c r="D992" s="556"/>
      <c r="E992" s="556"/>
      <c r="F992" s="556"/>
      <c r="G992" s="556"/>
      <c r="H992" s="556"/>
      <c r="I992" s="556"/>
      <c r="J992" s="556"/>
      <c r="K992" s="556"/>
      <c r="L992" s="556"/>
      <c r="M992" s="556"/>
      <c r="N992" s="556"/>
      <c r="O992" s="556"/>
      <c r="P992" s="556"/>
      <c r="Q992" s="556"/>
      <c r="R992" s="556"/>
      <c r="S992" s="556"/>
      <c r="T992" s="556"/>
      <c r="U992" s="556"/>
      <c r="V992" s="556"/>
      <c r="W992" s="556"/>
      <c r="X992" s="556"/>
      <c r="Y992" s="556"/>
      <c r="Z992" s="579"/>
      <c r="AA992" s="556"/>
      <c r="AB992" s="556"/>
      <c r="AC992" s="556"/>
      <c r="AD992" s="556"/>
    </row>
    <row r="993" ht="15.75" customHeight="1">
      <c r="A993" s="594"/>
      <c r="B993" s="556"/>
      <c r="C993" s="556"/>
      <c r="D993" s="556"/>
      <c r="E993" s="556"/>
      <c r="F993" s="556"/>
      <c r="G993" s="556"/>
      <c r="H993" s="556"/>
      <c r="I993" s="556"/>
      <c r="J993" s="556"/>
      <c r="K993" s="556"/>
      <c r="L993" s="556"/>
      <c r="M993" s="556"/>
      <c r="N993" s="556"/>
      <c r="O993" s="556"/>
      <c r="P993" s="556"/>
      <c r="Q993" s="556"/>
      <c r="R993" s="556"/>
      <c r="S993" s="556"/>
      <c r="T993" s="556"/>
      <c r="U993" s="556"/>
      <c r="V993" s="556"/>
      <c r="W993" s="556"/>
      <c r="X993" s="556"/>
      <c r="Y993" s="556"/>
      <c r="Z993" s="579"/>
      <c r="AA993" s="556"/>
      <c r="AB993" s="556"/>
      <c r="AC993" s="556"/>
      <c r="AD993" s="556"/>
    </row>
    <row r="994" ht="15.75" customHeight="1">
      <c r="A994" s="594"/>
      <c r="B994" s="556"/>
      <c r="C994" s="556"/>
      <c r="D994" s="556"/>
      <c r="E994" s="556"/>
      <c r="F994" s="556"/>
      <c r="G994" s="556"/>
      <c r="H994" s="556"/>
      <c r="I994" s="556"/>
      <c r="J994" s="556"/>
      <c r="K994" s="556"/>
      <c r="L994" s="556"/>
      <c r="M994" s="556"/>
      <c r="N994" s="556"/>
      <c r="O994" s="556"/>
      <c r="P994" s="556"/>
      <c r="Q994" s="556"/>
      <c r="R994" s="556"/>
      <c r="S994" s="556"/>
      <c r="T994" s="556"/>
      <c r="U994" s="556"/>
      <c r="V994" s="556"/>
      <c r="W994" s="556"/>
      <c r="X994" s="556"/>
      <c r="Y994" s="556"/>
      <c r="Z994" s="579"/>
      <c r="AA994" s="556"/>
      <c r="AB994" s="556"/>
      <c r="AC994" s="556"/>
      <c r="AD994" s="556"/>
    </row>
    <row r="995" ht="15.75" customHeight="1">
      <c r="A995" s="594"/>
      <c r="B995" s="556"/>
      <c r="C995" s="556"/>
      <c r="D995" s="556"/>
      <c r="E995" s="556"/>
      <c r="F995" s="556"/>
      <c r="G995" s="556"/>
      <c r="H995" s="556"/>
      <c r="I995" s="556"/>
      <c r="J995" s="556"/>
      <c r="K995" s="556"/>
      <c r="L995" s="556"/>
      <c r="M995" s="556"/>
      <c r="N995" s="556"/>
      <c r="O995" s="556"/>
      <c r="P995" s="556"/>
      <c r="Q995" s="556"/>
      <c r="R995" s="556"/>
      <c r="S995" s="556"/>
      <c r="T995" s="556"/>
      <c r="U995" s="556"/>
      <c r="V995" s="556"/>
      <c r="W995" s="556"/>
      <c r="X995" s="556"/>
      <c r="Y995" s="556"/>
      <c r="Z995" s="579"/>
      <c r="AA995" s="556"/>
      <c r="AB995" s="556"/>
      <c r="AC995" s="556"/>
      <c r="AD995" s="556"/>
    </row>
    <row r="996" ht="15.75" customHeight="1">
      <c r="A996" s="594"/>
      <c r="B996" s="556"/>
      <c r="C996" s="556"/>
      <c r="D996" s="556"/>
      <c r="E996" s="556"/>
      <c r="F996" s="556"/>
      <c r="G996" s="556"/>
      <c r="H996" s="556"/>
      <c r="I996" s="556"/>
      <c r="J996" s="556"/>
      <c r="K996" s="556"/>
      <c r="L996" s="556"/>
      <c r="M996" s="556"/>
      <c r="N996" s="556"/>
      <c r="O996" s="556"/>
      <c r="P996" s="556"/>
      <c r="Q996" s="556"/>
      <c r="R996" s="556"/>
      <c r="S996" s="556"/>
      <c r="T996" s="556"/>
      <c r="U996" s="556"/>
      <c r="V996" s="556"/>
      <c r="W996" s="556"/>
      <c r="X996" s="556"/>
      <c r="Y996" s="556"/>
      <c r="Z996" s="579"/>
      <c r="AA996" s="556"/>
      <c r="AB996" s="556"/>
      <c r="AC996" s="556"/>
      <c r="AD996" s="556"/>
    </row>
    <row r="997" ht="15.75" customHeight="1">
      <c r="A997" s="594"/>
      <c r="B997" s="556"/>
      <c r="C997" s="556"/>
      <c r="D997" s="556"/>
      <c r="E997" s="556"/>
      <c r="F997" s="556"/>
      <c r="G997" s="556"/>
      <c r="H997" s="556"/>
      <c r="I997" s="556"/>
      <c r="J997" s="556"/>
      <c r="K997" s="556"/>
      <c r="L997" s="556"/>
      <c r="M997" s="556"/>
      <c r="N997" s="556"/>
      <c r="O997" s="556"/>
      <c r="P997" s="556"/>
      <c r="Q997" s="556"/>
      <c r="R997" s="556"/>
      <c r="S997" s="556"/>
      <c r="T997" s="556"/>
      <c r="U997" s="556"/>
      <c r="V997" s="556"/>
      <c r="W997" s="556"/>
      <c r="X997" s="556"/>
      <c r="Y997" s="556"/>
      <c r="Z997" s="579"/>
      <c r="AA997" s="556"/>
      <c r="AB997" s="556"/>
      <c r="AC997" s="556"/>
      <c r="AD997" s="556"/>
    </row>
    <row r="998" ht="15.75" customHeight="1">
      <c r="A998" s="594"/>
      <c r="B998" s="556"/>
      <c r="C998" s="556"/>
      <c r="D998" s="556"/>
      <c r="E998" s="556"/>
      <c r="F998" s="556"/>
      <c r="G998" s="556"/>
      <c r="H998" s="556"/>
      <c r="I998" s="556"/>
      <c r="J998" s="556"/>
      <c r="K998" s="556"/>
      <c r="L998" s="556"/>
      <c r="M998" s="556"/>
      <c r="N998" s="556"/>
      <c r="O998" s="556"/>
      <c r="P998" s="556"/>
      <c r="Q998" s="556"/>
      <c r="R998" s="556"/>
      <c r="S998" s="556"/>
      <c r="T998" s="556"/>
      <c r="U998" s="556"/>
      <c r="V998" s="556"/>
      <c r="W998" s="556"/>
      <c r="X998" s="556"/>
      <c r="Y998" s="556"/>
      <c r="Z998" s="579"/>
      <c r="AA998" s="556"/>
      <c r="AB998" s="556"/>
      <c r="AC998" s="556"/>
      <c r="AD998" s="556"/>
    </row>
    <row r="999" ht="15.75" customHeight="1">
      <c r="A999" s="594"/>
      <c r="B999" s="556"/>
      <c r="C999" s="556"/>
      <c r="D999" s="556"/>
      <c r="E999" s="556"/>
      <c r="F999" s="556"/>
      <c r="G999" s="556"/>
      <c r="H999" s="556"/>
      <c r="I999" s="556"/>
      <c r="J999" s="556"/>
      <c r="K999" s="556"/>
      <c r="L999" s="556"/>
      <c r="M999" s="556"/>
      <c r="N999" s="556"/>
      <c r="O999" s="556"/>
      <c r="P999" s="556"/>
      <c r="Q999" s="556"/>
      <c r="R999" s="556"/>
      <c r="S999" s="556"/>
      <c r="T999" s="556"/>
      <c r="U999" s="556"/>
      <c r="V999" s="556"/>
      <c r="W999" s="556"/>
      <c r="X999" s="556"/>
      <c r="Y999" s="556"/>
      <c r="Z999" s="579"/>
      <c r="AA999" s="556"/>
      <c r="AB999" s="556"/>
      <c r="AC999" s="556"/>
      <c r="AD999" s="556"/>
    </row>
    <row r="1000" ht="15.75" customHeight="1">
      <c r="A1000" s="594"/>
      <c r="B1000" s="556"/>
      <c r="C1000" s="556"/>
      <c r="D1000" s="556"/>
      <c r="E1000" s="556"/>
      <c r="F1000" s="556"/>
      <c r="G1000" s="556"/>
      <c r="H1000" s="556"/>
      <c r="I1000" s="556"/>
      <c r="J1000" s="556"/>
      <c r="K1000" s="556"/>
      <c r="L1000" s="556"/>
      <c r="M1000" s="556"/>
      <c r="N1000" s="556"/>
      <c r="O1000" s="556"/>
      <c r="P1000" s="556"/>
      <c r="Q1000" s="556"/>
      <c r="R1000" s="556"/>
      <c r="S1000" s="556"/>
      <c r="T1000" s="556"/>
      <c r="U1000" s="556"/>
      <c r="V1000" s="556"/>
      <c r="W1000" s="556"/>
      <c r="X1000" s="556"/>
      <c r="Y1000" s="556"/>
      <c r="Z1000" s="579"/>
      <c r="AA1000" s="556"/>
      <c r="AB1000" s="556"/>
      <c r="AC1000" s="556"/>
      <c r="AD1000" s="556"/>
    </row>
    <row r="1001" ht="15.75" customHeight="1">
      <c r="A1001" s="594"/>
      <c r="B1001" s="556"/>
      <c r="C1001" s="556"/>
      <c r="D1001" s="556"/>
      <c r="E1001" s="556"/>
      <c r="F1001" s="556"/>
      <c r="G1001" s="556"/>
      <c r="H1001" s="556"/>
      <c r="I1001" s="556"/>
      <c r="J1001" s="556"/>
      <c r="K1001" s="556"/>
      <c r="L1001" s="556"/>
      <c r="M1001" s="556"/>
      <c r="N1001" s="556"/>
      <c r="O1001" s="556"/>
      <c r="P1001" s="556"/>
      <c r="Q1001" s="556"/>
      <c r="R1001" s="556"/>
      <c r="S1001" s="556"/>
      <c r="T1001" s="556"/>
      <c r="U1001" s="556"/>
      <c r="V1001" s="556"/>
      <c r="W1001" s="556"/>
      <c r="X1001" s="556"/>
      <c r="Y1001" s="556"/>
      <c r="Z1001" s="579"/>
      <c r="AA1001" s="556"/>
      <c r="AB1001" s="556"/>
      <c r="AC1001" s="556"/>
      <c r="AD1001" s="556"/>
    </row>
    <row r="1002" ht="15.75" customHeight="1">
      <c r="A1002" s="594"/>
      <c r="B1002" s="556"/>
      <c r="C1002" s="556"/>
      <c r="D1002" s="556"/>
      <c r="E1002" s="556"/>
      <c r="F1002" s="556"/>
      <c r="G1002" s="556"/>
      <c r="H1002" s="556"/>
      <c r="I1002" s="556"/>
      <c r="J1002" s="556"/>
      <c r="K1002" s="556"/>
      <c r="L1002" s="556"/>
      <c r="M1002" s="556"/>
      <c r="N1002" s="556"/>
      <c r="O1002" s="556"/>
      <c r="P1002" s="556"/>
      <c r="Q1002" s="556"/>
      <c r="R1002" s="556"/>
      <c r="S1002" s="556"/>
      <c r="T1002" s="556"/>
      <c r="U1002" s="556"/>
      <c r="V1002" s="556"/>
      <c r="W1002" s="556"/>
      <c r="X1002" s="556"/>
      <c r="Y1002" s="556"/>
      <c r="Z1002" s="579"/>
      <c r="AA1002" s="556"/>
      <c r="AB1002" s="556"/>
      <c r="AC1002" s="556"/>
      <c r="AD1002" s="556"/>
    </row>
    <row r="1003" ht="15.75" customHeight="1">
      <c r="A1003" s="594"/>
      <c r="B1003" s="556"/>
      <c r="C1003" s="556"/>
      <c r="D1003" s="556"/>
      <c r="E1003" s="556"/>
      <c r="F1003" s="556"/>
      <c r="G1003" s="556"/>
      <c r="H1003" s="556"/>
      <c r="I1003" s="556"/>
      <c r="J1003" s="556"/>
      <c r="K1003" s="556"/>
      <c r="L1003" s="556"/>
      <c r="M1003" s="556"/>
      <c r="N1003" s="556"/>
      <c r="O1003" s="556"/>
      <c r="P1003" s="556"/>
      <c r="Q1003" s="556"/>
      <c r="R1003" s="556"/>
      <c r="S1003" s="556"/>
      <c r="T1003" s="556"/>
      <c r="U1003" s="556"/>
      <c r="V1003" s="556"/>
      <c r="W1003" s="556"/>
      <c r="X1003" s="556"/>
      <c r="Y1003" s="556"/>
      <c r="Z1003" s="579"/>
      <c r="AA1003" s="556"/>
      <c r="AB1003" s="556"/>
      <c r="AC1003" s="556"/>
      <c r="AD1003" s="556"/>
    </row>
    <row r="1004" ht="15.75" customHeight="1">
      <c r="A1004" s="594"/>
      <c r="B1004" s="556"/>
      <c r="C1004" s="556"/>
      <c r="D1004" s="556"/>
      <c r="E1004" s="556"/>
      <c r="F1004" s="556"/>
      <c r="G1004" s="556"/>
      <c r="H1004" s="556"/>
      <c r="I1004" s="556"/>
      <c r="J1004" s="556"/>
      <c r="K1004" s="556"/>
      <c r="L1004" s="556"/>
      <c r="M1004" s="556"/>
      <c r="N1004" s="556"/>
      <c r="O1004" s="556"/>
      <c r="P1004" s="556"/>
      <c r="Q1004" s="556"/>
      <c r="R1004" s="556"/>
      <c r="S1004" s="556"/>
      <c r="T1004" s="556"/>
      <c r="U1004" s="556"/>
      <c r="V1004" s="556"/>
      <c r="W1004" s="556"/>
      <c r="X1004" s="556"/>
      <c r="Y1004" s="556"/>
      <c r="Z1004" s="579"/>
      <c r="AA1004" s="556"/>
      <c r="AB1004" s="556"/>
      <c r="AC1004" s="556"/>
      <c r="AD1004" s="556"/>
    </row>
    <row r="1005" ht="15.75" customHeight="1">
      <c r="A1005" s="594"/>
      <c r="B1005" s="556"/>
      <c r="C1005" s="556"/>
      <c r="D1005" s="556"/>
      <c r="E1005" s="556"/>
      <c r="F1005" s="556"/>
      <c r="G1005" s="556"/>
      <c r="H1005" s="556"/>
      <c r="I1005" s="556"/>
      <c r="J1005" s="556"/>
      <c r="K1005" s="556"/>
      <c r="L1005" s="556"/>
      <c r="M1005" s="556"/>
      <c r="N1005" s="556"/>
      <c r="O1005" s="556"/>
      <c r="P1005" s="556"/>
      <c r="Q1005" s="556"/>
      <c r="R1005" s="556"/>
      <c r="S1005" s="556"/>
      <c r="T1005" s="556"/>
      <c r="U1005" s="556"/>
      <c r="V1005" s="556"/>
      <c r="W1005" s="556"/>
      <c r="X1005" s="556"/>
      <c r="Y1005" s="556"/>
      <c r="Z1005" s="579"/>
      <c r="AA1005" s="556"/>
      <c r="AB1005" s="556"/>
      <c r="AC1005" s="556"/>
      <c r="AD1005" s="556"/>
    </row>
    <row r="1006" ht="15.75" customHeight="1">
      <c r="A1006" s="594"/>
      <c r="B1006" s="556"/>
      <c r="C1006" s="556"/>
      <c r="D1006" s="556"/>
      <c r="E1006" s="556"/>
      <c r="F1006" s="556"/>
      <c r="G1006" s="556"/>
      <c r="H1006" s="556"/>
      <c r="I1006" s="556"/>
      <c r="J1006" s="556"/>
      <c r="K1006" s="556"/>
      <c r="L1006" s="556"/>
      <c r="M1006" s="556"/>
      <c r="N1006" s="556"/>
      <c r="O1006" s="556"/>
      <c r="P1006" s="556"/>
      <c r="Q1006" s="556"/>
      <c r="R1006" s="556"/>
      <c r="S1006" s="556"/>
      <c r="T1006" s="556"/>
      <c r="U1006" s="556"/>
      <c r="V1006" s="556"/>
      <c r="W1006" s="556"/>
      <c r="X1006" s="556"/>
      <c r="Y1006" s="556"/>
      <c r="Z1006" s="579"/>
      <c r="AA1006" s="556"/>
      <c r="AB1006" s="556"/>
      <c r="AC1006" s="556"/>
      <c r="AD1006" s="556"/>
    </row>
    <row r="1007" ht="15.75" customHeight="1">
      <c r="A1007" s="594"/>
      <c r="B1007" s="556"/>
      <c r="C1007" s="556"/>
      <c r="D1007" s="556"/>
      <c r="E1007" s="556"/>
      <c r="F1007" s="556"/>
      <c r="G1007" s="556"/>
      <c r="H1007" s="556"/>
      <c r="I1007" s="556"/>
      <c r="J1007" s="556"/>
      <c r="K1007" s="556"/>
      <c r="L1007" s="556"/>
      <c r="M1007" s="556"/>
      <c r="N1007" s="556"/>
      <c r="O1007" s="556"/>
      <c r="P1007" s="556"/>
      <c r="Q1007" s="556"/>
      <c r="R1007" s="556"/>
      <c r="S1007" s="556"/>
      <c r="T1007" s="556"/>
      <c r="U1007" s="556"/>
      <c r="V1007" s="556"/>
      <c r="W1007" s="556"/>
      <c r="X1007" s="556"/>
      <c r="Y1007" s="556"/>
      <c r="Z1007" s="579"/>
      <c r="AA1007" s="556"/>
      <c r="AB1007" s="556"/>
      <c r="AC1007" s="556"/>
      <c r="AD1007" s="556"/>
    </row>
    <row r="1008" ht="15.75" customHeight="1">
      <c r="A1008" s="594"/>
      <c r="B1008" s="556"/>
      <c r="C1008" s="556"/>
      <c r="D1008" s="556"/>
      <c r="E1008" s="556"/>
      <c r="F1008" s="556"/>
      <c r="G1008" s="556"/>
      <c r="H1008" s="556"/>
      <c r="I1008" s="556"/>
      <c r="J1008" s="556"/>
      <c r="K1008" s="556"/>
      <c r="L1008" s="556"/>
      <c r="M1008" s="556"/>
      <c r="N1008" s="556"/>
      <c r="O1008" s="556"/>
      <c r="P1008" s="556"/>
      <c r="Q1008" s="556"/>
      <c r="R1008" s="556"/>
      <c r="S1008" s="556"/>
      <c r="T1008" s="556"/>
      <c r="U1008" s="556"/>
      <c r="V1008" s="556"/>
      <c r="W1008" s="556"/>
      <c r="X1008" s="556"/>
      <c r="Y1008" s="556"/>
      <c r="Z1008" s="579"/>
      <c r="AA1008" s="556"/>
      <c r="AB1008" s="556"/>
      <c r="AC1008" s="556"/>
      <c r="AD1008" s="556"/>
    </row>
    <row r="1009" ht="15.75" customHeight="1">
      <c r="A1009" s="594"/>
      <c r="B1009" s="556"/>
      <c r="C1009" s="556"/>
      <c r="D1009" s="556"/>
      <c r="E1009" s="556"/>
      <c r="F1009" s="556"/>
      <c r="G1009" s="556"/>
      <c r="H1009" s="556"/>
      <c r="I1009" s="556"/>
      <c r="J1009" s="556"/>
      <c r="K1009" s="556"/>
      <c r="L1009" s="556"/>
      <c r="M1009" s="556"/>
      <c r="N1009" s="556"/>
      <c r="O1009" s="556"/>
      <c r="P1009" s="556"/>
      <c r="Q1009" s="556"/>
      <c r="R1009" s="556"/>
      <c r="S1009" s="556"/>
      <c r="T1009" s="556"/>
      <c r="U1009" s="556"/>
      <c r="V1009" s="556"/>
      <c r="W1009" s="556"/>
      <c r="X1009" s="556"/>
      <c r="Y1009" s="556"/>
      <c r="Z1009" s="579"/>
      <c r="AA1009" s="556"/>
      <c r="AB1009" s="556"/>
      <c r="AC1009" s="556"/>
      <c r="AD1009" s="556"/>
    </row>
    <row r="1010" ht="15.75" customHeight="1">
      <c r="A1010" s="594"/>
      <c r="B1010" s="556"/>
      <c r="C1010" s="556"/>
      <c r="D1010" s="556"/>
      <c r="E1010" s="556"/>
      <c r="F1010" s="556"/>
      <c r="G1010" s="556"/>
      <c r="H1010" s="556"/>
      <c r="I1010" s="556"/>
      <c r="J1010" s="556"/>
      <c r="K1010" s="556"/>
      <c r="L1010" s="556"/>
      <c r="M1010" s="556"/>
      <c r="N1010" s="556"/>
      <c r="O1010" s="556"/>
      <c r="P1010" s="556"/>
      <c r="Q1010" s="556"/>
      <c r="R1010" s="556"/>
      <c r="S1010" s="556"/>
      <c r="T1010" s="556"/>
      <c r="U1010" s="556"/>
      <c r="V1010" s="556"/>
      <c r="W1010" s="556"/>
      <c r="X1010" s="556"/>
      <c r="Y1010" s="556"/>
      <c r="Z1010" s="579"/>
      <c r="AA1010" s="556"/>
      <c r="AB1010" s="556"/>
      <c r="AC1010" s="556"/>
      <c r="AD1010" s="556"/>
    </row>
    <row r="1011" ht="15.75" customHeight="1">
      <c r="A1011" s="594"/>
      <c r="B1011" s="556"/>
      <c r="C1011" s="556"/>
      <c r="D1011" s="556"/>
      <c r="E1011" s="556"/>
      <c r="F1011" s="556"/>
      <c r="G1011" s="556"/>
      <c r="H1011" s="556"/>
      <c r="I1011" s="556"/>
      <c r="J1011" s="556"/>
      <c r="K1011" s="556"/>
      <c r="L1011" s="556"/>
      <c r="M1011" s="556"/>
      <c r="N1011" s="556"/>
      <c r="O1011" s="556"/>
      <c r="P1011" s="556"/>
      <c r="Q1011" s="556"/>
      <c r="R1011" s="556"/>
      <c r="S1011" s="556"/>
      <c r="T1011" s="556"/>
      <c r="U1011" s="556"/>
      <c r="V1011" s="556"/>
      <c r="W1011" s="556"/>
      <c r="X1011" s="556"/>
      <c r="Y1011" s="556"/>
      <c r="Z1011" s="579"/>
      <c r="AA1011" s="556"/>
      <c r="AB1011" s="556"/>
      <c r="AC1011" s="556"/>
      <c r="AD1011" s="556"/>
    </row>
    <row r="1012" ht="15.75" customHeight="1">
      <c r="A1012" s="594"/>
      <c r="B1012" s="556"/>
      <c r="C1012" s="556"/>
      <c r="D1012" s="556"/>
      <c r="E1012" s="556"/>
      <c r="F1012" s="556"/>
      <c r="G1012" s="556"/>
      <c r="H1012" s="556"/>
      <c r="I1012" s="556"/>
      <c r="J1012" s="556"/>
      <c r="K1012" s="556"/>
      <c r="L1012" s="556"/>
      <c r="M1012" s="556"/>
      <c r="N1012" s="556"/>
      <c r="O1012" s="556"/>
      <c r="P1012" s="556"/>
      <c r="Q1012" s="556"/>
      <c r="R1012" s="556"/>
      <c r="S1012" s="556"/>
      <c r="T1012" s="556"/>
      <c r="U1012" s="556"/>
      <c r="V1012" s="556"/>
      <c r="W1012" s="556"/>
      <c r="X1012" s="556"/>
      <c r="Y1012" s="556"/>
      <c r="Z1012" s="579"/>
      <c r="AA1012" s="556"/>
      <c r="AB1012" s="556"/>
      <c r="AC1012" s="556"/>
      <c r="AD1012" s="556"/>
    </row>
    <row r="1013" ht="15.75" customHeight="1">
      <c r="A1013" s="594"/>
      <c r="B1013" s="556"/>
      <c r="C1013" s="556"/>
      <c r="D1013" s="556"/>
      <c r="E1013" s="556"/>
      <c r="F1013" s="556"/>
      <c r="G1013" s="556"/>
      <c r="H1013" s="556"/>
      <c r="I1013" s="556"/>
      <c r="J1013" s="556"/>
      <c r="K1013" s="556"/>
      <c r="L1013" s="556"/>
      <c r="M1013" s="556"/>
      <c r="N1013" s="556"/>
      <c r="O1013" s="556"/>
      <c r="P1013" s="556"/>
      <c r="Q1013" s="556"/>
      <c r="R1013" s="556"/>
      <c r="S1013" s="556"/>
      <c r="T1013" s="556"/>
      <c r="U1013" s="556"/>
      <c r="V1013" s="556"/>
      <c r="W1013" s="556"/>
      <c r="X1013" s="556"/>
      <c r="Y1013" s="556"/>
      <c r="Z1013" s="579"/>
      <c r="AA1013" s="556"/>
      <c r="AB1013" s="556"/>
      <c r="AC1013" s="556"/>
      <c r="AD1013" s="556"/>
    </row>
    <row r="1014" ht="15.75" customHeight="1">
      <c r="A1014" s="594"/>
      <c r="B1014" s="556"/>
      <c r="C1014" s="556"/>
      <c r="D1014" s="556"/>
      <c r="E1014" s="556"/>
      <c r="F1014" s="556"/>
      <c r="G1014" s="556"/>
      <c r="H1014" s="556"/>
      <c r="I1014" s="556"/>
      <c r="J1014" s="556"/>
      <c r="K1014" s="556"/>
      <c r="L1014" s="556"/>
      <c r="M1014" s="556"/>
      <c r="N1014" s="556"/>
      <c r="O1014" s="556"/>
      <c r="P1014" s="556"/>
      <c r="Q1014" s="556"/>
      <c r="R1014" s="556"/>
      <c r="S1014" s="556"/>
      <c r="T1014" s="556"/>
      <c r="U1014" s="556"/>
      <c r="V1014" s="556"/>
      <c r="W1014" s="556"/>
      <c r="X1014" s="556"/>
      <c r="Y1014" s="556"/>
      <c r="Z1014" s="579"/>
      <c r="AA1014" s="556"/>
      <c r="AB1014" s="556"/>
      <c r="AC1014" s="556"/>
      <c r="AD1014" s="556"/>
    </row>
    <row r="1015" ht="15.75" customHeight="1">
      <c r="A1015" s="594"/>
      <c r="B1015" s="556"/>
      <c r="C1015" s="556"/>
      <c r="D1015" s="556"/>
      <c r="E1015" s="556"/>
      <c r="F1015" s="556"/>
      <c r="G1015" s="556"/>
      <c r="H1015" s="556"/>
      <c r="I1015" s="556"/>
      <c r="J1015" s="556"/>
      <c r="K1015" s="556"/>
      <c r="L1015" s="556"/>
      <c r="M1015" s="556"/>
      <c r="N1015" s="556"/>
      <c r="O1015" s="556"/>
      <c r="P1015" s="556"/>
      <c r="Q1015" s="556"/>
      <c r="R1015" s="556"/>
      <c r="S1015" s="556"/>
      <c r="T1015" s="556"/>
      <c r="U1015" s="556"/>
      <c r="V1015" s="556"/>
      <c r="W1015" s="556"/>
      <c r="X1015" s="556"/>
      <c r="Y1015" s="556"/>
      <c r="Z1015" s="579"/>
      <c r="AA1015" s="556"/>
      <c r="AB1015" s="556"/>
      <c r="AC1015" s="556"/>
      <c r="AD1015" s="556"/>
    </row>
    <row r="1016" ht="15.75" customHeight="1">
      <c r="A1016" s="594"/>
      <c r="B1016" s="556"/>
      <c r="C1016" s="556"/>
      <c r="D1016" s="556"/>
      <c r="E1016" s="556"/>
      <c r="F1016" s="556"/>
      <c r="G1016" s="556"/>
      <c r="H1016" s="556"/>
      <c r="I1016" s="556"/>
      <c r="J1016" s="556"/>
      <c r="K1016" s="556"/>
      <c r="L1016" s="556"/>
      <c r="M1016" s="556"/>
      <c r="N1016" s="556"/>
      <c r="O1016" s="556"/>
      <c r="P1016" s="556"/>
      <c r="Q1016" s="556"/>
      <c r="R1016" s="556"/>
      <c r="S1016" s="556"/>
      <c r="T1016" s="556"/>
      <c r="U1016" s="556"/>
      <c r="V1016" s="556"/>
      <c r="W1016" s="556"/>
      <c r="X1016" s="556"/>
      <c r="Y1016" s="556"/>
      <c r="Z1016" s="579"/>
      <c r="AA1016" s="556"/>
      <c r="AB1016" s="556"/>
      <c r="AC1016" s="556"/>
      <c r="AD1016" s="556"/>
    </row>
    <row r="1017" ht="15.75" customHeight="1">
      <c r="A1017" s="594"/>
      <c r="B1017" s="556"/>
      <c r="C1017" s="556"/>
      <c r="D1017" s="556"/>
      <c r="E1017" s="556"/>
      <c r="F1017" s="556"/>
      <c r="G1017" s="556"/>
      <c r="H1017" s="556"/>
      <c r="I1017" s="556"/>
      <c r="J1017" s="556"/>
      <c r="K1017" s="556"/>
      <c r="L1017" s="556"/>
      <c r="M1017" s="556"/>
      <c r="N1017" s="556"/>
      <c r="O1017" s="556"/>
      <c r="P1017" s="556"/>
      <c r="Q1017" s="556"/>
      <c r="R1017" s="556"/>
      <c r="S1017" s="556"/>
      <c r="T1017" s="556"/>
      <c r="U1017" s="556"/>
      <c r="V1017" s="556"/>
      <c r="W1017" s="556"/>
      <c r="X1017" s="556"/>
      <c r="Y1017" s="556"/>
      <c r="Z1017" s="579"/>
      <c r="AA1017" s="556"/>
      <c r="AB1017" s="556"/>
      <c r="AC1017" s="556"/>
      <c r="AD1017" s="556"/>
    </row>
    <row r="1018" ht="15.75" customHeight="1">
      <c r="A1018" s="594"/>
      <c r="B1018" s="556"/>
      <c r="C1018" s="556"/>
      <c r="D1018" s="556"/>
      <c r="E1018" s="556"/>
      <c r="F1018" s="556"/>
      <c r="G1018" s="556"/>
      <c r="H1018" s="556"/>
      <c r="I1018" s="556"/>
      <c r="J1018" s="556"/>
      <c r="K1018" s="556"/>
      <c r="L1018" s="556"/>
      <c r="M1018" s="556"/>
      <c r="N1018" s="556"/>
      <c r="O1018" s="556"/>
      <c r="P1018" s="556"/>
      <c r="Q1018" s="556"/>
      <c r="R1018" s="556"/>
      <c r="S1018" s="556"/>
      <c r="T1018" s="556"/>
      <c r="U1018" s="556"/>
      <c r="V1018" s="556"/>
      <c r="W1018" s="556"/>
      <c r="X1018" s="556"/>
      <c r="Y1018" s="556"/>
      <c r="Z1018" s="579"/>
      <c r="AA1018" s="556"/>
      <c r="AB1018" s="556"/>
      <c r="AC1018" s="556"/>
      <c r="AD1018" s="556"/>
    </row>
    <row r="1019" ht="15.75" customHeight="1">
      <c r="A1019" s="594"/>
      <c r="B1019" s="556"/>
      <c r="C1019" s="556"/>
      <c r="D1019" s="556"/>
      <c r="E1019" s="556"/>
      <c r="F1019" s="556"/>
      <c r="G1019" s="556"/>
      <c r="H1019" s="556"/>
      <c r="I1019" s="556"/>
      <c r="J1019" s="556"/>
      <c r="K1019" s="556"/>
      <c r="L1019" s="556"/>
      <c r="M1019" s="556"/>
      <c r="N1019" s="556"/>
      <c r="O1019" s="556"/>
      <c r="P1019" s="556"/>
      <c r="Q1019" s="556"/>
      <c r="R1019" s="556"/>
      <c r="S1019" s="556"/>
      <c r="T1019" s="556"/>
      <c r="U1019" s="556"/>
      <c r="V1019" s="556"/>
      <c r="W1019" s="556"/>
      <c r="X1019" s="556"/>
      <c r="Y1019" s="556"/>
      <c r="Z1019" s="579"/>
      <c r="AA1019" s="556"/>
      <c r="AB1019" s="556"/>
      <c r="AC1019" s="556"/>
      <c r="AD1019" s="556"/>
    </row>
    <row r="1020" ht="15.75" customHeight="1">
      <c r="A1020" s="594"/>
      <c r="B1020" s="556"/>
      <c r="C1020" s="556"/>
      <c r="D1020" s="556"/>
      <c r="E1020" s="556"/>
      <c r="F1020" s="556"/>
      <c r="G1020" s="556"/>
      <c r="H1020" s="556"/>
      <c r="I1020" s="556"/>
      <c r="J1020" s="556"/>
      <c r="K1020" s="556"/>
      <c r="L1020" s="556"/>
      <c r="M1020" s="556"/>
      <c r="N1020" s="556"/>
      <c r="O1020" s="556"/>
      <c r="P1020" s="556"/>
      <c r="Q1020" s="556"/>
      <c r="R1020" s="556"/>
      <c r="S1020" s="556"/>
      <c r="T1020" s="556"/>
      <c r="U1020" s="556"/>
      <c r="V1020" s="556"/>
      <c r="W1020" s="556"/>
      <c r="X1020" s="556"/>
      <c r="Y1020" s="556"/>
      <c r="Z1020" s="579"/>
      <c r="AA1020" s="556"/>
      <c r="AB1020" s="556"/>
      <c r="AC1020" s="556"/>
      <c r="AD1020" s="556"/>
    </row>
    <row r="1021" ht="15.75" customHeight="1">
      <c r="A1021" s="594"/>
      <c r="B1021" s="556"/>
      <c r="C1021" s="556"/>
      <c r="D1021" s="556"/>
      <c r="E1021" s="556"/>
      <c r="F1021" s="556"/>
      <c r="G1021" s="556"/>
      <c r="H1021" s="556"/>
      <c r="I1021" s="556"/>
      <c r="J1021" s="556"/>
      <c r="K1021" s="556"/>
      <c r="L1021" s="556"/>
      <c r="M1021" s="556"/>
      <c r="N1021" s="556"/>
      <c r="O1021" s="556"/>
      <c r="P1021" s="556"/>
      <c r="Q1021" s="556"/>
      <c r="R1021" s="556"/>
      <c r="S1021" s="556"/>
      <c r="T1021" s="556"/>
      <c r="U1021" s="556"/>
      <c r="V1021" s="556"/>
      <c r="W1021" s="556"/>
      <c r="X1021" s="556"/>
      <c r="Y1021" s="556"/>
      <c r="Z1021" s="579"/>
      <c r="AA1021" s="556"/>
      <c r="AB1021" s="556"/>
      <c r="AC1021" s="556"/>
      <c r="AD1021" s="556"/>
    </row>
    <row r="1022" ht="15.75" customHeight="1">
      <c r="A1022" s="594"/>
      <c r="B1022" s="556"/>
      <c r="C1022" s="556"/>
      <c r="D1022" s="556"/>
      <c r="E1022" s="556"/>
      <c r="F1022" s="556"/>
      <c r="G1022" s="556"/>
      <c r="H1022" s="556"/>
      <c r="I1022" s="556"/>
      <c r="J1022" s="556"/>
      <c r="K1022" s="556"/>
      <c r="L1022" s="556"/>
      <c r="M1022" s="556"/>
      <c r="N1022" s="556"/>
      <c r="O1022" s="556"/>
      <c r="P1022" s="556"/>
      <c r="Q1022" s="556"/>
      <c r="R1022" s="556"/>
      <c r="S1022" s="556"/>
      <c r="T1022" s="556"/>
      <c r="U1022" s="556"/>
      <c r="V1022" s="556"/>
      <c r="W1022" s="556"/>
      <c r="X1022" s="556"/>
      <c r="Y1022" s="556"/>
      <c r="Z1022" s="579"/>
      <c r="AA1022" s="556"/>
      <c r="AB1022" s="556"/>
      <c r="AC1022" s="556"/>
      <c r="AD1022" s="556"/>
    </row>
    <row r="1023" ht="15.75" customHeight="1">
      <c r="A1023" s="594"/>
      <c r="B1023" s="556"/>
      <c r="C1023" s="556"/>
      <c r="D1023" s="556"/>
      <c r="E1023" s="556"/>
      <c r="F1023" s="556"/>
      <c r="G1023" s="556"/>
      <c r="H1023" s="556"/>
      <c r="I1023" s="556"/>
      <c r="J1023" s="556"/>
      <c r="K1023" s="556"/>
      <c r="L1023" s="556"/>
      <c r="M1023" s="556"/>
      <c r="N1023" s="556"/>
      <c r="O1023" s="556"/>
      <c r="P1023" s="556"/>
      <c r="Q1023" s="556"/>
      <c r="R1023" s="556"/>
      <c r="S1023" s="556"/>
      <c r="T1023" s="556"/>
      <c r="U1023" s="556"/>
      <c r="V1023" s="556"/>
      <c r="W1023" s="556"/>
      <c r="X1023" s="556"/>
      <c r="Y1023" s="556"/>
      <c r="Z1023" s="579"/>
      <c r="AA1023" s="556"/>
      <c r="AB1023" s="556"/>
      <c r="AC1023" s="556"/>
      <c r="AD1023" s="556"/>
    </row>
    <row r="1024" ht="15.75" customHeight="1">
      <c r="A1024" s="594"/>
      <c r="B1024" s="556"/>
      <c r="C1024" s="556"/>
      <c r="D1024" s="556"/>
      <c r="E1024" s="556"/>
      <c r="F1024" s="556"/>
      <c r="G1024" s="556"/>
      <c r="H1024" s="556"/>
      <c r="I1024" s="556"/>
      <c r="J1024" s="556"/>
      <c r="K1024" s="556"/>
      <c r="L1024" s="556"/>
      <c r="M1024" s="556"/>
      <c r="N1024" s="556"/>
      <c r="O1024" s="556"/>
      <c r="P1024" s="556"/>
      <c r="Q1024" s="556"/>
      <c r="R1024" s="556"/>
      <c r="S1024" s="556"/>
      <c r="T1024" s="556"/>
      <c r="U1024" s="556"/>
      <c r="V1024" s="556"/>
      <c r="W1024" s="556"/>
      <c r="X1024" s="556"/>
      <c r="Y1024" s="556"/>
      <c r="Z1024" s="579"/>
      <c r="AA1024" s="556"/>
      <c r="AB1024" s="556"/>
      <c r="AC1024" s="556"/>
      <c r="AD1024" s="556"/>
    </row>
    <row r="1025" ht="15.75" customHeight="1">
      <c r="A1025" s="594"/>
      <c r="B1025" s="556"/>
      <c r="C1025" s="556"/>
      <c r="D1025" s="556"/>
      <c r="E1025" s="556"/>
      <c r="F1025" s="556"/>
      <c r="G1025" s="556"/>
      <c r="H1025" s="556"/>
      <c r="I1025" s="556"/>
      <c r="J1025" s="556"/>
      <c r="K1025" s="556"/>
      <c r="L1025" s="556"/>
      <c r="M1025" s="556"/>
      <c r="N1025" s="556"/>
      <c r="O1025" s="556"/>
      <c r="P1025" s="556"/>
      <c r="Q1025" s="556"/>
      <c r="R1025" s="556"/>
      <c r="S1025" s="556"/>
      <c r="T1025" s="556"/>
      <c r="U1025" s="556"/>
      <c r="V1025" s="556"/>
      <c r="W1025" s="556"/>
      <c r="X1025" s="556"/>
      <c r="Y1025" s="556"/>
      <c r="Z1025" s="579"/>
      <c r="AA1025" s="556"/>
      <c r="AB1025" s="556"/>
      <c r="AC1025" s="556"/>
      <c r="AD1025" s="556"/>
    </row>
    <row r="1026" ht="15.75" customHeight="1">
      <c r="A1026" s="594"/>
      <c r="B1026" s="556"/>
      <c r="C1026" s="556"/>
      <c r="D1026" s="556"/>
      <c r="E1026" s="556"/>
      <c r="F1026" s="556"/>
      <c r="G1026" s="556"/>
      <c r="H1026" s="556"/>
      <c r="I1026" s="556"/>
      <c r="J1026" s="556"/>
      <c r="K1026" s="556"/>
      <c r="L1026" s="556"/>
      <c r="M1026" s="556"/>
      <c r="N1026" s="556"/>
      <c r="O1026" s="556"/>
      <c r="P1026" s="556"/>
      <c r="Q1026" s="556"/>
      <c r="R1026" s="556"/>
      <c r="S1026" s="556"/>
      <c r="T1026" s="556"/>
      <c r="U1026" s="556"/>
      <c r="V1026" s="556"/>
      <c r="W1026" s="556"/>
      <c r="X1026" s="556"/>
      <c r="Y1026" s="556"/>
      <c r="Z1026" s="579"/>
      <c r="AA1026" s="556"/>
      <c r="AB1026" s="556"/>
      <c r="AC1026" s="556"/>
      <c r="AD1026" s="556"/>
    </row>
    <row r="1027" ht="15.75" customHeight="1">
      <c r="A1027" s="594"/>
      <c r="B1027" s="556"/>
      <c r="C1027" s="556"/>
      <c r="D1027" s="556"/>
      <c r="E1027" s="556"/>
      <c r="F1027" s="556"/>
      <c r="G1027" s="556"/>
      <c r="H1027" s="556"/>
      <c r="I1027" s="556"/>
      <c r="J1027" s="556"/>
      <c r="K1027" s="556"/>
      <c r="L1027" s="556"/>
      <c r="M1027" s="556"/>
      <c r="N1027" s="556"/>
      <c r="O1027" s="556"/>
      <c r="P1027" s="556"/>
      <c r="Q1027" s="556"/>
      <c r="R1027" s="556"/>
      <c r="S1027" s="556"/>
      <c r="T1027" s="556"/>
      <c r="U1027" s="556"/>
      <c r="V1027" s="556"/>
      <c r="W1027" s="556"/>
      <c r="X1027" s="556"/>
      <c r="Y1027" s="556"/>
      <c r="Z1027" s="579"/>
      <c r="AA1027" s="556"/>
      <c r="AB1027" s="556"/>
      <c r="AC1027" s="556"/>
      <c r="AD1027" s="556"/>
    </row>
    <row r="1028" ht="15.75" customHeight="1">
      <c r="A1028" s="594"/>
      <c r="B1028" s="556"/>
      <c r="C1028" s="556"/>
      <c r="D1028" s="556"/>
      <c r="E1028" s="556"/>
      <c r="F1028" s="556"/>
      <c r="G1028" s="556"/>
      <c r="H1028" s="556"/>
      <c r="I1028" s="556"/>
      <c r="J1028" s="556"/>
      <c r="K1028" s="556"/>
      <c r="L1028" s="556"/>
      <c r="M1028" s="556"/>
      <c r="N1028" s="556"/>
      <c r="O1028" s="556"/>
      <c r="P1028" s="556"/>
      <c r="Q1028" s="556"/>
      <c r="R1028" s="556"/>
      <c r="S1028" s="556"/>
      <c r="T1028" s="556"/>
      <c r="U1028" s="556"/>
      <c r="V1028" s="556"/>
      <c r="W1028" s="556"/>
      <c r="X1028" s="556"/>
      <c r="Y1028" s="556"/>
      <c r="Z1028" s="579"/>
      <c r="AA1028" s="556"/>
      <c r="AB1028" s="556"/>
      <c r="AC1028" s="556"/>
      <c r="AD1028" s="556"/>
    </row>
    <row r="1029" ht="15.75" customHeight="1">
      <c r="A1029" s="594"/>
      <c r="B1029" s="556"/>
      <c r="C1029" s="556"/>
      <c r="D1029" s="556"/>
      <c r="E1029" s="556"/>
      <c r="F1029" s="556"/>
      <c r="G1029" s="556"/>
      <c r="H1029" s="556"/>
      <c r="I1029" s="556"/>
      <c r="J1029" s="556"/>
      <c r="K1029" s="556"/>
      <c r="L1029" s="556"/>
      <c r="M1029" s="556"/>
      <c r="N1029" s="556"/>
      <c r="O1029" s="556"/>
      <c r="P1029" s="556"/>
      <c r="Q1029" s="556"/>
      <c r="R1029" s="556"/>
      <c r="S1029" s="556"/>
      <c r="T1029" s="556"/>
      <c r="U1029" s="556"/>
      <c r="V1029" s="556"/>
      <c r="W1029" s="556"/>
      <c r="X1029" s="556"/>
      <c r="Y1029" s="556"/>
      <c r="Z1029" s="579"/>
      <c r="AA1029" s="556"/>
      <c r="AB1029" s="556"/>
      <c r="AC1029" s="556"/>
      <c r="AD1029" s="556"/>
    </row>
    <row r="1030" ht="15.75" customHeight="1">
      <c r="A1030" s="594"/>
      <c r="B1030" s="556"/>
      <c r="C1030" s="556"/>
      <c r="D1030" s="556"/>
      <c r="E1030" s="556"/>
      <c r="F1030" s="556"/>
      <c r="G1030" s="556"/>
      <c r="H1030" s="556"/>
      <c r="I1030" s="556"/>
      <c r="J1030" s="556"/>
      <c r="K1030" s="556"/>
      <c r="L1030" s="556"/>
      <c r="M1030" s="556"/>
      <c r="N1030" s="556"/>
      <c r="O1030" s="556"/>
      <c r="P1030" s="556"/>
      <c r="Q1030" s="556"/>
      <c r="R1030" s="556"/>
      <c r="S1030" s="556"/>
      <c r="T1030" s="556"/>
      <c r="U1030" s="556"/>
      <c r="V1030" s="556"/>
      <c r="W1030" s="556"/>
      <c r="X1030" s="556"/>
      <c r="Y1030" s="556"/>
      <c r="Z1030" s="579"/>
      <c r="AA1030" s="556"/>
      <c r="AB1030" s="556"/>
      <c r="AC1030" s="556"/>
      <c r="AD1030" s="556"/>
    </row>
    <row r="1031" ht="15.75" customHeight="1">
      <c r="A1031" s="594"/>
      <c r="B1031" s="556"/>
      <c r="C1031" s="556"/>
      <c r="D1031" s="556"/>
      <c r="E1031" s="556"/>
      <c r="F1031" s="556"/>
      <c r="G1031" s="556"/>
      <c r="H1031" s="556"/>
      <c r="I1031" s="556"/>
      <c r="J1031" s="556"/>
      <c r="K1031" s="556"/>
      <c r="L1031" s="556"/>
      <c r="M1031" s="556"/>
      <c r="N1031" s="556"/>
      <c r="O1031" s="556"/>
      <c r="P1031" s="556"/>
      <c r="Q1031" s="556"/>
      <c r="R1031" s="556"/>
      <c r="S1031" s="556"/>
      <c r="T1031" s="556"/>
      <c r="U1031" s="556"/>
      <c r="V1031" s="556"/>
      <c r="W1031" s="556"/>
      <c r="X1031" s="556"/>
      <c r="Y1031" s="556"/>
      <c r="Z1031" s="579"/>
      <c r="AA1031" s="556"/>
      <c r="AB1031" s="556"/>
      <c r="AC1031" s="556"/>
      <c r="AD1031" s="556"/>
    </row>
    <row r="1032" ht="15.75" customHeight="1">
      <c r="A1032" s="594"/>
      <c r="B1032" s="556"/>
      <c r="C1032" s="556"/>
      <c r="D1032" s="556"/>
      <c r="E1032" s="556"/>
      <c r="F1032" s="556"/>
      <c r="G1032" s="556"/>
      <c r="H1032" s="556"/>
      <c r="I1032" s="556"/>
      <c r="J1032" s="556"/>
      <c r="K1032" s="556"/>
      <c r="L1032" s="556"/>
      <c r="M1032" s="556"/>
      <c r="N1032" s="556"/>
      <c r="O1032" s="556"/>
      <c r="P1032" s="556"/>
      <c r="Q1032" s="556"/>
      <c r="R1032" s="556"/>
      <c r="S1032" s="556"/>
      <c r="T1032" s="556"/>
      <c r="U1032" s="556"/>
      <c r="V1032" s="556"/>
      <c r="W1032" s="556"/>
      <c r="X1032" s="556"/>
      <c r="Y1032" s="556"/>
      <c r="Z1032" s="579"/>
      <c r="AA1032" s="556"/>
      <c r="AB1032" s="556"/>
      <c r="AC1032" s="556"/>
      <c r="AD1032" s="556"/>
    </row>
    <row r="1033" ht="15.75" customHeight="1">
      <c r="A1033" s="594"/>
      <c r="B1033" s="556"/>
      <c r="C1033" s="556"/>
      <c r="D1033" s="556"/>
      <c r="E1033" s="556"/>
      <c r="F1033" s="556"/>
      <c r="G1033" s="556"/>
      <c r="H1033" s="556"/>
      <c r="I1033" s="556"/>
      <c r="J1033" s="556"/>
      <c r="K1033" s="556"/>
      <c r="L1033" s="556"/>
      <c r="M1033" s="556"/>
      <c r="N1033" s="556"/>
      <c r="O1033" s="556"/>
      <c r="P1033" s="556"/>
      <c r="Q1033" s="556"/>
      <c r="R1033" s="556"/>
      <c r="S1033" s="556"/>
      <c r="T1033" s="556"/>
      <c r="U1033" s="556"/>
      <c r="V1033" s="556"/>
      <c r="W1033" s="556"/>
      <c r="X1033" s="556"/>
      <c r="Y1033" s="556"/>
      <c r="Z1033" s="579"/>
      <c r="AA1033" s="556"/>
      <c r="AB1033" s="556"/>
      <c r="AC1033" s="556"/>
      <c r="AD1033" s="556"/>
    </row>
    <row r="1034" ht="15.75" customHeight="1">
      <c r="A1034" s="594"/>
      <c r="B1034" s="556"/>
      <c r="C1034" s="556"/>
      <c r="D1034" s="556"/>
      <c r="E1034" s="556"/>
      <c r="F1034" s="556"/>
      <c r="G1034" s="556"/>
      <c r="H1034" s="556"/>
      <c r="I1034" s="556"/>
      <c r="J1034" s="556"/>
      <c r="K1034" s="556"/>
      <c r="L1034" s="556"/>
      <c r="M1034" s="556"/>
      <c r="N1034" s="556"/>
      <c r="O1034" s="556"/>
      <c r="P1034" s="556"/>
      <c r="Q1034" s="556"/>
      <c r="R1034" s="556"/>
      <c r="S1034" s="556"/>
      <c r="T1034" s="556"/>
      <c r="U1034" s="556"/>
      <c r="V1034" s="556"/>
      <c r="W1034" s="556"/>
      <c r="X1034" s="556"/>
      <c r="Y1034" s="556"/>
      <c r="Z1034" s="579"/>
      <c r="AA1034" s="556"/>
      <c r="AB1034" s="556"/>
      <c r="AC1034" s="556"/>
      <c r="AD1034" s="556"/>
    </row>
    <row r="1035" ht="15.75" customHeight="1">
      <c r="A1035" s="594"/>
      <c r="B1035" s="556"/>
      <c r="C1035" s="556"/>
      <c r="D1035" s="556"/>
      <c r="E1035" s="556"/>
      <c r="F1035" s="556"/>
      <c r="G1035" s="556"/>
      <c r="H1035" s="556"/>
      <c r="I1035" s="556"/>
      <c r="J1035" s="556"/>
      <c r="K1035" s="556"/>
      <c r="L1035" s="556"/>
      <c r="M1035" s="556"/>
      <c r="N1035" s="556"/>
      <c r="O1035" s="556"/>
      <c r="P1035" s="556"/>
      <c r="Q1035" s="556"/>
      <c r="R1035" s="556"/>
      <c r="S1035" s="556"/>
      <c r="T1035" s="556"/>
      <c r="U1035" s="556"/>
      <c r="V1035" s="556"/>
      <c r="W1035" s="556"/>
      <c r="X1035" s="556"/>
      <c r="Y1035" s="556"/>
      <c r="Z1035" s="579"/>
      <c r="AA1035" s="556"/>
      <c r="AB1035" s="556"/>
      <c r="AC1035" s="556"/>
      <c r="AD1035" s="556"/>
    </row>
    <row r="1036" ht="15.75" customHeight="1">
      <c r="A1036" s="594"/>
      <c r="B1036" s="556"/>
      <c r="C1036" s="556"/>
      <c r="D1036" s="556"/>
      <c r="E1036" s="556"/>
      <c r="F1036" s="556"/>
      <c r="G1036" s="556"/>
      <c r="H1036" s="556"/>
      <c r="I1036" s="556"/>
      <c r="J1036" s="556"/>
      <c r="K1036" s="556"/>
      <c r="L1036" s="556"/>
      <c r="M1036" s="556"/>
      <c r="N1036" s="556"/>
      <c r="O1036" s="556"/>
      <c r="P1036" s="556"/>
      <c r="Q1036" s="556"/>
      <c r="R1036" s="556"/>
      <c r="S1036" s="556"/>
      <c r="T1036" s="556"/>
      <c r="U1036" s="556"/>
      <c r="V1036" s="556"/>
      <c r="W1036" s="556"/>
      <c r="X1036" s="556"/>
      <c r="Y1036" s="556"/>
      <c r="Z1036" s="579"/>
      <c r="AA1036" s="556"/>
      <c r="AB1036" s="556"/>
      <c r="AC1036" s="556"/>
      <c r="AD1036" s="556"/>
    </row>
    <row r="1037" ht="15.75" customHeight="1">
      <c r="A1037" s="594"/>
      <c r="B1037" s="556"/>
      <c r="C1037" s="556"/>
      <c r="D1037" s="556"/>
      <c r="E1037" s="556"/>
      <c r="F1037" s="556"/>
      <c r="G1037" s="556"/>
      <c r="H1037" s="556"/>
      <c r="I1037" s="556"/>
      <c r="J1037" s="556"/>
      <c r="K1037" s="556"/>
      <c r="L1037" s="556"/>
      <c r="M1037" s="556"/>
      <c r="N1037" s="556"/>
      <c r="O1037" s="556"/>
      <c r="P1037" s="556"/>
      <c r="Q1037" s="556"/>
      <c r="R1037" s="556"/>
      <c r="S1037" s="556"/>
      <c r="T1037" s="556"/>
      <c r="U1037" s="556"/>
      <c r="V1037" s="556"/>
      <c r="W1037" s="556"/>
      <c r="X1037" s="556"/>
      <c r="Y1037" s="556"/>
      <c r="Z1037" s="579"/>
      <c r="AA1037" s="556"/>
      <c r="AB1037" s="556"/>
      <c r="AC1037" s="556"/>
      <c r="AD1037" s="556"/>
    </row>
    <row r="1038" ht="15.75" customHeight="1">
      <c r="A1038" s="594"/>
      <c r="B1038" s="556"/>
      <c r="C1038" s="556"/>
      <c r="D1038" s="556"/>
      <c r="E1038" s="556"/>
      <c r="F1038" s="556"/>
      <c r="G1038" s="556"/>
      <c r="H1038" s="556"/>
      <c r="I1038" s="556"/>
      <c r="J1038" s="556"/>
      <c r="K1038" s="556"/>
      <c r="L1038" s="556"/>
      <c r="M1038" s="556"/>
      <c r="N1038" s="556"/>
      <c r="O1038" s="556"/>
      <c r="P1038" s="556"/>
      <c r="Q1038" s="556"/>
      <c r="R1038" s="556"/>
      <c r="S1038" s="556"/>
      <c r="T1038" s="556"/>
      <c r="U1038" s="556"/>
      <c r="V1038" s="556"/>
      <c r="W1038" s="556"/>
      <c r="X1038" s="556"/>
      <c r="Y1038" s="556"/>
      <c r="Z1038" s="579"/>
      <c r="AA1038" s="556"/>
      <c r="AB1038" s="556"/>
      <c r="AC1038" s="556"/>
      <c r="AD1038" s="556"/>
    </row>
    <row r="1039" ht="15.75" customHeight="1">
      <c r="A1039" s="594"/>
      <c r="B1039" s="556"/>
      <c r="C1039" s="556"/>
      <c r="D1039" s="556"/>
      <c r="E1039" s="556"/>
      <c r="F1039" s="556"/>
      <c r="G1039" s="556"/>
      <c r="H1039" s="556"/>
      <c r="I1039" s="556"/>
      <c r="J1039" s="556"/>
      <c r="K1039" s="556"/>
      <c r="L1039" s="556"/>
      <c r="M1039" s="556"/>
      <c r="N1039" s="556"/>
      <c r="O1039" s="556"/>
      <c r="P1039" s="556"/>
      <c r="Q1039" s="556"/>
      <c r="R1039" s="556"/>
      <c r="S1039" s="556"/>
      <c r="T1039" s="556"/>
      <c r="U1039" s="556"/>
      <c r="V1039" s="556"/>
      <c r="W1039" s="556"/>
      <c r="X1039" s="556"/>
      <c r="Y1039" s="556"/>
      <c r="Z1039" s="579"/>
      <c r="AA1039" s="556"/>
      <c r="AB1039" s="556"/>
      <c r="AC1039" s="556"/>
      <c r="AD1039" s="556"/>
    </row>
    <row r="1040" ht="15.75" customHeight="1">
      <c r="A1040" s="594"/>
      <c r="B1040" s="556"/>
      <c r="C1040" s="556"/>
      <c r="D1040" s="556"/>
      <c r="E1040" s="556"/>
      <c r="F1040" s="556"/>
      <c r="G1040" s="556"/>
      <c r="H1040" s="556"/>
      <c r="I1040" s="556"/>
      <c r="J1040" s="556"/>
      <c r="K1040" s="556"/>
      <c r="L1040" s="556"/>
      <c r="M1040" s="556"/>
      <c r="N1040" s="556"/>
      <c r="O1040" s="556"/>
      <c r="P1040" s="556"/>
      <c r="Q1040" s="556"/>
      <c r="R1040" s="556"/>
      <c r="S1040" s="556"/>
      <c r="T1040" s="556"/>
      <c r="U1040" s="556"/>
      <c r="V1040" s="556"/>
      <c r="W1040" s="556"/>
      <c r="X1040" s="556"/>
      <c r="Y1040" s="556"/>
      <c r="Z1040" s="579"/>
      <c r="AA1040" s="556"/>
      <c r="AB1040" s="556"/>
      <c r="AC1040" s="556"/>
      <c r="AD1040" s="556"/>
    </row>
    <row r="1041" ht="15.75" customHeight="1">
      <c r="A1041" s="594"/>
      <c r="B1041" s="556"/>
      <c r="C1041" s="556"/>
      <c r="D1041" s="556"/>
      <c r="E1041" s="556"/>
      <c r="F1041" s="556"/>
      <c r="G1041" s="556"/>
      <c r="H1041" s="556"/>
      <c r="I1041" s="556"/>
      <c r="J1041" s="556"/>
      <c r="K1041" s="556"/>
      <c r="L1041" s="556"/>
      <c r="M1041" s="556"/>
      <c r="N1041" s="556"/>
      <c r="O1041" s="556"/>
      <c r="P1041" s="556"/>
      <c r="Q1041" s="556"/>
      <c r="R1041" s="556"/>
      <c r="S1041" s="556"/>
      <c r="T1041" s="556"/>
      <c r="U1041" s="556"/>
      <c r="V1041" s="556"/>
      <c r="W1041" s="556"/>
      <c r="X1041" s="556"/>
      <c r="Y1041" s="556"/>
      <c r="Z1041" s="579"/>
      <c r="AA1041" s="556"/>
      <c r="AB1041" s="556"/>
      <c r="AC1041" s="556"/>
      <c r="AD1041" s="556"/>
    </row>
    <row r="1042" ht="15.75" customHeight="1">
      <c r="A1042" s="594"/>
      <c r="B1042" s="556"/>
      <c r="C1042" s="556"/>
      <c r="D1042" s="556"/>
      <c r="E1042" s="556"/>
      <c r="F1042" s="556"/>
      <c r="G1042" s="556"/>
      <c r="H1042" s="556"/>
      <c r="I1042" s="556"/>
      <c r="J1042" s="556"/>
      <c r="K1042" s="556"/>
      <c r="L1042" s="556"/>
      <c r="M1042" s="556"/>
      <c r="N1042" s="556"/>
      <c r="O1042" s="556"/>
      <c r="P1042" s="556"/>
      <c r="Q1042" s="556"/>
      <c r="R1042" s="556"/>
      <c r="S1042" s="556"/>
      <c r="T1042" s="556"/>
      <c r="U1042" s="556"/>
      <c r="V1042" s="556"/>
      <c r="W1042" s="556"/>
      <c r="X1042" s="556"/>
      <c r="Y1042" s="556"/>
      <c r="Z1042" s="579"/>
      <c r="AA1042" s="556"/>
      <c r="AB1042" s="556"/>
      <c r="AC1042" s="556"/>
      <c r="AD1042" s="556"/>
    </row>
    <row r="1043" ht="15.75" customHeight="1">
      <c r="A1043" s="594"/>
      <c r="B1043" s="556"/>
      <c r="C1043" s="556"/>
      <c r="D1043" s="556"/>
      <c r="E1043" s="556"/>
      <c r="F1043" s="556"/>
      <c r="G1043" s="556"/>
      <c r="H1043" s="556"/>
      <c r="I1043" s="556"/>
      <c r="J1043" s="556"/>
      <c r="K1043" s="556"/>
      <c r="L1043" s="556"/>
      <c r="M1043" s="556"/>
      <c r="N1043" s="556"/>
      <c r="O1043" s="556"/>
      <c r="P1043" s="556"/>
      <c r="Q1043" s="556"/>
      <c r="R1043" s="556"/>
      <c r="S1043" s="556"/>
      <c r="T1043" s="556"/>
      <c r="U1043" s="556"/>
      <c r="V1043" s="556"/>
      <c r="W1043" s="556"/>
      <c r="X1043" s="556"/>
      <c r="Y1043" s="556"/>
      <c r="Z1043" s="579"/>
      <c r="AA1043" s="556"/>
      <c r="AB1043" s="556"/>
      <c r="AC1043" s="556"/>
      <c r="AD1043" s="556"/>
    </row>
    <row r="1044" ht="15.75" customHeight="1">
      <c r="A1044" s="594"/>
      <c r="B1044" s="556"/>
      <c r="C1044" s="556"/>
      <c r="D1044" s="556"/>
      <c r="E1044" s="556"/>
      <c r="F1044" s="556"/>
      <c r="G1044" s="556"/>
      <c r="H1044" s="556"/>
      <c r="I1044" s="556"/>
      <c r="J1044" s="556"/>
      <c r="K1044" s="556"/>
      <c r="L1044" s="556"/>
      <c r="M1044" s="556"/>
      <c r="N1044" s="556"/>
      <c r="O1044" s="556"/>
      <c r="P1044" s="556"/>
      <c r="Q1044" s="556"/>
      <c r="R1044" s="556"/>
      <c r="S1044" s="556"/>
      <c r="T1044" s="556"/>
      <c r="U1044" s="556"/>
      <c r="V1044" s="556"/>
      <c r="W1044" s="556"/>
      <c r="X1044" s="556"/>
      <c r="Y1044" s="556"/>
      <c r="Z1044" s="579"/>
      <c r="AA1044" s="556"/>
      <c r="AB1044" s="556"/>
      <c r="AC1044" s="556"/>
      <c r="AD1044" s="556"/>
    </row>
    <row r="1045" ht="15.75" customHeight="1">
      <c r="A1045" s="594"/>
      <c r="B1045" s="556"/>
      <c r="C1045" s="556"/>
      <c r="D1045" s="556"/>
      <c r="E1045" s="556"/>
      <c r="F1045" s="556"/>
      <c r="G1045" s="556"/>
      <c r="H1045" s="556"/>
      <c r="I1045" s="556"/>
      <c r="J1045" s="556"/>
      <c r="K1045" s="556"/>
      <c r="L1045" s="556"/>
      <c r="M1045" s="556"/>
      <c r="N1045" s="556"/>
      <c r="O1045" s="556"/>
      <c r="P1045" s="556"/>
      <c r="Q1045" s="556"/>
      <c r="R1045" s="556"/>
      <c r="S1045" s="556"/>
      <c r="T1045" s="556"/>
      <c r="U1045" s="556"/>
      <c r="V1045" s="556"/>
      <c r="W1045" s="556"/>
      <c r="X1045" s="556"/>
      <c r="Y1045" s="556"/>
      <c r="Z1045" s="579"/>
      <c r="AA1045" s="556"/>
      <c r="AB1045" s="556"/>
      <c r="AC1045" s="556"/>
      <c r="AD1045" s="556"/>
    </row>
    <row r="1046" ht="15.75" customHeight="1">
      <c r="A1046" s="594"/>
      <c r="B1046" s="556"/>
      <c r="C1046" s="556"/>
      <c r="D1046" s="556"/>
      <c r="E1046" s="556"/>
      <c r="F1046" s="556"/>
      <c r="G1046" s="556"/>
      <c r="H1046" s="556"/>
      <c r="I1046" s="556"/>
      <c r="J1046" s="556"/>
      <c r="K1046" s="556"/>
      <c r="L1046" s="556"/>
      <c r="M1046" s="556"/>
      <c r="N1046" s="556"/>
      <c r="O1046" s="556"/>
      <c r="P1046" s="556"/>
      <c r="Q1046" s="556"/>
      <c r="R1046" s="556"/>
      <c r="S1046" s="556"/>
      <c r="T1046" s="556"/>
      <c r="U1046" s="556"/>
      <c r="V1046" s="556"/>
      <c r="W1046" s="556"/>
      <c r="X1046" s="556"/>
      <c r="Y1046" s="556"/>
      <c r="Z1046" s="579"/>
      <c r="AA1046" s="556"/>
      <c r="AB1046" s="556"/>
      <c r="AC1046" s="556"/>
      <c r="AD1046" s="556"/>
    </row>
    <row r="1047" ht="15.75" customHeight="1">
      <c r="A1047" s="594"/>
      <c r="B1047" s="556"/>
      <c r="C1047" s="556"/>
      <c r="D1047" s="556"/>
      <c r="E1047" s="556"/>
      <c r="F1047" s="556"/>
      <c r="G1047" s="556"/>
      <c r="H1047" s="556"/>
      <c r="I1047" s="556"/>
      <c r="J1047" s="556"/>
      <c r="K1047" s="556"/>
      <c r="L1047" s="556"/>
      <c r="M1047" s="556"/>
      <c r="N1047" s="556"/>
      <c r="O1047" s="556"/>
      <c r="P1047" s="556"/>
      <c r="Q1047" s="556"/>
      <c r="R1047" s="556"/>
      <c r="S1047" s="556"/>
      <c r="T1047" s="556"/>
      <c r="U1047" s="556"/>
      <c r="V1047" s="556"/>
      <c r="W1047" s="556"/>
      <c r="X1047" s="556"/>
      <c r="Y1047" s="556"/>
      <c r="Z1047" s="579"/>
      <c r="AA1047" s="556"/>
      <c r="AB1047" s="556"/>
      <c r="AC1047" s="556"/>
      <c r="AD1047" s="556"/>
    </row>
    <row r="1048" ht="15.75" customHeight="1">
      <c r="A1048" s="594"/>
      <c r="B1048" s="556"/>
      <c r="C1048" s="556"/>
      <c r="D1048" s="556"/>
      <c r="E1048" s="556"/>
      <c r="F1048" s="556"/>
      <c r="G1048" s="556"/>
      <c r="H1048" s="556"/>
      <c r="I1048" s="556"/>
      <c r="J1048" s="556"/>
      <c r="K1048" s="556"/>
      <c r="L1048" s="556"/>
      <c r="M1048" s="556"/>
      <c r="N1048" s="556"/>
      <c r="O1048" s="556"/>
      <c r="P1048" s="556"/>
      <c r="Q1048" s="556"/>
      <c r="R1048" s="556"/>
      <c r="S1048" s="556"/>
      <c r="T1048" s="556"/>
      <c r="U1048" s="556"/>
      <c r="V1048" s="556"/>
      <c r="W1048" s="556"/>
      <c r="X1048" s="556"/>
      <c r="Y1048" s="556"/>
      <c r="Z1048" s="579"/>
      <c r="AA1048" s="556"/>
      <c r="AB1048" s="556"/>
      <c r="AC1048" s="556"/>
      <c r="AD1048" s="556"/>
    </row>
    <row r="1049" ht="15.75" customHeight="1">
      <c r="A1049" s="594"/>
      <c r="B1049" s="556"/>
      <c r="C1049" s="556"/>
      <c r="D1049" s="556"/>
      <c r="E1049" s="556"/>
      <c r="F1049" s="556"/>
      <c r="G1049" s="556"/>
      <c r="H1049" s="556"/>
      <c r="I1049" s="556"/>
      <c r="J1049" s="556"/>
      <c r="K1049" s="556"/>
      <c r="L1049" s="556"/>
      <c r="M1049" s="556"/>
      <c r="N1049" s="556"/>
      <c r="O1049" s="556"/>
      <c r="P1049" s="556"/>
      <c r="Q1049" s="556"/>
      <c r="R1049" s="556"/>
      <c r="S1049" s="556"/>
      <c r="T1049" s="556"/>
      <c r="U1049" s="556"/>
      <c r="V1049" s="556"/>
      <c r="W1049" s="556"/>
      <c r="X1049" s="556"/>
      <c r="Y1049" s="556"/>
      <c r="Z1049" s="579"/>
      <c r="AA1049" s="556"/>
      <c r="AB1049" s="556"/>
      <c r="AC1049" s="556"/>
      <c r="AD1049" s="556"/>
    </row>
    <row r="1050" ht="15.75" customHeight="1">
      <c r="A1050" s="594"/>
      <c r="B1050" s="556"/>
      <c r="C1050" s="556"/>
      <c r="D1050" s="556"/>
      <c r="E1050" s="556"/>
      <c r="F1050" s="556"/>
      <c r="G1050" s="556"/>
      <c r="H1050" s="556"/>
      <c r="I1050" s="556"/>
      <c r="J1050" s="556"/>
      <c r="K1050" s="556"/>
      <c r="L1050" s="556"/>
      <c r="M1050" s="556"/>
      <c r="N1050" s="556"/>
      <c r="O1050" s="556"/>
      <c r="P1050" s="556"/>
      <c r="Q1050" s="556"/>
      <c r="R1050" s="556"/>
      <c r="S1050" s="556"/>
      <c r="T1050" s="556"/>
      <c r="U1050" s="556"/>
      <c r="V1050" s="556"/>
      <c r="W1050" s="556"/>
      <c r="X1050" s="556"/>
      <c r="Y1050" s="556"/>
      <c r="Z1050" s="579"/>
      <c r="AA1050" s="556"/>
      <c r="AB1050" s="556"/>
      <c r="AC1050" s="556"/>
      <c r="AD1050" s="556"/>
    </row>
    <row r="1051" ht="15.75" customHeight="1">
      <c r="A1051" s="594"/>
      <c r="B1051" s="556"/>
      <c r="C1051" s="556"/>
      <c r="D1051" s="556"/>
      <c r="E1051" s="556"/>
      <c r="F1051" s="556"/>
      <c r="G1051" s="556"/>
      <c r="H1051" s="556"/>
      <c r="I1051" s="556"/>
      <c r="J1051" s="556"/>
      <c r="K1051" s="556"/>
      <c r="L1051" s="556"/>
      <c r="M1051" s="556"/>
      <c r="N1051" s="556"/>
      <c r="O1051" s="556"/>
      <c r="P1051" s="556"/>
      <c r="Q1051" s="556"/>
      <c r="R1051" s="556"/>
      <c r="S1051" s="556"/>
      <c r="T1051" s="556"/>
      <c r="U1051" s="556"/>
      <c r="V1051" s="556"/>
      <c r="W1051" s="556"/>
      <c r="X1051" s="556"/>
      <c r="Y1051" s="556"/>
      <c r="Z1051" s="579"/>
      <c r="AA1051" s="556"/>
      <c r="AB1051" s="556"/>
      <c r="AC1051" s="556"/>
      <c r="AD1051" s="556"/>
    </row>
    <row r="1052" ht="15.75" customHeight="1">
      <c r="A1052" s="594"/>
      <c r="B1052" s="556"/>
      <c r="C1052" s="556"/>
      <c r="D1052" s="556"/>
      <c r="E1052" s="556"/>
      <c r="F1052" s="556"/>
      <c r="G1052" s="556"/>
      <c r="H1052" s="556"/>
      <c r="I1052" s="556"/>
      <c r="J1052" s="556"/>
      <c r="K1052" s="556"/>
      <c r="L1052" s="556"/>
      <c r="M1052" s="556"/>
      <c r="N1052" s="556"/>
      <c r="O1052" s="556"/>
      <c r="P1052" s="556"/>
      <c r="Q1052" s="556"/>
      <c r="R1052" s="556"/>
      <c r="S1052" s="556"/>
      <c r="T1052" s="556"/>
      <c r="U1052" s="556"/>
      <c r="V1052" s="556"/>
      <c r="W1052" s="556"/>
      <c r="X1052" s="556"/>
      <c r="Y1052" s="556"/>
      <c r="Z1052" s="579"/>
      <c r="AA1052" s="556"/>
      <c r="AB1052" s="556"/>
      <c r="AC1052" s="556"/>
      <c r="AD1052" s="556"/>
    </row>
    <row r="1053" ht="15.75" customHeight="1">
      <c r="A1053" s="594"/>
      <c r="B1053" s="556"/>
      <c r="C1053" s="556"/>
      <c r="D1053" s="556"/>
      <c r="E1053" s="556"/>
      <c r="F1053" s="556"/>
      <c r="G1053" s="556"/>
      <c r="H1053" s="556"/>
      <c r="I1053" s="556"/>
      <c r="J1053" s="556"/>
      <c r="K1053" s="556"/>
      <c r="L1053" s="556"/>
      <c r="M1053" s="556"/>
      <c r="N1053" s="556"/>
      <c r="O1053" s="556"/>
      <c r="P1053" s="556"/>
      <c r="Q1053" s="556"/>
      <c r="R1053" s="556"/>
      <c r="S1053" s="556"/>
      <c r="T1053" s="556"/>
      <c r="U1053" s="556"/>
      <c r="V1053" s="556"/>
      <c r="W1053" s="556"/>
      <c r="X1053" s="556"/>
      <c r="Y1053" s="556"/>
      <c r="Z1053" s="579"/>
      <c r="AA1053" s="556"/>
      <c r="AB1053" s="556"/>
      <c r="AC1053" s="556"/>
      <c r="AD1053" s="556"/>
    </row>
    <row r="1054" ht="15.75" customHeight="1">
      <c r="A1054" s="594"/>
      <c r="B1054" s="556"/>
      <c r="C1054" s="556"/>
      <c r="D1054" s="556"/>
      <c r="E1054" s="556"/>
      <c r="F1054" s="556"/>
      <c r="G1054" s="556"/>
      <c r="H1054" s="556"/>
      <c r="I1054" s="556"/>
      <c r="J1054" s="556"/>
      <c r="K1054" s="556"/>
      <c r="L1054" s="556"/>
      <c r="M1054" s="556"/>
      <c r="N1054" s="556"/>
      <c r="O1054" s="556"/>
      <c r="P1054" s="556"/>
      <c r="Q1054" s="556"/>
      <c r="R1054" s="556"/>
      <c r="S1054" s="556"/>
      <c r="T1054" s="556"/>
      <c r="U1054" s="556"/>
      <c r="V1054" s="556"/>
      <c r="W1054" s="556"/>
      <c r="X1054" s="556"/>
      <c r="Y1054" s="556"/>
      <c r="Z1054" s="579"/>
      <c r="AA1054" s="556"/>
      <c r="AB1054" s="556"/>
      <c r="AC1054" s="556"/>
      <c r="AD1054" s="556"/>
    </row>
    <row r="1055" ht="15.75" customHeight="1">
      <c r="A1055" s="594"/>
      <c r="B1055" s="556"/>
      <c r="C1055" s="556"/>
      <c r="D1055" s="556"/>
      <c r="E1055" s="556"/>
      <c r="F1055" s="556"/>
      <c r="G1055" s="556"/>
      <c r="H1055" s="556"/>
      <c r="I1055" s="556"/>
      <c r="J1055" s="556"/>
      <c r="K1055" s="556"/>
      <c r="L1055" s="556"/>
      <c r="M1055" s="556"/>
      <c r="N1055" s="556"/>
      <c r="O1055" s="556"/>
      <c r="P1055" s="556"/>
      <c r="Q1055" s="556"/>
      <c r="R1055" s="556"/>
      <c r="S1055" s="556"/>
      <c r="T1055" s="556"/>
      <c r="U1055" s="556"/>
      <c r="V1055" s="556"/>
      <c r="W1055" s="556"/>
      <c r="X1055" s="556"/>
      <c r="Y1055" s="556"/>
      <c r="Z1055" s="579"/>
      <c r="AA1055" s="556"/>
      <c r="AB1055" s="556"/>
      <c r="AC1055" s="556"/>
      <c r="AD1055" s="556"/>
    </row>
    <row r="1056" ht="15.75" customHeight="1">
      <c r="A1056" s="594"/>
      <c r="B1056" s="556"/>
      <c r="C1056" s="556"/>
      <c r="D1056" s="556"/>
      <c r="E1056" s="556"/>
      <c r="F1056" s="556"/>
      <c r="G1056" s="556"/>
      <c r="H1056" s="556"/>
      <c r="I1056" s="556"/>
      <c r="J1056" s="556"/>
      <c r="K1056" s="556"/>
      <c r="L1056" s="556"/>
      <c r="M1056" s="556"/>
      <c r="N1056" s="556"/>
      <c r="O1056" s="556"/>
      <c r="P1056" s="556"/>
      <c r="Q1056" s="556"/>
      <c r="R1056" s="556"/>
      <c r="S1056" s="556"/>
      <c r="T1056" s="556"/>
      <c r="U1056" s="556"/>
      <c r="V1056" s="556"/>
      <c r="W1056" s="556"/>
      <c r="X1056" s="556"/>
      <c r="Y1056" s="556"/>
      <c r="Z1056" s="579"/>
      <c r="AA1056" s="556"/>
      <c r="AB1056" s="556"/>
      <c r="AC1056" s="556"/>
      <c r="AD1056" s="556"/>
    </row>
    <row r="1057" ht="15.75" customHeight="1">
      <c r="A1057" s="594"/>
      <c r="B1057" s="556"/>
      <c r="C1057" s="556"/>
      <c r="D1057" s="556"/>
      <c r="E1057" s="556"/>
      <c r="F1057" s="556"/>
      <c r="G1057" s="556"/>
      <c r="H1057" s="556"/>
      <c r="I1057" s="556"/>
      <c r="J1057" s="556"/>
      <c r="K1057" s="556"/>
      <c r="L1057" s="556"/>
      <c r="M1057" s="556"/>
      <c r="N1057" s="556"/>
      <c r="O1057" s="556"/>
      <c r="P1057" s="556"/>
      <c r="Q1057" s="556"/>
      <c r="R1057" s="556"/>
      <c r="S1057" s="556"/>
      <c r="T1057" s="556"/>
      <c r="U1057" s="556"/>
      <c r="V1057" s="556"/>
      <c r="W1057" s="556"/>
      <c r="X1057" s="556"/>
      <c r="Y1057" s="556"/>
      <c r="Z1057" s="579"/>
      <c r="AA1057" s="556"/>
      <c r="AB1057" s="556"/>
      <c r="AC1057" s="556"/>
      <c r="AD1057" s="556"/>
    </row>
    <row r="1058" ht="15.75" customHeight="1">
      <c r="A1058" s="594"/>
      <c r="B1058" s="556"/>
      <c r="C1058" s="556"/>
      <c r="D1058" s="556"/>
      <c r="E1058" s="556"/>
      <c r="F1058" s="556"/>
      <c r="G1058" s="556"/>
      <c r="H1058" s="556"/>
      <c r="I1058" s="556"/>
      <c r="J1058" s="556"/>
      <c r="K1058" s="556"/>
      <c r="L1058" s="556"/>
      <c r="M1058" s="556"/>
      <c r="N1058" s="556"/>
      <c r="O1058" s="556"/>
      <c r="P1058" s="556"/>
      <c r="Q1058" s="556"/>
      <c r="R1058" s="556"/>
      <c r="S1058" s="556"/>
      <c r="T1058" s="556"/>
      <c r="U1058" s="556"/>
      <c r="V1058" s="556"/>
      <c r="W1058" s="556"/>
      <c r="X1058" s="556"/>
      <c r="Y1058" s="556"/>
      <c r="Z1058" s="579"/>
      <c r="AA1058" s="556"/>
      <c r="AB1058" s="556"/>
      <c r="AC1058" s="556"/>
      <c r="AD1058" s="556"/>
    </row>
    <row r="1059" ht="15.75" customHeight="1">
      <c r="A1059" s="594"/>
      <c r="B1059" s="556"/>
      <c r="C1059" s="556"/>
      <c r="D1059" s="556"/>
      <c r="E1059" s="556"/>
      <c r="F1059" s="556"/>
      <c r="G1059" s="556"/>
      <c r="H1059" s="556"/>
      <c r="I1059" s="556"/>
      <c r="J1059" s="556"/>
      <c r="K1059" s="556"/>
      <c r="L1059" s="556"/>
      <c r="M1059" s="556"/>
      <c r="N1059" s="556"/>
      <c r="O1059" s="556"/>
      <c r="P1059" s="556"/>
      <c r="Q1059" s="556"/>
      <c r="R1059" s="556"/>
      <c r="S1059" s="556"/>
      <c r="T1059" s="556"/>
      <c r="U1059" s="556"/>
      <c r="V1059" s="556"/>
      <c r="W1059" s="556"/>
      <c r="X1059" s="556"/>
      <c r="Y1059" s="556"/>
      <c r="Z1059" s="579"/>
      <c r="AA1059" s="556"/>
      <c r="AB1059" s="556"/>
      <c r="AC1059" s="556"/>
      <c r="AD1059" s="556"/>
    </row>
  </sheetData>
  <mergeCells count="337">
    <mergeCell ref="S41:S44"/>
    <mergeCell ref="T41:T44"/>
    <mergeCell ref="U41:U44"/>
    <mergeCell ref="V41:V44"/>
    <mergeCell ref="W41:W44"/>
    <mergeCell ref="L41:L44"/>
    <mergeCell ref="M41:M44"/>
    <mergeCell ref="N41:N44"/>
    <mergeCell ref="O41:O44"/>
    <mergeCell ref="P41:P44"/>
    <mergeCell ref="Q41:Q44"/>
    <mergeCell ref="R41:R44"/>
    <mergeCell ref="A41:A44"/>
    <mergeCell ref="B41:B44"/>
    <mergeCell ref="C41:C44"/>
    <mergeCell ref="D41:D44"/>
    <mergeCell ref="E41:E44"/>
    <mergeCell ref="F41:F44"/>
    <mergeCell ref="K41:K44"/>
    <mergeCell ref="S49:S55"/>
    <mergeCell ref="T49:T55"/>
    <mergeCell ref="U49:U55"/>
    <mergeCell ref="V49:V55"/>
    <mergeCell ref="W49:W55"/>
    <mergeCell ref="L49:L55"/>
    <mergeCell ref="M49:M55"/>
    <mergeCell ref="N49:N55"/>
    <mergeCell ref="O49:O55"/>
    <mergeCell ref="P49:P55"/>
    <mergeCell ref="Q49:Q55"/>
    <mergeCell ref="R49:R55"/>
    <mergeCell ref="A49:A55"/>
    <mergeCell ref="B49:B55"/>
    <mergeCell ref="C49:C55"/>
    <mergeCell ref="D49:D55"/>
    <mergeCell ref="E49:E55"/>
    <mergeCell ref="F49:F55"/>
    <mergeCell ref="K49:K55"/>
    <mergeCell ref="U72:U73"/>
    <mergeCell ref="V72:V73"/>
    <mergeCell ref="W72:W73"/>
    <mergeCell ref="A72:A73"/>
    <mergeCell ref="B72:B73"/>
    <mergeCell ref="C72:C73"/>
    <mergeCell ref="D72:D73"/>
    <mergeCell ref="E72:E73"/>
    <mergeCell ref="F72:F73"/>
    <mergeCell ref="K72:K73"/>
    <mergeCell ref="S72:S73"/>
    <mergeCell ref="T72:T73"/>
    <mergeCell ref="L72:L73"/>
    <mergeCell ref="M72:M73"/>
    <mergeCell ref="N72:N73"/>
    <mergeCell ref="O72:O73"/>
    <mergeCell ref="P72:P73"/>
    <mergeCell ref="Q72:Q73"/>
    <mergeCell ref="R72:R73"/>
    <mergeCell ref="S86:S88"/>
    <mergeCell ref="T86:T88"/>
    <mergeCell ref="U86:U88"/>
    <mergeCell ref="V86:V88"/>
    <mergeCell ref="W86:W88"/>
    <mergeCell ref="L86:L88"/>
    <mergeCell ref="M86:M88"/>
    <mergeCell ref="N86:N88"/>
    <mergeCell ref="O86:O88"/>
    <mergeCell ref="P86:P88"/>
    <mergeCell ref="Q86:Q88"/>
    <mergeCell ref="R86:R88"/>
    <mergeCell ref="A86:A88"/>
    <mergeCell ref="B86:B88"/>
    <mergeCell ref="C86:C88"/>
    <mergeCell ref="D86:D88"/>
    <mergeCell ref="E86:E88"/>
    <mergeCell ref="F86:F88"/>
    <mergeCell ref="K86:K88"/>
    <mergeCell ref="S91:S92"/>
    <mergeCell ref="T91:T92"/>
    <mergeCell ref="U91:U92"/>
    <mergeCell ref="V91:V92"/>
    <mergeCell ref="W91:W92"/>
    <mergeCell ref="U99:U100"/>
    <mergeCell ref="V99:V100"/>
    <mergeCell ref="W99:W100"/>
    <mergeCell ref="A99:A100"/>
    <mergeCell ref="B99:B100"/>
    <mergeCell ref="C99:C100"/>
    <mergeCell ref="D99:D100"/>
    <mergeCell ref="E99:E100"/>
    <mergeCell ref="F99:F100"/>
    <mergeCell ref="K99:K100"/>
    <mergeCell ref="L105:L107"/>
    <mergeCell ref="M105:M107"/>
    <mergeCell ref="N105:N107"/>
    <mergeCell ref="O105:O107"/>
    <mergeCell ref="P105:P107"/>
    <mergeCell ref="Q105:Q107"/>
    <mergeCell ref="R105:R107"/>
    <mergeCell ref="A105:A107"/>
    <mergeCell ref="B105:B107"/>
    <mergeCell ref="C105:C107"/>
    <mergeCell ref="D105:D107"/>
    <mergeCell ref="E105:E107"/>
    <mergeCell ref="F105:F107"/>
    <mergeCell ref="K105:K107"/>
    <mergeCell ref="S99:S100"/>
    <mergeCell ref="T99:T100"/>
    <mergeCell ref="L99:L100"/>
    <mergeCell ref="M99:M100"/>
    <mergeCell ref="N99:N100"/>
    <mergeCell ref="O99:O100"/>
    <mergeCell ref="P99:P100"/>
    <mergeCell ref="Q99:Q100"/>
    <mergeCell ref="R99:R100"/>
    <mergeCell ref="S103:S104"/>
    <mergeCell ref="T103:T104"/>
    <mergeCell ref="U103:U104"/>
    <mergeCell ref="V103:V104"/>
    <mergeCell ref="W103:W104"/>
    <mergeCell ref="L103:L104"/>
    <mergeCell ref="M103:M104"/>
    <mergeCell ref="N103:N104"/>
    <mergeCell ref="O103:O104"/>
    <mergeCell ref="P103:P104"/>
    <mergeCell ref="Q103:Q104"/>
    <mergeCell ref="R103:R104"/>
    <mergeCell ref="A103:A104"/>
    <mergeCell ref="B103:B104"/>
    <mergeCell ref="C103:C104"/>
    <mergeCell ref="D103:D104"/>
    <mergeCell ref="E103:E104"/>
    <mergeCell ref="F103:F104"/>
    <mergeCell ref="K103:K104"/>
    <mergeCell ref="S105:S107"/>
    <mergeCell ref="T105:T107"/>
    <mergeCell ref="U105:U107"/>
    <mergeCell ref="V105:V107"/>
    <mergeCell ref="W105:W107"/>
    <mergeCell ref="U110:U111"/>
    <mergeCell ref="V110:V111"/>
    <mergeCell ref="W110:W111"/>
    <mergeCell ref="A110:A111"/>
    <mergeCell ref="B110:B111"/>
    <mergeCell ref="C110:C111"/>
    <mergeCell ref="D110:D111"/>
    <mergeCell ref="E110:E111"/>
    <mergeCell ref="F110:F111"/>
    <mergeCell ref="K110:K111"/>
    <mergeCell ref="L124:L127"/>
    <mergeCell ref="M124:M127"/>
    <mergeCell ref="N124:N127"/>
    <mergeCell ref="O124:O127"/>
    <mergeCell ref="P124:P127"/>
    <mergeCell ref="Q124:Q127"/>
    <mergeCell ref="R124:R127"/>
    <mergeCell ref="A124:A127"/>
    <mergeCell ref="B124:B127"/>
    <mergeCell ref="C124:C127"/>
    <mergeCell ref="D124:D127"/>
    <mergeCell ref="E124:E127"/>
    <mergeCell ref="F124:F127"/>
    <mergeCell ref="K124:K127"/>
    <mergeCell ref="S110:S111"/>
    <mergeCell ref="T110:T111"/>
    <mergeCell ref="L110:L111"/>
    <mergeCell ref="M110:M111"/>
    <mergeCell ref="N110:N111"/>
    <mergeCell ref="O110:O111"/>
    <mergeCell ref="P110:P111"/>
    <mergeCell ref="Q110:Q111"/>
    <mergeCell ref="R110:R111"/>
    <mergeCell ref="S119:S120"/>
    <mergeCell ref="T119:T120"/>
    <mergeCell ref="U119:U120"/>
    <mergeCell ref="V119:V120"/>
    <mergeCell ref="W119:W120"/>
    <mergeCell ref="L119:L120"/>
    <mergeCell ref="M119:M120"/>
    <mergeCell ref="N119:N120"/>
    <mergeCell ref="O119:O120"/>
    <mergeCell ref="P119:P120"/>
    <mergeCell ref="Q119:Q120"/>
    <mergeCell ref="R119:R120"/>
    <mergeCell ref="A119:A120"/>
    <mergeCell ref="B119:B120"/>
    <mergeCell ref="C119:C120"/>
    <mergeCell ref="D119:D120"/>
    <mergeCell ref="E119:E120"/>
    <mergeCell ref="F119:F120"/>
    <mergeCell ref="K119:K120"/>
    <mergeCell ref="S124:S127"/>
    <mergeCell ref="T124:T127"/>
    <mergeCell ref="U124:U125"/>
    <mergeCell ref="V124:V125"/>
    <mergeCell ref="W124:W127"/>
    <mergeCell ref="U126:U127"/>
    <mergeCell ref="V126:V127"/>
    <mergeCell ref="B133:I133"/>
    <mergeCell ref="B134:I134"/>
    <mergeCell ref="B135:I135"/>
    <mergeCell ref="B136:I136"/>
    <mergeCell ref="B137:I137"/>
    <mergeCell ref="E140:J140"/>
    <mergeCell ref="N140:T140"/>
    <mergeCell ref="L37:L38"/>
    <mergeCell ref="M37:M38"/>
    <mergeCell ref="N37:N38"/>
    <mergeCell ref="O37:O38"/>
    <mergeCell ref="P37:P38"/>
    <mergeCell ref="Q37:Q38"/>
    <mergeCell ref="R37:R38"/>
    <mergeCell ref="A37:A38"/>
    <mergeCell ref="B37:B38"/>
    <mergeCell ref="C37:C38"/>
    <mergeCell ref="D37:D38"/>
    <mergeCell ref="E37:E38"/>
    <mergeCell ref="F37:F38"/>
    <mergeCell ref="K37:K38"/>
    <mergeCell ref="S39:S40"/>
    <mergeCell ref="T39:T40"/>
    <mergeCell ref="L39:L40"/>
    <mergeCell ref="M39:M40"/>
    <mergeCell ref="N39:N40"/>
    <mergeCell ref="O39:O40"/>
    <mergeCell ref="P39:P40"/>
    <mergeCell ref="Q39:Q40"/>
    <mergeCell ref="R39:R40"/>
    <mergeCell ref="G2:J2"/>
    <mergeCell ref="K2:Q2"/>
    <mergeCell ref="R2:T2"/>
    <mergeCell ref="U2:V2"/>
    <mergeCell ref="W2:W3"/>
    <mergeCell ref="P3:Q3"/>
    <mergeCell ref="A4:A6"/>
    <mergeCell ref="B4:B6"/>
    <mergeCell ref="C4:C6"/>
    <mergeCell ref="D4:D6"/>
    <mergeCell ref="E4:E6"/>
    <mergeCell ref="F4:F6"/>
    <mergeCell ref="K4:K6"/>
    <mergeCell ref="S4:S6"/>
    <mergeCell ref="T4:T6"/>
    <mergeCell ref="U4:U6"/>
    <mergeCell ref="V4:V6"/>
    <mergeCell ref="W4:W6"/>
    <mergeCell ref="W23:W24"/>
    <mergeCell ref="L4:L6"/>
    <mergeCell ref="M4:M6"/>
    <mergeCell ref="N4:N6"/>
    <mergeCell ref="O4:O6"/>
    <mergeCell ref="P4:P6"/>
    <mergeCell ref="Q4:Q6"/>
    <mergeCell ref="R4:R6"/>
    <mergeCell ref="A1:G1"/>
    <mergeCell ref="A2:A3"/>
    <mergeCell ref="B2:B3"/>
    <mergeCell ref="C2:C3"/>
    <mergeCell ref="D2:D3"/>
    <mergeCell ref="E2:E3"/>
    <mergeCell ref="F2:F3"/>
    <mergeCell ref="S37:S38"/>
    <mergeCell ref="T37:T38"/>
    <mergeCell ref="U37:U38"/>
    <mergeCell ref="V37:V38"/>
    <mergeCell ref="W37:W38"/>
    <mergeCell ref="U39:U40"/>
    <mergeCell ref="V39:V40"/>
    <mergeCell ref="W39:W40"/>
    <mergeCell ref="A39:A40"/>
    <mergeCell ref="B39:B40"/>
    <mergeCell ref="C39:C40"/>
    <mergeCell ref="D39:D40"/>
    <mergeCell ref="E39:E40"/>
    <mergeCell ref="F39:F40"/>
    <mergeCell ref="K39:K40"/>
    <mergeCell ref="S67:S68"/>
    <mergeCell ref="T67:T68"/>
    <mergeCell ref="L67:L68"/>
    <mergeCell ref="M67:M68"/>
    <mergeCell ref="N67:N68"/>
    <mergeCell ref="O67:O68"/>
    <mergeCell ref="P67:P68"/>
    <mergeCell ref="Q67:Q68"/>
    <mergeCell ref="R67:R68"/>
    <mergeCell ref="U67:U68"/>
    <mergeCell ref="V67:V68"/>
    <mergeCell ref="W67:W68"/>
    <mergeCell ref="A67:A68"/>
    <mergeCell ref="B67:B68"/>
    <mergeCell ref="C67:C68"/>
    <mergeCell ref="D67:D68"/>
    <mergeCell ref="E67:E68"/>
    <mergeCell ref="F67:F68"/>
    <mergeCell ref="K67:K68"/>
    <mergeCell ref="L91:L92"/>
    <mergeCell ref="M91:M92"/>
    <mergeCell ref="N91:N92"/>
    <mergeCell ref="O91:O92"/>
    <mergeCell ref="P91:P92"/>
    <mergeCell ref="Q91:Q92"/>
    <mergeCell ref="R91:R92"/>
    <mergeCell ref="A91:A92"/>
    <mergeCell ref="B91:B92"/>
    <mergeCell ref="C91:C92"/>
    <mergeCell ref="D91:D92"/>
    <mergeCell ref="E91:E92"/>
    <mergeCell ref="F91:F92"/>
    <mergeCell ref="K91:K92"/>
    <mergeCell ref="B140:D140"/>
    <mergeCell ref="B142:B159"/>
    <mergeCell ref="B160:B183"/>
    <mergeCell ref="B184:H184"/>
    <mergeCell ref="B185:H185"/>
    <mergeCell ref="K185:M185"/>
    <mergeCell ref="B186:H186"/>
    <mergeCell ref="B187:D187"/>
    <mergeCell ref="E187:H187"/>
    <mergeCell ref="B188:H188"/>
    <mergeCell ref="B189:H189"/>
    <mergeCell ref="B190:H190"/>
    <mergeCell ref="B191:H191"/>
    <mergeCell ref="B192:H192"/>
    <mergeCell ref="G198:G200"/>
    <mergeCell ref="L198:L200"/>
    <mergeCell ref="M198:M200"/>
    <mergeCell ref="N198:N200"/>
    <mergeCell ref="O199:P199"/>
    <mergeCell ref="O200:P200"/>
    <mergeCell ref="B202:J202"/>
    <mergeCell ref="O202:P202"/>
    <mergeCell ref="A195:D195"/>
    <mergeCell ref="O197:P197"/>
    <mergeCell ref="B198:B200"/>
    <mergeCell ref="C198:C200"/>
    <mergeCell ref="D198:D200"/>
    <mergeCell ref="E198:E200"/>
    <mergeCell ref="F198:F200"/>
  </mergeCells>
  <dataValidations>
    <dataValidation type="list" allowBlank="1" showErrorMessage="1" sqref="S4 S7:S37 S39 S41 S45:S49 S56:S67 S69:S72 S74:S86 S89:S91 S93:S99 S101:S103 S105 S108:S110 S112:S119 S121:S123 S128:S132">
      <formula1>"Cty trả ship"</formula1>
    </dataValidation>
    <dataValidation type="list" allowBlank="1" showErrorMessage="1" sqref="Q4 Q7:Q37 Q39 Q41 Q45:Q49 Q56:Q67 Q69:Q72 Q74:Q86 Q89:Q91 Q93:Q99 Q101:Q103 Q105 Q108:Q110 Q112:Q119 Q121:Q123 Q128:Q132">
      <formula1>"Chưa thu,Đã thu"</formula1>
    </dataValidation>
    <dataValidation type="list" allowBlank="1" showErrorMessage="1" sqref="P4 P7:P37 P39 P41 P45:P49 P56:P67 P69:P72 P74:P86 P89:P91 P93:P99 P101:P103 P105 P108:P110 P112:P119 P121:P123 P128:P132">
      <formula1>"Chưa giao,Đã giao"</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4.0" ySplit="3.0" topLeftCell="E4" activePane="bottomRight" state="frozen"/>
      <selection activeCell="E1" sqref="E1" pane="topRight"/>
      <selection activeCell="A4" sqref="A4" pane="bottomLeft"/>
      <selection activeCell="E4" sqref="E4" pane="bottomRight"/>
    </sheetView>
  </sheetViews>
  <sheetFormatPr customHeight="1" defaultColWidth="12.63" defaultRowHeight="15.0"/>
  <cols>
    <col customWidth="1" min="1" max="1" width="8.75"/>
    <col customWidth="1" min="2" max="2" width="14.75"/>
    <col customWidth="1" min="3" max="3" width="22.13"/>
    <col customWidth="1" min="4" max="4" width="30.63"/>
    <col customWidth="1" min="5" max="5" width="24.75"/>
    <col customWidth="1" min="6" max="6" width="62.38"/>
    <col customWidth="1" min="7" max="7" width="20.38"/>
    <col customWidth="1" min="8" max="8" width="15.13"/>
    <col customWidth="1" min="9" max="9" width="17.38"/>
    <col customWidth="1" min="10" max="10" width="16.88"/>
    <col customWidth="1" min="11" max="11" width="16.13"/>
    <col customWidth="1" min="12" max="14" width="18.75"/>
    <col customWidth="1" min="15" max="15" width="20.38"/>
    <col customWidth="1" min="16" max="16" width="19.38"/>
    <col customWidth="1" min="17" max="17" width="19.13"/>
    <col customWidth="1" min="18" max="18" width="17.88"/>
    <col customWidth="1" min="19" max="19" width="17.25"/>
    <col customWidth="1" min="20" max="20" width="24.0"/>
    <col customWidth="1" min="21" max="21" width="20.38"/>
    <col customWidth="1" min="22" max="22" width="15.63"/>
    <col customWidth="1" min="23" max="23" width="32.75"/>
    <col customWidth="1" min="24" max="24" width="8.63"/>
    <col customWidth="1" min="25" max="25" width="21.13"/>
    <col customWidth="1" min="26" max="26" width="16.63"/>
    <col customWidth="1" min="27" max="30" width="12.63"/>
  </cols>
  <sheetData>
    <row r="1" ht="25.5" customHeight="1">
      <c r="A1" s="670" t="s">
        <v>876</v>
      </c>
      <c r="B1" s="2"/>
      <c r="C1" s="2"/>
      <c r="D1" s="2"/>
      <c r="E1" s="2"/>
      <c r="F1" s="2"/>
      <c r="G1" s="3"/>
      <c r="H1" s="4"/>
      <c r="I1" s="4"/>
      <c r="J1" s="4"/>
      <c r="K1" s="4"/>
      <c r="L1" s="4"/>
      <c r="M1" s="4"/>
      <c r="N1" s="4"/>
      <c r="O1" s="4"/>
      <c r="P1" s="4"/>
      <c r="Q1" s="4"/>
      <c r="R1" s="5"/>
      <c r="S1" s="5"/>
      <c r="T1" s="4"/>
      <c r="U1" s="4"/>
      <c r="V1" s="4"/>
      <c r="W1" s="4"/>
      <c r="X1" s="6"/>
      <c r="Y1" s="6"/>
      <c r="Z1" s="7"/>
      <c r="AA1" s="555"/>
      <c r="AB1" s="555"/>
      <c r="AC1" s="555"/>
      <c r="AD1" s="556"/>
    </row>
    <row r="2" ht="40.5" customHeight="1">
      <c r="A2" s="10" t="s">
        <v>1</v>
      </c>
      <c r="B2" s="11" t="s">
        <v>2</v>
      </c>
      <c r="C2" s="12" t="s">
        <v>3</v>
      </c>
      <c r="D2" s="13" t="s">
        <v>4</v>
      </c>
      <c r="E2" s="14" t="s">
        <v>5</v>
      </c>
      <c r="F2" s="13" t="s">
        <v>6</v>
      </c>
      <c r="G2" s="15" t="s">
        <v>7</v>
      </c>
      <c r="H2" s="16"/>
      <c r="I2" s="16"/>
      <c r="J2" s="17"/>
      <c r="K2" s="18" t="s">
        <v>8</v>
      </c>
      <c r="L2" s="16"/>
      <c r="M2" s="16"/>
      <c r="N2" s="16"/>
      <c r="O2" s="16"/>
      <c r="P2" s="16"/>
      <c r="Q2" s="17"/>
      <c r="R2" s="19" t="s">
        <v>9</v>
      </c>
      <c r="S2" s="16"/>
      <c r="T2" s="17"/>
      <c r="U2" s="20" t="s">
        <v>10</v>
      </c>
      <c r="V2" s="17"/>
      <c r="W2" s="21" t="s">
        <v>11</v>
      </c>
      <c r="X2" s="106"/>
      <c r="Y2" s="23"/>
      <c r="Z2" s="24"/>
      <c r="AA2" s="107"/>
      <c r="AB2" s="107"/>
      <c r="AC2" s="107"/>
      <c r="AD2" s="106"/>
    </row>
    <row r="3" ht="51.75" customHeight="1">
      <c r="A3" s="26"/>
      <c r="B3" s="26"/>
      <c r="C3" s="26"/>
      <c r="D3" s="26"/>
      <c r="E3" s="26"/>
      <c r="F3" s="26"/>
      <c r="G3" s="27" t="s">
        <v>12</v>
      </c>
      <c r="H3" s="27" t="s">
        <v>13</v>
      </c>
      <c r="I3" s="28" t="s">
        <v>14</v>
      </c>
      <c r="J3" s="29" t="s">
        <v>15</v>
      </c>
      <c r="K3" s="30" t="s">
        <v>16</v>
      </c>
      <c r="L3" s="31" t="s">
        <v>17</v>
      </c>
      <c r="M3" s="32" t="s">
        <v>877</v>
      </c>
      <c r="N3" s="33" t="s">
        <v>19</v>
      </c>
      <c r="O3" s="34" t="s">
        <v>20</v>
      </c>
      <c r="P3" s="558" t="s">
        <v>21</v>
      </c>
      <c r="Q3" s="408"/>
      <c r="R3" s="36" t="s">
        <v>22</v>
      </c>
      <c r="S3" s="37" t="s">
        <v>23</v>
      </c>
      <c r="T3" s="37" t="s">
        <v>878</v>
      </c>
      <c r="U3" s="38" t="s">
        <v>25</v>
      </c>
      <c r="V3" s="27" t="s">
        <v>26</v>
      </c>
      <c r="W3" s="26"/>
      <c r="X3" s="106"/>
      <c r="Y3" s="23"/>
      <c r="Z3" s="24"/>
      <c r="AA3" s="107"/>
      <c r="AB3" s="107"/>
      <c r="AC3" s="107"/>
      <c r="AD3" s="106"/>
    </row>
    <row r="4" ht="30.0" customHeight="1">
      <c r="A4" s="64">
        <v>1.0</v>
      </c>
      <c r="B4" s="120">
        <v>45164.0</v>
      </c>
      <c r="C4" s="523" t="s">
        <v>879</v>
      </c>
      <c r="D4" s="410" t="s">
        <v>50</v>
      </c>
      <c r="E4" s="411" t="s">
        <v>880</v>
      </c>
      <c r="F4" s="121" t="s">
        <v>119</v>
      </c>
      <c r="G4" s="45" t="s">
        <v>30</v>
      </c>
      <c r="H4" s="46">
        <v>1.0</v>
      </c>
      <c r="I4" s="47">
        <f t="shared" ref="I4:I34" si="1">VLOOKUP(G4,$Y$4:$Z$45,2,0)</f>
        <v>220000</v>
      </c>
      <c r="J4" s="48">
        <f t="shared" ref="J4:J34" si="2">I4*H4</f>
        <v>220000</v>
      </c>
      <c r="K4" s="76">
        <f t="shared" ref="K4:K6" si="3">SUM(J4)</f>
        <v>220000</v>
      </c>
      <c r="L4" s="138"/>
      <c r="M4" s="78">
        <f>5100+4400</f>
        <v>9500</v>
      </c>
      <c r="N4" s="136"/>
      <c r="O4" s="80">
        <f t="shared" ref="O4:O6" si="4">K4+L4-M4-N4</f>
        <v>210500</v>
      </c>
      <c r="P4" s="81" t="s">
        <v>449</v>
      </c>
      <c r="Q4" s="81" t="s">
        <v>31</v>
      </c>
      <c r="R4" s="82"/>
      <c r="S4" s="183"/>
      <c r="T4" s="84" t="s">
        <v>33</v>
      </c>
      <c r="U4" s="412"/>
      <c r="V4" s="671"/>
      <c r="W4" s="135" t="s">
        <v>53</v>
      </c>
      <c r="X4" s="106"/>
      <c r="Y4" s="60" t="s">
        <v>34</v>
      </c>
      <c r="Z4" s="61">
        <v>65000.0</v>
      </c>
      <c r="AA4" s="107"/>
      <c r="AB4" s="107"/>
      <c r="AC4" s="107"/>
      <c r="AD4" s="106"/>
    </row>
    <row r="5" ht="30.0" customHeight="1">
      <c r="A5" s="93">
        <v>2.0</v>
      </c>
      <c r="B5" s="120">
        <v>45164.0</v>
      </c>
      <c r="C5" s="672" t="s">
        <v>881</v>
      </c>
      <c r="D5" s="92" t="s">
        <v>50</v>
      </c>
      <c r="E5" s="105" t="s">
        <v>882</v>
      </c>
      <c r="F5" s="92" t="s">
        <v>74</v>
      </c>
      <c r="G5" s="45" t="s">
        <v>30</v>
      </c>
      <c r="H5" s="64">
        <v>1.0</v>
      </c>
      <c r="I5" s="47">
        <f t="shared" si="1"/>
        <v>220000</v>
      </c>
      <c r="J5" s="48">
        <f t="shared" si="2"/>
        <v>220000</v>
      </c>
      <c r="K5" s="76">
        <f t="shared" si="3"/>
        <v>220000</v>
      </c>
      <c r="L5" s="122"/>
      <c r="M5" s="78">
        <f>7587+4400</f>
        <v>11987</v>
      </c>
      <c r="N5" s="136"/>
      <c r="O5" s="80">
        <f t="shared" si="4"/>
        <v>208013</v>
      </c>
      <c r="P5" s="81" t="s">
        <v>449</v>
      </c>
      <c r="Q5" s="81" t="s">
        <v>31</v>
      </c>
      <c r="R5" s="65"/>
      <c r="S5" s="183"/>
      <c r="T5" s="84" t="s">
        <v>33</v>
      </c>
      <c r="U5" s="122"/>
      <c r="V5" s="673"/>
      <c r="W5" s="135" t="s">
        <v>53</v>
      </c>
      <c r="X5" s="106"/>
      <c r="Y5" s="65" t="s">
        <v>36</v>
      </c>
      <c r="Z5" s="66">
        <v>180000.0</v>
      </c>
      <c r="AA5" s="107"/>
      <c r="AB5" s="107"/>
      <c r="AC5" s="107"/>
      <c r="AD5" s="106"/>
    </row>
    <row r="6" ht="30.0" customHeight="1">
      <c r="A6" s="64">
        <v>3.0</v>
      </c>
      <c r="B6" s="70">
        <v>45166.0</v>
      </c>
      <c r="C6" s="69">
        <v>1.707564302262E12</v>
      </c>
      <c r="D6" s="674" t="s">
        <v>883</v>
      </c>
      <c r="E6" s="71" t="s">
        <v>884</v>
      </c>
      <c r="F6" s="674" t="s">
        <v>885</v>
      </c>
      <c r="G6" s="45" t="s">
        <v>30</v>
      </c>
      <c r="H6" s="69">
        <v>1.0</v>
      </c>
      <c r="I6" s="47">
        <f t="shared" si="1"/>
        <v>220000</v>
      </c>
      <c r="J6" s="48">
        <f t="shared" si="2"/>
        <v>220000</v>
      </c>
      <c r="K6" s="76">
        <f t="shared" si="3"/>
        <v>220000</v>
      </c>
      <c r="L6" s="114">
        <v>40001.0</v>
      </c>
      <c r="M6" s="78"/>
      <c r="N6" s="115">
        <v>20001.0</v>
      </c>
      <c r="O6" s="80">
        <f t="shared" si="4"/>
        <v>240000</v>
      </c>
      <c r="P6" s="81" t="s">
        <v>449</v>
      </c>
      <c r="Q6" s="81" t="s">
        <v>31</v>
      </c>
      <c r="R6" s="90"/>
      <c r="S6" s="183"/>
      <c r="T6" s="84" t="s">
        <v>33</v>
      </c>
      <c r="U6" s="85"/>
      <c r="V6" s="414"/>
      <c r="W6" s="257"/>
      <c r="X6" s="106"/>
      <c r="Y6" s="65" t="s">
        <v>38</v>
      </c>
      <c r="Z6" s="66">
        <v>160000.0</v>
      </c>
      <c r="AA6" s="107"/>
      <c r="AB6" s="107"/>
      <c r="AC6" s="107"/>
      <c r="AD6" s="106"/>
    </row>
    <row r="7" ht="30.0" customHeight="1">
      <c r="A7" s="94">
        <v>4.0</v>
      </c>
      <c r="B7" s="95">
        <v>45166.0</v>
      </c>
      <c r="C7" s="94">
        <v>1.715643102678E12</v>
      </c>
      <c r="D7" s="417" t="s">
        <v>886</v>
      </c>
      <c r="E7" s="97" t="s">
        <v>887</v>
      </c>
      <c r="F7" s="44" t="s">
        <v>888</v>
      </c>
      <c r="G7" s="68" t="s">
        <v>30</v>
      </c>
      <c r="H7" s="69">
        <v>1.0</v>
      </c>
      <c r="I7" s="47">
        <f t="shared" si="1"/>
        <v>220000</v>
      </c>
      <c r="J7" s="48">
        <f t="shared" si="2"/>
        <v>220000</v>
      </c>
      <c r="K7" s="49">
        <f>SUM(J7:J9)</f>
        <v>1100000</v>
      </c>
      <c r="L7" s="127"/>
      <c r="M7" s="51"/>
      <c r="N7" s="52"/>
      <c r="O7" s="53">
        <f>K7+L7-N7</f>
        <v>1100000</v>
      </c>
      <c r="P7" s="99" t="s">
        <v>449</v>
      </c>
      <c r="Q7" s="99" t="s">
        <v>31</v>
      </c>
      <c r="R7" s="55">
        <v>64003.0</v>
      </c>
      <c r="S7" s="57" t="s">
        <v>32</v>
      </c>
      <c r="T7" s="57" t="s">
        <v>33</v>
      </c>
      <c r="U7" s="100"/>
      <c r="V7" s="100"/>
      <c r="W7" s="100"/>
      <c r="X7" s="106"/>
      <c r="Y7" s="65" t="s">
        <v>43</v>
      </c>
      <c r="Z7" s="87">
        <v>65000.0</v>
      </c>
      <c r="AA7" s="107"/>
      <c r="AB7" s="107"/>
      <c r="AC7" s="107"/>
      <c r="AD7" s="106"/>
    </row>
    <row r="8" ht="30.0" customHeight="1">
      <c r="A8" s="62"/>
      <c r="B8" s="62"/>
      <c r="C8" s="62"/>
      <c r="D8" s="62"/>
      <c r="E8" s="62"/>
      <c r="F8" s="62"/>
      <c r="G8" s="68" t="s">
        <v>35</v>
      </c>
      <c r="H8" s="69">
        <v>2.0</v>
      </c>
      <c r="I8" s="47">
        <f t="shared" si="1"/>
        <v>220000</v>
      </c>
      <c r="J8" s="48">
        <f t="shared" si="2"/>
        <v>440000</v>
      </c>
      <c r="K8" s="62"/>
      <c r="L8" s="62"/>
      <c r="M8" s="62"/>
      <c r="N8" s="62"/>
      <c r="O8" s="62"/>
      <c r="P8" s="62"/>
      <c r="Q8" s="62"/>
      <c r="R8" s="62"/>
      <c r="S8" s="62"/>
      <c r="T8" s="62"/>
      <c r="U8" s="62"/>
      <c r="V8" s="62"/>
      <c r="W8" s="62"/>
      <c r="X8" s="106"/>
      <c r="Y8" s="65" t="s">
        <v>48</v>
      </c>
      <c r="Z8" s="66">
        <v>55000.0</v>
      </c>
      <c r="AA8" s="107"/>
      <c r="AB8" s="107"/>
      <c r="AC8" s="107"/>
      <c r="AD8" s="106"/>
    </row>
    <row r="9" ht="30.0" customHeight="1">
      <c r="A9" s="67"/>
      <c r="B9" s="67"/>
      <c r="C9" s="67"/>
      <c r="D9" s="67"/>
      <c r="E9" s="67"/>
      <c r="F9" s="67"/>
      <c r="G9" s="68" t="s">
        <v>122</v>
      </c>
      <c r="H9" s="69">
        <v>2.0</v>
      </c>
      <c r="I9" s="47">
        <f t="shared" si="1"/>
        <v>220000</v>
      </c>
      <c r="J9" s="48">
        <f t="shared" si="2"/>
        <v>440000</v>
      </c>
      <c r="K9" s="67"/>
      <c r="L9" s="67"/>
      <c r="M9" s="67"/>
      <c r="N9" s="67"/>
      <c r="O9" s="67"/>
      <c r="P9" s="67"/>
      <c r="Q9" s="67"/>
      <c r="R9" s="67"/>
      <c r="S9" s="67"/>
      <c r="T9" s="67"/>
      <c r="U9" s="67"/>
      <c r="V9" s="67"/>
      <c r="W9" s="67"/>
      <c r="X9" s="106"/>
      <c r="Y9" s="93" t="s">
        <v>54</v>
      </c>
      <c r="Z9" s="87">
        <v>40000.0</v>
      </c>
      <c r="AA9" s="107"/>
      <c r="AB9" s="107"/>
      <c r="AC9" s="107"/>
      <c r="AD9" s="106"/>
    </row>
    <row r="10" ht="30.0" customHeight="1">
      <c r="A10" s="94">
        <v>5.0</v>
      </c>
      <c r="B10" s="95">
        <v>45166.0</v>
      </c>
      <c r="C10" s="94">
        <v>1.715717411417E12</v>
      </c>
      <c r="D10" s="96" t="s">
        <v>550</v>
      </c>
      <c r="E10" s="97" t="s">
        <v>551</v>
      </c>
      <c r="F10" s="422" t="s">
        <v>889</v>
      </c>
      <c r="G10" s="68" t="s">
        <v>30</v>
      </c>
      <c r="H10" s="69">
        <v>2.0</v>
      </c>
      <c r="I10" s="47">
        <f t="shared" si="1"/>
        <v>220000</v>
      </c>
      <c r="J10" s="48">
        <f t="shared" si="2"/>
        <v>440000</v>
      </c>
      <c r="K10" s="49">
        <f>SUM(J10:J13)</f>
        <v>1190000</v>
      </c>
      <c r="L10" s="50"/>
      <c r="M10" s="51"/>
      <c r="N10" s="52"/>
      <c r="O10" s="53">
        <f>K10+L10-N10</f>
        <v>1190000</v>
      </c>
      <c r="P10" s="99" t="s">
        <v>449</v>
      </c>
      <c r="Q10" s="99" t="s">
        <v>31</v>
      </c>
      <c r="R10" s="55">
        <v>83995.0</v>
      </c>
      <c r="S10" s="57" t="s">
        <v>32</v>
      </c>
      <c r="T10" s="57" t="s">
        <v>33</v>
      </c>
      <c r="U10" s="100"/>
      <c r="V10" s="100"/>
      <c r="W10" s="100"/>
      <c r="X10" s="106"/>
      <c r="Y10" s="65" t="s">
        <v>60</v>
      </c>
      <c r="Z10" s="66">
        <v>45000.0</v>
      </c>
      <c r="AA10" s="107"/>
      <c r="AB10" s="107"/>
      <c r="AC10" s="107"/>
      <c r="AD10" s="106"/>
    </row>
    <row r="11" ht="30.0" customHeight="1">
      <c r="A11" s="62"/>
      <c r="B11" s="62"/>
      <c r="C11" s="62"/>
      <c r="D11" s="62"/>
      <c r="E11" s="62"/>
      <c r="F11" s="423"/>
      <c r="G11" s="72" t="s">
        <v>76</v>
      </c>
      <c r="H11" s="73">
        <v>4.0</v>
      </c>
      <c r="I11" s="74">
        <f t="shared" si="1"/>
        <v>90000</v>
      </c>
      <c r="J11" s="75">
        <f t="shared" si="2"/>
        <v>360000</v>
      </c>
      <c r="K11" s="62"/>
      <c r="L11" s="62"/>
      <c r="M11" s="62"/>
      <c r="N11" s="62"/>
      <c r="O11" s="62"/>
      <c r="P11" s="62"/>
      <c r="Q11" s="62"/>
      <c r="R11" s="62"/>
      <c r="S11" s="62"/>
      <c r="T11" s="62"/>
      <c r="U11" s="62"/>
      <c r="V11" s="62"/>
      <c r="W11" s="62"/>
      <c r="X11" s="106"/>
      <c r="Y11" s="65" t="s">
        <v>679</v>
      </c>
      <c r="Z11" s="66">
        <v>110000.0</v>
      </c>
      <c r="AA11" s="107"/>
      <c r="AB11" s="107"/>
      <c r="AC11" s="107"/>
      <c r="AD11" s="106"/>
    </row>
    <row r="12" ht="30.0" customHeight="1">
      <c r="A12" s="62"/>
      <c r="B12" s="62"/>
      <c r="C12" s="62"/>
      <c r="D12" s="62"/>
      <c r="E12" s="62"/>
      <c r="F12" s="423"/>
      <c r="G12" s="72" t="s">
        <v>477</v>
      </c>
      <c r="H12" s="73">
        <v>3.0</v>
      </c>
      <c r="I12" s="74">
        <f t="shared" si="1"/>
        <v>65000</v>
      </c>
      <c r="J12" s="75">
        <f t="shared" si="2"/>
        <v>195000</v>
      </c>
      <c r="K12" s="62"/>
      <c r="L12" s="62"/>
      <c r="M12" s="62"/>
      <c r="N12" s="62"/>
      <c r="O12" s="62"/>
      <c r="P12" s="62"/>
      <c r="Q12" s="62"/>
      <c r="R12" s="62"/>
      <c r="S12" s="62"/>
      <c r="T12" s="62"/>
      <c r="U12" s="62"/>
      <c r="V12" s="62"/>
      <c r="W12" s="62"/>
      <c r="X12" s="106"/>
      <c r="Y12" s="65" t="s">
        <v>66</v>
      </c>
      <c r="Z12" s="66">
        <v>205000.0</v>
      </c>
      <c r="AA12" s="107"/>
      <c r="AB12" s="107"/>
      <c r="AC12" s="107"/>
      <c r="AD12" s="106"/>
    </row>
    <row r="13" ht="30.0" customHeight="1">
      <c r="A13" s="67"/>
      <c r="B13" s="67"/>
      <c r="C13" s="67"/>
      <c r="D13" s="67"/>
      <c r="E13" s="67"/>
      <c r="F13" s="102"/>
      <c r="G13" s="72" t="s">
        <v>478</v>
      </c>
      <c r="H13" s="73">
        <v>3.0</v>
      </c>
      <c r="I13" s="74">
        <f t="shared" si="1"/>
        <v>65000</v>
      </c>
      <c r="J13" s="75">
        <f t="shared" si="2"/>
        <v>195000</v>
      </c>
      <c r="K13" s="67"/>
      <c r="L13" s="67"/>
      <c r="M13" s="67"/>
      <c r="N13" s="67"/>
      <c r="O13" s="67"/>
      <c r="P13" s="67"/>
      <c r="Q13" s="67"/>
      <c r="R13" s="67"/>
      <c r="S13" s="67"/>
      <c r="T13" s="67"/>
      <c r="U13" s="67"/>
      <c r="V13" s="67"/>
      <c r="W13" s="67"/>
      <c r="X13" s="106"/>
      <c r="Y13" s="65" t="s">
        <v>684</v>
      </c>
      <c r="Z13" s="66">
        <v>150000.0</v>
      </c>
      <c r="AA13" s="107"/>
      <c r="AB13" s="107"/>
      <c r="AC13" s="107"/>
      <c r="AD13" s="106"/>
    </row>
    <row r="14" ht="36.0" customHeight="1">
      <c r="A14" s="93">
        <v>6.0</v>
      </c>
      <c r="B14" s="103">
        <v>45166.0</v>
      </c>
      <c r="C14" s="65" t="s">
        <v>890</v>
      </c>
      <c r="D14" s="92" t="s">
        <v>50</v>
      </c>
      <c r="E14" s="105" t="s">
        <v>891</v>
      </c>
      <c r="F14" s="122" t="s">
        <v>892</v>
      </c>
      <c r="G14" s="675" t="s">
        <v>30</v>
      </c>
      <c r="H14" s="85">
        <v>1.0</v>
      </c>
      <c r="I14" s="47">
        <f t="shared" si="1"/>
        <v>220000</v>
      </c>
      <c r="J14" s="48">
        <f t="shared" si="2"/>
        <v>220000</v>
      </c>
      <c r="K14" s="76">
        <f t="shared" ref="K14:K16" si="5">SUM(J14)</f>
        <v>220000</v>
      </c>
      <c r="L14" s="65"/>
      <c r="M14" s="78">
        <f>7857+4400</f>
        <v>12257</v>
      </c>
      <c r="N14" s="79"/>
      <c r="O14" s="80">
        <f t="shared" ref="O14:O17" si="6">K14+L14-M14-N14</f>
        <v>207743</v>
      </c>
      <c r="P14" s="81" t="s">
        <v>449</v>
      </c>
      <c r="Q14" s="81" t="s">
        <v>31</v>
      </c>
      <c r="R14" s="65"/>
      <c r="S14" s="183"/>
      <c r="T14" s="84" t="s">
        <v>33</v>
      </c>
      <c r="U14" s="122"/>
      <c r="V14" s="673"/>
      <c r="W14" s="135" t="s">
        <v>53</v>
      </c>
      <c r="X14" s="106"/>
      <c r="Y14" s="110" t="s">
        <v>71</v>
      </c>
      <c r="Z14" s="66">
        <v>85000.0</v>
      </c>
      <c r="AA14" s="107"/>
      <c r="AB14" s="107"/>
      <c r="AC14" s="107"/>
      <c r="AD14" s="106"/>
    </row>
    <row r="15" ht="36.0" customHeight="1">
      <c r="A15" s="104">
        <v>7.0</v>
      </c>
      <c r="B15" s="103">
        <v>45166.0</v>
      </c>
      <c r="C15" s="65" t="s">
        <v>893</v>
      </c>
      <c r="D15" s="92" t="s">
        <v>50</v>
      </c>
      <c r="E15" s="105" t="s">
        <v>894</v>
      </c>
      <c r="F15" s="122" t="s">
        <v>548</v>
      </c>
      <c r="G15" s="676" t="s">
        <v>30</v>
      </c>
      <c r="H15" s="85">
        <v>2.0</v>
      </c>
      <c r="I15" s="47">
        <f t="shared" si="1"/>
        <v>220000</v>
      </c>
      <c r="J15" s="48">
        <f t="shared" si="2"/>
        <v>440000</v>
      </c>
      <c r="K15" s="76">
        <f t="shared" si="5"/>
        <v>440000</v>
      </c>
      <c r="L15" s="65"/>
      <c r="M15" s="157">
        <f>14046+8800</f>
        <v>22846</v>
      </c>
      <c r="N15" s="79"/>
      <c r="O15" s="80">
        <f t="shared" si="6"/>
        <v>417154</v>
      </c>
      <c r="P15" s="81" t="s">
        <v>449</v>
      </c>
      <c r="Q15" s="81" t="s">
        <v>31</v>
      </c>
      <c r="R15" s="65"/>
      <c r="S15" s="183"/>
      <c r="T15" s="84" t="s">
        <v>33</v>
      </c>
      <c r="U15" s="122"/>
      <c r="V15" s="673"/>
      <c r="W15" s="135" t="s">
        <v>53</v>
      </c>
      <c r="X15" s="106"/>
      <c r="Y15" s="65" t="s">
        <v>76</v>
      </c>
      <c r="Z15" s="66">
        <v>90000.0</v>
      </c>
      <c r="AA15" s="107"/>
      <c r="AB15" s="107"/>
      <c r="AC15" s="107"/>
      <c r="AD15" s="106"/>
    </row>
    <row r="16" ht="36.0" customHeight="1">
      <c r="A16" s="69">
        <v>8.0</v>
      </c>
      <c r="B16" s="103">
        <v>45166.0</v>
      </c>
      <c r="C16" s="129" t="s">
        <v>895</v>
      </c>
      <c r="D16" s="92" t="s">
        <v>50</v>
      </c>
      <c r="E16" s="71" t="s">
        <v>896</v>
      </c>
      <c r="F16" s="677" t="s">
        <v>897</v>
      </c>
      <c r="G16" s="676" t="s">
        <v>30</v>
      </c>
      <c r="H16" s="85">
        <v>1.0</v>
      </c>
      <c r="I16" s="47">
        <f t="shared" si="1"/>
        <v>220000</v>
      </c>
      <c r="J16" s="48">
        <f t="shared" si="2"/>
        <v>220000</v>
      </c>
      <c r="K16" s="76">
        <f t="shared" si="5"/>
        <v>220000</v>
      </c>
      <c r="L16" s="89"/>
      <c r="M16" s="78">
        <f>7587+4400</f>
        <v>11987</v>
      </c>
      <c r="N16" s="79"/>
      <c r="O16" s="80">
        <f t="shared" si="6"/>
        <v>208013</v>
      </c>
      <c r="P16" s="81" t="s">
        <v>449</v>
      </c>
      <c r="Q16" s="81" t="s">
        <v>31</v>
      </c>
      <c r="R16" s="90"/>
      <c r="S16" s="183"/>
      <c r="T16" s="84" t="s">
        <v>33</v>
      </c>
      <c r="U16" s="419"/>
      <c r="V16" s="419"/>
      <c r="W16" s="135" t="s">
        <v>53</v>
      </c>
      <c r="X16" s="106"/>
      <c r="Y16" s="65" t="s">
        <v>80</v>
      </c>
      <c r="Z16" s="66">
        <v>85000.0</v>
      </c>
      <c r="AA16" s="107"/>
      <c r="AB16" s="107"/>
      <c r="AC16" s="107"/>
      <c r="AD16" s="106"/>
    </row>
    <row r="17" ht="36.0" customHeight="1">
      <c r="A17" s="152">
        <v>9.0</v>
      </c>
      <c r="B17" s="112">
        <v>45166.0</v>
      </c>
      <c r="C17" s="152" t="s">
        <v>898</v>
      </c>
      <c r="D17" s="142" t="s">
        <v>50</v>
      </c>
      <c r="E17" s="143" t="s">
        <v>899</v>
      </c>
      <c r="F17" s="147" t="s">
        <v>156</v>
      </c>
      <c r="G17" s="676" t="s">
        <v>30</v>
      </c>
      <c r="H17" s="85">
        <v>1.0</v>
      </c>
      <c r="I17" s="47">
        <f t="shared" si="1"/>
        <v>220000</v>
      </c>
      <c r="J17" s="48">
        <f t="shared" si="2"/>
        <v>220000</v>
      </c>
      <c r="K17" s="49">
        <f>sum(J17:J18)</f>
        <v>440000</v>
      </c>
      <c r="L17" s="146"/>
      <c r="M17" s="51">
        <f>14188+8800+44000</f>
        <v>66988</v>
      </c>
      <c r="N17" s="52"/>
      <c r="O17" s="53">
        <f t="shared" si="6"/>
        <v>373012</v>
      </c>
      <c r="P17" s="99" t="s">
        <v>449</v>
      </c>
      <c r="Q17" s="99" t="s">
        <v>31</v>
      </c>
      <c r="R17" s="146"/>
      <c r="S17" s="197"/>
      <c r="T17" s="57" t="s">
        <v>33</v>
      </c>
      <c r="U17" s="147"/>
      <c r="V17" s="678"/>
      <c r="W17" s="679" t="s">
        <v>53</v>
      </c>
      <c r="X17" s="106"/>
      <c r="Y17" s="65" t="s">
        <v>81</v>
      </c>
      <c r="Z17" s="66">
        <v>150000.0</v>
      </c>
      <c r="AA17" s="107"/>
      <c r="AB17" s="107"/>
      <c r="AC17" s="107"/>
      <c r="AD17" s="106"/>
    </row>
    <row r="18" ht="36.0" customHeight="1">
      <c r="A18" s="67"/>
      <c r="B18" s="67"/>
      <c r="C18" s="67"/>
      <c r="D18" s="67"/>
      <c r="E18" s="67"/>
      <c r="F18" s="67"/>
      <c r="G18" s="680" t="s">
        <v>35</v>
      </c>
      <c r="H18" s="85">
        <v>1.0</v>
      </c>
      <c r="I18" s="47">
        <f t="shared" si="1"/>
        <v>220000</v>
      </c>
      <c r="J18" s="48">
        <f t="shared" si="2"/>
        <v>220000</v>
      </c>
      <c r="K18" s="67"/>
      <c r="L18" s="67"/>
      <c r="M18" s="67"/>
      <c r="N18" s="67"/>
      <c r="O18" s="67"/>
      <c r="P18" s="67"/>
      <c r="Q18" s="67"/>
      <c r="R18" s="67"/>
      <c r="S18" s="67"/>
      <c r="T18" s="67"/>
      <c r="U18" s="67"/>
      <c r="V18" s="67"/>
      <c r="W18" s="67"/>
      <c r="X18" s="106"/>
      <c r="Y18" s="65" t="s">
        <v>85</v>
      </c>
      <c r="Z18" s="66">
        <v>125000.0</v>
      </c>
      <c r="AA18" s="107"/>
      <c r="AB18" s="107"/>
      <c r="AC18" s="107"/>
      <c r="AD18" s="106"/>
    </row>
    <row r="19" ht="36.0" customHeight="1">
      <c r="A19" s="69">
        <v>10.0</v>
      </c>
      <c r="B19" s="103">
        <v>45166.0</v>
      </c>
      <c r="C19" s="69" t="s">
        <v>900</v>
      </c>
      <c r="D19" s="92" t="s">
        <v>50</v>
      </c>
      <c r="E19" s="71" t="s">
        <v>901</v>
      </c>
      <c r="F19" s="681" t="s">
        <v>613</v>
      </c>
      <c r="G19" s="676" t="s">
        <v>30</v>
      </c>
      <c r="H19" s="85">
        <v>1.0</v>
      </c>
      <c r="I19" s="47">
        <f t="shared" si="1"/>
        <v>220000</v>
      </c>
      <c r="J19" s="48">
        <f t="shared" si="2"/>
        <v>220000</v>
      </c>
      <c r="K19" s="76">
        <f>SUM(J19)</f>
        <v>220000</v>
      </c>
      <c r="L19" s="89"/>
      <c r="M19" s="78">
        <f>6180+4400</f>
        <v>10580</v>
      </c>
      <c r="N19" s="79"/>
      <c r="O19" s="80">
        <f>K19+L19-M19-N19</f>
        <v>209420</v>
      </c>
      <c r="P19" s="81" t="s">
        <v>449</v>
      </c>
      <c r="Q19" s="81" t="s">
        <v>31</v>
      </c>
      <c r="R19" s="90"/>
      <c r="S19" s="183"/>
      <c r="T19" s="84" t="s">
        <v>33</v>
      </c>
      <c r="U19" s="85"/>
      <c r="V19" s="414"/>
      <c r="W19" s="135" t="s">
        <v>53</v>
      </c>
      <c r="X19" s="106"/>
      <c r="Y19" s="65" t="s">
        <v>89</v>
      </c>
      <c r="Z19" s="66">
        <v>35000.0</v>
      </c>
      <c r="AA19" s="107"/>
      <c r="AB19" s="107"/>
      <c r="AC19" s="107"/>
      <c r="AD19" s="106"/>
    </row>
    <row r="20" ht="36.0" customHeight="1">
      <c r="A20" s="94">
        <v>11.0</v>
      </c>
      <c r="B20" s="416">
        <v>45167.0</v>
      </c>
      <c r="C20" s="94">
        <v>1.696862294671E12</v>
      </c>
      <c r="D20" s="96" t="s">
        <v>902</v>
      </c>
      <c r="E20" s="97" t="s">
        <v>531</v>
      </c>
      <c r="F20" s="422" t="s">
        <v>442</v>
      </c>
      <c r="G20" s="682" t="s">
        <v>290</v>
      </c>
      <c r="H20" s="64">
        <v>2.0</v>
      </c>
      <c r="I20" s="47">
        <f t="shared" si="1"/>
        <v>220000</v>
      </c>
      <c r="J20" s="48">
        <f t="shared" si="2"/>
        <v>440000</v>
      </c>
      <c r="K20" s="49">
        <f>sum(J20:J21)</f>
        <v>2420000</v>
      </c>
      <c r="L20" s="50"/>
      <c r="M20" s="51"/>
      <c r="N20" s="52"/>
      <c r="O20" s="53">
        <f>K20+L20-N20</f>
        <v>2420000</v>
      </c>
      <c r="P20" s="99" t="s">
        <v>449</v>
      </c>
      <c r="Q20" s="99" t="s">
        <v>31</v>
      </c>
      <c r="R20" s="55">
        <v>116991.0</v>
      </c>
      <c r="S20" s="57" t="s">
        <v>32</v>
      </c>
      <c r="T20" s="57" t="s">
        <v>33</v>
      </c>
      <c r="U20" s="113"/>
      <c r="V20" s="113"/>
      <c r="W20" s="113"/>
      <c r="X20" s="106"/>
      <c r="Y20" s="65" t="s">
        <v>93</v>
      </c>
      <c r="Z20" s="66">
        <v>90000.0</v>
      </c>
      <c r="AA20" s="107"/>
      <c r="AB20" s="107"/>
      <c r="AC20" s="107"/>
      <c r="AD20" s="106"/>
    </row>
    <row r="21" ht="36.0" customHeight="1">
      <c r="A21" s="67"/>
      <c r="B21" s="67"/>
      <c r="C21" s="67"/>
      <c r="D21" s="67"/>
      <c r="E21" s="67"/>
      <c r="F21" s="102"/>
      <c r="G21" s="63" t="s">
        <v>35</v>
      </c>
      <c r="H21" s="64">
        <v>9.0</v>
      </c>
      <c r="I21" s="47">
        <f t="shared" si="1"/>
        <v>220000</v>
      </c>
      <c r="J21" s="48">
        <f t="shared" si="2"/>
        <v>1980000</v>
      </c>
      <c r="K21" s="67"/>
      <c r="L21" s="67"/>
      <c r="M21" s="67"/>
      <c r="N21" s="67"/>
      <c r="O21" s="67"/>
      <c r="P21" s="67"/>
      <c r="Q21" s="67"/>
      <c r="R21" s="67"/>
      <c r="S21" s="67"/>
      <c r="T21" s="67"/>
      <c r="U21" s="67"/>
      <c r="V21" s="67"/>
      <c r="W21" s="67"/>
      <c r="X21" s="106"/>
      <c r="Y21" s="65" t="s">
        <v>94</v>
      </c>
      <c r="Z21" s="66">
        <v>140000.0</v>
      </c>
      <c r="AA21" s="107"/>
      <c r="AB21" s="107"/>
      <c r="AC21" s="107"/>
      <c r="AD21" s="106"/>
    </row>
    <row r="22" ht="36.0" customHeight="1">
      <c r="A22" s="111">
        <v>12.0</v>
      </c>
      <c r="B22" s="112">
        <v>45167.0</v>
      </c>
      <c r="C22" s="683">
        <v>1.696420534364E12</v>
      </c>
      <c r="D22" s="142" t="s">
        <v>114</v>
      </c>
      <c r="E22" s="143" t="s">
        <v>903</v>
      </c>
      <c r="F22" s="44" t="s">
        <v>904</v>
      </c>
      <c r="G22" s="63" t="s">
        <v>30</v>
      </c>
      <c r="H22" s="64">
        <v>22.0</v>
      </c>
      <c r="I22" s="47">
        <f t="shared" si="1"/>
        <v>220000</v>
      </c>
      <c r="J22" s="48">
        <f t="shared" si="2"/>
        <v>4840000</v>
      </c>
      <c r="K22" s="49">
        <f>sum(J22:J24)</f>
        <v>6990000</v>
      </c>
      <c r="L22" s="146"/>
      <c r="M22" s="51"/>
      <c r="N22" s="52"/>
      <c r="O22" s="53">
        <f>K22+L22-N22</f>
        <v>6990000</v>
      </c>
      <c r="P22" s="99" t="s">
        <v>449</v>
      </c>
      <c r="Q22" s="99" t="s">
        <v>31</v>
      </c>
      <c r="R22" s="145">
        <v>210738.0</v>
      </c>
      <c r="S22" s="57" t="s">
        <v>32</v>
      </c>
      <c r="T22" s="57" t="s">
        <v>33</v>
      </c>
      <c r="U22" s="147"/>
      <c r="V22" s="678"/>
      <c r="W22" s="147"/>
      <c r="X22" s="106"/>
      <c r="Y22" s="65" t="s">
        <v>97</v>
      </c>
      <c r="Z22" s="66">
        <v>95000.0</v>
      </c>
      <c r="AA22" s="107"/>
      <c r="AB22" s="107"/>
      <c r="AC22" s="107"/>
      <c r="AD22" s="106"/>
    </row>
    <row r="23" ht="36.0" customHeight="1">
      <c r="A23" s="62"/>
      <c r="B23" s="62"/>
      <c r="C23" s="423"/>
      <c r="D23" s="62"/>
      <c r="E23" s="62"/>
      <c r="F23" s="62"/>
      <c r="G23" s="63" t="s">
        <v>147</v>
      </c>
      <c r="H23" s="64">
        <v>19.0</v>
      </c>
      <c r="I23" s="47">
        <f t="shared" si="1"/>
        <v>80000</v>
      </c>
      <c r="J23" s="48">
        <f t="shared" si="2"/>
        <v>1520000</v>
      </c>
      <c r="K23" s="62"/>
      <c r="L23" s="62"/>
      <c r="M23" s="62"/>
      <c r="N23" s="62"/>
      <c r="O23" s="62"/>
      <c r="P23" s="62"/>
      <c r="Q23" s="62"/>
      <c r="R23" s="62"/>
      <c r="S23" s="62"/>
      <c r="T23" s="62"/>
      <c r="U23" s="62"/>
      <c r="V23" s="62"/>
      <c r="W23" s="62"/>
      <c r="X23" s="106"/>
      <c r="Y23" s="65" t="s">
        <v>99</v>
      </c>
      <c r="Z23" s="66">
        <v>140000.0</v>
      </c>
      <c r="AA23" s="107"/>
      <c r="AB23" s="107"/>
      <c r="AC23" s="107"/>
      <c r="AD23" s="106"/>
    </row>
    <row r="24" ht="31.5" customHeight="1">
      <c r="A24" s="67"/>
      <c r="B24" s="67"/>
      <c r="C24" s="102"/>
      <c r="D24" s="67"/>
      <c r="E24" s="67"/>
      <c r="F24" s="67"/>
      <c r="G24" s="72" t="s">
        <v>76</v>
      </c>
      <c r="H24" s="73">
        <v>7.0</v>
      </c>
      <c r="I24" s="74">
        <f t="shared" si="1"/>
        <v>90000</v>
      </c>
      <c r="J24" s="75">
        <f t="shared" si="2"/>
        <v>630000</v>
      </c>
      <c r="K24" s="67"/>
      <c r="L24" s="67"/>
      <c r="M24" s="67"/>
      <c r="N24" s="67"/>
      <c r="O24" s="67"/>
      <c r="P24" s="67"/>
      <c r="Q24" s="67"/>
      <c r="R24" s="67"/>
      <c r="S24" s="67"/>
      <c r="T24" s="67"/>
      <c r="U24" s="67"/>
      <c r="V24" s="67"/>
      <c r="W24" s="67"/>
      <c r="X24" s="106"/>
      <c r="Y24" s="65" t="s">
        <v>101</v>
      </c>
      <c r="Z24" s="66">
        <v>150000.0</v>
      </c>
      <c r="AA24" s="107"/>
      <c r="AB24" s="107"/>
      <c r="AC24" s="107"/>
      <c r="AD24" s="106"/>
    </row>
    <row r="25" ht="31.5" customHeight="1">
      <c r="A25" s="93">
        <v>13.0</v>
      </c>
      <c r="B25" s="103">
        <v>45167.0</v>
      </c>
      <c r="C25" s="104" t="s">
        <v>905</v>
      </c>
      <c r="D25" s="92" t="s">
        <v>50</v>
      </c>
      <c r="E25" s="105" t="s">
        <v>906</v>
      </c>
      <c r="F25" s="92" t="s">
        <v>70</v>
      </c>
      <c r="G25" s="68" t="s">
        <v>35</v>
      </c>
      <c r="H25" s="69">
        <v>1.0</v>
      </c>
      <c r="I25" s="47">
        <f t="shared" si="1"/>
        <v>220000</v>
      </c>
      <c r="J25" s="48">
        <f t="shared" si="2"/>
        <v>220000</v>
      </c>
      <c r="K25" s="76">
        <f t="shared" ref="K25:K26" si="7">SUM(J25)</f>
        <v>220000</v>
      </c>
      <c r="L25" s="65"/>
      <c r="M25" s="78">
        <f>7107+4400</f>
        <v>11507</v>
      </c>
      <c r="N25" s="79"/>
      <c r="O25" s="80">
        <f t="shared" ref="O25:O27" si="8">K25+L25-M25-N25</f>
        <v>208493</v>
      </c>
      <c r="P25" s="81" t="s">
        <v>449</v>
      </c>
      <c r="Q25" s="81" t="s">
        <v>31</v>
      </c>
      <c r="R25" s="65"/>
      <c r="S25" s="183"/>
      <c r="T25" s="84" t="s">
        <v>33</v>
      </c>
      <c r="U25" s="122"/>
      <c r="V25" s="673"/>
      <c r="W25" s="135" t="s">
        <v>53</v>
      </c>
      <c r="X25" s="124"/>
      <c r="Y25" s="65" t="s">
        <v>109</v>
      </c>
      <c r="Z25" s="66">
        <v>125000.0</v>
      </c>
      <c r="AA25" s="107"/>
      <c r="AB25" s="107"/>
      <c r="AC25" s="107"/>
      <c r="AD25" s="106"/>
    </row>
    <row r="26" ht="31.5" customHeight="1">
      <c r="A26" s="104">
        <v>14.0</v>
      </c>
      <c r="B26" s="103">
        <v>45167.0</v>
      </c>
      <c r="C26" s="104" t="s">
        <v>907</v>
      </c>
      <c r="D26" s="92" t="s">
        <v>50</v>
      </c>
      <c r="E26" s="105" t="s">
        <v>908</v>
      </c>
      <c r="F26" s="92" t="s">
        <v>74</v>
      </c>
      <c r="G26" s="68" t="s">
        <v>30</v>
      </c>
      <c r="H26" s="69">
        <v>1.0</v>
      </c>
      <c r="I26" s="47">
        <f t="shared" si="1"/>
        <v>220000</v>
      </c>
      <c r="J26" s="48">
        <f t="shared" si="2"/>
        <v>220000</v>
      </c>
      <c r="K26" s="76">
        <f t="shared" si="7"/>
        <v>220000</v>
      </c>
      <c r="L26" s="65"/>
      <c r="M26" s="78">
        <f>7587+4400</f>
        <v>11987</v>
      </c>
      <c r="N26" s="79"/>
      <c r="O26" s="80">
        <f t="shared" si="8"/>
        <v>208013</v>
      </c>
      <c r="P26" s="81" t="s">
        <v>449</v>
      </c>
      <c r="Q26" s="81" t="s">
        <v>31</v>
      </c>
      <c r="R26" s="65"/>
      <c r="S26" s="183"/>
      <c r="T26" s="84" t="s">
        <v>33</v>
      </c>
      <c r="U26" s="122"/>
      <c r="V26" s="673"/>
      <c r="W26" s="135" t="s">
        <v>53</v>
      </c>
      <c r="X26" s="124"/>
      <c r="Y26" s="65" t="s">
        <v>113</v>
      </c>
      <c r="Z26" s="66">
        <v>75000.0</v>
      </c>
      <c r="AA26" s="107"/>
      <c r="AB26" s="107"/>
      <c r="AC26" s="107"/>
      <c r="AD26" s="106"/>
    </row>
    <row r="27" ht="31.5" customHeight="1">
      <c r="A27" s="152">
        <v>15.0</v>
      </c>
      <c r="B27" s="112">
        <v>45167.0</v>
      </c>
      <c r="C27" s="152" t="s">
        <v>909</v>
      </c>
      <c r="D27" s="142" t="s">
        <v>50</v>
      </c>
      <c r="E27" s="143" t="s">
        <v>910</v>
      </c>
      <c r="F27" s="142" t="s">
        <v>180</v>
      </c>
      <c r="G27" s="68" t="s">
        <v>30</v>
      </c>
      <c r="H27" s="69">
        <v>1.0</v>
      </c>
      <c r="I27" s="47">
        <f t="shared" si="1"/>
        <v>220000</v>
      </c>
      <c r="J27" s="48">
        <f t="shared" si="2"/>
        <v>220000</v>
      </c>
      <c r="K27" s="49">
        <f>sum(J27:J29)</f>
        <v>485000</v>
      </c>
      <c r="L27" s="146"/>
      <c r="M27" s="51">
        <f>14220+9700</f>
        <v>23920</v>
      </c>
      <c r="N27" s="52"/>
      <c r="O27" s="53">
        <f t="shared" si="8"/>
        <v>461080</v>
      </c>
      <c r="P27" s="99" t="s">
        <v>449</v>
      </c>
      <c r="Q27" s="99" t="s">
        <v>31</v>
      </c>
      <c r="R27" s="146"/>
      <c r="S27" s="197"/>
      <c r="T27" s="57" t="s">
        <v>33</v>
      </c>
      <c r="U27" s="147"/>
      <c r="V27" s="678"/>
      <c r="W27" s="679" t="s">
        <v>53</v>
      </c>
      <c r="X27" s="106"/>
      <c r="Y27" s="65" t="s">
        <v>116</v>
      </c>
      <c r="Z27" s="66">
        <v>475000.0</v>
      </c>
      <c r="AA27" s="107"/>
      <c r="AB27" s="107"/>
      <c r="AC27" s="107"/>
      <c r="AD27" s="106"/>
    </row>
    <row r="28" ht="31.5" customHeight="1">
      <c r="A28" s="62"/>
      <c r="B28" s="62"/>
      <c r="C28" s="62"/>
      <c r="D28" s="62"/>
      <c r="E28" s="62"/>
      <c r="F28" s="62"/>
      <c r="G28" s="63" t="s">
        <v>911</v>
      </c>
      <c r="H28" s="64">
        <v>1.0</v>
      </c>
      <c r="I28" s="47">
        <f t="shared" si="1"/>
        <v>220000</v>
      </c>
      <c r="J28" s="48">
        <f t="shared" si="2"/>
        <v>220000</v>
      </c>
      <c r="K28" s="62"/>
      <c r="L28" s="62"/>
      <c r="M28" s="62"/>
      <c r="N28" s="62"/>
      <c r="O28" s="62"/>
      <c r="P28" s="62"/>
      <c r="Q28" s="62"/>
      <c r="R28" s="62"/>
      <c r="S28" s="62"/>
      <c r="T28" s="62"/>
      <c r="U28" s="62"/>
      <c r="V28" s="62"/>
      <c r="W28" s="62"/>
      <c r="X28" s="106"/>
      <c r="Y28" s="85" t="s">
        <v>121</v>
      </c>
      <c r="Z28" s="128">
        <v>220000.0</v>
      </c>
      <c r="AA28" s="107"/>
      <c r="AB28" s="107"/>
      <c r="AC28" s="107"/>
      <c r="AD28" s="106"/>
    </row>
    <row r="29" ht="31.5" customHeight="1">
      <c r="A29" s="67"/>
      <c r="B29" s="67"/>
      <c r="C29" s="67"/>
      <c r="D29" s="67"/>
      <c r="E29" s="67"/>
      <c r="F29" s="67"/>
      <c r="G29" s="63" t="s">
        <v>75</v>
      </c>
      <c r="H29" s="64">
        <v>1.0</v>
      </c>
      <c r="I29" s="47">
        <f t="shared" si="1"/>
        <v>45000</v>
      </c>
      <c r="J29" s="48">
        <f t="shared" si="2"/>
        <v>45000</v>
      </c>
      <c r="K29" s="67"/>
      <c r="L29" s="67"/>
      <c r="M29" s="67"/>
      <c r="N29" s="67"/>
      <c r="O29" s="67"/>
      <c r="P29" s="67"/>
      <c r="Q29" s="67"/>
      <c r="R29" s="67"/>
      <c r="S29" s="67"/>
      <c r="T29" s="67"/>
      <c r="U29" s="67"/>
      <c r="V29" s="67"/>
      <c r="W29" s="67"/>
      <c r="X29" s="106"/>
      <c r="Y29" s="85" t="s">
        <v>123</v>
      </c>
      <c r="Z29" s="128">
        <v>220000.0</v>
      </c>
      <c r="AA29" s="107"/>
      <c r="AB29" s="107"/>
      <c r="AC29" s="107"/>
      <c r="AD29" s="106"/>
    </row>
    <row r="30" ht="33.0" customHeight="1">
      <c r="A30" s="69">
        <v>16.0</v>
      </c>
      <c r="B30" s="103">
        <v>45167.0</v>
      </c>
      <c r="C30" s="69" t="s">
        <v>912</v>
      </c>
      <c r="D30" s="92" t="s">
        <v>50</v>
      </c>
      <c r="E30" s="131" t="s">
        <v>825</v>
      </c>
      <c r="F30" s="63" t="s">
        <v>74</v>
      </c>
      <c r="G30" s="63" t="s">
        <v>30</v>
      </c>
      <c r="H30" s="64">
        <v>1.0</v>
      </c>
      <c r="I30" s="47">
        <f t="shared" si="1"/>
        <v>220000</v>
      </c>
      <c r="J30" s="48">
        <f t="shared" si="2"/>
        <v>220000</v>
      </c>
      <c r="K30" s="76">
        <f t="shared" ref="K30:K34" si="9">SUM(J30)</f>
        <v>220000</v>
      </c>
      <c r="L30" s="89"/>
      <c r="M30" s="78">
        <f>7587+4400</f>
        <v>11987</v>
      </c>
      <c r="N30" s="79"/>
      <c r="O30" s="80">
        <f t="shared" ref="O30:O34" si="10">K30+L30-M30-N30</f>
        <v>208013</v>
      </c>
      <c r="P30" s="81" t="s">
        <v>449</v>
      </c>
      <c r="Q30" s="81" t="s">
        <v>31</v>
      </c>
      <c r="R30" s="90"/>
      <c r="S30" s="183"/>
      <c r="T30" s="84" t="s">
        <v>33</v>
      </c>
      <c r="U30" s="85"/>
      <c r="V30" s="414"/>
      <c r="W30" s="135" t="s">
        <v>53</v>
      </c>
      <c r="X30" s="106"/>
      <c r="Y30" s="85" t="s">
        <v>124</v>
      </c>
      <c r="Z30" s="128">
        <v>220000.0</v>
      </c>
      <c r="AA30" s="107"/>
      <c r="AB30" s="107"/>
      <c r="AC30" s="107"/>
      <c r="AD30" s="106"/>
    </row>
    <row r="31" ht="31.5" customHeight="1">
      <c r="A31" s="69">
        <v>17.0</v>
      </c>
      <c r="B31" s="132">
        <v>45167.0</v>
      </c>
      <c r="C31" s="69" t="s">
        <v>913</v>
      </c>
      <c r="D31" s="92" t="s">
        <v>50</v>
      </c>
      <c r="E31" s="131" t="s">
        <v>530</v>
      </c>
      <c r="F31" s="133" t="s">
        <v>464</v>
      </c>
      <c r="G31" s="63" t="s">
        <v>30</v>
      </c>
      <c r="H31" s="64">
        <v>1.0</v>
      </c>
      <c r="I31" s="47">
        <f t="shared" si="1"/>
        <v>220000</v>
      </c>
      <c r="J31" s="48">
        <f t="shared" si="2"/>
        <v>220000</v>
      </c>
      <c r="K31" s="76">
        <f t="shared" si="9"/>
        <v>220000</v>
      </c>
      <c r="L31" s="77"/>
      <c r="M31" s="78">
        <f>6687+4400</f>
        <v>11087</v>
      </c>
      <c r="N31" s="79"/>
      <c r="O31" s="80">
        <f t="shared" si="10"/>
        <v>208913</v>
      </c>
      <c r="P31" s="81" t="s">
        <v>449</v>
      </c>
      <c r="Q31" s="81" t="s">
        <v>31</v>
      </c>
      <c r="R31" s="90"/>
      <c r="S31" s="183"/>
      <c r="T31" s="84" t="s">
        <v>33</v>
      </c>
      <c r="U31" s="419"/>
      <c r="V31" s="419"/>
      <c r="W31" s="135" t="s">
        <v>53</v>
      </c>
      <c r="X31" s="106"/>
      <c r="Y31" s="129" t="s">
        <v>125</v>
      </c>
      <c r="Z31" s="80">
        <v>220000.0</v>
      </c>
      <c r="AA31" s="107"/>
      <c r="AB31" s="107"/>
      <c r="AC31" s="107"/>
      <c r="AD31" s="106"/>
    </row>
    <row r="32" ht="31.5" customHeight="1">
      <c r="A32" s="69">
        <v>18.0</v>
      </c>
      <c r="B32" s="103">
        <v>45167.0</v>
      </c>
      <c r="C32" s="377" t="s">
        <v>914</v>
      </c>
      <c r="D32" s="429" t="s">
        <v>50</v>
      </c>
      <c r="E32" s="684" t="s">
        <v>915</v>
      </c>
      <c r="F32" s="429" t="s">
        <v>528</v>
      </c>
      <c r="G32" s="63" t="s">
        <v>30</v>
      </c>
      <c r="H32" s="64">
        <v>1.0</v>
      </c>
      <c r="I32" s="47">
        <f t="shared" si="1"/>
        <v>220000</v>
      </c>
      <c r="J32" s="685">
        <f t="shared" si="2"/>
        <v>220000</v>
      </c>
      <c r="K32" s="686">
        <f t="shared" si="9"/>
        <v>220000</v>
      </c>
      <c r="L32" s="687"/>
      <c r="M32" s="688">
        <f>7107+4400</f>
        <v>11507</v>
      </c>
      <c r="N32" s="689"/>
      <c r="O32" s="80">
        <f t="shared" si="10"/>
        <v>208493</v>
      </c>
      <c r="P32" s="690" t="s">
        <v>449</v>
      </c>
      <c r="Q32" s="690" t="s">
        <v>31</v>
      </c>
      <c r="R32" s="687"/>
      <c r="S32" s="691"/>
      <c r="T32" s="692" t="s">
        <v>33</v>
      </c>
      <c r="U32" s="693"/>
      <c r="V32" s="419"/>
      <c r="W32" s="135" t="s">
        <v>53</v>
      </c>
      <c r="X32" s="106"/>
      <c r="Y32" s="129" t="s">
        <v>129</v>
      </c>
      <c r="Z32" s="80">
        <v>220000.0</v>
      </c>
      <c r="AA32" s="106"/>
      <c r="AB32" s="106"/>
      <c r="AC32" s="106"/>
      <c r="AD32" s="106"/>
    </row>
    <row r="33" ht="33.75" customHeight="1">
      <c r="A33" s="69">
        <v>19.0</v>
      </c>
      <c r="B33" s="132">
        <v>45167.0</v>
      </c>
      <c r="C33" s="69" t="s">
        <v>916</v>
      </c>
      <c r="D33" s="429" t="s">
        <v>50</v>
      </c>
      <c r="E33" s="131" t="s">
        <v>917</v>
      </c>
      <c r="F33" s="63" t="s">
        <v>548</v>
      </c>
      <c r="G33" s="63" t="s">
        <v>30</v>
      </c>
      <c r="H33" s="64">
        <v>1.0</v>
      </c>
      <c r="I33" s="47">
        <f t="shared" si="1"/>
        <v>220000</v>
      </c>
      <c r="J33" s="48">
        <f t="shared" si="2"/>
        <v>220000</v>
      </c>
      <c r="K33" s="76">
        <f t="shared" si="9"/>
        <v>220000</v>
      </c>
      <c r="L33" s="77"/>
      <c r="M33" s="78">
        <f>7587+4400</f>
        <v>11987</v>
      </c>
      <c r="N33" s="79"/>
      <c r="O33" s="80">
        <f t="shared" si="10"/>
        <v>208013</v>
      </c>
      <c r="P33" s="81" t="s">
        <v>449</v>
      </c>
      <c r="Q33" s="81" t="s">
        <v>31</v>
      </c>
      <c r="R33" s="90"/>
      <c r="S33" s="183"/>
      <c r="T33" s="84" t="s">
        <v>33</v>
      </c>
      <c r="U33" s="85"/>
      <c r="V33" s="414"/>
      <c r="W33" s="135" t="s">
        <v>53</v>
      </c>
      <c r="X33" s="106"/>
      <c r="Y33" s="85" t="s">
        <v>133</v>
      </c>
      <c r="Z33" s="128">
        <v>220000.0</v>
      </c>
      <c r="AA33" s="107"/>
      <c r="AB33" s="107"/>
      <c r="AC33" s="107"/>
      <c r="AD33" s="106"/>
    </row>
    <row r="34" ht="33.75" customHeight="1">
      <c r="A34" s="69">
        <v>20.0</v>
      </c>
      <c r="B34" s="132">
        <v>45167.0</v>
      </c>
      <c r="C34" s="69" t="s">
        <v>918</v>
      </c>
      <c r="D34" s="429" t="s">
        <v>50</v>
      </c>
      <c r="E34" s="131" t="s">
        <v>919</v>
      </c>
      <c r="F34" s="63" t="s">
        <v>70</v>
      </c>
      <c r="G34" s="63" t="s">
        <v>30</v>
      </c>
      <c r="H34" s="64">
        <v>1.0</v>
      </c>
      <c r="I34" s="47">
        <f t="shared" si="1"/>
        <v>220000</v>
      </c>
      <c r="J34" s="48">
        <f t="shared" si="2"/>
        <v>220000</v>
      </c>
      <c r="K34" s="76">
        <f t="shared" si="9"/>
        <v>220000</v>
      </c>
      <c r="L34" s="77"/>
      <c r="M34" s="78">
        <f>6777+4400</f>
        <v>11177</v>
      </c>
      <c r="N34" s="79"/>
      <c r="O34" s="80">
        <f t="shared" si="10"/>
        <v>208823</v>
      </c>
      <c r="P34" s="81" t="s">
        <v>449</v>
      </c>
      <c r="Q34" s="81" t="s">
        <v>31</v>
      </c>
      <c r="R34" s="90"/>
      <c r="S34" s="183"/>
      <c r="T34" s="84" t="s">
        <v>33</v>
      </c>
      <c r="U34" s="85"/>
      <c r="V34" s="414"/>
      <c r="W34" s="86"/>
      <c r="X34" s="106"/>
      <c r="Y34" s="85" t="s">
        <v>135</v>
      </c>
      <c r="Z34" s="128">
        <v>220000.0</v>
      </c>
      <c r="AA34" s="107"/>
      <c r="AB34" s="107"/>
      <c r="AC34" s="107"/>
      <c r="AD34" s="106"/>
    </row>
    <row r="35" ht="33.75" customHeight="1">
      <c r="A35" s="64">
        <v>21.0</v>
      </c>
      <c r="B35" s="132">
        <v>45167.0</v>
      </c>
      <c r="C35" s="69">
        <v>1.718008209794E12</v>
      </c>
      <c r="D35" s="63" t="s">
        <v>644</v>
      </c>
      <c r="E35" s="131" t="s">
        <v>45</v>
      </c>
      <c r="F35" s="63" t="s">
        <v>324</v>
      </c>
      <c r="G35" s="63"/>
      <c r="H35" s="64"/>
      <c r="I35" s="47"/>
      <c r="J35" s="48"/>
      <c r="K35" s="76"/>
      <c r="L35" s="77"/>
      <c r="M35" s="78"/>
      <c r="N35" s="79"/>
      <c r="O35" s="80"/>
      <c r="P35" s="81" t="s">
        <v>449</v>
      </c>
      <c r="Q35" s="81"/>
      <c r="R35" s="82">
        <v>62569.0</v>
      </c>
      <c r="S35" s="84" t="s">
        <v>32</v>
      </c>
      <c r="T35" s="84" t="s">
        <v>33</v>
      </c>
      <c r="U35" s="64" t="s">
        <v>920</v>
      </c>
      <c r="V35" s="64">
        <v>58.0</v>
      </c>
      <c r="W35" s="63" t="s">
        <v>921</v>
      </c>
      <c r="X35" s="106"/>
      <c r="Y35" s="85"/>
      <c r="Z35" s="128"/>
      <c r="AA35" s="107"/>
      <c r="AB35" s="107"/>
      <c r="AC35" s="107"/>
      <c r="AD35" s="106"/>
    </row>
    <row r="36" ht="33.75" customHeight="1">
      <c r="A36" s="39">
        <v>22.0</v>
      </c>
      <c r="B36" s="125">
        <v>45168.0</v>
      </c>
      <c r="C36" s="94">
        <v>1.702876186983E12</v>
      </c>
      <c r="D36" s="126" t="s">
        <v>357</v>
      </c>
      <c r="E36" s="175" t="s">
        <v>358</v>
      </c>
      <c r="F36" s="126" t="s">
        <v>922</v>
      </c>
      <c r="G36" s="63" t="s">
        <v>30</v>
      </c>
      <c r="H36" s="64">
        <v>1.0</v>
      </c>
      <c r="I36" s="47">
        <f t="shared" ref="I36:I59" si="11">VLOOKUP(G36,$Y$4:$Z$45,2,0)</f>
        <v>220000</v>
      </c>
      <c r="J36" s="48">
        <f t="shared" ref="J36:J98" si="12">I36*H36</f>
        <v>220000</v>
      </c>
      <c r="K36" s="49">
        <f>SUM(J36:J39)</f>
        <v>1375000</v>
      </c>
      <c r="L36" s="127"/>
      <c r="M36" s="51"/>
      <c r="N36" s="52"/>
      <c r="O36" s="53">
        <f>K36+L36-N36</f>
        <v>1375000</v>
      </c>
      <c r="P36" s="99" t="s">
        <v>449</v>
      </c>
      <c r="Q36" s="99" t="s">
        <v>31</v>
      </c>
      <c r="R36" s="55">
        <v>78004.0</v>
      </c>
      <c r="S36" s="57" t="s">
        <v>32</v>
      </c>
      <c r="T36" s="57" t="s">
        <v>33</v>
      </c>
      <c r="U36" s="100"/>
      <c r="V36" s="100"/>
      <c r="W36" s="100"/>
      <c r="X36" s="106"/>
      <c r="Y36" s="85" t="s">
        <v>139</v>
      </c>
      <c r="Z36" s="128">
        <v>80000.0</v>
      </c>
      <c r="AA36" s="107"/>
      <c r="AB36" s="107"/>
      <c r="AC36" s="107"/>
      <c r="AD36" s="106"/>
    </row>
    <row r="37" ht="33.75" customHeight="1">
      <c r="A37" s="62"/>
      <c r="B37" s="62"/>
      <c r="C37" s="62"/>
      <c r="D37" s="62"/>
      <c r="E37" s="62"/>
      <c r="F37" s="62"/>
      <c r="G37" s="63" t="s">
        <v>165</v>
      </c>
      <c r="H37" s="64">
        <v>2.0</v>
      </c>
      <c r="I37" s="47">
        <f t="shared" si="11"/>
        <v>220000</v>
      </c>
      <c r="J37" s="48">
        <f t="shared" si="12"/>
        <v>440000</v>
      </c>
      <c r="K37" s="62"/>
      <c r="L37" s="62"/>
      <c r="M37" s="62"/>
      <c r="N37" s="62"/>
      <c r="O37" s="62"/>
      <c r="P37" s="62"/>
      <c r="Q37" s="62"/>
      <c r="R37" s="62"/>
      <c r="S37" s="62"/>
      <c r="T37" s="62"/>
      <c r="U37" s="62"/>
      <c r="V37" s="62"/>
      <c r="W37" s="62"/>
      <c r="X37" s="106"/>
      <c r="Y37" s="85" t="s">
        <v>142</v>
      </c>
      <c r="Z37" s="128">
        <v>220000.0</v>
      </c>
      <c r="AA37" s="107"/>
      <c r="AB37" s="107"/>
      <c r="AC37" s="107"/>
      <c r="AD37" s="106"/>
    </row>
    <row r="38" ht="33.75" customHeight="1">
      <c r="A38" s="62"/>
      <c r="B38" s="62"/>
      <c r="C38" s="62"/>
      <c r="D38" s="62"/>
      <c r="E38" s="62"/>
      <c r="F38" s="62"/>
      <c r="G38" s="63" t="s">
        <v>122</v>
      </c>
      <c r="H38" s="64">
        <v>2.0</v>
      </c>
      <c r="I38" s="47">
        <f t="shared" si="11"/>
        <v>220000</v>
      </c>
      <c r="J38" s="48">
        <f t="shared" si="12"/>
        <v>440000</v>
      </c>
      <c r="K38" s="62"/>
      <c r="L38" s="62"/>
      <c r="M38" s="62"/>
      <c r="N38" s="62"/>
      <c r="O38" s="62"/>
      <c r="P38" s="62"/>
      <c r="Q38" s="62"/>
      <c r="R38" s="62"/>
      <c r="S38" s="62"/>
      <c r="T38" s="62"/>
      <c r="U38" s="62"/>
      <c r="V38" s="62"/>
      <c r="W38" s="62"/>
      <c r="X38" s="106"/>
      <c r="Y38" s="85" t="s">
        <v>145</v>
      </c>
      <c r="Z38" s="128">
        <v>220000.0</v>
      </c>
      <c r="AA38" s="107"/>
      <c r="AB38" s="107"/>
      <c r="AC38" s="107"/>
      <c r="AD38" s="106"/>
    </row>
    <row r="39" ht="33.75" customHeight="1">
      <c r="A39" s="67"/>
      <c r="B39" s="67"/>
      <c r="C39" s="67"/>
      <c r="D39" s="67"/>
      <c r="E39" s="67"/>
      <c r="F39" s="67"/>
      <c r="G39" s="72" t="s">
        <v>62</v>
      </c>
      <c r="H39" s="73">
        <v>5.0</v>
      </c>
      <c r="I39" s="74">
        <f t="shared" si="11"/>
        <v>55000</v>
      </c>
      <c r="J39" s="75">
        <f t="shared" si="12"/>
        <v>275000</v>
      </c>
      <c r="K39" s="67"/>
      <c r="L39" s="67"/>
      <c r="M39" s="67"/>
      <c r="N39" s="67"/>
      <c r="O39" s="67"/>
      <c r="P39" s="67"/>
      <c r="Q39" s="67"/>
      <c r="R39" s="67"/>
      <c r="S39" s="67"/>
      <c r="T39" s="67"/>
      <c r="U39" s="67"/>
      <c r="V39" s="67"/>
      <c r="W39" s="67"/>
      <c r="X39" s="106"/>
      <c r="Y39" s="85" t="s">
        <v>153</v>
      </c>
      <c r="Z39" s="128">
        <v>45000.0</v>
      </c>
      <c r="AA39" s="107"/>
      <c r="AB39" s="107"/>
      <c r="AC39" s="107"/>
      <c r="AD39" s="106"/>
    </row>
    <row r="40" ht="33.75" customHeight="1">
      <c r="A40" s="39">
        <v>23.0</v>
      </c>
      <c r="B40" s="178">
        <v>45168.0</v>
      </c>
      <c r="C40" s="94">
        <v>1.702997511223E12</v>
      </c>
      <c r="D40" s="424" t="s">
        <v>923</v>
      </c>
      <c r="E40" s="175" t="s">
        <v>924</v>
      </c>
      <c r="F40" s="424" t="s">
        <v>925</v>
      </c>
      <c r="G40" s="63" t="s">
        <v>30</v>
      </c>
      <c r="H40" s="64">
        <v>3.0</v>
      </c>
      <c r="I40" s="47">
        <f t="shared" si="11"/>
        <v>220000</v>
      </c>
      <c r="J40" s="48">
        <f t="shared" si="12"/>
        <v>660000</v>
      </c>
      <c r="K40" s="49">
        <f>SUM(J40:J43)</f>
        <v>1030000</v>
      </c>
      <c r="L40" s="560"/>
      <c r="M40" s="561"/>
      <c r="N40" s="562"/>
      <c r="O40" s="53">
        <f>K40+L40-N40</f>
        <v>1030000</v>
      </c>
      <c r="P40" s="99" t="s">
        <v>449</v>
      </c>
      <c r="Q40" s="99" t="s">
        <v>31</v>
      </c>
      <c r="R40" s="55">
        <v>49002.0</v>
      </c>
      <c r="S40" s="57" t="s">
        <v>32</v>
      </c>
      <c r="T40" s="57" t="s">
        <v>33</v>
      </c>
      <c r="U40" s="113"/>
      <c r="V40" s="113"/>
      <c r="W40" s="113"/>
      <c r="X40" s="106"/>
      <c r="Y40" s="139" t="s">
        <v>151</v>
      </c>
      <c r="Z40" s="140">
        <v>220000.0</v>
      </c>
      <c r="AA40" s="107"/>
      <c r="AB40" s="107"/>
      <c r="AC40" s="107"/>
      <c r="AD40" s="106"/>
    </row>
    <row r="41" ht="33.75" customHeight="1">
      <c r="A41" s="62"/>
      <c r="B41" s="62"/>
      <c r="C41" s="62"/>
      <c r="D41" s="62"/>
      <c r="E41" s="62"/>
      <c r="F41" s="62"/>
      <c r="G41" s="72" t="s">
        <v>476</v>
      </c>
      <c r="H41" s="73">
        <v>2.0</v>
      </c>
      <c r="I41" s="74">
        <f t="shared" si="11"/>
        <v>55000</v>
      </c>
      <c r="J41" s="75">
        <f t="shared" si="12"/>
        <v>110000</v>
      </c>
      <c r="K41" s="62"/>
      <c r="L41" s="62"/>
      <c r="M41" s="62"/>
      <c r="N41" s="62"/>
      <c r="O41" s="62"/>
      <c r="P41" s="62"/>
      <c r="Q41" s="62"/>
      <c r="R41" s="62"/>
      <c r="S41" s="62"/>
      <c r="T41" s="62"/>
      <c r="U41" s="62"/>
      <c r="V41" s="62"/>
      <c r="W41" s="62"/>
      <c r="X41" s="106"/>
      <c r="Y41" s="65" t="s">
        <v>148</v>
      </c>
      <c r="Z41" s="66">
        <v>220000.0</v>
      </c>
      <c r="AA41" s="107"/>
      <c r="AB41" s="107"/>
      <c r="AC41" s="107"/>
      <c r="AD41" s="106"/>
    </row>
    <row r="42" ht="30.75" customHeight="1">
      <c r="A42" s="62"/>
      <c r="B42" s="62"/>
      <c r="C42" s="62"/>
      <c r="D42" s="62"/>
      <c r="E42" s="62"/>
      <c r="F42" s="62"/>
      <c r="G42" s="72" t="s">
        <v>478</v>
      </c>
      <c r="H42" s="73">
        <v>2.0</v>
      </c>
      <c r="I42" s="74">
        <f t="shared" si="11"/>
        <v>65000</v>
      </c>
      <c r="J42" s="75">
        <f t="shared" si="12"/>
        <v>130000</v>
      </c>
      <c r="K42" s="62"/>
      <c r="L42" s="62"/>
      <c r="M42" s="62"/>
      <c r="N42" s="62"/>
      <c r="O42" s="62"/>
      <c r="P42" s="62"/>
      <c r="Q42" s="62"/>
      <c r="R42" s="62"/>
      <c r="S42" s="62"/>
      <c r="T42" s="62"/>
      <c r="U42" s="62"/>
      <c r="V42" s="62"/>
      <c r="W42" s="62"/>
      <c r="X42" s="106"/>
      <c r="Y42" s="93" t="s">
        <v>488</v>
      </c>
      <c r="Z42" s="87">
        <v>45000.0</v>
      </c>
      <c r="AA42" s="107"/>
      <c r="AB42" s="107"/>
      <c r="AC42" s="107"/>
      <c r="AD42" s="106"/>
    </row>
    <row r="43" ht="30.75" customHeight="1">
      <c r="A43" s="67"/>
      <c r="B43" s="67"/>
      <c r="C43" s="67"/>
      <c r="D43" s="67"/>
      <c r="E43" s="67"/>
      <c r="F43" s="67"/>
      <c r="G43" s="72" t="s">
        <v>477</v>
      </c>
      <c r="H43" s="73">
        <v>2.0</v>
      </c>
      <c r="I43" s="74">
        <f t="shared" si="11"/>
        <v>65000</v>
      </c>
      <c r="J43" s="75">
        <f t="shared" si="12"/>
        <v>130000</v>
      </c>
      <c r="K43" s="67"/>
      <c r="L43" s="67"/>
      <c r="M43" s="67"/>
      <c r="N43" s="67"/>
      <c r="O43" s="67"/>
      <c r="P43" s="67"/>
      <c r="Q43" s="67"/>
      <c r="R43" s="67"/>
      <c r="S43" s="67"/>
      <c r="T43" s="67"/>
      <c r="U43" s="67"/>
      <c r="V43" s="67"/>
      <c r="W43" s="67"/>
      <c r="X43" s="106"/>
      <c r="Y43" s="93" t="s">
        <v>412</v>
      </c>
      <c r="Z43" s="87">
        <v>45000.0</v>
      </c>
      <c r="AA43" s="107"/>
      <c r="AB43" s="107"/>
      <c r="AC43" s="107"/>
      <c r="AD43" s="106"/>
    </row>
    <row r="44" ht="30.75" customHeight="1">
      <c r="A44" s="93">
        <v>24.0</v>
      </c>
      <c r="B44" s="103">
        <v>45168.0</v>
      </c>
      <c r="C44" s="60" t="s">
        <v>926</v>
      </c>
      <c r="D44" s="92" t="s">
        <v>50</v>
      </c>
      <c r="E44" s="105" t="s">
        <v>927</v>
      </c>
      <c r="F44" s="92" t="s">
        <v>548</v>
      </c>
      <c r="G44" s="63" t="s">
        <v>30</v>
      </c>
      <c r="H44" s="64">
        <v>1.0</v>
      </c>
      <c r="I44" s="47">
        <f t="shared" si="11"/>
        <v>220000</v>
      </c>
      <c r="J44" s="48">
        <f t="shared" si="12"/>
        <v>220000</v>
      </c>
      <c r="K44" s="76">
        <f t="shared" ref="K44:K50" si="13">SUM(J44)</f>
        <v>220000</v>
      </c>
      <c r="L44" s="122"/>
      <c r="M44" s="78">
        <f>6837+4400</f>
        <v>11237</v>
      </c>
      <c r="N44" s="136"/>
      <c r="O44" s="80">
        <f t="shared" ref="O44:O49" si="14">K44+L44-M44-N44</f>
        <v>208763</v>
      </c>
      <c r="P44" s="81" t="s">
        <v>449</v>
      </c>
      <c r="Q44" s="81" t="s">
        <v>31</v>
      </c>
      <c r="R44" s="65"/>
      <c r="S44" s="183"/>
      <c r="T44" s="84" t="s">
        <v>33</v>
      </c>
      <c r="U44" s="122"/>
      <c r="V44" s="673"/>
      <c r="W44" s="135" t="s">
        <v>53</v>
      </c>
      <c r="X44" s="106"/>
      <c r="Y44" s="93" t="s">
        <v>161</v>
      </c>
      <c r="Z44" s="87">
        <v>220000.0</v>
      </c>
      <c r="AA44" s="107"/>
      <c r="AB44" s="107"/>
      <c r="AC44" s="107"/>
      <c r="AD44" s="106"/>
    </row>
    <row r="45" ht="30.75" customHeight="1">
      <c r="A45" s="93">
        <v>25.0</v>
      </c>
      <c r="B45" s="103">
        <v>45168.0</v>
      </c>
      <c r="C45" s="60" t="s">
        <v>928</v>
      </c>
      <c r="D45" s="92" t="s">
        <v>50</v>
      </c>
      <c r="E45" s="105" t="s">
        <v>929</v>
      </c>
      <c r="F45" s="92" t="s">
        <v>930</v>
      </c>
      <c r="G45" s="63" t="s">
        <v>30</v>
      </c>
      <c r="H45" s="64">
        <v>2.0</v>
      </c>
      <c r="I45" s="47">
        <f t="shared" si="11"/>
        <v>220000</v>
      </c>
      <c r="J45" s="48">
        <f t="shared" si="12"/>
        <v>440000</v>
      </c>
      <c r="K45" s="76">
        <f t="shared" si="13"/>
        <v>440000</v>
      </c>
      <c r="L45" s="122"/>
      <c r="M45" s="78">
        <f>14580+8800</f>
        <v>23380</v>
      </c>
      <c r="N45" s="136"/>
      <c r="O45" s="80">
        <f t="shared" si="14"/>
        <v>416620</v>
      </c>
      <c r="P45" s="81" t="s">
        <v>449</v>
      </c>
      <c r="Q45" s="81" t="s">
        <v>31</v>
      </c>
      <c r="R45" s="65"/>
      <c r="S45" s="183"/>
      <c r="T45" s="84" t="s">
        <v>33</v>
      </c>
      <c r="U45" s="122"/>
      <c r="V45" s="673"/>
      <c r="W45" s="135" t="s">
        <v>53</v>
      </c>
      <c r="X45" s="106"/>
      <c r="Y45" s="694" t="s">
        <v>62</v>
      </c>
      <c r="Z45" s="695">
        <v>55000.0</v>
      </c>
      <c r="AA45" s="107"/>
      <c r="AB45" s="107"/>
      <c r="AC45" s="107"/>
      <c r="AD45" s="106"/>
    </row>
    <row r="46" ht="30.75" customHeight="1">
      <c r="A46" s="93">
        <v>26.0</v>
      </c>
      <c r="B46" s="103">
        <v>45168.0</v>
      </c>
      <c r="C46" s="60" t="s">
        <v>931</v>
      </c>
      <c r="D46" s="92" t="s">
        <v>50</v>
      </c>
      <c r="E46" s="105" t="s">
        <v>932</v>
      </c>
      <c r="F46" s="92" t="s">
        <v>548</v>
      </c>
      <c r="G46" s="63" t="s">
        <v>30</v>
      </c>
      <c r="H46" s="64">
        <v>1.0</v>
      </c>
      <c r="I46" s="47">
        <f t="shared" si="11"/>
        <v>220000</v>
      </c>
      <c r="J46" s="48">
        <f t="shared" si="12"/>
        <v>220000</v>
      </c>
      <c r="K46" s="76">
        <f t="shared" si="13"/>
        <v>220000</v>
      </c>
      <c r="L46" s="122"/>
      <c r="M46" s="78">
        <f>8337+4400</f>
        <v>12737</v>
      </c>
      <c r="N46" s="136"/>
      <c r="O46" s="80">
        <f t="shared" si="14"/>
        <v>207263</v>
      </c>
      <c r="P46" s="81" t="s">
        <v>449</v>
      </c>
      <c r="Q46" s="81" t="s">
        <v>31</v>
      </c>
      <c r="R46" s="65"/>
      <c r="S46" s="183"/>
      <c r="T46" s="84" t="s">
        <v>33</v>
      </c>
      <c r="U46" s="122"/>
      <c r="V46" s="673"/>
      <c r="W46" s="135" t="s">
        <v>53</v>
      </c>
      <c r="X46" s="106"/>
      <c r="Y46" s="106"/>
      <c r="Z46" s="427"/>
      <c r="AA46" s="107"/>
      <c r="AB46" s="107"/>
      <c r="AC46" s="107"/>
      <c r="AD46" s="106"/>
    </row>
    <row r="47" ht="30.75" customHeight="1">
      <c r="A47" s="104">
        <v>27.0</v>
      </c>
      <c r="B47" s="103">
        <v>45168.0</v>
      </c>
      <c r="C47" s="60" t="s">
        <v>933</v>
      </c>
      <c r="D47" s="92" t="s">
        <v>50</v>
      </c>
      <c r="E47" s="105" t="s">
        <v>585</v>
      </c>
      <c r="F47" s="92" t="s">
        <v>461</v>
      </c>
      <c r="G47" s="63" t="s">
        <v>30</v>
      </c>
      <c r="H47" s="64">
        <v>1.0</v>
      </c>
      <c r="I47" s="47">
        <f t="shared" si="11"/>
        <v>220000</v>
      </c>
      <c r="J47" s="48">
        <f t="shared" si="12"/>
        <v>220000</v>
      </c>
      <c r="K47" s="76">
        <f t="shared" si="13"/>
        <v>220000</v>
      </c>
      <c r="L47" s="122"/>
      <c r="M47" s="78">
        <f t="shared" ref="M47:M48" si="15">7857+4400</f>
        <v>12257</v>
      </c>
      <c r="N47" s="136"/>
      <c r="O47" s="80">
        <f t="shared" si="14"/>
        <v>207743</v>
      </c>
      <c r="P47" s="81" t="s">
        <v>449</v>
      </c>
      <c r="Q47" s="81" t="s">
        <v>31</v>
      </c>
      <c r="R47" s="65"/>
      <c r="S47" s="183"/>
      <c r="T47" s="84" t="s">
        <v>33</v>
      </c>
      <c r="U47" s="122"/>
      <c r="V47" s="673"/>
      <c r="W47" s="135" t="s">
        <v>53</v>
      </c>
      <c r="X47" s="106"/>
      <c r="Y47" s="106"/>
      <c r="Z47" s="427"/>
      <c r="AA47" s="107"/>
      <c r="AB47" s="107"/>
      <c r="AC47" s="107"/>
      <c r="AD47" s="106"/>
    </row>
    <row r="48" ht="30.75" customHeight="1">
      <c r="A48" s="104">
        <v>28.0</v>
      </c>
      <c r="B48" s="103">
        <v>45168.0</v>
      </c>
      <c r="C48" s="60" t="s">
        <v>934</v>
      </c>
      <c r="D48" s="92" t="s">
        <v>50</v>
      </c>
      <c r="E48" s="105" t="s">
        <v>935</v>
      </c>
      <c r="F48" s="92" t="s">
        <v>180</v>
      </c>
      <c r="G48" s="63" t="s">
        <v>30</v>
      </c>
      <c r="H48" s="64">
        <v>1.0</v>
      </c>
      <c r="I48" s="47">
        <f t="shared" si="11"/>
        <v>220000</v>
      </c>
      <c r="J48" s="48">
        <f t="shared" si="12"/>
        <v>220000</v>
      </c>
      <c r="K48" s="76">
        <f t="shared" si="13"/>
        <v>220000</v>
      </c>
      <c r="L48" s="122"/>
      <c r="M48" s="78">
        <f t="shared" si="15"/>
        <v>12257</v>
      </c>
      <c r="N48" s="136"/>
      <c r="O48" s="80">
        <f t="shared" si="14"/>
        <v>207743</v>
      </c>
      <c r="P48" s="81" t="s">
        <v>449</v>
      </c>
      <c r="Q48" s="81" t="s">
        <v>31</v>
      </c>
      <c r="R48" s="65"/>
      <c r="S48" s="183"/>
      <c r="T48" s="84" t="s">
        <v>33</v>
      </c>
      <c r="U48" s="122"/>
      <c r="V48" s="673"/>
      <c r="W48" s="135" t="s">
        <v>53</v>
      </c>
      <c r="X48" s="106"/>
      <c r="Y48" s="106"/>
      <c r="Z48" s="427"/>
      <c r="AA48" s="107"/>
      <c r="AB48" s="107"/>
      <c r="AC48" s="107"/>
      <c r="AD48" s="106"/>
    </row>
    <row r="49" ht="30.75" customHeight="1">
      <c r="A49" s="93">
        <v>29.0</v>
      </c>
      <c r="B49" s="103">
        <v>45168.0</v>
      </c>
      <c r="C49" s="104" t="s">
        <v>936</v>
      </c>
      <c r="D49" s="92" t="s">
        <v>50</v>
      </c>
      <c r="E49" s="105" t="s">
        <v>937</v>
      </c>
      <c r="F49" s="92" t="s">
        <v>802</v>
      </c>
      <c r="G49" s="63" t="s">
        <v>30</v>
      </c>
      <c r="H49" s="64">
        <v>1.0</v>
      </c>
      <c r="I49" s="47">
        <f t="shared" si="11"/>
        <v>220000</v>
      </c>
      <c r="J49" s="48">
        <f t="shared" si="12"/>
        <v>220000</v>
      </c>
      <c r="K49" s="76">
        <f t="shared" si="13"/>
        <v>220000</v>
      </c>
      <c r="L49" s="122"/>
      <c r="M49" s="78">
        <f>7587+4400</f>
        <v>11987</v>
      </c>
      <c r="N49" s="136"/>
      <c r="O49" s="80">
        <f t="shared" si="14"/>
        <v>208013</v>
      </c>
      <c r="P49" s="81" t="s">
        <v>449</v>
      </c>
      <c r="Q49" s="81" t="s">
        <v>31</v>
      </c>
      <c r="R49" s="65"/>
      <c r="S49" s="183"/>
      <c r="T49" s="84" t="s">
        <v>33</v>
      </c>
      <c r="U49" s="122"/>
      <c r="V49" s="673"/>
      <c r="W49" s="122"/>
      <c r="X49" s="106"/>
      <c r="Y49" s="106"/>
      <c r="Z49" s="427"/>
      <c r="AA49" s="107"/>
      <c r="AB49" s="107"/>
      <c r="AC49" s="107"/>
      <c r="AD49" s="106"/>
    </row>
    <row r="50" ht="43.5" customHeight="1">
      <c r="A50" s="93">
        <v>30.0</v>
      </c>
      <c r="B50" s="103">
        <v>45168.0</v>
      </c>
      <c r="C50" s="104">
        <v>1.717169560193E12</v>
      </c>
      <c r="D50" s="92" t="s">
        <v>309</v>
      </c>
      <c r="E50" s="105" t="s">
        <v>310</v>
      </c>
      <c r="F50" s="121" t="s">
        <v>938</v>
      </c>
      <c r="G50" s="63" t="s">
        <v>30</v>
      </c>
      <c r="H50" s="64">
        <v>10.0</v>
      </c>
      <c r="I50" s="47">
        <f t="shared" si="11"/>
        <v>220000</v>
      </c>
      <c r="J50" s="48">
        <f t="shared" si="12"/>
        <v>2200000</v>
      </c>
      <c r="K50" s="76">
        <f t="shared" si="13"/>
        <v>2200000</v>
      </c>
      <c r="L50" s="122"/>
      <c r="M50" s="78"/>
      <c r="N50" s="136"/>
      <c r="O50" s="80">
        <f t="shared" ref="O50:O51" si="16">K50+L50-N50</f>
        <v>2200000</v>
      </c>
      <c r="P50" s="81" t="s">
        <v>449</v>
      </c>
      <c r="Q50" s="81" t="s">
        <v>31</v>
      </c>
      <c r="R50" s="108">
        <v>69003.0</v>
      </c>
      <c r="S50" s="84" t="s">
        <v>32</v>
      </c>
      <c r="T50" s="84" t="s">
        <v>33</v>
      </c>
      <c r="U50" s="122"/>
      <c r="V50" s="673"/>
      <c r="W50" s="122"/>
      <c r="X50" s="106"/>
      <c r="Y50" s="106"/>
      <c r="Z50" s="427"/>
      <c r="AA50" s="107"/>
      <c r="AB50" s="107"/>
      <c r="AC50" s="107"/>
      <c r="AD50" s="106"/>
    </row>
    <row r="51" ht="30.75" customHeight="1">
      <c r="A51" s="111">
        <v>31.0</v>
      </c>
      <c r="B51" s="112">
        <v>45169.0</v>
      </c>
      <c r="C51" s="152">
        <v>1.701800845904E12</v>
      </c>
      <c r="D51" s="142" t="s">
        <v>939</v>
      </c>
      <c r="E51" s="143" t="s">
        <v>940</v>
      </c>
      <c r="F51" s="142" t="s">
        <v>941</v>
      </c>
      <c r="G51" s="63" t="s">
        <v>30</v>
      </c>
      <c r="H51" s="64">
        <v>2.0</v>
      </c>
      <c r="I51" s="47">
        <f t="shared" si="11"/>
        <v>220000</v>
      </c>
      <c r="J51" s="48">
        <f t="shared" si="12"/>
        <v>440000</v>
      </c>
      <c r="K51" s="49">
        <f>SUM(J51:J53)</f>
        <v>970000</v>
      </c>
      <c r="L51" s="147"/>
      <c r="M51" s="561"/>
      <c r="N51" s="562"/>
      <c r="O51" s="53">
        <f t="shared" si="16"/>
        <v>970000</v>
      </c>
      <c r="P51" s="99" t="s">
        <v>449</v>
      </c>
      <c r="Q51" s="99" t="s">
        <v>31</v>
      </c>
      <c r="R51" s="145">
        <v>48597.0</v>
      </c>
      <c r="S51" s="57" t="s">
        <v>32</v>
      </c>
      <c r="T51" s="57" t="s">
        <v>33</v>
      </c>
      <c r="U51" s="147"/>
      <c r="V51" s="678"/>
      <c r="W51" s="142" t="s">
        <v>486</v>
      </c>
      <c r="X51" s="106"/>
      <c r="Y51" s="106"/>
      <c r="Z51" s="427"/>
      <c r="AA51" s="107"/>
      <c r="AB51" s="107"/>
      <c r="AC51" s="107"/>
      <c r="AD51" s="106"/>
    </row>
    <row r="52" ht="30.75" customHeight="1">
      <c r="A52" s="62"/>
      <c r="B52" s="62"/>
      <c r="C52" s="62"/>
      <c r="D52" s="62"/>
      <c r="E52" s="62"/>
      <c r="F52" s="62"/>
      <c r="G52" s="63" t="s">
        <v>35</v>
      </c>
      <c r="H52" s="64">
        <v>2.0</v>
      </c>
      <c r="I52" s="47">
        <f t="shared" si="11"/>
        <v>220000</v>
      </c>
      <c r="J52" s="48">
        <f t="shared" si="12"/>
        <v>440000</v>
      </c>
      <c r="K52" s="62"/>
      <c r="L52" s="62"/>
      <c r="M52" s="62"/>
      <c r="N52" s="62"/>
      <c r="O52" s="62"/>
      <c r="P52" s="62"/>
      <c r="Q52" s="62"/>
      <c r="R52" s="62"/>
      <c r="S52" s="62"/>
      <c r="T52" s="62"/>
      <c r="U52" s="62"/>
      <c r="V52" s="62"/>
      <c r="W52" s="62"/>
      <c r="X52" s="106"/>
      <c r="Y52" s="106"/>
      <c r="Z52" s="427"/>
      <c r="AA52" s="107"/>
      <c r="AB52" s="107"/>
      <c r="AC52" s="107"/>
      <c r="AD52" s="106"/>
    </row>
    <row r="53" ht="30.75" customHeight="1">
      <c r="A53" s="67"/>
      <c r="B53" s="67"/>
      <c r="C53" s="67"/>
      <c r="D53" s="67"/>
      <c r="E53" s="67"/>
      <c r="F53" s="67"/>
      <c r="G53" s="72" t="s">
        <v>61</v>
      </c>
      <c r="H53" s="73">
        <v>1.0</v>
      </c>
      <c r="I53" s="74">
        <f t="shared" si="11"/>
        <v>90000</v>
      </c>
      <c r="J53" s="75">
        <f t="shared" si="12"/>
        <v>90000</v>
      </c>
      <c r="K53" s="67"/>
      <c r="L53" s="67"/>
      <c r="M53" s="67"/>
      <c r="N53" s="67"/>
      <c r="O53" s="67"/>
      <c r="P53" s="67"/>
      <c r="Q53" s="67"/>
      <c r="R53" s="67"/>
      <c r="S53" s="67"/>
      <c r="T53" s="67"/>
      <c r="U53" s="67"/>
      <c r="V53" s="67"/>
      <c r="W53" s="67"/>
      <c r="X53" s="106"/>
      <c r="Y53" s="106"/>
      <c r="Z53" s="427"/>
      <c r="AA53" s="107"/>
      <c r="AB53" s="107"/>
      <c r="AC53" s="107"/>
      <c r="AD53" s="106"/>
    </row>
    <row r="54" ht="30.75" customHeight="1">
      <c r="A54" s="111">
        <v>32.0</v>
      </c>
      <c r="B54" s="112">
        <v>45169.0</v>
      </c>
      <c r="C54" s="152">
        <v>1.701960556319E12</v>
      </c>
      <c r="D54" s="142" t="s">
        <v>942</v>
      </c>
      <c r="E54" s="143" t="s">
        <v>943</v>
      </c>
      <c r="F54" s="44" t="s">
        <v>944</v>
      </c>
      <c r="G54" s="63" t="s">
        <v>35</v>
      </c>
      <c r="H54" s="64">
        <v>6.0</v>
      </c>
      <c r="I54" s="47">
        <f t="shared" si="11"/>
        <v>220000</v>
      </c>
      <c r="J54" s="48">
        <f t="shared" si="12"/>
        <v>1320000</v>
      </c>
      <c r="K54" s="49">
        <f>sum(J54:J56)</f>
        <v>3120000</v>
      </c>
      <c r="L54" s="147"/>
      <c r="M54" s="561"/>
      <c r="N54" s="562"/>
      <c r="O54" s="53">
        <f>K54+L54-N54</f>
        <v>3120000</v>
      </c>
      <c r="P54" s="99" t="s">
        <v>449</v>
      </c>
      <c r="Q54" s="99" t="s">
        <v>31</v>
      </c>
      <c r="R54" s="145">
        <v>107505.0</v>
      </c>
      <c r="S54" s="57" t="s">
        <v>32</v>
      </c>
      <c r="T54" s="57" t="s">
        <v>33</v>
      </c>
      <c r="U54" s="147"/>
      <c r="V54" s="678"/>
      <c r="W54" s="147"/>
      <c r="X54" s="106"/>
      <c r="Y54" s="106"/>
      <c r="Z54" s="427"/>
      <c r="AA54" s="107"/>
      <c r="AB54" s="107"/>
      <c r="AC54" s="107"/>
      <c r="AD54" s="106"/>
    </row>
    <row r="55" ht="30.75" customHeight="1">
      <c r="A55" s="62"/>
      <c r="B55" s="62"/>
      <c r="C55" s="62"/>
      <c r="D55" s="62"/>
      <c r="E55" s="62"/>
      <c r="F55" s="62"/>
      <c r="G55" s="63" t="s">
        <v>290</v>
      </c>
      <c r="H55" s="64">
        <v>6.0</v>
      </c>
      <c r="I55" s="47">
        <f t="shared" si="11"/>
        <v>220000</v>
      </c>
      <c r="J55" s="48">
        <f t="shared" si="12"/>
        <v>1320000</v>
      </c>
      <c r="K55" s="62"/>
      <c r="L55" s="62"/>
      <c r="M55" s="62"/>
      <c r="N55" s="62"/>
      <c r="O55" s="62"/>
      <c r="P55" s="62"/>
      <c r="Q55" s="62"/>
      <c r="R55" s="62"/>
      <c r="S55" s="62"/>
      <c r="T55" s="62"/>
      <c r="U55" s="62"/>
      <c r="V55" s="62"/>
      <c r="W55" s="62"/>
      <c r="X55" s="106"/>
      <c r="Y55" s="106"/>
      <c r="Z55" s="427"/>
      <c r="AA55" s="107"/>
      <c r="AB55" s="107"/>
      <c r="AC55" s="107"/>
      <c r="AD55" s="106"/>
    </row>
    <row r="56" ht="30.75" customHeight="1">
      <c r="A56" s="67"/>
      <c r="B56" s="67"/>
      <c r="C56" s="67"/>
      <c r="D56" s="67"/>
      <c r="E56" s="67"/>
      <c r="F56" s="67"/>
      <c r="G56" s="63" t="s">
        <v>147</v>
      </c>
      <c r="H56" s="64">
        <v>6.0</v>
      </c>
      <c r="I56" s="47">
        <f t="shared" si="11"/>
        <v>80000</v>
      </c>
      <c r="J56" s="48">
        <f t="shared" si="12"/>
        <v>480000</v>
      </c>
      <c r="K56" s="67"/>
      <c r="L56" s="67"/>
      <c r="M56" s="67"/>
      <c r="N56" s="67"/>
      <c r="O56" s="67"/>
      <c r="P56" s="67"/>
      <c r="Q56" s="67"/>
      <c r="R56" s="67"/>
      <c r="S56" s="67"/>
      <c r="T56" s="67"/>
      <c r="U56" s="67"/>
      <c r="V56" s="67"/>
      <c r="W56" s="67"/>
      <c r="X56" s="106"/>
      <c r="Y56" s="556"/>
      <c r="Z56" s="579"/>
      <c r="AA56" s="107"/>
      <c r="AB56" s="107"/>
      <c r="AC56" s="107"/>
      <c r="AD56" s="106"/>
    </row>
    <row r="57" ht="30.75" customHeight="1">
      <c r="A57" s="111">
        <v>33.0</v>
      </c>
      <c r="B57" s="112">
        <v>45169.0</v>
      </c>
      <c r="C57" s="152">
        <v>1.718605149621E12</v>
      </c>
      <c r="D57" s="142" t="s">
        <v>945</v>
      </c>
      <c r="E57" s="143" t="s">
        <v>946</v>
      </c>
      <c r="F57" s="142" t="s">
        <v>947</v>
      </c>
      <c r="G57" s="63" t="s">
        <v>30</v>
      </c>
      <c r="H57" s="64">
        <v>1.0</v>
      </c>
      <c r="I57" s="47">
        <f t="shared" si="11"/>
        <v>220000</v>
      </c>
      <c r="J57" s="48">
        <f t="shared" si="12"/>
        <v>220000</v>
      </c>
      <c r="K57" s="49">
        <f>SUM(J57:J58)</f>
        <v>440000</v>
      </c>
      <c r="L57" s="145">
        <v>43001.0</v>
      </c>
      <c r="M57" s="561"/>
      <c r="N57" s="117">
        <v>13001.0</v>
      </c>
      <c r="O57" s="53">
        <f>K57+L57-M57-N57</f>
        <v>470000</v>
      </c>
      <c r="P57" s="99" t="s">
        <v>449</v>
      </c>
      <c r="Q57" s="99" t="s">
        <v>31</v>
      </c>
      <c r="R57" s="146"/>
      <c r="S57" s="197"/>
      <c r="T57" s="57" t="s">
        <v>33</v>
      </c>
      <c r="U57" s="147"/>
      <c r="V57" s="678"/>
      <c r="W57" s="147"/>
      <c r="X57" s="106"/>
      <c r="Y57" s="106"/>
      <c r="Z57" s="427"/>
      <c r="AA57" s="107"/>
      <c r="AB57" s="107"/>
      <c r="AC57" s="107"/>
      <c r="AD57" s="106"/>
    </row>
    <row r="58" ht="30.75" customHeight="1">
      <c r="A58" s="67"/>
      <c r="B58" s="67"/>
      <c r="C58" s="67"/>
      <c r="D58" s="67"/>
      <c r="E58" s="67"/>
      <c r="F58" s="67"/>
      <c r="G58" s="63" t="s">
        <v>35</v>
      </c>
      <c r="H58" s="64">
        <v>1.0</v>
      </c>
      <c r="I58" s="47">
        <f t="shared" si="11"/>
        <v>220000</v>
      </c>
      <c r="J58" s="48">
        <f t="shared" si="12"/>
        <v>220000</v>
      </c>
      <c r="K58" s="67"/>
      <c r="L58" s="67"/>
      <c r="M58" s="67"/>
      <c r="N58" s="67"/>
      <c r="O58" s="67"/>
      <c r="P58" s="67"/>
      <c r="Q58" s="67"/>
      <c r="R58" s="67"/>
      <c r="S58" s="67"/>
      <c r="T58" s="67"/>
      <c r="U58" s="67"/>
      <c r="V58" s="67"/>
      <c r="W58" s="67"/>
      <c r="X58" s="106"/>
      <c r="Y58" s="106"/>
      <c r="Z58" s="427"/>
      <c r="AA58" s="107"/>
      <c r="AB58" s="107"/>
      <c r="AC58" s="107"/>
      <c r="AD58" s="106"/>
    </row>
    <row r="59" ht="30.75" customHeight="1">
      <c r="A59" s="93">
        <v>34.0</v>
      </c>
      <c r="B59" s="103">
        <v>45169.0</v>
      </c>
      <c r="C59" s="60" t="s">
        <v>948</v>
      </c>
      <c r="D59" s="92" t="s">
        <v>50</v>
      </c>
      <c r="E59" s="105" t="s">
        <v>949</v>
      </c>
      <c r="F59" s="92" t="s">
        <v>70</v>
      </c>
      <c r="G59" s="63" t="s">
        <v>30</v>
      </c>
      <c r="H59" s="64">
        <v>1.0</v>
      </c>
      <c r="I59" s="47">
        <f t="shared" si="11"/>
        <v>220000</v>
      </c>
      <c r="J59" s="48">
        <f t="shared" si="12"/>
        <v>220000</v>
      </c>
      <c r="K59" s="76">
        <f t="shared" ref="K59:K63" si="17">SUM(J59)</f>
        <v>220000</v>
      </c>
      <c r="L59" s="122"/>
      <c r="M59" s="78">
        <f>7857+4400</f>
        <v>12257</v>
      </c>
      <c r="N59" s="136"/>
      <c r="O59" s="80">
        <f t="shared" ref="O59:O64" si="18">K59+L59-M59-N59</f>
        <v>207743</v>
      </c>
      <c r="P59" s="81" t="s">
        <v>449</v>
      </c>
      <c r="Q59" s="81" t="s">
        <v>31</v>
      </c>
      <c r="R59" s="65"/>
      <c r="S59" s="183"/>
      <c r="T59" s="84" t="s">
        <v>33</v>
      </c>
      <c r="U59" s="122"/>
      <c r="V59" s="673"/>
      <c r="W59" s="135" t="s">
        <v>53</v>
      </c>
      <c r="X59" s="106"/>
      <c r="Y59" s="106"/>
      <c r="Z59" s="427"/>
      <c r="AA59" s="107"/>
      <c r="AB59" s="107"/>
      <c r="AC59" s="107"/>
      <c r="AD59" s="106"/>
    </row>
    <row r="60" ht="30.75" customHeight="1">
      <c r="A60" s="696">
        <v>35.0</v>
      </c>
      <c r="B60" s="697">
        <v>45169.0</v>
      </c>
      <c r="C60" s="698" t="s">
        <v>950</v>
      </c>
      <c r="D60" s="699" t="s">
        <v>50</v>
      </c>
      <c r="E60" s="700" t="s">
        <v>951</v>
      </c>
      <c r="F60" s="699" t="s">
        <v>74</v>
      </c>
      <c r="G60" s="701" t="s">
        <v>30</v>
      </c>
      <c r="H60" s="702">
        <v>2.0</v>
      </c>
      <c r="I60" s="703"/>
      <c r="J60" s="704">
        <f t="shared" si="12"/>
        <v>0</v>
      </c>
      <c r="K60" s="705">
        <f t="shared" si="17"/>
        <v>0</v>
      </c>
      <c r="L60" s="706"/>
      <c r="M60" s="707"/>
      <c r="N60" s="707"/>
      <c r="O60" s="708">
        <f t="shared" si="18"/>
        <v>0</v>
      </c>
      <c r="P60" s="709"/>
      <c r="Q60" s="709"/>
      <c r="R60" s="698"/>
      <c r="S60" s="710"/>
      <c r="T60" s="710"/>
      <c r="U60" s="706"/>
      <c r="V60" s="711"/>
      <c r="W60" s="709" t="s">
        <v>201</v>
      </c>
      <c r="X60" s="123"/>
      <c r="Y60" s="123"/>
      <c r="Z60" s="712"/>
      <c r="AA60" s="585"/>
      <c r="AB60" s="585"/>
      <c r="AC60" s="585"/>
      <c r="AD60" s="123"/>
    </row>
    <row r="61" ht="30.75" customHeight="1">
      <c r="A61" s="93">
        <v>36.0</v>
      </c>
      <c r="B61" s="103">
        <v>45169.0</v>
      </c>
      <c r="C61" s="60" t="s">
        <v>952</v>
      </c>
      <c r="D61" s="92" t="s">
        <v>50</v>
      </c>
      <c r="E61" s="105" t="s">
        <v>840</v>
      </c>
      <c r="F61" s="92" t="s">
        <v>841</v>
      </c>
      <c r="G61" s="63" t="s">
        <v>30</v>
      </c>
      <c r="H61" s="64">
        <v>2.0</v>
      </c>
      <c r="I61" s="47">
        <f t="shared" ref="I61:I98" si="19">VLOOKUP(G61,$Y$4:$Z$45,2,0)</f>
        <v>220000</v>
      </c>
      <c r="J61" s="48">
        <f t="shared" si="12"/>
        <v>440000</v>
      </c>
      <c r="K61" s="76">
        <f t="shared" si="17"/>
        <v>440000</v>
      </c>
      <c r="L61" s="122"/>
      <c r="M61" s="78">
        <f>13200+8800</f>
        <v>22000</v>
      </c>
      <c r="N61" s="136"/>
      <c r="O61" s="80">
        <f t="shared" si="18"/>
        <v>418000</v>
      </c>
      <c r="P61" s="81" t="s">
        <v>449</v>
      </c>
      <c r="Q61" s="81" t="s">
        <v>31</v>
      </c>
      <c r="R61" s="65"/>
      <c r="S61" s="183"/>
      <c r="T61" s="84" t="s">
        <v>33</v>
      </c>
      <c r="U61" s="122"/>
      <c r="V61" s="673"/>
      <c r="W61" s="135" t="s">
        <v>53</v>
      </c>
      <c r="X61" s="106"/>
      <c r="Y61" s="106"/>
      <c r="Z61" s="427"/>
      <c r="AA61" s="107"/>
      <c r="AB61" s="107"/>
      <c r="AC61" s="107"/>
      <c r="AD61" s="106"/>
    </row>
    <row r="62" ht="30.75" customHeight="1">
      <c r="A62" s="93">
        <v>37.0</v>
      </c>
      <c r="B62" s="103">
        <v>45173.0</v>
      </c>
      <c r="C62" s="104">
        <v>1.717090677599E12</v>
      </c>
      <c r="D62" s="92" t="s">
        <v>480</v>
      </c>
      <c r="E62" s="105" t="s">
        <v>481</v>
      </c>
      <c r="F62" s="92" t="s">
        <v>482</v>
      </c>
      <c r="G62" s="63" t="s">
        <v>75</v>
      </c>
      <c r="H62" s="64">
        <v>2.0</v>
      </c>
      <c r="I62" s="47">
        <f t="shared" si="19"/>
        <v>45000</v>
      </c>
      <c r="J62" s="48">
        <f t="shared" si="12"/>
        <v>90000</v>
      </c>
      <c r="K62" s="76">
        <f t="shared" si="17"/>
        <v>90000</v>
      </c>
      <c r="L62" s="108">
        <v>35001.0</v>
      </c>
      <c r="M62" s="157">
        <v>15001.0</v>
      </c>
      <c r="N62" s="136"/>
      <c r="O62" s="80">
        <f t="shared" si="18"/>
        <v>110000</v>
      </c>
      <c r="P62" s="81" t="s">
        <v>449</v>
      </c>
      <c r="Q62" s="81" t="s">
        <v>31</v>
      </c>
      <c r="R62" s="65"/>
      <c r="S62" s="183"/>
      <c r="T62" s="84" t="s">
        <v>33</v>
      </c>
      <c r="U62" s="122"/>
      <c r="V62" s="673"/>
      <c r="W62" s="122"/>
      <c r="X62" s="106"/>
      <c r="Y62" s="106"/>
      <c r="Z62" s="427"/>
      <c r="AA62" s="107"/>
      <c r="AB62" s="107"/>
      <c r="AC62" s="107"/>
      <c r="AD62" s="106"/>
    </row>
    <row r="63" ht="30.75" customHeight="1">
      <c r="A63" s="93">
        <v>38.0</v>
      </c>
      <c r="B63" s="103">
        <v>45173.0</v>
      </c>
      <c r="C63" s="174">
        <v>1.717140628777E12</v>
      </c>
      <c r="D63" s="92" t="s">
        <v>953</v>
      </c>
      <c r="E63" s="105" t="s">
        <v>954</v>
      </c>
      <c r="F63" s="92" t="s">
        <v>955</v>
      </c>
      <c r="G63" s="63" t="s">
        <v>30</v>
      </c>
      <c r="H63" s="64">
        <v>2.0</v>
      </c>
      <c r="I63" s="47">
        <f t="shared" si="19"/>
        <v>220000</v>
      </c>
      <c r="J63" s="48">
        <f t="shared" si="12"/>
        <v>440000</v>
      </c>
      <c r="K63" s="76">
        <f t="shared" si="17"/>
        <v>440000</v>
      </c>
      <c r="L63" s="108">
        <v>36001.0</v>
      </c>
      <c r="M63" s="157">
        <v>6001.0</v>
      </c>
      <c r="N63" s="136"/>
      <c r="O63" s="80">
        <f t="shared" si="18"/>
        <v>470000</v>
      </c>
      <c r="P63" s="81" t="s">
        <v>449</v>
      </c>
      <c r="Q63" s="81" t="s">
        <v>31</v>
      </c>
      <c r="R63" s="65"/>
      <c r="S63" s="183"/>
      <c r="T63" s="84" t="s">
        <v>33</v>
      </c>
      <c r="U63" s="122"/>
      <c r="V63" s="673"/>
      <c r="W63" s="122"/>
      <c r="X63" s="106"/>
      <c r="Y63" s="106"/>
      <c r="Z63" s="427"/>
      <c r="AA63" s="107"/>
      <c r="AB63" s="107"/>
      <c r="AC63" s="107"/>
      <c r="AD63" s="106"/>
    </row>
    <row r="64" ht="30.75" customHeight="1">
      <c r="A64" s="111">
        <v>39.0</v>
      </c>
      <c r="B64" s="112">
        <v>45173.0</v>
      </c>
      <c r="C64" s="152">
        <v>1.717520602261E12</v>
      </c>
      <c r="D64" s="142" t="s">
        <v>956</v>
      </c>
      <c r="E64" s="143" t="s">
        <v>957</v>
      </c>
      <c r="F64" s="148" t="s">
        <v>958</v>
      </c>
      <c r="G64" s="63" t="s">
        <v>30</v>
      </c>
      <c r="H64" s="64">
        <v>1.0</v>
      </c>
      <c r="I64" s="47">
        <f t="shared" si="19"/>
        <v>220000</v>
      </c>
      <c r="J64" s="48">
        <f t="shared" si="12"/>
        <v>220000</v>
      </c>
      <c r="K64" s="49">
        <f>SUM(J64:J69)</f>
        <v>1270000</v>
      </c>
      <c r="L64" s="147"/>
      <c r="M64" s="561"/>
      <c r="N64" s="562"/>
      <c r="O64" s="53">
        <f t="shared" si="18"/>
        <v>1270000</v>
      </c>
      <c r="P64" s="99" t="s">
        <v>449</v>
      </c>
      <c r="Q64" s="99" t="s">
        <v>31</v>
      </c>
      <c r="R64" s="145">
        <v>61003.0</v>
      </c>
      <c r="S64" s="57" t="s">
        <v>32</v>
      </c>
      <c r="T64" s="57" t="s">
        <v>33</v>
      </c>
      <c r="U64" s="147"/>
      <c r="V64" s="678"/>
      <c r="W64" s="147"/>
      <c r="X64" s="106"/>
      <c r="Y64" s="106"/>
      <c r="Z64" s="427"/>
      <c r="AA64" s="107"/>
      <c r="AB64" s="107"/>
      <c r="AC64" s="107"/>
      <c r="AD64" s="106"/>
    </row>
    <row r="65" ht="30.75" customHeight="1">
      <c r="A65" s="62"/>
      <c r="B65" s="62"/>
      <c r="C65" s="62"/>
      <c r="D65" s="62"/>
      <c r="E65" s="62"/>
      <c r="F65" s="62"/>
      <c r="G65" s="63" t="s">
        <v>165</v>
      </c>
      <c r="H65" s="64">
        <v>1.0</v>
      </c>
      <c r="I65" s="47">
        <f t="shared" si="19"/>
        <v>220000</v>
      </c>
      <c r="J65" s="48">
        <f t="shared" si="12"/>
        <v>220000</v>
      </c>
      <c r="K65" s="62"/>
      <c r="L65" s="62"/>
      <c r="M65" s="62"/>
      <c r="N65" s="62"/>
      <c r="O65" s="62"/>
      <c r="P65" s="62"/>
      <c r="Q65" s="62"/>
      <c r="R65" s="62"/>
      <c r="S65" s="62"/>
      <c r="T65" s="62"/>
      <c r="U65" s="62"/>
      <c r="V65" s="62"/>
      <c r="W65" s="62"/>
      <c r="X65" s="106"/>
      <c r="Y65" s="106"/>
      <c r="Z65" s="427"/>
      <c r="AA65" s="107"/>
      <c r="AB65" s="107"/>
      <c r="AC65" s="107"/>
      <c r="AD65" s="106"/>
    </row>
    <row r="66" ht="30.75" customHeight="1">
      <c r="A66" s="62"/>
      <c r="B66" s="62"/>
      <c r="C66" s="62"/>
      <c r="D66" s="62"/>
      <c r="E66" s="62"/>
      <c r="F66" s="62"/>
      <c r="G66" s="63" t="s">
        <v>35</v>
      </c>
      <c r="H66" s="64">
        <v>2.0</v>
      </c>
      <c r="I66" s="47">
        <f t="shared" si="19"/>
        <v>220000</v>
      </c>
      <c r="J66" s="48">
        <f t="shared" si="12"/>
        <v>440000</v>
      </c>
      <c r="K66" s="62"/>
      <c r="L66" s="62"/>
      <c r="M66" s="62"/>
      <c r="N66" s="62"/>
      <c r="O66" s="62"/>
      <c r="P66" s="62"/>
      <c r="Q66" s="62"/>
      <c r="R66" s="62"/>
      <c r="S66" s="62"/>
      <c r="T66" s="62"/>
      <c r="U66" s="62"/>
      <c r="V66" s="62"/>
      <c r="W66" s="62"/>
      <c r="X66" s="106"/>
      <c r="Y66" s="106"/>
      <c r="Z66" s="427"/>
      <c r="AA66" s="107"/>
      <c r="AB66" s="107"/>
      <c r="AC66" s="107"/>
      <c r="AD66" s="106"/>
    </row>
    <row r="67" ht="30.75" customHeight="1">
      <c r="A67" s="62"/>
      <c r="B67" s="62"/>
      <c r="C67" s="62"/>
      <c r="D67" s="62"/>
      <c r="E67" s="62"/>
      <c r="F67" s="62"/>
      <c r="G67" s="63" t="s">
        <v>122</v>
      </c>
      <c r="H67" s="64">
        <v>1.0</v>
      </c>
      <c r="I67" s="47">
        <f t="shared" si="19"/>
        <v>220000</v>
      </c>
      <c r="J67" s="48">
        <f t="shared" si="12"/>
        <v>220000</v>
      </c>
      <c r="K67" s="62"/>
      <c r="L67" s="62"/>
      <c r="M67" s="62"/>
      <c r="N67" s="62"/>
      <c r="O67" s="62"/>
      <c r="P67" s="62"/>
      <c r="Q67" s="62"/>
      <c r="R67" s="62"/>
      <c r="S67" s="62"/>
      <c r="T67" s="62"/>
      <c r="U67" s="62"/>
      <c r="V67" s="62"/>
      <c r="W67" s="62"/>
      <c r="X67" s="106"/>
      <c r="Y67" s="106"/>
      <c r="Z67" s="427"/>
      <c r="AA67" s="107"/>
      <c r="AB67" s="107"/>
      <c r="AC67" s="107"/>
      <c r="AD67" s="106"/>
    </row>
    <row r="68" ht="30.75" customHeight="1">
      <c r="A68" s="62"/>
      <c r="B68" s="62"/>
      <c r="C68" s="62"/>
      <c r="D68" s="62"/>
      <c r="E68" s="62"/>
      <c r="F68" s="62"/>
      <c r="G68" s="63" t="s">
        <v>147</v>
      </c>
      <c r="H68" s="64">
        <v>1.0</v>
      </c>
      <c r="I68" s="47">
        <f t="shared" si="19"/>
        <v>80000</v>
      </c>
      <c r="J68" s="48">
        <f t="shared" si="12"/>
        <v>80000</v>
      </c>
      <c r="K68" s="62"/>
      <c r="L68" s="62"/>
      <c r="M68" s="62"/>
      <c r="N68" s="62"/>
      <c r="O68" s="62"/>
      <c r="P68" s="62"/>
      <c r="Q68" s="62"/>
      <c r="R68" s="62"/>
      <c r="S68" s="62"/>
      <c r="T68" s="62"/>
      <c r="U68" s="62"/>
      <c r="V68" s="62"/>
      <c r="W68" s="62"/>
      <c r="X68" s="106"/>
      <c r="Y68" s="106"/>
      <c r="Z68" s="427"/>
      <c r="AA68" s="107"/>
      <c r="AB68" s="107"/>
      <c r="AC68" s="107"/>
      <c r="AD68" s="106"/>
    </row>
    <row r="69" ht="30.75" customHeight="1">
      <c r="A69" s="67"/>
      <c r="B69" s="67"/>
      <c r="C69" s="67"/>
      <c r="D69" s="67"/>
      <c r="E69" s="67"/>
      <c r="F69" s="67"/>
      <c r="G69" s="72" t="s">
        <v>76</v>
      </c>
      <c r="H69" s="73">
        <v>1.0</v>
      </c>
      <c r="I69" s="74">
        <f t="shared" si="19"/>
        <v>90000</v>
      </c>
      <c r="J69" s="48">
        <f t="shared" si="12"/>
        <v>90000</v>
      </c>
      <c r="K69" s="67"/>
      <c r="L69" s="67"/>
      <c r="M69" s="67"/>
      <c r="N69" s="67"/>
      <c r="O69" s="67"/>
      <c r="P69" s="67"/>
      <c r="Q69" s="67"/>
      <c r="R69" s="67"/>
      <c r="S69" s="67"/>
      <c r="T69" s="67"/>
      <c r="U69" s="67"/>
      <c r="V69" s="67"/>
      <c r="W69" s="67"/>
      <c r="X69" s="106"/>
      <c r="Y69" s="106"/>
      <c r="Z69" s="427"/>
      <c r="AA69" s="107"/>
      <c r="AB69" s="107"/>
      <c r="AC69" s="107"/>
      <c r="AD69" s="106"/>
    </row>
    <row r="70" ht="36.0" customHeight="1">
      <c r="A70" s="93">
        <v>40.0</v>
      </c>
      <c r="B70" s="103">
        <v>45173.0</v>
      </c>
      <c r="C70" s="104">
        <v>1.717678109916E12</v>
      </c>
      <c r="D70" s="92" t="s">
        <v>959</v>
      </c>
      <c r="E70" s="105" t="s">
        <v>960</v>
      </c>
      <c r="F70" s="567" t="s">
        <v>961</v>
      </c>
      <c r="G70" s="63" t="s">
        <v>30</v>
      </c>
      <c r="H70" s="64">
        <v>1.0</v>
      </c>
      <c r="I70" s="47">
        <f t="shared" si="19"/>
        <v>220000</v>
      </c>
      <c r="J70" s="48">
        <f t="shared" si="12"/>
        <v>220000</v>
      </c>
      <c r="K70" s="76">
        <f t="shared" ref="K70:K76" si="20">SUM(J70)</f>
        <v>220000</v>
      </c>
      <c r="L70" s="108">
        <v>33000.0</v>
      </c>
      <c r="M70" s="575"/>
      <c r="N70" s="115">
        <v>13000.0</v>
      </c>
      <c r="O70" s="80">
        <f t="shared" ref="O70:O77" si="21">K70+L70-M70-N70</f>
        <v>240000</v>
      </c>
      <c r="P70" s="81" t="s">
        <v>449</v>
      </c>
      <c r="Q70" s="81" t="s">
        <v>31</v>
      </c>
      <c r="R70" s="65"/>
      <c r="S70" s="183"/>
      <c r="T70" s="84" t="s">
        <v>33</v>
      </c>
      <c r="U70" s="122"/>
      <c r="V70" s="673"/>
      <c r="W70" s="122"/>
      <c r="X70" s="106"/>
      <c r="Y70" s="106"/>
      <c r="Z70" s="427"/>
      <c r="AA70" s="107"/>
      <c r="AB70" s="107"/>
      <c r="AC70" s="107"/>
      <c r="AD70" s="106"/>
    </row>
    <row r="71" ht="30.75" customHeight="1">
      <c r="A71" s="104">
        <v>41.0</v>
      </c>
      <c r="B71" s="103">
        <v>45173.0</v>
      </c>
      <c r="C71" s="60" t="s">
        <v>962</v>
      </c>
      <c r="D71" s="92" t="s">
        <v>50</v>
      </c>
      <c r="E71" s="110" t="s">
        <v>963</v>
      </c>
      <c r="F71" s="284" t="s">
        <v>119</v>
      </c>
      <c r="G71" s="713" t="s">
        <v>30</v>
      </c>
      <c r="H71" s="714">
        <v>1.0</v>
      </c>
      <c r="I71" s="47">
        <f t="shared" si="19"/>
        <v>220000</v>
      </c>
      <c r="J71" s="48">
        <f t="shared" si="12"/>
        <v>220000</v>
      </c>
      <c r="K71" s="76">
        <f t="shared" si="20"/>
        <v>220000</v>
      </c>
      <c r="L71" s="122"/>
      <c r="M71" s="78">
        <f>7857+4400</f>
        <v>12257</v>
      </c>
      <c r="N71" s="136"/>
      <c r="O71" s="80">
        <f t="shared" si="21"/>
        <v>207743</v>
      </c>
      <c r="P71" s="81" t="s">
        <v>449</v>
      </c>
      <c r="Q71" s="81" t="s">
        <v>31</v>
      </c>
      <c r="R71" s="65"/>
      <c r="S71" s="183"/>
      <c r="T71" s="84" t="s">
        <v>33</v>
      </c>
      <c r="U71" s="122"/>
      <c r="V71" s="673"/>
      <c r="W71" s="135" t="s">
        <v>53</v>
      </c>
      <c r="X71" s="106"/>
      <c r="Y71" s="106"/>
      <c r="Z71" s="427"/>
      <c r="AA71" s="107"/>
      <c r="AB71" s="107"/>
      <c r="AC71" s="107"/>
      <c r="AD71" s="106"/>
    </row>
    <row r="72" ht="30.75" customHeight="1">
      <c r="A72" s="104">
        <v>42.0</v>
      </c>
      <c r="B72" s="103">
        <v>45173.0</v>
      </c>
      <c r="C72" s="60" t="s">
        <v>964</v>
      </c>
      <c r="D72" s="92" t="s">
        <v>50</v>
      </c>
      <c r="E72" s="110" t="s">
        <v>840</v>
      </c>
      <c r="F72" s="680" t="s">
        <v>841</v>
      </c>
      <c r="G72" s="713" t="s">
        <v>290</v>
      </c>
      <c r="H72" s="714">
        <v>2.0</v>
      </c>
      <c r="I72" s="47">
        <f t="shared" si="19"/>
        <v>220000</v>
      </c>
      <c r="J72" s="48">
        <f t="shared" si="12"/>
        <v>440000</v>
      </c>
      <c r="K72" s="76">
        <f t="shared" si="20"/>
        <v>440000</v>
      </c>
      <c r="L72" s="122"/>
      <c r="M72" s="78">
        <f>12630+8800</f>
        <v>21430</v>
      </c>
      <c r="N72" s="136"/>
      <c r="O72" s="80">
        <f t="shared" si="21"/>
        <v>418570</v>
      </c>
      <c r="P72" s="81" t="s">
        <v>449</v>
      </c>
      <c r="Q72" s="81" t="s">
        <v>31</v>
      </c>
      <c r="R72" s="65"/>
      <c r="S72" s="183"/>
      <c r="T72" s="84" t="s">
        <v>33</v>
      </c>
      <c r="U72" s="122"/>
      <c r="V72" s="673"/>
      <c r="W72" s="135" t="s">
        <v>53</v>
      </c>
      <c r="X72" s="106"/>
      <c r="Y72" s="106"/>
      <c r="Z72" s="427"/>
      <c r="AA72" s="107"/>
      <c r="AB72" s="107"/>
      <c r="AC72" s="107"/>
      <c r="AD72" s="106"/>
    </row>
    <row r="73" ht="30.75" customHeight="1">
      <c r="A73" s="104">
        <v>43.0</v>
      </c>
      <c r="B73" s="103">
        <v>45173.0</v>
      </c>
      <c r="C73" s="60" t="s">
        <v>965</v>
      </c>
      <c r="D73" s="92" t="s">
        <v>50</v>
      </c>
      <c r="E73" s="110" t="s">
        <v>966</v>
      </c>
      <c r="F73" s="284" t="s">
        <v>84</v>
      </c>
      <c r="G73" s="713" t="s">
        <v>30</v>
      </c>
      <c r="H73" s="714">
        <v>1.0</v>
      </c>
      <c r="I73" s="47">
        <f t="shared" si="19"/>
        <v>220000</v>
      </c>
      <c r="J73" s="48">
        <f t="shared" si="12"/>
        <v>220000</v>
      </c>
      <c r="K73" s="76">
        <f t="shared" si="20"/>
        <v>220000</v>
      </c>
      <c r="L73" s="122"/>
      <c r="M73" s="78">
        <f>7587+4400</f>
        <v>11987</v>
      </c>
      <c r="N73" s="136"/>
      <c r="O73" s="80">
        <f t="shared" si="21"/>
        <v>208013</v>
      </c>
      <c r="P73" s="81" t="s">
        <v>449</v>
      </c>
      <c r="Q73" s="81" t="s">
        <v>31</v>
      </c>
      <c r="R73" s="65"/>
      <c r="S73" s="183"/>
      <c r="T73" s="84" t="s">
        <v>33</v>
      </c>
      <c r="U73" s="122"/>
      <c r="V73" s="673"/>
      <c r="W73" s="135" t="s">
        <v>53</v>
      </c>
      <c r="X73" s="106"/>
      <c r="Y73" s="106"/>
      <c r="Z73" s="427"/>
      <c r="AA73" s="107"/>
      <c r="AB73" s="107"/>
      <c r="AC73" s="107"/>
      <c r="AD73" s="106"/>
    </row>
    <row r="74" ht="30.75" customHeight="1">
      <c r="A74" s="104">
        <v>44.0</v>
      </c>
      <c r="B74" s="103">
        <v>45173.0</v>
      </c>
      <c r="C74" s="60" t="s">
        <v>967</v>
      </c>
      <c r="D74" s="92" t="s">
        <v>50</v>
      </c>
      <c r="E74" s="715" t="s">
        <v>968</v>
      </c>
      <c r="F74" s="680" t="s">
        <v>545</v>
      </c>
      <c r="G74" s="713" t="s">
        <v>30</v>
      </c>
      <c r="H74" s="714">
        <v>1.0</v>
      </c>
      <c r="I74" s="47">
        <f t="shared" si="19"/>
        <v>220000</v>
      </c>
      <c r="J74" s="48">
        <f t="shared" si="12"/>
        <v>220000</v>
      </c>
      <c r="K74" s="76">
        <f t="shared" si="20"/>
        <v>220000</v>
      </c>
      <c r="L74" s="122"/>
      <c r="M74" s="78">
        <f>7857+4400+22000</f>
        <v>34257</v>
      </c>
      <c r="N74" s="136"/>
      <c r="O74" s="80">
        <f t="shared" si="21"/>
        <v>185743</v>
      </c>
      <c r="P74" s="81" t="s">
        <v>449</v>
      </c>
      <c r="Q74" s="81" t="s">
        <v>31</v>
      </c>
      <c r="R74" s="65"/>
      <c r="S74" s="183"/>
      <c r="T74" s="84" t="s">
        <v>33</v>
      </c>
      <c r="U74" s="122"/>
      <c r="V74" s="673"/>
      <c r="W74" s="135" t="s">
        <v>53</v>
      </c>
      <c r="X74" s="106"/>
      <c r="Y74" s="106"/>
      <c r="Z74" s="427"/>
      <c r="AA74" s="107"/>
      <c r="AB74" s="107"/>
      <c r="AC74" s="107"/>
      <c r="AD74" s="106"/>
    </row>
    <row r="75" ht="30.75" customHeight="1">
      <c r="A75" s="104">
        <v>45.0</v>
      </c>
      <c r="B75" s="103">
        <v>45173.0</v>
      </c>
      <c r="C75" s="60" t="s">
        <v>969</v>
      </c>
      <c r="D75" s="92" t="s">
        <v>50</v>
      </c>
      <c r="E75" s="715" t="s">
        <v>970</v>
      </c>
      <c r="F75" s="680" t="s">
        <v>193</v>
      </c>
      <c r="G75" s="713" t="s">
        <v>30</v>
      </c>
      <c r="H75" s="714">
        <v>2.0</v>
      </c>
      <c r="I75" s="47">
        <f t="shared" si="19"/>
        <v>220000</v>
      </c>
      <c r="J75" s="48">
        <f t="shared" si="12"/>
        <v>440000</v>
      </c>
      <c r="K75" s="76">
        <f t="shared" si="20"/>
        <v>440000</v>
      </c>
      <c r="L75" s="122"/>
      <c r="M75" s="78">
        <f>13830+8800</f>
        <v>22630</v>
      </c>
      <c r="N75" s="136"/>
      <c r="O75" s="80">
        <f t="shared" si="21"/>
        <v>417370</v>
      </c>
      <c r="P75" s="81" t="s">
        <v>449</v>
      </c>
      <c r="Q75" s="81" t="s">
        <v>31</v>
      </c>
      <c r="R75" s="65"/>
      <c r="S75" s="183"/>
      <c r="T75" s="84" t="s">
        <v>33</v>
      </c>
      <c r="U75" s="122"/>
      <c r="V75" s="673"/>
      <c r="W75" s="135" t="s">
        <v>53</v>
      </c>
      <c r="X75" s="106"/>
      <c r="Y75" s="106"/>
      <c r="Z75" s="427"/>
      <c r="AA75" s="107"/>
      <c r="AB75" s="107"/>
      <c r="AC75" s="107"/>
      <c r="AD75" s="106"/>
    </row>
    <row r="76" ht="30.75" customHeight="1">
      <c r="A76" s="104">
        <v>46.0</v>
      </c>
      <c r="B76" s="103">
        <v>45173.0</v>
      </c>
      <c r="C76" s="60" t="s">
        <v>971</v>
      </c>
      <c r="D76" s="92" t="s">
        <v>50</v>
      </c>
      <c r="E76" s="105" t="s">
        <v>972</v>
      </c>
      <c r="F76" s="155" t="s">
        <v>132</v>
      </c>
      <c r="G76" s="713" t="s">
        <v>30</v>
      </c>
      <c r="H76" s="714">
        <v>5.0</v>
      </c>
      <c r="I76" s="47">
        <f t="shared" si="19"/>
        <v>220000</v>
      </c>
      <c r="J76" s="48">
        <f t="shared" si="12"/>
        <v>1100000</v>
      </c>
      <c r="K76" s="76">
        <f t="shared" si="20"/>
        <v>1100000</v>
      </c>
      <c r="L76" s="122"/>
      <c r="M76" s="78">
        <f>33951+22000+110000</f>
        <v>165951</v>
      </c>
      <c r="N76" s="136"/>
      <c r="O76" s="80">
        <f t="shared" si="21"/>
        <v>934049</v>
      </c>
      <c r="P76" s="81" t="s">
        <v>449</v>
      </c>
      <c r="Q76" s="81" t="s">
        <v>31</v>
      </c>
      <c r="R76" s="65"/>
      <c r="S76" s="183"/>
      <c r="T76" s="84" t="s">
        <v>33</v>
      </c>
      <c r="U76" s="122"/>
      <c r="V76" s="673"/>
      <c r="W76" s="135" t="s">
        <v>53</v>
      </c>
      <c r="X76" s="106"/>
      <c r="Y76" s="106"/>
      <c r="Z76" s="427"/>
      <c r="AA76" s="107"/>
      <c r="AB76" s="107"/>
      <c r="AC76" s="107"/>
      <c r="AD76" s="106"/>
    </row>
    <row r="77" ht="30.75" customHeight="1">
      <c r="A77" s="152">
        <v>47.0</v>
      </c>
      <c r="B77" s="112">
        <v>45173.0</v>
      </c>
      <c r="C77" s="152" t="s">
        <v>973</v>
      </c>
      <c r="D77" s="142" t="s">
        <v>50</v>
      </c>
      <c r="E77" s="143" t="s">
        <v>974</v>
      </c>
      <c r="F77" s="148" t="s">
        <v>119</v>
      </c>
      <c r="G77" s="713" t="s">
        <v>30</v>
      </c>
      <c r="H77" s="64">
        <v>1.0</v>
      </c>
      <c r="I77" s="47">
        <f t="shared" si="19"/>
        <v>220000</v>
      </c>
      <c r="J77" s="577">
        <f t="shared" si="12"/>
        <v>220000</v>
      </c>
      <c r="K77" s="49">
        <f>SUM(J77:J79)</f>
        <v>880000</v>
      </c>
      <c r="L77" s="147"/>
      <c r="M77" s="51">
        <f>26823+17600</f>
        <v>44423</v>
      </c>
      <c r="N77" s="562"/>
      <c r="O77" s="53">
        <f t="shared" si="21"/>
        <v>835577</v>
      </c>
      <c r="P77" s="99" t="s">
        <v>449</v>
      </c>
      <c r="Q77" s="99" t="s">
        <v>31</v>
      </c>
      <c r="R77" s="146"/>
      <c r="S77" s="197"/>
      <c r="T77" s="57" t="s">
        <v>33</v>
      </c>
      <c r="U77" s="147"/>
      <c r="V77" s="678"/>
      <c r="W77" s="142" t="s">
        <v>975</v>
      </c>
      <c r="X77" s="106"/>
      <c r="Y77" s="106"/>
      <c r="Z77" s="427"/>
      <c r="AA77" s="107"/>
      <c r="AB77" s="107"/>
      <c r="AC77" s="107"/>
      <c r="AD77" s="106"/>
    </row>
    <row r="78" ht="30.75" customHeight="1">
      <c r="A78" s="62"/>
      <c r="B78" s="62"/>
      <c r="C78" s="62"/>
      <c r="D78" s="62"/>
      <c r="E78" s="62"/>
      <c r="F78" s="62"/>
      <c r="G78" s="713" t="s">
        <v>35</v>
      </c>
      <c r="H78" s="64">
        <v>2.0</v>
      </c>
      <c r="I78" s="47">
        <f t="shared" si="19"/>
        <v>220000</v>
      </c>
      <c r="J78" s="577">
        <f t="shared" si="12"/>
        <v>440000</v>
      </c>
      <c r="K78" s="62"/>
      <c r="L78" s="62"/>
      <c r="M78" s="62"/>
      <c r="N78" s="62"/>
      <c r="O78" s="62"/>
      <c r="P78" s="62"/>
      <c r="Q78" s="62"/>
      <c r="R78" s="62"/>
      <c r="S78" s="62"/>
      <c r="T78" s="62"/>
      <c r="U78" s="62"/>
      <c r="V78" s="62"/>
      <c r="W78" s="62"/>
      <c r="X78" s="106"/>
      <c r="Y78" s="106"/>
      <c r="Z78" s="427"/>
      <c r="AA78" s="107"/>
      <c r="AB78" s="107"/>
      <c r="AC78" s="107"/>
      <c r="AD78" s="106"/>
    </row>
    <row r="79" ht="30.75" customHeight="1">
      <c r="A79" s="62"/>
      <c r="B79" s="62"/>
      <c r="C79" s="62"/>
      <c r="D79" s="62"/>
      <c r="E79" s="62"/>
      <c r="F79" s="62"/>
      <c r="G79" s="713" t="s">
        <v>122</v>
      </c>
      <c r="H79" s="64">
        <v>1.0</v>
      </c>
      <c r="I79" s="47">
        <f t="shared" si="19"/>
        <v>220000</v>
      </c>
      <c r="J79" s="577">
        <f t="shared" si="12"/>
        <v>220000</v>
      </c>
      <c r="K79" s="67"/>
      <c r="L79" s="62"/>
      <c r="M79" s="62"/>
      <c r="N79" s="62"/>
      <c r="O79" s="62"/>
      <c r="P79" s="62"/>
      <c r="Q79" s="62"/>
      <c r="R79" s="62"/>
      <c r="S79" s="62"/>
      <c r="T79" s="62"/>
      <c r="U79" s="62"/>
      <c r="V79" s="62"/>
      <c r="W79" s="62"/>
      <c r="X79" s="106"/>
      <c r="Y79" s="106"/>
      <c r="Z79" s="427"/>
      <c r="AA79" s="107"/>
      <c r="AB79" s="107"/>
      <c r="AC79" s="107"/>
      <c r="AD79" s="106"/>
    </row>
    <row r="80" ht="30.75" customHeight="1">
      <c r="A80" s="67"/>
      <c r="B80" s="67"/>
      <c r="C80" s="67"/>
      <c r="D80" s="67"/>
      <c r="E80" s="67"/>
      <c r="F80" s="67"/>
      <c r="G80" s="72" t="s">
        <v>76</v>
      </c>
      <c r="H80" s="73">
        <v>1.0</v>
      </c>
      <c r="I80" s="74">
        <f t="shared" si="19"/>
        <v>90000</v>
      </c>
      <c r="J80" s="716">
        <f t="shared" si="12"/>
        <v>90000</v>
      </c>
      <c r="K80" s="717">
        <f>J80</f>
        <v>90000</v>
      </c>
      <c r="L80" s="67"/>
      <c r="M80" s="67"/>
      <c r="N80" s="67"/>
      <c r="O80" s="67"/>
      <c r="P80" s="67"/>
      <c r="Q80" s="67"/>
      <c r="R80" s="67"/>
      <c r="S80" s="67"/>
      <c r="T80" s="67"/>
      <c r="U80" s="67"/>
      <c r="V80" s="67"/>
      <c r="W80" s="67"/>
      <c r="X80" s="106"/>
      <c r="Y80" s="106"/>
      <c r="Z80" s="427"/>
      <c r="AA80" s="107"/>
      <c r="AB80" s="107"/>
      <c r="AC80" s="107"/>
      <c r="AD80" s="106"/>
    </row>
    <row r="81" ht="30.75" customHeight="1">
      <c r="A81" s="104">
        <v>48.0</v>
      </c>
      <c r="B81" s="103">
        <v>45173.0</v>
      </c>
      <c r="C81" s="60" t="s">
        <v>976</v>
      </c>
      <c r="D81" s="92" t="s">
        <v>50</v>
      </c>
      <c r="E81" s="110" t="s">
        <v>977</v>
      </c>
      <c r="F81" s="122" t="s">
        <v>84</v>
      </c>
      <c r="G81" s="63" t="s">
        <v>30</v>
      </c>
      <c r="H81" s="64">
        <v>2.0</v>
      </c>
      <c r="I81" s="47">
        <f t="shared" si="19"/>
        <v>220000</v>
      </c>
      <c r="J81" s="48">
        <f t="shared" si="12"/>
        <v>440000</v>
      </c>
      <c r="K81" s="76">
        <f t="shared" ref="K81:K83" si="22">SUM(J81)</f>
        <v>440000</v>
      </c>
      <c r="L81" s="122"/>
      <c r="M81" s="78">
        <f>13200+8800</f>
        <v>22000</v>
      </c>
      <c r="N81" s="136"/>
      <c r="O81" s="80">
        <f t="shared" ref="O81:O84" si="23">K81+L81-M81-N81</f>
        <v>418000</v>
      </c>
      <c r="P81" s="81" t="s">
        <v>449</v>
      </c>
      <c r="Q81" s="81" t="s">
        <v>31</v>
      </c>
      <c r="R81" s="65"/>
      <c r="S81" s="183"/>
      <c r="T81" s="84" t="s">
        <v>33</v>
      </c>
      <c r="U81" s="122"/>
      <c r="V81" s="673"/>
      <c r="W81" s="135" t="s">
        <v>53</v>
      </c>
      <c r="X81" s="106"/>
      <c r="Y81" s="106"/>
      <c r="Z81" s="427"/>
      <c r="AA81" s="107"/>
      <c r="AB81" s="107"/>
      <c r="AC81" s="107"/>
      <c r="AD81" s="106"/>
    </row>
    <row r="82" ht="30.75" customHeight="1">
      <c r="A82" s="104">
        <v>49.0</v>
      </c>
      <c r="B82" s="103">
        <v>45173.0</v>
      </c>
      <c r="C82" s="60" t="s">
        <v>978</v>
      </c>
      <c r="D82" s="92" t="s">
        <v>50</v>
      </c>
      <c r="E82" s="110" t="s">
        <v>979</v>
      </c>
      <c r="F82" s="122" t="s">
        <v>84</v>
      </c>
      <c r="G82" s="63" t="s">
        <v>122</v>
      </c>
      <c r="H82" s="64">
        <v>1.0</v>
      </c>
      <c r="I82" s="47">
        <f t="shared" si="19"/>
        <v>220000</v>
      </c>
      <c r="J82" s="48">
        <f t="shared" si="12"/>
        <v>220000</v>
      </c>
      <c r="K82" s="76">
        <f t="shared" si="22"/>
        <v>220000</v>
      </c>
      <c r="L82" s="122"/>
      <c r="M82" s="78">
        <f t="shared" ref="M82:M83" si="24">7587+4400</f>
        <v>11987</v>
      </c>
      <c r="N82" s="136"/>
      <c r="O82" s="80">
        <f t="shared" si="23"/>
        <v>208013</v>
      </c>
      <c r="P82" s="81" t="s">
        <v>449</v>
      </c>
      <c r="Q82" s="81" t="s">
        <v>31</v>
      </c>
      <c r="R82" s="65"/>
      <c r="S82" s="183"/>
      <c r="T82" s="84" t="s">
        <v>33</v>
      </c>
      <c r="U82" s="122"/>
      <c r="V82" s="673"/>
      <c r="W82" s="135" t="s">
        <v>53</v>
      </c>
      <c r="X82" s="106"/>
      <c r="Y82" s="106"/>
      <c r="Z82" s="427"/>
      <c r="AA82" s="107"/>
      <c r="AB82" s="107"/>
      <c r="AC82" s="107"/>
      <c r="AD82" s="106"/>
    </row>
    <row r="83" ht="30.75" customHeight="1">
      <c r="A83" s="104">
        <v>50.0</v>
      </c>
      <c r="B83" s="188">
        <v>45173.0</v>
      </c>
      <c r="C83" s="60" t="s">
        <v>980</v>
      </c>
      <c r="D83" s="432" t="s">
        <v>50</v>
      </c>
      <c r="E83" s="718" t="s">
        <v>981</v>
      </c>
      <c r="F83" s="719" t="s">
        <v>982</v>
      </c>
      <c r="G83" s="68" t="s">
        <v>30</v>
      </c>
      <c r="H83" s="69">
        <v>1.0</v>
      </c>
      <c r="I83" s="47">
        <f t="shared" si="19"/>
        <v>220000</v>
      </c>
      <c r="J83" s="48">
        <f t="shared" si="12"/>
        <v>220000</v>
      </c>
      <c r="K83" s="76">
        <f t="shared" si="22"/>
        <v>220000</v>
      </c>
      <c r="L83" s="719"/>
      <c r="M83" s="78">
        <f t="shared" si="24"/>
        <v>11987</v>
      </c>
      <c r="N83" s="136"/>
      <c r="O83" s="80">
        <f t="shared" si="23"/>
        <v>208013</v>
      </c>
      <c r="P83" s="81" t="s">
        <v>449</v>
      </c>
      <c r="Q83" s="81" t="s">
        <v>31</v>
      </c>
      <c r="R83" s="60"/>
      <c r="S83" s="183"/>
      <c r="T83" s="84" t="s">
        <v>33</v>
      </c>
      <c r="U83" s="719"/>
      <c r="V83" s="720"/>
      <c r="W83" s="721" t="s">
        <v>53</v>
      </c>
      <c r="X83" s="123"/>
      <c r="Y83" s="123"/>
      <c r="Z83" s="712"/>
      <c r="AA83" s="585"/>
      <c r="AB83" s="585"/>
      <c r="AC83" s="585"/>
      <c r="AD83" s="123"/>
    </row>
    <row r="84" ht="30.75" customHeight="1">
      <c r="A84" s="152">
        <v>51.0</v>
      </c>
      <c r="B84" s="112">
        <v>45173.0</v>
      </c>
      <c r="C84" s="722" t="s">
        <v>983</v>
      </c>
      <c r="D84" s="142" t="s">
        <v>50</v>
      </c>
      <c r="E84" s="723" t="s">
        <v>984</v>
      </c>
      <c r="F84" s="147" t="s">
        <v>548</v>
      </c>
      <c r="G84" s="63" t="s">
        <v>30</v>
      </c>
      <c r="H84" s="64">
        <v>1.0</v>
      </c>
      <c r="I84" s="47">
        <f t="shared" si="19"/>
        <v>220000</v>
      </c>
      <c r="J84" s="48">
        <f t="shared" si="12"/>
        <v>220000</v>
      </c>
      <c r="K84" s="49">
        <f>SUM(J84:J85)</f>
        <v>440000</v>
      </c>
      <c r="L84" s="147"/>
      <c r="M84" s="51">
        <f>14376+8800</f>
        <v>23176</v>
      </c>
      <c r="N84" s="562"/>
      <c r="O84" s="53">
        <f t="shared" si="23"/>
        <v>416824</v>
      </c>
      <c r="P84" s="99" t="s">
        <v>449</v>
      </c>
      <c r="Q84" s="99" t="s">
        <v>31</v>
      </c>
      <c r="R84" s="146"/>
      <c r="S84" s="197"/>
      <c r="T84" s="57" t="s">
        <v>33</v>
      </c>
      <c r="U84" s="147"/>
      <c r="V84" s="678"/>
      <c r="W84" s="679" t="s">
        <v>53</v>
      </c>
      <c r="X84" s="106"/>
      <c r="Y84" s="106"/>
      <c r="Z84" s="427"/>
      <c r="AA84" s="107"/>
      <c r="AB84" s="107"/>
      <c r="AC84" s="107"/>
      <c r="AD84" s="106"/>
    </row>
    <row r="85" ht="30.75" customHeight="1">
      <c r="A85" s="67"/>
      <c r="B85" s="67"/>
      <c r="C85" s="67"/>
      <c r="D85" s="67"/>
      <c r="E85" s="67"/>
      <c r="F85" s="67"/>
      <c r="G85" s="63" t="s">
        <v>35</v>
      </c>
      <c r="H85" s="64">
        <v>1.0</v>
      </c>
      <c r="I85" s="47">
        <f t="shared" si="19"/>
        <v>220000</v>
      </c>
      <c r="J85" s="48">
        <f t="shared" si="12"/>
        <v>220000</v>
      </c>
      <c r="K85" s="67"/>
      <c r="L85" s="67"/>
      <c r="M85" s="67"/>
      <c r="N85" s="67"/>
      <c r="O85" s="67"/>
      <c r="P85" s="67"/>
      <c r="Q85" s="67"/>
      <c r="R85" s="67"/>
      <c r="S85" s="67"/>
      <c r="T85" s="67"/>
      <c r="U85" s="67"/>
      <c r="V85" s="67"/>
      <c r="W85" s="67"/>
      <c r="X85" s="106"/>
      <c r="Y85" s="106"/>
      <c r="Z85" s="427"/>
      <c r="AA85" s="107"/>
      <c r="AB85" s="107"/>
      <c r="AC85" s="107"/>
      <c r="AD85" s="106"/>
    </row>
    <row r="86" ht="30.75" customHeight="1">
      <c r="A86" s="104">
        <v>52.0</v>
      </c>
      <c r="B86" s="103">
        <v>45173.0</v>
      </c>
      <c r="C86" s="60" t="s">
        <v>985</v>
      </c>
      <c r="D86" s="92" t="s">
        <v>50</v>
      </c>
      <c r="E86" s="110" t="s">
        <v>986</v>
      </c>
      <c r="F86" s="122" t="s">
        <v>548</v>
      </c>
      <c r="G86" s="63" t="s">
        <v>30</v>
      </c>
      <c r="H86" s="64">
        <v>1.0</v>
      </c>
      <c r="I86" s="47">
        <f t="shared" si="19"/>
        <v>220000</v>
      </c>
      <c r="J86" s="48">
        <f t="shared" si="12"/>
        <v>220000</v>
      </c>
      <c r="K86" s="76">
        <f t="shared" ref="K86:K90" si="25">SUM(J86)</f>
        <v>220000</v>
      </c>
      <c r="L86" s="122"/>
      <c r="M86" s="78">
        <f>7587+4400</f>
        <v>11987</v>
      </c>
      <c r="N86" s="136"/>
      <c r="O86" s="80">
        <f t="shared" ref="O86:O91" si="26">K86+L86-M86-N86</f>
        <v>208013</v>
      </c>
      <c r="P86" s="81" t="s">
        <v>449</v>
      </c>
      <c r="Q86" s="81" t="s">
        <v>31</v>
      </c>
      <c r="R86" s="65"/>
      <c r="S86" s="183"/>
      <c r="T86" s="84" t="s">
        <v>33</v>
      </c>
      <c r="U86" s="122"/>
      <c r="V86" s="673"/>
      <c r="W86" s="135" t="s">
        <v>53</v>
      </c>
      <c r="X86" s="106"/>
      <c r="Y86" s="106"/>
      <c r="Z86" s="427"/>
      <c r="AA86" s="107"/>
      <c r="AB86" s="107"/>
      <c r="AC86" s="107"/>
      <c r="AD86" s="106"/>
    </row>
    <row r="87" ht="30.75" customHeight="1">
      <c r="A87" s="104">
        <v>53.0</v>
      </c>
      <c r="B87" s="103">
        <v>45173.0</v>
      </c>
      <c r="C87" s="104" t="s">
        <v>987</v>
      </c>
      <c r="D87" s="92" t="s">
        <v>50</v>
      </c>
      <c r="E87" s="105" t="s">
        <v>988</v>
      </c>
      <c r="F87" s="92" t="s">
        <v>74</v>
      </c>
      <c r="G87" s="63" t="s">
        <v>30</v>
      </c>
      <c r="H87" s="64">
        <v>1.0</v>
      </c>
      <c r="I87" s="47">
        <f t="shared" si="19"/>
        <v>220000</v>
      </c>
      <c r="J87" s="48">
        <f t="shared" si="12"/>
        <v>220000</v>
      </c>
      <c r="K87" s="76">
        <f t="shared" si="25"/>
        <v>220000</v>
      </c>
      <c r="L87" s="122"/>
      <c r="M87" s="78">
        <f>8337+4400</f>
        <v>12737</v>
      </c>
      <c r="N87" s="136"/>
      <c r="O87" s="80">
        <f t="shared" si="26"/>
        <v>207263</v>
      </c>
      <c r="P87" s="81" t="s">
        <v>449</v>
      </c>
      <c r="Q87" s="81" t="s">
        <v>31</v>
      </c>
      <c r="R87" s="65"/>
      <c r="S87" s="183"/>
      <c r="T87" s="84" t="s">
        <v>33</v>
      </c>
      <c r="U87" s="122"/>
      <c r="V87" s="673"/>
      <c r="W87" s="135" t="s">
        <v>53</v>
      </c>
      <c r="X87" s="106"/>
      <c r="Y87" s="106"/>
      <c r="Z87" s="427"/>
      <c r="AA87" s="107"/>
      <c r="AB87" s="107"/>
      <c r="AC87" s="107"/>
      <c r="AD87" s="106"/>
    </row>
    <row r="88" ht="30.75" customHeight="1">
      <c r="A88" s="104">
        <v>54.0</v>
      </c>
      <c r="B88" s="103">
        <v>45173.0</v>
      </c>
      <c r="C88" s="104" t="s">
        <v>989</v>
      </c>
      <c r="D88" s="92" t="s">
        <v>50</v>
      </c>
      <c r="E88" s="105" t="s">
        <v>990</v>
      </c>
      <c r="F88" s="92" t="s">
        <v>991</v>
      </c>
      <c r="G88" s="63" t="s">
        <v>30</v>
      </c>
      <c r="H88" s="64">
        <v>1.0</v>
      </c>
      <c r="I88" s="47">
        <f t="shared" si="19"/>
        <v>220000</v>
      </c>
      <c r="J88" s="48">
        <f t="shared" si="12"/>
        <v>220000</v>
      </c>
      <c r="K88" s="76">
        <f t="shared" si="25"/>
        <v>220000</v>
      </c>
      <c r="L88" s="122"/>
      <c r="M88" s="78">
        <f>7107+4400</f>
        <v>11507</v>
      </c>
      <c r="N88" s="136"/>
      <c r="O88" s="80">
        <f t="shared" si="26"/>
        <v>208493</v>
      </c>
      <c r="P88" s="81" t="s">
        <v>449</v>
      </c>
      <c r="Q88" s="81" t="s">
        <v>31</v>
      </c>
      <c r="R88" s="65"/>
      <c r="S88" s="183"/>
      <c r="T88" s="84" t="s">
        <v>33</v>
      </c>
      <c r="U88" s="122"/>
      <c r="V88" s="673"/>
      <c r="W88" s="135" t="s">
        <v>53</v>
      </c>
      <c r="X88" s="106"/>
      <c r="Y88" s="106"/>
      <c r="Z88" s="427"/>
      <c r="AA88" s="107"/>
      <c r="AB88" s="107"/>
      <c r="AC88" s="107"/>
      <c r="AD88" s="106"/>
    </row>
    <row r="89" ht="30.75" customHeight="1">
      <c r="A89" s="104">
        <v>55.0</v>
      </c>
      <c r="B89" s="103">
        <v>45173.0</v>
      </c>
      <c r="C89" s="104" t="s">
        <v>992</v>
      </c>
      <c r="D89" s="92" t="s">
        <v>50</v>
      </c>
      <c r="E89" s="105" t="s">
        <v>993</v>
      </c>
      <c r="F89" s="92" t="s">
        <v>180</v>
      </c>
      <c r="G89" s="63" t="s">
        <v>30</v>
      </c>
      <c r="H89" s="64">
        <v>3.0</v>
      </c>
      <c r="I89" s="47">
        <f t="shared" si="19"/>
        <v>220000</v>
      </c>
      <c r="J89" s="48">
        <f t="shared" si="12"/>
        <v>660000</v>
      </c>
      <c r="K89" s="76">
        <f t="shared" si="25"/>
        <v>660000</v>
      </c>
      <c r="L89" s="122"/>
      <c r="M89" s="78">
        <f>20553+13200+66000</f>
        <v>99753</v>
      </c>
      <c r="N89" s="136"/>
      <c r="O89" s="80">
        <f t="shared" si="26"/>
        <v>560247</v>
      </c>
      <c r="P89" s="81" t="s">
        <v>449</v>
      </c>
      <c r="Q89" s="81" t="s">
        <v>31</v>
      </c>
      <c r="R89" s="65"/>
      <c r="S89" s="183"/>
      <c r="T89" s="84" t="s">
        <v>33</v>
      </c>
      <c r="U89" s="122"/>
      <c r="V89" s="673"/>
      <c r="W89" s="135" t="s">
        <v>53</v>
      </c>
      <c r="X89" s="106"/>
      <c r="Y89" s="106"/>
      <c r="Z89" s="427"/>
      <c r="AA89" s="107"/>
      <c r="AB89" s="107"/>
      <c r="AC89" s="107"/>
      <c r="AD89" s="106"/>
    </row>
    <row r="90" ht="30.75" customHeight="1">
      <c r="A90" s="104">
        <v>56.0</v>
      </c>
      <c r="B90" s="103">
        <v>45173.0</v>
      </c>
      <c r="C90" s="104" t="s">
        <v>994</v>
      </c>
      <c r="D90" s="92" t="s">
        <v>50</v>
      </c>
      <c r="E90" s="105" t="s">
        <v>995</v>
      </c>
      <c r="F90" s="92" t="s">
        <v>74</v>
      </c>
      <c r="G90" s="63" t="s">
        <v>35</v>
      </c>
      <c r="H90" s="64">
        <v>1.0</v>
      </c>
      <c r="I90" s="47">
        <f t="shared" si="19"/>
        <v>220000</v>
      </c>
      <c r="J90" s="48">
        <f t="shared" si="12"/>
        <v>220000</v>
      </c>
      <c r="K90" s="76">
        <f t="shared" si="25"/>
        <v>220000</v>
      </c>
      <c r="L90" s="109"/>
      <c r="M90" s="78">
        <f>5100+4400</f>
        <v>9500</v>
      </c>
      <c r="N90" s="136"/>
      <c r="O90" s="80">
        <f t="shared" si="26"/>
        <v>210500</v>
      </c>
      <c r="P90" s="81" t="s">
        <v>449</v>
      </c>
      <c r="Q90" s="81" t="s">
        <v>31</v>
      </c>
      <c r="R90" s="65"/>
      <c r="S90" s="183"/>
      <c r="T90" s="84" t="s">
        <v>33</v>
      </c>
      <c r="U90" s="122"/>
      <c r="V90" s="673"/>
      <c r="W90" s="135" t="s">
        <v>53</v>
      </c>
      <c r="X90" s="106"/>
      <c r="Y90" s="106"/>
      <c r="Z90" s="427"/>
      <c r="AA90" s="107"/>
      <c r="AB90" s="107"/>
      <c r="AC90" s="107"/>
      <c r="AD90" s="106"/>
    </row>
    <row r="91" ht="30.75" customHeight="1">
      <c r="A91" s="152">
        <v>57.0</v>
      </c>
      <c r="B91" s="112">
        <v>45174.0</v>
      </c>
      <c r="C91" s="152">
        <v>1.699933344648E12</v>
      </c>
      <c r="D91" s="142" t="s">
        <v>996</v>
      </c>
      <c r="E91" s="143" t="s">
        <v>997</v>
      </c>
      <c r="F91" s="142" t="s">
        <v>998</v>
      </c>
      <c r="G91" s="63" t="s">
        <v>30</v>
      </c>
      <c r="H91" s="64">
        <v>1.0</v>
      </c>
      <c r="I91" s="47">
        <f t="shared" si="19"/>
        <v>220000</v>
      </c>
      <c r="J91" s="48">
        <f t="shared" si="12"/>
        <v>220000</v>
      </c>
      <c r="K91" s="49">
        <f>SUM(J91:J92)</f>
        <v>440000</v>
      </c>
      <c r="L91" s="145">
        <v>36001.0</v>
      </c>
      <c r="M91" s="51"/>
      <c r="N91" s="117">
        <v>6001.0</v>
      </c>
      <c r="O91" s="53">
        <f t="shared" si="26"/>
        <v>470000</v>
      </c>
      <c r="P91" s="99" t="s">
        <v>449</v>
      </c>
      <c r="Q91" s="99" t="s">
        <v>31</v>
      </c>
      <c r="R91" s="146"/>
      <c r="S91" s="197"/>
      <c r="T91" s="57" t="s">
        <v>33</v>
      </c>
      <c r="U91" s="147"/>
      <c r="V91" s="678"/>
      <c r="W91" s="147"/>
      <c r="X91" s="106"/>
      <c r="Y91" s="106"/>
      <c r="Z91" s="427"/>
      <c r="AA91" s="107"/>
      <c r="AB91" s="107"/>
      <c r="AC91" s="107"/>
      <c r="AD91" s="106"/>
    </row>
    <row r="92" ht="30.75" customHeight="1">
      <c r="A92" s="67"/>
      <c r="B92" s="67"/>
      <c r="C92" s="67"/>
      <c r="D92" s="67"/>
      <c r="E92" s="67"/>
      <c r="F92" s="67"/>
      <c r="G92" s="63" t="s">
        <v>122</v>
      </c>
      <c r="H92" s="64">
        <v>1.0</v>
      </c>
      <c r="I92" s="47">
        <f t="shared" si="19"/>
        <v>220000</v>
      </c>
      <c r="J92" s="48">
        <f t="shared" si="12"/>
        <v>220000</v>
      </c>
      <c r="K92" s="67"/>
      <c r="L92" s="67"/>
      <c r="M92" s="67"/>
      <c r="N92" s="67"/>
      <c r="O92" s="67"/>
      <c r="P92" s="67"/>
      <c r="Q92" s="67"/>
      <c r="R92" s="67"/>
      <c r="S92" s="67"/>
      <c r="T92" s="67"/>
      <c r="U92" s="67"/>
      <c r="V92" s="67"/>
      <c r="W92" s="67"/>
      <c r="X92" s="106"/>
      <c r="Y92" s="106"/>
      <c r="Z92" s="427"/>
      <c r="AA92" s="107"/>
      <c r="AB92" s="107"/>
      <c r="AC92" s="107"/>
      <c r="AD92" s="106"/>
    </row>
    <row r="93" ht="30.75" customHeight="1">
      <c r="A93" s="104">
        <v>58.0</v>
      </c>
      <c r="B93" s="103">
        <v>45174.0</v>
      </c>
      <c r="C93" s="65" t="s">
        <v>999</v>
      </c>
      <c r="D93" s="92" t="s">
        <v>50</v>
      </c>
      <c r="E93" s="105" t="s">
        <v>823</v>
      </c>
      <c r="F93" s="92" t="s">
        <v>84</v>
      </c>
      <c r="G93" s="63" t="s">
        <v>30</v>
      </c>
      <c r="H93" s="64">
        <v>4.0</v>
      </c>
      <c r="I93" s="47">
        <f t="shared" si="19"/>
        <v>220000</v>
      </c>
      <c r="J93" s="48">
        <f t="shared" si="12"/>
        <v>880000</v>
      </c>
      <c r="K93" s="76">
        <f t="shared" ref="K93:K98" si="27">SUM(J93)</f>
        <v>880000</v>
      </c>
      <c r="L93" s="109"/>
      <c r="M93" s="78">
        <f>27780+17600</f>
        <v>45380</v>
      </c>
      <c r="N93" s="136"/>
      <c r="O93" s="80">
        <f t="shared" ref="O93:O99" si="28">K93+L93-M93-N93</f>
        <v>834620</v>
      </c>
      <c r="P93" s="81" t="s">
        <v>449</v>
      </c>
      <c r="Q93" s="81" t="s">
        <v>31</v>
      </c>
      <c r="R93" s="65"/>
      <c r="S93" s="183"/>
      <c r="T93" s="84" t="s">
        <v>33</v>
      </c>
      <c r="U93" s="122"/>
      <c r="V93" s="673"/>
      <c r="W93" s="135" t="s">
        <v>53</v>
      </c>
      <c r="X93" s="106"/>
      <c r="Y93" s="106"/>
      <c r="Z93" s="427"/>
      <c r="AA93" s="107"/>
      <c r="AB93" s="107"/>
      <c r="AC93" s="107"/>
      <c r="AD93" s="106"/>
    </row>
    <row r="94" ht="30.75" customHeight="1">
      <c r="A94" s="104">
        <v>59.0</v>
      </c>
      <c r="B94" s="188">
        <v>45174.0</v>
      </c>
      <c r="C94" s="60" t="s">
        <v>1000</v>
      </c>
      <c r="D94" s="432" t="s">
        <v>50</v>
      </c>
      <c r="E94" s="447" t="s">
        <v>1001</v>
      </c>
      <c r="F94" s="432" t="s">
        <v>74</v>
      </c>
      <c r="G94" s="68" t="s">
        <v>30</v>
      </c>
      <c r="H94" s="69">
        <v>1.0</v>
      </c>
      <c r="I94" s="47">
        <f t="shared" si="19"/>
        <v>220000</v>
      </c>
      <c r="J94" s="48">
        <f t="shared" si="12"/>
        <v>220000</v>
      </c>
      <c r="K94" s="76">
        <f t="shared" si="27"/>
        <v>220000</v>
      </c>
      <c r="L94" s="724"/>
      <c r="M94" s="78">
        <f>11987</f>
        <v>11987</v>
      </c>
      <c r="N94" s="136"/>
      <c r="O94" s="80">
        <f t="shared" si="28"/>
        <v>208013</v>
      </c>
      <c r="P94" s="81" t="s">
        <v>449</v>
      </c>
      <c r="Q94" s="81" t="s">
        <v>31</v>
      </c>
      <c r="R94" s="60"/>
      <c r="S94" s="183"/>
      <c r="T94" s="84" t="s">
        <v>33</v>
      </c>
      <c r="U94" s="719"/>
      <c r="V94" s="720"/>
      <c r="W94" s="721" t="s">
        <v>53</v>
      </c>
      <c r="X94" s="123"/>
      <c r="Y94" s="123"/>
      <c r="Z94" s="712"/>
      <c r="AA94" s="585"/>
      <c r="AB94" s="585"/>
      <c r="AC94" s="585"/>
      <c r="AD94" s="123"/>
    </row>
    <row r="95" ht="30.75" customHeight="1">
      <c r="A95" s="104">
        <v>60.0</v>
      </c>
      <c r="B95" s="103">
        <v>45174.0</v>
      </c>
      <c r="C95" s="65" t="s">
        <v>1002</v>
      </c>
      <c r="D95" s="92" t="s">
        <v>50</v>
      </c>
      <c r="E95" s="105" t="s">
        <v>1003</v>
      </c>
      <c r="F95" s="92" t="s">
        <v>119</v>
      </c>
      <c r="G95" s="63" t="s">
        <v>30</v>
      </c>
      <c r="H95" s="64">
        <v>1.0</v>
      </c>
      <c r="I95" s="47">
        <f t="shared" si="19"/>
        <v>220000</v>
      </c>
      <c r="J95" s="48">
        <f t="shared" si="12"/>
        <v>220000</v>
      </c>
      <c r="K95" s="76">
        <f t="shared" si="27"/>
        <v>220000</v>
      </c>
      <c r="L95" s="109"/>
      <c r="M95" s="157">
        <f>7107+4400</f>
        <v>11507</v>
      </c>
      <c r="N95" s="136"/>
      <c r="O95" s="80">
        <f t="shared" si="28"/>
        <v>208493</v>
      </c>
      <c r="P95" s="81" t="s">
        <v>449</v>
      </c>
      <c r="Q95" s="81" t="s">
        <v>31</v>
      </c>
      <c r="R95" s="65"/>
      <c r="S95" s="183"/>
      <c r="T95" s="84" t="s">
        <v>33</v>
      </c>
      <c r="U95" s="122"/>
      <c r="V95" s="673"/>
      <c r="W95" s="135" t="s">
        <v>53</v>
      </c>
      <c r="X95" s="106"/>
      <c r="Y95" s="106"/>
      <c r="Z95" s="427"/>
      <c r="AA95" s="107"/>
      <c r="AB95" s="107"/>
      <c r="AC95" s="107"/>
      <c r="AD95" s="106"/>
    </row>
    <row r="96" ht="30.75" customHeight="1">
      <c r="A96" s="104">
        <v>61.0</v>
      </c>
      <c r="B96" s="103">
        <v>45174.0</v>
      </c>
      <c r="C96" s="65" t="s">
        <v>1004</v>
      </c>
      <c r="D96" s="92" t="s">
        <v>50</v>
      </c>
      <c r="E96" s="105" t="s">
        <v>1005</v>
      </c>
      <c r="F96" s="92" t="s">
        <v>70</v>
      </c>
      <c r="G96" s="63" t="s">
        <v>30</v>
      </c>
      <c r="H96" s="64">
        <v>1.0</v>
      </c>
      <c r="I96" s="47">
        <f t="shared" si="19"/>
        <v>220000</v>
      </c>
      <c r="J96" s="48">
        <f t="shared" si="12"/>
        <v>220000</v>
      </c>
      <c r="K96" s="76">
        <f t="shared" si="27"/>
        <v>220000</v>
      </c>
      <c r="L96" s="109"/>
      <c r="M96" s="78">
        <f>6357+4400</f>
        <v>10757</v>
      </c>
      <c r="N96" s="136"/>
      <c r="O96" s="80">
        <f t="shared" si="28"/>
        <v>209243</v>
      </c>
      <c r="P96" s="81" t="s">
        <v>449</v>
      </c>
      <c r="Q96" s="81" t="s">
        <v>31</v>
      </c>
      <c r="R96" s="65"/>
      <c r="S96" s="183"/>
      <c r="T96" s="84" t="s">
        <v>33</v>
      </c>
      <c r="U96" s="122"/>
      <c r="V96" s="673"/>
      <c r="W96" s="135" t="s">
        <v>53</v>
      </c>
      <c r="X96" s="106"/>
      <c r="Y96" s="106"/>
      <c r="Z96" s="427"/>
      <c r="AA96" s="107"/>
      <c r="AB96" s="107"/>
      <c r="AC96" s="107"/>
      <c r="AD96" s="106"/>
    </row>
    <row r="97" ht="30.75" customHeight="1">
      <c r="A97" s="104">
        <v>62.0</v>
      </c>
      <c r="B97" s="103">
        <v>45174.0</v>
      </c>
      <c r="C97" s="65" t="s">
        <v>1006</v>
      </c>
      <c r="D97" s="92" t="s">
        <v>50</v>
      </c>
      <c r="E97" s="105" t="s">
        <v>579</v>
      </c>
      <c r="F97" s="92" t="s">
        <v>461</v>
      </c>
      <c r="G97" s="63" t="s">
        <v>30</v>
      </c>
      <c r="H97" s="64">
        <v>1.0</v>
      </c>
      <c r="I97" s="47">
        <f t="shared" si="19"/>
        <v>220000</v>
      </c>
      <c r="J97" s="48">
        <f t="shared" si="12"/>
        <v>220000</v>
      </c>
      <c r="K97" s="76">
        <f t="shared" si="27"/>
        <v>220000</v>
      </c>
      <c r="L97" s="109"/>
      <c r="M97" s="78">
        <f>7857+4400</f>
        <v>12257</v>
      </c>
      <c r="N97" s="136"/>
      <c r="O97" s="80">
        <f t="shared" si="28"/>
        <v>207743</v>
      </c>
      <c r="P97" s="81" t="s">
        <v>449</v>
      </c>
      <c r="Q97" s="81" t="s">
        <v>31</v>
      </c>
      <c r="R97" s="65"/>
      <c r="S97" s="183"/>
      <c r="T97" s="84" t="s">
        <v>33</v>
      </c>
      <c r="U97" s="122"/>
      <c r="V97" s="673"/>
      <c r="W97" s="135" t="s">
        <v>53</v>
      </c>
      <c r="X97" s="106"/>
      <c r="Y97" s="106"/>
      <c r="Z97" s="427"/>
      <c r="AA97" s="107"/>
      <c r="AB97" s="107"/>
      <c r="AC97" s="107"/>
      <c r="AD97" s="106"/>
    </row>
    <row r="98" ht="30.75" customHeight="1">
      <c r="A98" s="104">
        <v>63.0</v>
      </c>
      <c r="B98" s="103">
        <v>45174.0</v>
      </c>
      <c r="C98" s="65" t="s">
        <v>1007</v>
      </c>
      <c r="D98" s="92" t="s">
        <v>50</v>
      </c>
      <c r="E98" s="105" t="s">
        <v>1008</v>
      </c>
      <c r="F98" s="92" t="s">
        <v>528</v>
      </c>
      <c r="G98" s="63" t="s">
        <v>30</v>
      </c>
      <c r="H98" s="64">
        <v>2.0</v>
      </c>
      <c r="I98" s="47">
        <f t="shared" si="19"/>
        <v>220000</v>
      </c>
      <c r="J98" s="48">
        <f t="shared" si="12"/>
        <v>440000</v>
      </c>
      <c r="K98" s="76">
        <f t="shared" si="27"/>
        <v>440000</v>
      </c>
      <c r="L98" s="109"/>
      <c r="M98" s="78">
        <f>13830+8800</f>
        <v>22630</v>
      </c>
      <c r="N98" s="136"/>
      <c r="O98" s="80">
        <f t="shared" si="28"/>
        <v>417370</v>
      </c>
      <c r="P98" s="81" t="s">
        <v>449</v>
      </c>
      <c r="Q98" s="81" t="s">
        <v>31</v>
      </c>
      <c r="R98" s="65"/>
      <c r="S98" s="183"/>
      <c r="T98" s="84" t="s">
        <v>33</v>
      </c>
      <c r="U98" s="122"/>
      <c r="V98" s="673"/>
      <c r="W98" s="135" t="s">
        <v>53</v>
      </c>
      <c r="X98" s="106"/>
      <c r="Y98" s="106"/>
      <c r="Z98" s="427"/>
      <c r="AA98" s="107"/>
      <c r="AB98" s="107"/>
      <c r="AC98" s="107"/>
      <c r="AD98" s="106"/>
    </row>
    <row r="99" ht="30.75" customHeight="1">
      <c r="A99" s="725">
        <v>64.0</v>
      </c>
      <c r="B99" s="726">
        <v>45174.0</v>
      </c>
      <c r="C99" s="725" t="s">
        <v>1009</v>
      </c>
      <c r="D99" s="727" t="s">
        <v>50</v>
      </c>
      <c r="E99" s="728" t="s">
        <v>1010</v>
      </c>
      <c r="F99" s="727" t="s">
        <v>281</v>
      </c>
      <c r="G99" s="701" t="s">
        <v>30</v>
      </c>
      <c r="H99" s="702">
        <v>1.0</v>
      </c>
      <c r="I99" s="703"/>
      <c r="J99" s="704"/>
      <c r="K99" s="729">
        <f>SUM(J99:J100)</f>
        <v>0</v>
      </c>
      <c r="L99" s="730"/>
      <c r="M99" s="731"/>
      <c r="N99" s="731"/>
      <c r="O99" s="732">
        <f t="shared" si="28"/>
        <v>0</v>
      </c>
      <c r="P99" s="733"/>
      <c r="Q99" s="733"/>
      <c r="R99" s="734"/>
      <c r="S99" s="735"/>
      <c r="T99" s="735"/>
      <c r="U99" s="736"/>
      <c r="V99" s="737"/>
      <c r="W99" s="738" t="s">
        <v>201</v>
      </c>
      <c r="X99" s="106"/>
      <c r="Y99" s="106"/>
      <c r="Z99" s="427"/>
      <c r="AA99" s="107"/>
      <c r="AB99" s="107"/>
      <c r="AC99" s="107"/>
      <c r="AD99" s="106"/>
    </row>
    <row r="100" ht="30.75" customHeight="1">
      <c r="A100" s="67"/>
      <c r="B100" s="67"/>
      <c r="C100" s="67"/>
      <c r="D100" s="67"/>
      <c r="E100" s="67"/>
      <c r="F100" s="67"/>
      <c r="G100" s="701" t="s">
        <v>290</v>
      </c>
      <c r="H100" s="702">
        <v>1.0</v>
      </c>
      <c r="I100" s="703"/>
      <c r="J100" s="704"/>
      <c r="K100" s="67"/>
      <c r="L100" s="67"/>
      <c r="M100" s="67"/>
      <c r="N100" s="67"/>
      <c r="O100" s="67"/>
      <c r="P100" s="67"/>
      <c r="Q100" s="67"/>
      <c r="R100" s="67"/>
      <c r="S100" s="67"/>
      <c r="T100" s="67"/>
      <c r="U100" s="67"/>
      <c r="V100" s="67"/>
      <c r="W100" s="67"/>
      <c r="X100" s="106"/>
      <c r="Y100" s="106"/>
      <c r="Z100" s="427"/>
      <c r="AA100" s="107"/>
      <c r="AB100" s="107"/>
      <c r="AC100" s="107"/>
      <c r="AD100" s="106"/>
    </row>
    <row r="101" ht="30.75" customHeight="1">
      <c r="A101" s="104">
        <v>65.0</v>
      </c>
      <c r="B101" s="103">
        <v>45175.0</v>
      </c>
      <c r="C101" s="65" t="s">
        <v>1011</v>
      </c>
      <c r="D101" s="92" t="s">
        <v>50</v>
      </c>
      <c r="E101" s="718" t="s">
        <v>1012</v>
      </c>
      <c r="F101" s="739" t="s">
        <v>70</v>
      </c>
      <c r="G101" s="63" t="s">
        <v>30</v>
      </c>
      <c r="H101" s="64">
        <v>1.0</v>
      </c>
      <c r="I101" s="47">
        <f t="shared" ref="I101:I124" si="29">VLOOKUP(G101,$Y$4:$Z$45,2,0)</f>
        <v>220000</v>
      </c>
      <c r="J101" s="48">
        <f t="shared" ref="J101:J137" si="30">I101*H101</f>
        <v>220000</v>
      </c>
      <c r="K101" s="76">
        <f t="shared" ref="K101:K103" si="31">SUM(J101)</f>
        <v>220000</v>
      </c>
      <c r="L101" s="122"/>
      <c r="M101" s="78">
        <f>7857+4400</f>
        <v>12257</v>
      </c>
      <c r="N101" s="136"/>
      <c r="O101" s="80">
        <f t="shared" ref="O101:O104" si="32">K101+L101-M101-N101</f>
        <v>207743</v>
      </c>
      <c r="P101" s="81" t="s">
        <v>449</v>
      </c>
      <c r="Q101" s="81" t="s">
        <v>31</v>
      </c>
      <c r="R101" s="65"/>
      <c r="S101" s="183"/>
      <c r="T101" s="84" t="s">
        <v>33</v>
      </c>
      <c r="U101" s="122"/>
      <c r="V101" s="673"/>
      <c r="W101" s="135" t="s">
        <v>53</v>
      </c>
      <c r="X101" s="106"/>
      <c r="Y101" s="106"/>
      <c r="Z101" s="427"/>
      <c r="AA101" s="107"/>
      <c r="AB101" s="107"/>
      <c r="AC101" s="107"/>
      <c r="AD101" s="106"/>
    </row>
    <row r="102" ht="30.75" customHeight="1">
      <c r="A102" s="104">
        <v>66.0</v>
      </c>
      <c r="B102" s="188">
        <v>45175.0</v>
      </c>
      <c r="C102" s="104" t="s">
        <v>1013</v>
      </c>
      <c r="D102" s="432" t="s">
        <v>50</v>
      </c>
      <c r="E102" s="740" t="s">
        <v>1014</v>
      </c>
      <c r="F102" s="741" t="s">
        <v>74</v>
      </c>
      <c r="G102" s="68" t="s">
        <v>30</v>
      </c>
      <c r="H102" s="69">
        <v>1.0</v>
      </c>
      <c r="I102" s="47">
        <f t="shared" si="29"/>
        <v>220000</v>
      </c>
      <c r="J102" s="48">
        <f t="shared" si="30"/>
        <v>220000</v>
      </c>
      <c r="K102" s="76">
        <f t="shared" si="31"/>
        <v>220000</v>
      </c>
      <c r="L102" s="719"/>
      <c r="M102" s="78">
        <f>7160+4400</f>
        <v>11560</v>
      </c>
      <c r="N102" s="136"/>
      <c r="O102" s="80">
        <f t="shared" si="32"/>
        <v>208440</v>
      </c>
      <c r="P102" s="81" t="s">
        <v>449</v>
      </c>
      <c r="Q102" s="81" t="s">
        <v>31</v>
      </c>
      <c r="R102" s="60"/>
      <c r="S102" s="183"/>
      <c r="T102" s="84" t="s">
        <v>33</v>
      </c>
      <c r="U102" s="719"/>
      <c r="V102" s="720"/>
      <c r="W102" s="721" t="s">
        <v>53</v>
      </c>
      <c r="X102" s="123"/>
      <c r="Y102" s="123"/>
      <c r="Z102" s="712"/>
      <c r="AA102" s="585"/>
      <c r="AB102" s="585"/>
      <c r="AC102" s="585"/>
      <c r="AD102" s="123"/>
    </row>
    <row r="103" ht="30.75" customHeight="1">
      <c r="A103" s="104">
        <v>67.0</v>
      </c>
      <c r="B103" s="103">
        <v>45175.0</v>
      </c>
      <c r="C103" s="93" t="s">
        <v>1015</v>
      </c>
      <c r="D103" s="92" t="s">
        <v>50</v>
      </c>
      <c r="E103" s="105" t="s">
        <v>1016</v>
      </c>
      <c r="F103" s="92" t="s">
        <v>613</v>
      </c>
      <c r="G103" s="63" t="s">
        <v>30</v>
      </c>
      <c r="H103" s="64">
        <v>3.0</v>
      </c>
      <c r="I103" s="47">
        <f t="shared" si="29"/>
        <v>220000</v>
      </c>
      <c r="J103" s="48">
        <f t="shared" si="30"/>
        <v>660000</v>
      </c>
      <c r="K103" s="76">
        <f t="shared" si="31"/>
        <v>660000</v>
      </c>
      <c r="L103" s="719"/>
      <c r="M103" s="78">
        <f>33033</f>
        <v>33033</v>
      </c>
      <c r="N103" s="136"/>
      <c r="O103" s="80">
        <f t="shared" si="32"/>
        <v>626967</v>
      </c>
      <c r="P103" s="81" t="s">
        <v>449</v>
      </c>
      <c r="Q103" s="81" t="s">
        <v>31</v>
      </c>
      <c r="R103" s="60"/>
      <c r="S103" s="183"/>
      <c r="T103" s="84" t="s">
        <v>33</v>
      </c>
      <c r="U103" s="719"/>
      <c r="V103" s="720"/>
      <c r="W103" s="721" t="s">
        <v>53</v>
      </c>
      <c r="X103" s="123"/>
      <c r="Y103" s="123"/>
      <c r="Z103" s="712"/>
      <c r="AA103" s="585"/>
      <c r="AB103" s="585"/>
      <c r="AC103" s="585"/>
      <c r="AD103" s="123"/>
    </row>
    <row r="104" ht="30.75" customHeight="1">
      <c r="A104" s="152">
        <v>68.0</v>
      </c>
      <c r="B104" s="112">
        <v>45175.0</v>
      </c>
      <c r="C104" s="111">
        <v>1.717209008525E12</v>
      </c>
      <c r="D104" s="142" t="s">
        <v>1017</v>
      </c>
      <c r="E104" s="143" t="s">
        <v>1018</v>
      </c>
      <c r="F104" s="142" t="s">
        <v>1019</v>
      </c>
      <c r="G104" s="63" t="s">
        <v>37</v>
      </c>
      <c r="H104" s="64">
        <v>1.0</v>
      </c>
      <c r="I104" s="47">
        <f t="shared" si="29"/>
        <v>220000</v>
      </c>
      <c r="J104" s="48">
        <f t="shared" si="30"/>
        <v>220000</v>
      </c>
      <c r="K104" s="49">
        <f>sum(J104:J105)</f>
        <v>660000</v>
      </c>
      <c r="L104" s="742"/>
      <c r="M104" s="51"/>
      <c r="N104" s="562"/>
      <c r="O104" s="53">
        <f t="shared" si="32"/>
        <v>660000</v>
      </c>
      <c r="P104" s="99" t="s">
        <v>449</v>
      </c>
      <c r="Q104" s="99" t="s">
        <v>31</v>
      </c>
      <c r="R104" s="743">
        <v>49002.0</v>
      </c>
      <c r="S104" s="57" t="s">
        <v>32</v>
      </c>
      <c r="T104" s="57" t="s">
        <v>33</v>
      </c>
      <c r="U104" s="744" t="s">
        <v>1020</v>
      </c>
      <c r="V104" s="745">
        <v>1.0</v>
      </c>
      <c r="W104" s="744" t="s">
        <v>1021</v>
      </c>
      <c r="X104" s="123"/>
      <c r="Y104" s="123"/>
      <c r="Z104" s="712"/>
      <c r="AA104" s="585"/>
      <c r="AB104" s="585"/>
      <c r="AC104" s="585"/>
      <c r="AD104" s="123"/>
    </row>
    <row r="105" ht="30.75" customHeight="1">
      <c r="A105" s="67"/>
      <c r="B105" s="67"/>
      <c r="C105" s="67"/>
      <c r="D105" s="67"/>
      <c r="E105" s="67"/>
      <c r="F105" s="67"/>
      <c r="G105" s="63" t="s">
        <v>144</v>
      </c>
      <c r="H105" s="64">
        <v>2.0</v>
      </c>
      <c r="I105" s="47">
        <f t="shared" si="29"/>
        <v>220000</v>
      </c>
      <c r="J105" s="48">
        <f t="shared" si="30"/>
        <v>440000</v>
      </c>
      <c r="K105" s="67"/>
      <c r="L105" s="67"/>
      <c r="M105" s="67"/>
      <c r="N105" s="67"/>
      <c r="O105" s="67"/>
      <c r="P105" s="67"/>
      <c r="Q105" s="67"/>
      <c r="R105" s="67"/>
      <c r="S105" s="67"/>
      <c r="T105" s="67"/>
      <c r="U105" s="67"/>
      <c r="V105" s="67"/>
      <c r="W105" s="67"/>
      <c r="X105" s="123"/>
      <c r="Y105" s="123"/>
      <c r="Z105" s="712"/>
      <c r="AA105" s="585"/>
      <c r="AB105" s="585"/>
      <c r="AC105" s="585"/>
      <c r="AD105" s="123"/>
    </row>
    <row r="106" ht="30.75" customHeight="1">
      <c r="A106" s="152">
        <v>69.0</v>
      </c>
      <c r="B106" s="112">
        <v>45176.0</v>
      </c>
      <c r="C106" s="111">
        <v>1.716987751235E12</v>
      </c>
      <c r="D106" s="142" t="s">
        <v>644</v>
      </c>
      <c r="E106" s="143" t="s">
        <v>45</v>
      </c>
      <c r="F106" s="142" t="s">
        <v>324</v>
      </c>
      <c r="G106" s="63" t="s">
        <v>30</v>
      </c>
      <c r="H106" s="64">
        <v>15.0</v>
      </c>
      <c r="I106" s="47">
        <f t="shared" si="29"/>
        <v>220000</v>
      </c>
      <c r="J106" s="48">
        <f t="shared" si="30"/>
        <v>3300000</v>
      </c>
      <c r="K106" s="49">
        <f>SUM(J106:J107)</f>
        <v>4400000</v>
      </c>
      <c r="L106" s="742"/>
      <c r="M106" s="51"/>
      <c r="N106" s="562"/>
      <c r="O106" s="53">
        <f>K106+L106-M106-N106</f>
        <v>4400000</v>
      </c>
      <c r="P106" s="99" t="s">
        <v>449</v>
      </c>
      <c r="Q106" s="99" t="s">
        <v>31</v>
      </c>
      <c r="R106" s="743">
        <v>183870.0</v>
      </c>
      <c r="S106" s="57" t="s">
        <v>32</v>
      </c>
      <c r="T106" s="57" t="s">
        <v>33</v>
      </c>
      <c r="U106" s="744" t="s">
        <v>1022</v>
      </c>
      <c r="V106" s="745">
        <v>5.0</v>
      </c>
      <c r="W106" s="432" t="s">
        <v>1023</v>
      </c>
      <c r="X106" s="123"/>
      <c r="Y106" s="123"/>
      <c r="Z106" s="712"/>
      <c r="AA106" s="585"/>
      <c r="AB106" s="585"/>
      <c r="AC106" s="585"/>
      <c r="AD106" s="123"/>
    </row>
    <row r="107" ht="30.75" customHeight="1">
      <c r="A107" s="67"/>
      <c r="B107" s="67"/>
      <c r="C107" s="67"/>
      <c r="D107" s="67"/>
      <c r="E107" s="67"/>
      <c r="F107" s="67"/>
      <c r="G107" s="63" t="s">
        <v>47</v>
      </c>
      <c r="H107" s="64">
        <v>5.0</v>
      </c>
      <c r="I107" s="47">
        <f t="shared" si="29"/>
        <v>220000</v>
      </c>
      <c r="J107" s="48">
        <f t="shared" si="30"/>
        <v>1100000</v>
      </c>
      <c r="K107" s="67"/>
      <c r="L107" s="67"/>
      <c r="M107" s="67"/>
      <c r="N107" s="67"/>
      <c r="O107" s="67"/>
      <c r="P107" s="67"/>
      <c r="Q107" s="67"/>
      <c r="R107" s="67"/>
      <c r="S107" s="67"/>
      <c r="T107" s="67"/>
      <c r="U107" s="67"/>
      <c r="V107" s="67"/>
      <c r="W107" s="432" t="s">
        <v>1024</v>
      </c>
      <c r="X107" s="123"/>
      <c r="Y107" s="123"/>
      <c r="Z107" s="712"/>
      <c r="AA107" s="585"/>
      <c r="AB107" s="585"/>
      <c r="AC107" s="585"/>
      <c r="AD107" s="123"/>
    </row>
    <row r="108" ht="30.75" customHeight="1">
      <c r="A108" s="104">
        <v>70.0</v>
      </c>
      <c r="B108" s="103">
        <v>45177.0</v>
      </c>
      <c r="C108" s="93" t="s">
        <v>1025</v>
      </c>
      <c r="D108" s="92" t="s">
        <v>50</v>
      </c>
      <c r="E108" s="105" t="s">
        <v>1026</v>
      </c>
      <c r="F108" s="92" t="s">
        <v>180</v>
      </c>
      <c r="G108" s="63" t="s">
        <v>30</v>
      </c>
      <c r="H108" s="64">
        <v>1.0</v>
      </c>
      <c r="I108" s="47">
        <f t="shared" si="29"/>
        <v>220000</v>
      </c>
      <c r="J108" s="48">
        <f t="shared" si="30"/>
        <v>220000</v>
      </c>
      <c r="K108" s="76">
        <f t="shared" ref="K108:K134" si="33">SUM(J108)</f>
        <v>220000</v>
      </c>
      <c r="L108" s="719"/>
      <c r="M108" s="78">
        <f>11087</f>
        <v>11087</v>
      </c>
      <c r="N108" s="136"/>
      <c r="O108" s="80">
        <f t="shared" ref="O108:O135" si="34">K108+L108-M108-N108</f>
        <v>208913</v>
      </c>
      <c r="P108" s="81" t="s">
        <v>449</v>
      </c>
      <c r="Q108" s="81" t="s">
        <v>31</v>
      </c>
      <c r="R108" s="60"/>
      <c r="S108" s="183"/>
      <c r="T108" s="84" t="s">
        <v>33</v>
      </c>
      <c r="U108" s="719"/>
      <c r="V108" s="720"/>
      <c r="W108" s="721" t="s">
        <v>53</v>
      </c>
      <c r="X108" s="123"/>
      <c r="Y108" s="123"/>
      <c r="Z108" s="712"/>
      <c r="AA108" s="585"/>
      <c r="AB108" s="585"/>
      <c r="AC108" s="585"/>
      <c r="AD108" s="123"/>
    </row>
    <row r="109" ht="30.75" customHeight="1">
      <c r="A109" s="104">
        <v>71.0</v>
      </c>
      <c r="B109" s="103">
        <v>45177.0</v>
      </c>
      <c r="C109" s="93" t="s">
        <v>1027</v>
      </c>
      <c r="D109" s="92" t="s">
        <v>50</v>
      </c>
      <c r="E109" s="105" t="s">
        <v>1008</v>
      </c>
      <c r="F109" s="92" t="s">
        <v>528</v>
      </c>
      <c r="G109" s="63" t="s">
        <v>30</v>
      </c>
      <c r="H109" s="64">
        <v>2.0</v>
      </c>
      <c r="I109" s="47">
        <f t="shared" si="29"/>
        <v>220000</v>
      </c>
      <c r="J109" s="48">
        <f t="shared" si="30"/>
        <v>440000</v>
      </c>
      <c r="K109" s="76">
        <f t="shared" si="33"/>
        <v>440000</v>
      </c>
      <c r="L109" s="719"/>
      <c r="M109" s="78">
        <f>23380</f>
        <v>23380</v>
      </c>
      <c r="N109" s="136"/>
      <c r="O109" s="80">
        <f t="shared" si="34"/>
        <v>416620</v>
      </c>
      <c r="P109" s="81" t="s">
        <v>449</v>
      </c>
      <c r="Q109" s="81" t="s">
        <v>31</v>
      </c>
      <c r="R109" s="60"/>
      <c r="S109" s="183"/>
      <c r="T109" s="84" t="s">
        <v>33</v>
      </c>
      <c r="U109" s="719"/>
      <c r="V109" s="720"/>
      <c r="W109" s="721" t="s">
        <v>53</v>
      </c>
      <c r="X109" s="123"/>
      <c r="Y109" s="123"/>
      <c r="Z109" s="712"/>
      <c r="AA109" s="585"/>
      <c r="AB109" s="585"/>
      <c r="AC109" s="585"/>
      <c r="AD109" s="123"/>
    </row>
    <row r="110" ht="30.75" customHeight="1">
      <c r="A110" s="104">
        <v>72.0</v>
      </c>
      <c r="B110" s="188">
        <v>45177.0</v>
      </c>
      <c r="C110" s="104" t="s">
        <v>1028</v>
      </c>
      <c r="D110" s="432" t="s">
        <v>50</v>
      </c>
      <c r="E110" s="447" t="s">
        <v>1029</v>
      </c>
      <c r="F110" s="432" t="s">
        <v>180</v>
      </c>
      <c r="G110" s="68" t="s">
        <v>30</v>
      </c>
      <c r="H110" s="69">
        <v>1.0</v>
      </c>
      <c r="I110" s="47">
        <f t="shared" si="29"/>
        <v>220000</v>
      </c>
      <c r="J110" s="48">
        <f t="shared" si="30"/>
        <v>220000</v>
      </c>
      <c r="K110" s="76">
        <f t="shared" si="33"/>
        <v>220000</v>
      </c>
      <c r="L110" s="719"/>
      <c r="M110" s="78">
        <f>6807+4400</f>
        <v>11207</v>
      </c>
      <c r="N110" s="136"/>
      <c r="O110" s="80">
        <f t="shared" si="34"/>
        <v>208793</v>
      </c>
      <c r="P110" s="81" t="s">
        <v>449</v>
      </c>
      <c r="Q110" s="81" t="s">
        <v>31</v>
      </c>
      <c r="R110" s="60"/>
      <c r="S110" s="183"/>
      <c r="T110" s="84" t="s">
        <v>33</v>
      </c>
      <c r="U110" s="719"/>
      <c r="V110" s="720"/>
      <c r="W110" s="721" t="s">
        <v>53</v>
      </c>
      <c r="X110" s="123"/>
      <c r="Y110" s="123"/>
      <c r="Z110" s="712"/>
      <c r="AA110" s="585"/>
      <c r="AB110" s="585"/>
      <c r="AC110" s="585"/>
      <c r="AD110" s="123"/>
    </row>
    <row r="111" ht="30.75" customHeight="1">
      <c r="A111" s="104">
        <v>73.0</v>
      </c>
      <c r="B111" s="746">
        <v>7350028.0</v>
      </c>
      <c r="C111" s="65" t="s">
        <v>1030</v>
      </c>
      <c r="D111" s="92" t="s">
        <v>50</v>
      </c>
      <c r="E111" s="747" t="s">
        <v>1031</v>
      </c>
      <c r="F111" s="748" t="s">
        <v>991</v>
      </c>
      <c r="G111" s="749" t="s">
        <v>30</v>
      </c>
      <c r="H111" s="750">
        <v>2.0</v>
      </c>
      <c r="I111" s="47">
        <f t="shared" si="29"/>
        <v>220000</v>
      </c>
      <c r="J111" s="48">
        <f t="shared" si="30"/>
        <v>440000</v>
      </c>
      <c r="K111" s="76">
        <f t="shared" si="33"/>
        <v>440000</v>
      </c>
      <c r="L111" s="122"/>
      <c r="M111" s="78">
        <f>22731</f>
        <v>22731</v>
      </c>
      <c r="N111" s="136"/>
      <c r="O111" s="80">
        <f t="shared" si="34"/>
        <v>417269</v>
      </c>
      <c r="P111" s="81" t="s">
        <v>449</v>
      </c>
      <c r="Q111" s="81" t="s">
        <v>31</v>
      </c>
      <c r="R111" s="60"/>
      <c r="S111" s="183"/>
      <c r="T111" s="84" t="s">
        <v>33</v>
      </c>
      <c r="U111" s="122"/>
      <c r="V111" s="673"/>
      <c r="W111" s="135" t="s">
        <v>53</v>
      </c>
      <c r="X111" s="106"/>
      <c r="Y111" s="106"/>
      <c r="Z111" s="427"/>
      <c r="AA111" s="107"/>
      <c r="AB111" s="107"/>
      <c r="AC111" s="107"/>
      <c r="AD111" s="106"/>
    </row>
    <row r="112" ht="30.75" customHeight="1">
      <c r="A112" s="104">
        <v>74.0</v>
      </c>
      <c r="B112" s="746">
        <v>7350028.0</v>
      </c>
      <c r="C112" s="751" t="s">
        <v>1032</v>
      </c>
      <c r="D112" s="92" t="s">
        <v>50</v>
      </c>
      <c r="E112" s="752" t="s">
        <v>1033</v>
      </c>
      <c r="F112" s="753" t="s">
        <v>84</v>
      </c>
      <c r="G112" s="754" t="s">
        <v>30</v>
      </c>
      <c r="H112" s="755">
        <v>1.0</v>
      </c>
      <c r="I112" s="47">
        <f t="shared" si="29"/>
        <v>220000</v>
      </c>
      <c r="J112" s="48">
        <f t="shared" si="30"/>
        <v>220000</v>
      </c>
      <c r="K112" s="76">
        <f t="shared" si="33"/>
        <v>220000</v>
      </c>
      <c r="L112" s="122"/>
      <c r="M112" s="78">
        <f>12737</f>
        <v>12737</v>
      </c>
      <c r="N112" s="136"/>
      <c r="O112" s="80">
        <f t="shared" si="34"/>
        <v>207263</v>
      </c>
      <c r="P112" s="81" t="s">
        <v>449</v>
      </c>
      <c r="Q112" s="81" t="s">
        <v>31</v>
      </c>
      <c r="R112" s="65"/>
      <c r="S112" s="183"/>
      <c r="T112" s="84" t="s">
        <v>33</v>
      </c>
      <c r="U112" s="122"/>
      <c r="V112" s="673"/>
      <c r="W112" s="135" t="s">
        <v>53</v>
      </c>
      <c r="X112" s="106"/>
      <c r="Y112" s="106"/>
      <c r="Z112" s="427"/>
      <c r="AA112" s="107"/>
      <c r="AB112" s="107"/>
      <c r="AC112" s="107"/>
      <c r="AD112" s="106"/>
    </row>
    <row r="113" ht="30.75" customHeight="1">
      <c r="A113" s="104">
        <v>75.0</v>
      </c>
      <c r="B113" s="746">
        <v>7350028.0</v>
      </c>
      <c r="C113" s="751" t="s">
        <v>1034</v>
      </c>
      <c r="D113" s="92" t="s">
        <v>50</v>
      </c>
      <c r="E113" s="752" t="s">
        <v>1035</v>
      </c>
      <c r="F113" s="753" t="s">
        <v>613</v>
      </c>
      <c r="G113" s="756" t="s">
        <v>75</v>
      </c>
      <c r="H113" s="755">
        <v>3.0</v>
      </c>
      <c r="I113" s="47">
        <f t="shared" si="29"/>
        <v>45000</v>
      </c>
      <c r="J113" s="48">
        <f t="shared" si="30"/>
        <v>135000</v>
      </c>
      <c r="K113" s="76">
        <f t="shared" si="33"/>
        <v>135000</v>
      </c>
      <c r="L113" s="122"/>
      <c r="M113" s="78">
        <f>6750</f>
        <v>6750</v>
      </c>
      <c r="N113" s="136"/>
      <c r="O113" s="80">
        <f t="shared" si="34"/>
        <v>128250</v>
      </c>
      <c r="P113" s="81" t="s">
        <v>449</v>
      </c>
      <c r="Q113" s="81" t="s">
        <v>31</v>
      </c>
      <c r="R113" s="65"/>
      <c r="S113" s="183"/>
      <c r="T113" s="84" t="s">
        <v>33</v>
      </c>
      <c r="U113" s="122"/>
      <c r="V113" s="673"/>
      <c r="W113" s="135" t="s">
        <v>53</v>
      </c>
      <c r="X113" s="106"/>
      <c r="Y113" s="106"/>
      <c r="Z113" s="427"/>
      <c r="AA113" s="107"/>
      <c r="AB113" s="107"/>
      <c r="AC113" s="107"/>
      <c r="AD113" s="106"/>
    </row>
    <row r="114" ht="30.75" customHeight="1">
      <c r="A114" s="104">
        <v>76.0</v>
      </c>
      <c r="B114" s="746">
        <v>7350028.0</v>
      </c>
      <c r="C114" s="751" t="s">
        <v>1036</v>
      </c>
      <c r="D114" s="92" t="s">
        <v>50</v>
      </c>
      <c r="E114" s="752" t="s">
        <v>823</v>
      </c>
      <c r="F114" s="753" t="s">
        <v>84</v>
      </c>
      <c r="G114" s="754" t="s">
        <v>30</v>
      </c>
      <c r="H114" s="755">
        <v>3.0</v>
      </c>
      <c r="I114" s="47">
        <f t="shared" si="29"/>
        <v>220000</v>
      </c>
      <c r="J114" s="48">
        <f t="shared" si="30"/>
        <v>660000</v>
      </c>
      <c r="K114" s="76">
        <f t="shared" si="33"/>
        <v>660000</v>
      </c>
      <c r="L114" s="122"/>
      <c r="M114" s="78">
        <f>100380</f>
        <v>100380</v>
      </c>
      <c r="N114" s="136"/>
      <c r="O114" s="80">
        <f t="shared" si="34"/>
        <v>559620</v>
      </c>
      <c r="P114" s="81" t="s">
        <v>449</v>
      </c>
      <c r="Q114" s="81" t="s">
        <v>31</v>
      </c>
      <c r="R114" s="65"/>
      <c r="S114" s="183"/>
      <c r="T114" s="84" t="s">
        <v>33</v>
      </c>
      <c r="U114" s="122"/>
      <c r="V114" s="673"/>
      <c r="W114" s="135" t="s">
        <v>53</v>
      </c>
      <c r="X114" s="106"/>
      <c r="Y114" s="106"/>
      <c r="Z114" s="427"/>
      <c r="AA114" s="107"/>
      <c r="AB114" s="107"/>
      <c r="AC114" s="107"/>
      <c r="AD114" s="106"/>
    </row>
    <row r="115" ht="30.75" customHeight="1">
      <c r="A115" s="104">
        <v>77.0</v>
      </c>
      <c r="B115" s="746">
        <v>7350028.0</v>
      </c>
      <c r="C115" s="751" t="s">
        <v>1037</v>
      </c>
      <c r="D115" s="92" t="s">
        <v>50</v>
      </c>
      <c r="E115" s="752" t="s">
        <v>1038</v>
      </c>
      <c r="F115" s="753" t="s">
        <v>485</v>
      </c>
      <c r="G115" s="754" t="s">
        <v>290</v>
      </c>
      <c r="H115" s="755">
        <v>3.0</v>
      </c>
      <c r="I115" s="47">
        <f t="shared" si="29"/>
        <v>220000</v>
      </c>
      <c r="J115" s="48">
        <f t="shared" si="30"/>
        <v>660000</v>
      </c>
      <c r="K115" s="76">
        <f t="shared" si="33"/>
        <v>660000</v>
      </c>
      <c r="L115" s="122"/>
      <c r="M115" s="78">
        <f>31731</f>
        <v>31731</v>
      </c>
      <c r="N115" s="136"/>
      <c r="O115" s="80">
        <f t="shared" si="34"/>
        <v>628269</v>
      </c>
      <c r="P115" s="81" t="s">
        <v>449</v>
      </c>
      <c r="Q115" s="81" t="s">
        <v>31</v>
      </c>
      <c r="R115" s="65"/>
      <c r="S115" s="183"/>
      <c r="T115" s="84" t="s">
        <v>33</v>
      </c>
      <c r="U115" s="122"/>
      <c r="V115" s="673"/>
      <c r="W115" s="135" t="s">
        <v>53</v>
      </c>
      <c r="X115" s="106"/>
      <c r="Y115" s="106"/>
      <c r="Z115" s="427"/>
      <c r="AA115" s="107"/>
      <c r="AB115" s="107"/>
      <c r="AC115" s="107"/>
      <c r="AD115" s="106"/>
    </row>
    <row r="116" ht="30.75" customHeight="1">
      <c r="A116" s="104">
        <v>78.0</v>
      </c>
      <c r="B116" s="746">
        <v>7350028.0</v>
      </c>
      <c r="C116" s="65" t="s">
        <v>1039</v>
      </c>
      <c r="D116" s="92" t="s">
        <v>50</v>
      </c>
      <c r="E116" s="110" t="s">
        <v>1040</v>
      </c>
      <c r="F116" s="739" t="s">
        <v>464</v>
      </c>
      <c r="G116" s="749" t="s">
        <v>30</v>
      </c>
      <c r="H116" s="750">
        <v>1.0</v>
      </c>
      <c r="I116" s="47">
        <f t="shared" si="29"/>
        <v>220000</v>
      </c>
      <c r="J116" s="48">
        <f t="shared" si="30"/>
        <v>220000</v>
      </c>
      <c r="K116" s="76">
        <f t="shared" si="33"/>
        <v>220000</v>
      </c>
      <c r="L116" s="122"/>
      <c r="M116" s="78">
        <f>10907</f>
        <v>10907</v>
      </c>
      <c r="N116" s="136"/>
      <c r="O116" s="80">
        <f t="shared" si="34"/>
        <v>209093</v>
      </c>
      <c r="P116" s="81" t="s">
        <v>449</v>
      </c>
      <c r="Q116" s="81" t="s">
        <v>31</v>
      </c>
      <c r="R116" s="65"/>
      <c r="S116" s="183"/>
      <c r="T116" s="84" t="s">
        <v>33</v>
      </c>
      <c r="U116" s="122"/>
      <c r="V116" s="673"/>
      <c r="W116" s="135" t="s">
        <v>53</v>
      </c>
      <c r="X116" s="106"/>
      <c r="Y116" s="106"/>
      <c r="Z116" s="427"/>
      <c r="AA116" s="107"/>
      <c r="AB116" s="107"/>
      <c r="AC116" s="107"/>
      <c r="AD116" s="106"/>
    </row>
    <row r="117" ht="30.75" customHeight="1">
      <c r="A117" s="104">
        <v>79.0</v>
      </c>
      <c r="B117" s="746">
        <v>7350028.0</v>
      </c>
      <c r="C117" s="751" t="s">
        <v>1041</v>
      </c>
      <c r="D117" s="92" t="s">
        <v>50</v>
      </c>
      <c r="E117" s="715" t="s">
        <v>688</v>
      </c>
      <c r="F117" s="757" t="s">
        <v>193</v>
      </c>
      <c r="G117" s="754" t="s">
        <v>30</v>
      </c>
      <c r="H117" s="755">
        <v>2.0</v>
      </c>
      <c r="I117" s="47">
        <f t="shared" si="29"/>
        <v>220000</v>
      </c>
      <c r="J117" s="48">
        <f t="shared" si="30"/>
        <v>440000</v>
      </c>
      <c r="K117" s="76">
        <f t="shared" si="33"/>
        <v>440000</v>
      </c>
      <c r="L117" s="122"/>
      <c r="M117" s="78">
        <f>22030</f>
        <v>22030</v>
      </c>
      <c r="N117" s="136"/>
      <c r="O117" s="80">
        <f t="shared" si="34"/>
        <v>417970</v>
      </c>
      <c r="P117" s="81" t="s">
        <v>449</v>
      </c>
      <c r="Q117" s="81" t="s">
        <v>31</v>
      </c>
      <c r="R117" s="65"/>
      <c r="S117" s="183"/>
      <c r="T117" s="84" t="s">
        <v>33</v>
      </c>
      <c r="U117" s="122"/>
      <c r="V117" s="673"/>
      <c r="W117" s="135" t="s">
        <v>53</v>
      </c>
      <c r="X117" s="106"/>
      <c r="Y117" s="106"/>
      <c r="Z117" s="427"/>
      <c r="AA117" s="107"/>
      <c r="AB117" s="107"/>
      <c r="AC117" s="107"/>
      <c r="AD117" s="106"/>
    </row>
    <row r="118" ht="30.75" customHeight="1">
      <c r="A118" s="104">
        <v>80.0</v>
      </c>
      <c r="B118" s="746">
        <v>7350028.0</v>
      </c>
      <c r="C118" s="751" t="s">
        <v>1042</v>
      </c>
      <c r="D118" s="92" t="s">
        <v>50</v>
      </c>
      <c r="E118" s="715" t="s">
        <v>1043</v>
      </c>
      <c r="F118" s="757" t="s">
        <v>70</v>
      </c>
      <c r="G118" s="754" t="s">
        <v>30</v>
      </c>
      <c r="H118" s="755">
        <v>2.0</v>
      </c>
      <c r="I118" s="47">
        <f t="shared" si="29"/>
        <v>220000</v>
      </c>
      <c r="J118" s="48">
        <f t="shared" si="30"/>
        <v>440000</v>
      </c>
      <c r="K118" s="76">
        <f t="shared" si="33"/>
        <v>440000</v>
      </c>
      <c r="L118" s="122"/>
      <c r="M118" s="78">
        <f>22090</f>
        <v>22090</v>
      </c>
      <c r="N118" s="136"/>
      <c r="O118" s="80">
        <f t="shared" si="34"/>
        <v>417910</v>
      </c>
      <c r="P118" s="81" t="s">
        <v>449</v>
      </c>
      <c r="Q118" s="81" t="s">
        <v>31</v>
      </c>
      <c r="R118" s="65"/>
      <c r="S118" s="183"/>
      <c r="T118" s="84" t="s">
        <v>33</v>
      </c>
      <c r="U118" s="122"/>
      <c r="V118" s="673"/>
      <c r="W118" s="135" t="s">
        <v>53</v>
      </c>
      <c r="X118" s="106"/>
      <c r="Y118" s="106"/>
      <c r="Z118" s="427"/>
      <c r="AA118" s="107"/>
      <c r="AB118" s="107"/>
      <c r="AC118" s="107"/>
      <c r="AD118" s="106"/>
    </row>
    <row r="119" ht="30.75" customHeight="1">
      <c r="A119" s="104">
        <v>81.0</v>
      </c>
      <c r="B119" s="746">
        <v>7350028.0</v>
      </c>
      <c r="C119" s="751" t="s">
        <v>1044</v>
      </c>
      <c r="D119" s="92" t="s">
        <v>50</v>
      </c>
      <c r="E119" s="715" t="s">
        <v>1045</v>
      </c>
      <c r="F119" s="757" t="s">
        <v>119</v>
      </c>
      <c r="G119" s="754" t="s">
        <v>30</v>
      </c>
      <c r="H119" s="755">
        <v>1.0</v>
      </c>
      <c r="I119" s="47">
        <f t="shared" si="29"/>
        <v>220000</v>
      </c>
      <c r="J119" s="48">
        <f t="shared" si="30"/>
        <v>220000</v>
      </c>
      <c r="K119" s="76">
        <f t="shared" si="33"/>
        <v>220000</v>
      </c>
      <c r="L119" s="122"/>
      <c r="M119" s="78">
        <f>11234</f>
        <v>11234</v>
      </c>
      <c r="N119" s="136"/>
      <c r="O119" s="80">
        <f t="shared" si="34"/>
        <v>208766</v>
      </c>
      <c r="P119" s="81" t="s">
        <v>449</v>
      </c>
      <c r="Q119" s="81" t="s">
        <v>31</v>
      </c>
      <c r="R119" s="65"/>
      <c r="S119" s="183"/>
      <c r="T119" s="84" t="s">
        <v>33</v>
      </c>
      <c r="U119" s="122"/>
      <c r="V119" s="673"/>
      <c r="W119" s="135" t="s">
        <v>53</v>
      </c>
      <c r="X119" s="106"/>
      <c r="Y119" s="106"/>
      <c r="Z119" s="427"/>
      <c r="AA119" s="107"/>
      <c r="AB119" s="107"/>
      <c r="AC119" s="107"/>
      <c r="AD119" s="106"/>
    </row>
    <row r="120" ht="30.75" customHeight="1">
      <c r="A120" s="104">
        <v>82.0</v>
      </c>
      <c r="B120" s="746">
        <v>7350028.0</v>
      </c>
      <c r="C120" s="751" t="s">
        <v>1046</v>
      </c>
      <c r="D120" s="92" t="s">
        <v>50</v>
      </c>
      <c r="E120" s="715" t="s">
        <v>1047</v>
      </c>
      <c r="F120" s="757" t="s">
        <v>65</v>
      </c>
      <c r="G120" s="754" t="s">
        <v>30</v>
      </c>
      <c r="H120" s="755">
        <v>1.0</v>
      </c>
      <c r="I120" s="47">
        <f t="shared" si="29"/>
        <v>220000</v>
      </c>
      <c r="J120" s="48">
        <f t="shared" si="30"/>
        <v>220000</v>
      </c>
      <c r="K120" s="76">
        <f t="shared" si="33"/>
        <v>220000</v>
      </c>
      <c r="L120" s="122"/>
      <c r="M120" s="78">
        <f>12257</f>
        <v>12257</v>
      </c>
      <c r="N120" s="136"/>
      <c r="O120" s="80">
        <f t="shared" si="34"/>
        <v>207743</v>
      </c>
      <c r="P120" s="81" t="s">
        <v>449</v>
      </c>
      <c r="Q120" s="81" t="s">
        <v>31</v>
      </c>
      <c r="R120" s="65"/>
      <c r="S120" s="183"/>
      <c r="T120" s="84" t="s">
        <v>33</v>
      </c>
      <c r="U120" s="122"/>
      <c r="V120" s="673"/>
      <c r="W120" s="135" t="s">
        <v>53</v>
      </c>
      <c r="X120" s="106"/>
      <c r="Y120" s="106"/>
      <c r="Z120" s="427"/>
      <c r="AA120" s="107"/>
      <c r="AB120" s="107"/>
      <c r="AC120" s="107"/>
      <c r="AD120" s="106"/>
    </row>
    <row r="121" ht="30.75" customHeight="1">
      <c r="A121" s="104">
        <v>83.0</v>
      </c>
      <c r="B121" s="746">
        <v>7350028.0</v>
      </c>
      <c r="C121" s="751" t="s">
        <v>1048</v>
      </c>
      <c r="D121" s="92" t="s">
        <v>50</v>
      </c>
      <c r="E121" s="715" t="s">
        <v>906</v>
      </c>
      <c r="F121" s="757" t="s">
        <v>70</v>
      </c>
      <c r="G121" s="754" t="s">
        <v>30</v>
      </c>
      <c r="H121" s="755">
        <v>1.0</v>
      </c>
      <c r="I121" s="47">
        <f t="shared" si="29"/>
        <v>220000</v>
      </c>
      <c r="J121" s="48">
        <f t="shared" si="30"/>
        <v>220000</v>
      </c>
      <c r="K121" s="76">
        <f t="shared" si="33"/>
        <v>220000</v>
      </c>
      <c r="L121" s="122"/>
      <c r="M121" s="78">
        <f t="shared" ref="M121:M122" si="35">11717</f>
        <v>11717</v>
      </c>
      <c r="N121" s="136"/>
      <c r="O121" s="80">
        <f t="shared" si="34"/>
        <v>208283</v>
      </c>
      <c r="P121" s="81" t="s">
        <v>449</v>
      </c>
      <c r="Q121" s="81" t="s">
        <v>31</v>
      </c>
      <c r="R121" s="65"/>
      <c r="S121" s="183"/>
      <c r="T121" s="84" t="s">
        <v>33</v>
      </c>
      <c r="U121" s="122"/>
      <c r="V121" s="673"/>
      <c r="W121" s="135" t="s">
        <v>53</v>
      </c>
      <c r="X121" s="106"/>
      <c r="Y121" s="106"/>
      <c r="Z121" s="427"/>
      <c r="AA121" s="107"/>
      <c r="AB121" s="107"/>
      <c r="AC121" s="107"/>
      <c r="AD121" s="106"/>
    </row>
    <row r="122" ht="30.75" customHeight="1">
      <c r="A122" s="104">
        <v>84.0</v>
      </c>
      <c r="B122" s="746">
        <v>7350028.0</v>
      </c>
      <c r="C122" s="751" t="s">
        <v>1049</v>
      </c>
      <c r="D122" s="92" t="s">
        <v>50</v>
      </c>
      <c r="E122" s="715" t="s">
        <v>567</v>
      </c>
      <c r="F122" s="757" t="s">
        <v>802</v>
      </c>
      <c r="G122" s="754" t="s">
        <v>30</v>
      </c>
      <c r="H122" s="755">
        <v>1.0</v>
      </c>
      <c r="I122" s="47">
        <f t="shared" si="29"/>
        <v>220000</v>
      </c>
      <c r="J122" s="48">
        <f t="shared" si="30"/>
        <v>220000</v>
      </c>
      <c r="K122" s="76">
        <f t="shared" si="33"/>
        <v>220000</v>
      </c>
      <c r="L122" s="122"/>
      <c r="M122" s="78">
        <f t="shared" si="35"/>
        <v>11717</v>
      </c>
      <c r="N122" s="136"/>
      <c r="O122" s="80">
        <f t="shared" si="34"/>
        <v>208283</v>
      </c>
      <c r="P122" s="81" t="s">
        <v>449</v>
      </c>
      <c r="Q122" s="81" t="s">
        <v>31</v>
      </c>
      <c r="R122" s="65"/>
      <c r="S122" s="183"/>
      <c r="T122" s="84" t="s">
        <v>33</v>
      </c>
      <c r="U122" s="122"/>
      <c r="V122" s="673"/>
      <c r="W122" s="135" t="s">
        <v>53</v>
      </c>
      <c r="X122" s="106"/>
      <c r="Y122" s="106"/>
      <c r="Z122" s="427"/>
      <c r="AA122" s="107"/>
      <c r="AB122" s="107"/>
      <c r="AC122" s="107"/>
      <c r="AD122" s="106"/>
    </row>
    <row r="123" ht="30.75" customHeight="1">
      <c r="A123" s="104">
        <v>85.0</v>
      </c>
      <c r="B123" s="746">
        <v>7350028.0</v>
      </c>
      <c r="C123" s="751" t="s">
        <v>1050</v>
      </c>
      <c r="D123" s="92" t="s">
        <v>50</v>
      </c>
      <c r="E123" s="715" t="s">
        <v>1051</v>
      </c>
      <c r="F123" s="757" t="s">
        <v>70</v>
      </c>
      <c r="G123" s="754" t="s">
        <v>30</v>
      </c>
      <c r="H123" s="755">
        <v>2.0</v>
      </c>
      <c r="I123" s="47">
        <f t="shared" si="29"/>
        <v>220000</v>
      </c>
      <c r="J123" s="48">
        <f t="shared" si="30"/>
        <v>440000</v>
      </c>
      <c r="K123" s="76">
        <f t="shared" si="33"/>
        <v>440000</v>
      </c>
      <c r="L123" s="122"/>
      <c r="M123" s="78">
        <f>63380</f>
        <v>63380</v>
      </c>
      <c r="N123" s="136"/>
      <c r="O123" s="80">
        <f t="shared" si="34"/>
        <v>376620</v>
      </c>
      <c r="P123" s="81" t="s">
        <v>449</v>
      </c>
      <c r="Q123" s="81" t="s">
        <v>31</v>
      </c>
      <c r="R123" s="65"/>
      <c r="S123" s="183"/>
      <c r="T123" s="84" t="s">
        <v>33</v>
      </c>
      <c r="U123" s="122"/>
      <c r="V123" s="673"/>
      <c r="W123" s="135"/>
      <c r="X123" s="106"/>
      <c r="Y123" s="106"/>
      <c r="Z123" s="427"/>
      <c r="AA123" s="107"/>
      <c r="AB123" s="107"/>
      <c r="AC123" s="107"/>
      <c r="AD123" s="106"/>
    </row>
    <row r="124" ht="30.75" customHeight="1">
      <c r="A124" s="104">
        <v>86.0</v>
      </c>
      <c r="B124" s="103">
        <v>45180.0</v>
      </c>
      <c r="C124" s="93">
        <v>1.698021688106E12</v>
      </c>
      <c r="D124" s="92" t="s">
        <v>1052</v>
      </c>
      <c r="E124" s="105" t="s">
        <v>1053</v>
      </c>
      <c r="F124" s="92" t="s">
        <v>1054</v>
      </c>
      <c r="G124" s="63" t="s">
        <v>30</v>
      </c>
      <c r="H124" s="64">
        <v>15.0</v>
      </c>
      <c r="I124" s="47">
        <f t="shared" si="29"/>
        <v>220000</v>
      </c>
      <c r="J124" s="48">
        <f t="shared" si="30"/>
        <v>3300000</v>
      </c>
      <c r="K124" s="76">
        <f t="shared" si="33"/>
        <v>3300000</v>
      </c>
      <c r="L124" s="122"/>
      <c r="M124" s="78"/>
      <c r="N124" s="136"/>
      <c r="O124" s="80">
        <f t="shared" si="34"/>
        <v>3300000</v>
      </c>
      <c r="P124" s="81" t="s">
        <v>449</v>
      </c>
      <c r="Q124" s="81" t="s">
        <v>31</v>
      </c>
      <c r="R124" s="108">
        <v>129401.0</v>
      </c>
      <c r="S124" s="84" t="s">
        <v>32</v>
      </c>
      <c r="T124" s="84" t="s">
        <v>33</v>
      </c>
      <c r="U124" s="92" t="s">
        <v>1055</v>
      </c>
      <c r="V124" s="483">
        <v>3.0</v>
      </c>
      <c r="W124" s="92" t="s">
        <v>1023</v>
      </c>
      <c r="X124" s="106"/>
      <c r="Y124" s="106"/>
      <c r="Z124" s="427"/>
      <c r="AA124" s="107"/>
      <c r="AB124" s="107"/>
      <c r="AC124" s="107"/>
      <c r="AD124" s="106"/>
    </row>
    <row r="125" ht="36.0" customHeight="1">
      <c r="A125" s="104">
        <v>87.0</v>
      </c>
      <c r="B125" s="103">
        <v>45180.0</v>
      </c>
      <c r="C125" s="93">
        <v>1.698189835196E12</v>
      </c>
      <c r="D125" s="92" t="s">
        <v>1056</v>
      </c>
      <c r="E125" s="105" t="s">
        <v>1038</v>
      </c>
      <c r="F125" s="92" t="s">
        <v>1057</v>
      </c>
      <c r="G125" s="63" t="s">
        <v>290</v>
      </c>
      <c r="H125" s="64">
        <v>3.0</v>
      </c>
      <c r="I125" s="47"/>
      <c r="J125" s="48">
        <f t="shared" si="30"/>
        <v>0</v>
      </c>
      <c r="K125" s="76">
        <f t="shared" si="33"/>
        <v>0</v>
      </c>
      <c r="L125" s="122"/>
      <c r="M125" s="78"/>
      <c r="N125" s="136"/>
      <c r="O125" s="80">
        <f t="shared" si="34"/>
        <v>0</v>
      </c>
      <c r="P125" s="81" t="s">
        <v>449</v>
      </c>
      <c r="Q125" s="176"/>
      <c r="R125" s="108">
        <v>38099.0</v>
      </c>
      <c r="S125" s="84" t="s">
        <v>32</v>
      </c>
      <c r="T125" s="84" t="s">
        <v>33</v>
      </c>
      <c r="U125" s="92" t="s">
        <v>1020</v>
      </c>
      <c r="V125" s="483">
        <v>1.0</v>
      </c>
      <c r="W125" s="121" t="s">
        <v>1058</v>
      </c>
      <c r="X125" s="106"/>
      <c r="Y125" s="106"/>
      <c r="Z125" s="427"/>
      <c r="AA125" s="107"/>
      <c r="AB125" s="107"/>
      <c r="AC125" s="107"/>
      <c r="AD125" s="106"/>
    </row>
    <row r="126" ht="30.75" customHeight="1">
      <c r="A126" s="104">
        <v>88.0</v>
      </c>
      <c r="B126" s="103">
        <v>45180.0</v>
      </c>
      <c r="C126" s="93">
        <v>1.69825783667E12</v>
      </c>
      <c r="D126" s="92" t="s">
        <v>644</v>
      </c>
      <c r="E126" s="105" t="s">
        <v>45</v>
      </c>
      <c r="F126" s="121" t="s">
        <v>46</v>
      </c>
      <c r="G126" s="63" t="s">
        <v>47</v>
      </c>
      <c r="H126" s="64">
        <v>2.0</v>
      </c>
      <c r="I126" s="47"/>
      <c r="J126" s="48">
        <f t="shared" si="30"/>
        <v>0</v>
      </c>
      <c r="K126" s="76">
        <f t="shared" si="33"/>
        <v>0</v>
      </c>
      <c r="L126" s="122"/>
      <c r="M126" s="78"/>
      <c r="N126" s="136"/>
      <c r="O126" s="80">
        <f t="shared" si="34"/>
        <v>0</v>
      </c>
      <c r="P126" s="81" t="s">
        <v>449</v>
      </c>
      <c r="Q126" s="176"/>
      <c r="R126" s="108">
        <v>33183.0</v>
      </c>
      <c r="S126" s="84" t="s">
        <v>32</v>
      </c>
      <c r="T126" s="84" t="s">
        <v>33</v>
      </c>
      <c r="U126" s="92"/>
      <c r="V126" s="121"/>
      <c r="W126" s="92" t="s">
        <v>1059</v>
      </c>
      <c r="X126" s="106"/>
      <c r="Y126" s="106"/>
      <c r="Z126" s="427"/>
      <c r="AA126" s="107"/>
      <c r="AB126" s="107"/>
      <c r="AC126" s="107"/>
      <c r="AD126" s="106"/>
    </row>
    <row r="127" ht="30.75" customHeight="1">
      <c r="A127" s="104">
        <v>89.0</v>
      </c>
      <c r="B127" s="103">
        <v>45180.0</v>
      </c>
      <c r="C127" s="93">
        <v>1.698424702359E12</v>
      </c>
      <c r="D127" s="92" t="s">
        <v>766</v>
      </c>
      <c r="E127" s="105" t="s">
        <v>767</v>
      </c>
      <c r="F127" s="92" t="s">
        <v>713</v>
      </c>
      <c r="G127" s="63" t="s">
        <v>30</v>
      </c>
      <c r="H127" s="64">
        <v>3.0</v>
      </c>
      <c r="I127" s="47">
        <f t="shared" ref="I127:I137" si="36">VLOOKUP(G127,$Y$4:$Z$45,2,0)</f>
        <v>220000</v>
      </c>
      <c r="J127" s="48">
        <f t="shared" si="30"/>
        <v>660000</v>
      </c>
      <c r="K127" s="76">
        <f t="shared" si="33"/>
        <v>660000</v>
      </c>
      <c r="L127" s="122"/>
      <c r="M127" s="78"/>
      <c r="N127" s="136"/>
      <c r="O127" s="80">
        <f t="shared" si="34"/>
        <v>660000</v>
      </c>
      <c r="P127" s="81" t="s">
        <v>449</v>
      </c>
      <c r="Q127" s="81" t="s">
        <v>31</v>
      </c>
      <c r="R127" s="108">
        <v>42001.0</v>
      </c>
      <c r="S127" s="84" t="s">
        <v>32</v>
      </c>
      <c r="T127" s="84" t="s">
        <v>33</v>
      </c>
      <c r="U127" s="92" t="s">
        <v>1020</v>
      </c>
      <c r="V127" s="483">
        <v>1.0</v>
      </c>
      <c r="W127" s="155" t="s">
        <v>1021</v>
      </c>
      <c r="X127" s="106"/>
      <c r="Y127" s="106"/>
      <c r="Z127" s="427"/>
      <c r="AA127" s="107"/>
      <c r="AB127" s="107"/>
      <c r="AC127" s="107"/>
      <c r="AD127" s="106"/>
    </row>
    <row r="128" ht="30.75" customHeight="1">
      <c r="A128" s="104">
        <v>90.0</v>
      </c>
      <c r="B128" s="103">
        <v>45180.0</v>
      </c>
      <c r="C128" s="93" t="s">
        <v>1060</v>
      </c>
      <c r="D128" s="92" t="s">
        <v>50</v>
      </c>
      <c r="E128" s="105" t="s">
        <v>1061</v>
      </c>
      <c r="F128" s="92" t="s">
        <v>70</v>
      </c>
      <c r="G128" s="63" t="s">
        <v>30</v>
      </c>
      <c r="H128" s="64">
        <v>1.0</v>
      </c>
      <c r="I128" s="47">
        <f t="shared" si="36"/>
        <v>220000</v>
      </c>
      <c r="J128" s="48">
        <f t="shared" si="30"/>
        <v>220000</v>
      </c>
      <c r="K128" s="76">
        <f t="shared" si="33"/>
        <v>220000</v>
      </c>
      <c r="L128" s="122"/>
      <c r="M128" s="78">
        <f>11177</f>
        <v>11177</v>
      </c>
      <c r="N128" s="136"/>
      <c r="O128" s="80">
        <f t="shared" si="34"/>
        <v>208823</v>
      </c>
      <c r="P128" s="81" t="s">
        <v>449</v>
      </c>
      <c r="Q128" s="81" t="s">
        <v>31</v>
      </c>
      <c r="R128" s="109"/>
      <c r="S128" s="183"/>
      <c r="T128" s="84" t="s">
        <v>33</v>
      </c>
      <c r="U128" s="122"/>
      <c r="V128" s="673"/>
      <c r="W128" s="135" t="s">
        <v>53</v>
      </c>
      <c r="X128" s="106"/>
      <c r="Y128" s="106"/>
      <c r="Z128" s="427"/>
      <c r="AA128" s="107"/>
      <c r="AB128" s="107"/>
      <c r="AC128" s="107"/>
      <c r="AD128" s="106"/>
    </row>
    <row r="129" ht="30.75" customHeight="1">
      <c r="A129" s="104">
        <v>91.0</v>
      </c>
      <c r="B129" s="103">
        <v>45180.0</v>
      </c>
      <c r="C129" s="93" t="s">
        <v>1062</v>
      </c>
      <c r="D129" s="92" t="s">
        <v>50</v>
      </c>
      <c r="E129" s="105" t="s">
        <v>1063</v>
      </c>
      <c r="F129" s="92" t="s">
        <v>180</v>
      </c>
      <c r="G129" s="63" t="s">
        <v>30</v>
      </c>
      <c r="H129" s="64">
        <v>1.0</v>
      </c>
      <c r="I129" s="47">
        <f t="shared" si="36"/>
        <v>220000</v>
      </c>
      <c r="J129" s="48">
        <f t="shared" si="30"/>
        <v>220000</v>
      </c>
      <c r="K129" s="76">
        <f t="shared" si="33"/>
        <v>220000</v>
      </c>
      <c r="L129" s="122"/>
      <c r="M129" s="78">
        <f>33507</f>
        <v>33507</v>
      </c>
      <c r="N129" s="136"/>
      <c r="O129" s="80">
        <f t="shared" si="34"/>
        <v>186493</v>
      </c>
      <c r="P129" s="81" t="s">
        <v>449</v>
      </c>
      <c r="Q129" s="81" t="s">
        <v>31</v>
      </c>
      <c r="R129" s="109"/>
      <c r="S129" s="183"/>
      <c r="T129" s="84" t="s">
        <v>33</v>
      </c>
      <c r="U129" s="122"/>
      <c r="V129" s="673"/>
      <c r="W129" s="135" t="s">
        <v>53</v>
      </c>
      <c r="X129" s="106"/>
      <c r="Y129" s="106"/>
      <c r="Z129" s="427"/>
      <c r="AA129" s="107"/>
      <c r="AB129" s="107"/>
      <c r="AC129" s="107"/>
      <c r="AD129" s="106"/>
    </row>
    <row r="130" ht="30.75" customHeight="1">
      <c r="A130" s="104">
        <v>92.0</v>
      </c>
      <c r="B130" s="103">
        <v>45180.0</v>
      </c>
      <c r="C130" s="93" t="s">
        <v>1064</v>
      </c>
      <c r="D130" s="92" t="s">
        <v>50</v>
      </c>
      <c r="E130" s="105" t="s">
        <v>1065</v>
      </c>
      <c r="F130" s="92" t="s">
        <v>119</v>
      </c>
      <c r="G130" s="63" t="s">
        <v>30</v>
      </c>
      <c r="H130" s="64">
        <v>1.0</v>
      </c>
      <c r="I130" s="47">
        <f t="shared" si="36"/>
        <v>220000</v>
      </c>
      <c r="J130" s="48">
        <f t="shared" si="30"/>
        <v>220000</v>
      </c>
      <c r="K130" s="76">
        <f t="shared" si="33"/>
        <v>220000</v>
      </c>
      <c r="L130" s="122"/>
      <c r="M130" s="78">
        <f>30907</f>
        <v>30907</v>
      </c>
      <c r="N130" s="136"/>
      <c r="O130" s="80">
        <f t="shared" si="34"/>
        <v>189093</v>
      </c>
      <c r="P130" s="81" t="s">
        <v>449</v>
      </c>
      <c r="Q130" s="81" t="s">
        <v>31</v>
      </c>
      <c r="R130" s="109"/>
      <c r="S130" s="183"/>
      <c r="T130" s="84" t="s">
        <v>33</v>
      </c>
      <c r="U130" s="122"/>
      <c r="V130" s="673"/>
      <c r="W130" s="135" t="s">
        <v>53</v>
      </c>
      <c r="X130" s="106"/>
      <c r="Y130" s="106"/>
      <c r="Z130" s="427"/>
      <c r="AA130" s="107"/>
      <c r="AB130" s="107"/>
      <c r="AC130" s="107"/>
      <c r="AD130" s="106"/>
    </row>
    <row r="131" ht="30.75" customHeight="1">
      <c r="A131" s="104">
        <v>93.0</v>
      </c>
      <c r="B131" s="103">
        <v>45180.0</v>
      </c>
      <c r="C131" s="93" t="s">
        <v>1066</v>
      </c>
      <c r="D131" s="92" t="s">
        <v>50</v>
      </c>
      <c r="E131" s="105" t="s">
        <v>1067</v>
      </c>
      <c r="F131" s="92" t="s">
        <v>281</v>
      </c>
      <c r="G131" s="63" t="s">
        <v>30</v>
      </c>
      <c r="H131" s="64">
        <v>1.0</v>
      </c>
      <c r="I131" s="47">
        <f t="shared" si="36"/>
        <v>220000</v>
      </c>
      <c r="J131" s="48">
        <f t="shared" si="30"/>
        <v>220000</v>
      </c>
      <c r="K131" s="76">
        <f t="shared" si="33"/>
        <v>220000</v>
      </c>
      <c r="L131" s="122"/>
      <c r="M131" s="78">
        <f>11987</f>
        <v>11987</v>
      </c>
      <c r="N131" s="136"/>
      <c r="O131" s="80">
        <f t="shared" si="34"/>
        <v>208013</v>
      </c>
      <c r="P131" s="81" t="s">
        <v>449</v>
      </c>
      <c r="Q131" s="81" t="s">
        <v>31</v>
      </c>
      <c r="R131" s="65"/>
      <c r="S131" s="183"/>
      <c r="T131" s="84" t="s">
        <v>33</v>
      </c>
      <c r="U131" s="122"/>
      <c r="V131" s="673"/>
      <c r="W131" s="135" t="s">
        <v>53</v>
      </c>
      <c r="X131" s="106"/>
      <c r="Y131" s="106"/>
      <c r="Z131" s="427"/>
      <c r="AA131" s="107"/>
      <c r="AB131" s="107"/>
      <c r="AC131" s="107"/>
      <c r="AD131" s="106"/>
    </row>
    <row r="132" ht="30.75" customHeight="1">
      <c r="A132" s="104">
        <v>94.0</v>
      </c>
      <c r="B132" s="103">
        <v>45180.0</v>
      </c>
      <c r="C132" s="93" t="s">
        <v>1068</v>
      </c>
      <c r="D132" s="92" t="s">
        <v>50</v>
      </c>
      <c r="E132" s="105" t="s">
        <v>1069</v>
      </c>
      <c r="F132" s="92" t="s">
        <v>70</v>
      </c>
      <c r="G132" s="63" t="s">
        <v>75</v>
      </c>
      <c r="H132" s="64">
        <v>2.0</v>
      </c>
      <c r="I132" s="47">
        <f t="shared" si="36"/>
        <v>45000</v>
      </c>
      <c r="J132" s="48">
        <f t="shared" si="30"/>
        <v>90000</v>
      </c>
      <c r="K132" s="76">
        <f t="shared" si="33"/>
        <v>90000</v>
      </c>
      <c r="L132" s="122"/>
      <c r="M132" s="78">
        <f>4734</f>
        <v>4734</v>
      </c>
      <c r="N132" s="136"/>
      <c r="O132" s="80">
        <f t="shared" si="34"/>
        <v>85266</v>
      </c>
      <c r="P132" s="81" t="s">
        <v>449</v>
      </c>
      <c r="Q132" s="81" t="s">
        <v>31</v>
      </c>
      <c r="R132" s="65"/>
      <c r="S132" s="183"/>
      <c r="T132" s="84" t="s">
        <v>33</v>
      </c>
      <c r="U132" s="122"/>
      <c r="V132" s="673"/>
      <c r="W132" s="135" t="s">
        <v>53</v>
      </c>
      <c r="X132" s="106"/>
      <c r="Y132" s="106"/>
      <c r="Z132" s="427"/>
      <c r="AA132" s="107"/>
      <c r="AB132" s="107"/>
      <c r="AC132" s="107"/>
      <c r="AD132" s="106"/>
    </row>
    <row r="133" ht="30.75" customHeight="1">
      <c r="A133" s="104">
        <v>95.0</v>
      </c>
      <c r="B133" s="103">
        <v>45180.0</v>
      </c>
      <c r="C133" s="93" t="s">
        <v>1070</v>
      </c>
      <c r="D133" s="92" t="s">
        <v>50</v>
      </c>
      <c r="E133" s="105" t="s">
        <v>1071</v>
      </c>
      <c r="F133" s="92" t="s">
        <v>84</v>
      </c>
      <c r="G133" s="63" t="s">
        <v>30</v>
      </c>
      <c r="H133" s="64">
        <v>1.0</v>
      </c>
      <c r="I133" s="47">
        <f t="shared" si="36"/>
        <v>220000</v>
      </c>
      <c r="J133" s="48">
        <f t="shared" si="30"/>
        <v>220000</v>
      </c>
      <c r="K133" s="76">
        <f t="shared" si="33"/>
        <v>220000</v>
      </c>
      <c r="L133" s="122"/>
      <c r="M133" s="78">
        <f>11567</f>
        <v>11567</v>
      </c>
      <c r="N133" s="136"/>
      <c r="O133" s="80">
        <f t="shared" si="34"/>
        <v>208433</v>
      </c>
      <c r="P133" s="81" t="s">
        <v>449</v>
      </c>
      <c r="Q133" s="81" t="s">
        <v>31</v>
      </c>
      <c r="R133" s="65"/>
      <c r="S133" s="183"/>
      <c r="T133" s="84" t="s">
        <v>33</v>
      </c>
      <c r="U133" s="122"/>
      <c r="V133" s="673"/>
      <c r="W133" s="135" t="s">
        <v>53</v>
      </c>
      <c r="X133" s="106"/>
      <c r="Y133" s="106"/>
      <c r="Z133" s="427"/>
      <c r="AA133" s="107"/>
      <c r="AB133" s="107"/>
      <c r="AC133" s="107"/>
      <c r="AD133" s="106"/>
    </row>
    <row r="134" ht="30.75" customHeight="1">
      <c r="A134" s="104">
        <v>96.0</v>
      </c>
      <c r="B134" s="103">
        <v>45180.0</v>
      </c>
      <c r="C134" s="93" t="s">
        <v>1072</v>
      </c>
      <c r="D134" s="92" t="s">
        <v>50</v>
      </c>
      <c r="E134" s="105" t="s">
        <v>1073</v>
      </c>
      <c r="F134" s="92" t="s">
        <v>74</v>
      </c>
      <c r="G134" s="63" t="s">
        <v>30</v>
      </c>
      <c r="H134" s="64">
        <v>1.0</v>
      </c>
      <c r="I134" s="47">
        <f t="shared" si="36"/>
        <v>220000</v>
      </c>
      <c r="J134" s="48">
        <f t="shared" si="30"/>
        <v>220000</v>
      </c>
      <c r="K134" s="76">
        <f t="shared" si="33"/>
        <v>220000</v>
      </c>
      <c r="L134" s="122"/>
      <c r="M134" s="78">
        <f>11987</f>
        <v>11987</v>
      </c>
      <c r="N134" s="136"/>
      <c r="O134" s="80">
        <f t="shared" si="34"/>
        <v>208013</v>
      </c>
      <c r="P134" s="81" t="s">
        <v>449</v>
      </c>
      <c r="Q134" s="81" t="s">
        <v>31</v>
      </c>
      <c r="R134" s="65"/>
      <c r="S134" s="183"/>
      <c r="T134" s="84" t="s">
        <v>33</v>
      </c>
      <c r="U134" s="122"/>
      <c r="V134" s="673"/>
      <c r="W134" s="135" t="s">
        <v>53</v>
      </c>
      <c r="X134" s="106"/>
      <c r="Y134" s="106"/>
      <c r="Z134" s="427"/>
      <c r="AA134" s="107"/>
      <c r="AB134" s="107"/>
      <c r="AC134" s="107"/>
      <c r="AD134" s="106"/>
    </row>
    <row r="135" ht="30.75" customHeight="1">
      <c r="A135" s="152">
        <v>97.0</v>
      </c>
      <c r="B135" s="112">
        <v>45180.0</v>
      </c>
      <c r="C135" s="146"/>
      <c r="D135" s="142" t="s">
        <v>355</v>
      </c>
      <c r="E135" s="142"/>
      <c r="F135" s="142" t="s">
        <v>74</v>
      </c>
      <c r="G135" s="63" t="s">
        <v>30</v>
      </c>
      <c r="H135" s="64">
        <v>1.0</v>
      </c>
      <c r="I135" s="47">
        <f t="shared" si="36"/>
        <v>220000</v>
      </c>
      <c r="J135" s="48">
        <f t="shared" si="30"/>
        <v>220000</v>
      </c>
      <c r="K135" s="49">
        <f>SUM(J135:J137)</f>
        <v>520000</v>
      </c>
      <c r="L135" s="147"/>
      <c r="M135" s="433">
        <f>37750+11000</f>
        <v>48750</v>
      </c>
      <c r="N135" s="562"/>
      <c r="O135" s="53">
        <f t="shared" si="34"/>
        <v>471250</v>
      </c>
      <c r="P135" s="99" t="s">
        <v>449</v>
      </c>
      <c r="Q135" s="99" t="s">
        <v>31</v>
      </c>
      <c r="R135" s="146"/>
      <c r="S135" s="197"/>
      <c r="T135" s="57" t="s">
        <v>33</v>
      </c>
      <c r="U135" s="147"/>
      <c r="V135" s="678"/>
      <c r="W135" s="142" t="s">
        <v>1074</v>
      </c>
      <c r="X135" s="106"/>
      <c r="Y135" s="106"/>
      <c r="Z135" s="427"/>
      <c r="AA135" s="107"/>
      <c r="AB135" s="107"/>
      <c r="AC135" s="107"/>
      <c r="AD135" s="106"/>
    </row>
    <row r="136" ht="30.75" customHeight="1">
      <c r="A136" s="62"/>
      <c r="B136" s="62"/>
      <c r="C136" s="62"/>
      <c r="D136" s="62"/>
      <c r="E136" s="62"/>
      <c r="F136" s="62"/>
      <c r="G136" s="63" t="s">
        <v>290</v>
      </c>
      <c r="H136" s="64">
        <v>1.0</v>
      </c>
      <c r="I136" s="47">
        <f t="shared" si="36"/>
        <v>220000</v>
      </c>
      <c r="J136" s="48">
        <f t="shared" si="30"/>
        <v>220000</v>
      </c>
      <c r="K136" s="62"/>
      <c r="L136" s="62"/>
      <c r="M136" s="62"/>
      <c r="N136" s="62"/>
      <c r="O136" s="62"/>
      <c r="P136" s="62"/>
      <c r="Q136" s="62"/>
      <c r="R136" s="62"/>
      <c r="S136" s="62"/>
      <c r="T136" s="62"/>
      <c r="U136" s="62"/>
      <c r="V136" s="62"/>
      <c r="W136" s="62"/>
      <c r="X136" s="106"/>
      <c r="Y136" s="106"/>
      <c r="Z136" s="427"/>
      <c r="AA136" s="107"/>
      <c r="AB136" s="107"/>
      <c r="AC136" s="107"/>
      <c r="AD136" s="106"/>
    </row>
    <row r="137" ht="30.75" customHeight="1">
      <c r="A137" s="67"/>
      <c r="B137" s="67"/>
      <c r="C137" s="67"/>
      <c r="D137" s="67"/>
      <c r="E137" s="67"/>
      <c r="F137" s="67"/>
      <c r="G137" s="63" t="s">
        <v>147</v>
      </c>
      <c r="H137" s="64">
        <v>1.0</v>
      </c>
      <c r="I137" s="47">
        <f t="shared" si="36"/>
        <v>80000</v>
      </c>
      <c r="J137" s="48">
        <f t="shared" si="30"/>
        <v>80000</v>
      </c>
      <c r="K137" s="67"/>
      <c r="L137" s="67"/>
      <c r="M137" s="67"/>
      <c r="N137" s="67"/>
      <c r="O137" s="67"/>
      <c r="P137" s="67"/>
      <c r="Q137" s="67"/>
      <c r="R137" s="67"/>
      <c r="S137" s="67"/>
      <c r="T137" s="67"/>
      <c r="U137" s="67"/>
      <c r="V137" s="67"/>
      <c r="W137" s="67"/>
      <c r="X137" s="106"/>
      <c r="Y137" s="106"/>
      <c r="Z137" s="427"/>
      <c r="AA137" s="107"/>
      <c r="AB137" s="107"/>
      <c r="AC137" s="107"/>
      <c r="AD137" s="106"/>
    </row>
    <row r="138" ht="30.75" customHeight="1">
      <c r="A138" s="104">
        <v>98.0</v>
      </c>
      <c r="B138" s="103">
        <v>45181.0</v>
      </c>
      <c r="C138" s="93">
        <v>1.703051957193E12</v>
      </c>
      <c r="D138" s="92" t="s">
        <v>1075</v>
      </c>
      <c r="E138" s="105" t="s">
        <v>1076</v>
      </c>
      <c r="F138" s="758" t="s">
        <v>1077</v>
      </c>
      <c r="G138" s="63"/>
      <c r="H138" s="64"/>
      <c r="I138" s="47"/>
      <c r="J138" s="48"/>
      <c r="K138" s="76"/>
      <c r="L138" s="108"/>
      <c r="M138" s="78"/>
      <c r="N138" s="115"/>
      <c r="O138" s="80"/>
      <c r="P138" s="81" t="s">
        <v>449</v>
      </c>
      <c r="Q138" s="176"/>
      <c r="R138" s="108">
        <v>17777.0</v>
      </c>
      <c r="S138" s="84" t="s">
        <v>32</v>
      </c>
      <c r="T138" s="84" t="s">
        <v>33</v>
      </c>
      <c r="U138" s="92" t="s">
        <v>1020</v>
      </c>
      <c r="V138" s="483">
        <v>1.0</v>
      </c>
      <c r="W138" s="92" t="s">
        <v>1078</v>
      </c>
      <c r="X138" s="106"/>
      <c r="Y138" s="106"/>
      <c r="Z138" s="427"/>
      <c r="AA138" s="107"/>
      <c r="AB138" s="107"/>
      <c r="AC138" s="107"/>
      <c r="AD138" s="106"/>
    </row>
    <row r="139" ht="30.75" customHeight="1">
      <c r="A139" s="104">
        <v>99.0</v>
      </c>
      <c r="B139" s="103">
        <v>45181.0</v>
      </c>
      <c r="C139" s="93">
        <v>1.702781682232E12</v>
      </c>
      <c r="D139" s="92" t="s">
        <v>206</v>
      </c>
      <c r="E139" s="105" t="s">
        <v>1079</v>
      </c>
      <c r="F139" s="758" t="s">
        <v>1080</v>
      </c>
      <c r="G139" s="63"/>
      <c r="H139" s="64"/>
      <c r="I139" s="47"/>
      <c r="J139" s="48"/>
      <c r="K139" s="76"/>
      <c r="L139" s="108"/>
      <c r="M139" s="78"/>
      <c r="N139" s="115"/>
      <c r="O139" s="80"/>
      <c r="P139" s="81" t="s">
        <v>449</v>
      </c>
      <c r="Q139" s="176"/>
      <c r="R139" s="108">
        <v>26665.0</v>
      </c>
      <c r="S139" s="84" t="s">
        <v>32</v>
      </c>
      <c r="T139" s="84" t="s">
        <v>33</v>
      </c>
      <c r="U139" s="92" t="s">
        <v>1055</v>
      </c>
      <c r="V139" s="483">
        <v>1.0</v>
      </c>
      <c r="W139" s="92" t="s">
        <v>1081</v>
      </c>
      <c r="X139" s="106"/>
      <c r="Y139" s="106"/>
      <c r="Z139" s="427"/>
      <c r="AA139" s="107"/>
      <c r="AB139" s="107"/>
      <c r="AC139" s="107"/>
      <c r="AD139" s="106"/>
    </row>
    <row r="140" ht="30.75" customHeight="1">
      <c r="A140" s="104">
        <v>100.0</v>
      </c>
      <c r="B140" s="103">
        <v>45181.0</v>
      </c>
      <c r="C140" s="93">
        <v>1.702991226825E12</v>
      </c>
      <c r="D140" s="92" t="s">
        <v>1082</v>
      </c>
      <c r="E140" s="105" t="s">
        <v>1083</v>
      </c>
      <c r="F140" s="758" t="s">
        <v>1084</v>
      </c>
      <c r="G140" s="63"/>
      <c r="H140" s="64"/>
      <c r="I140" s="47"/>
      <c r="J140" s="48"/>
      <c r="K140" s="76"/>
      <c r="L140" s="108"/>
      <c r="M140" s="78"/>
      <c r="N140" s="115"/>
      <c r="O140" s="80"/>
      <c r="P140" s="81" t="s">
        <v>449</v>
      </c>
      <c r="Q140" s="176"/>
      <c r="R140" s="108">
        <v>26665.0</v>
      </c>
      <c r="S140" s="84" t="s">
        <v>32</v>
      </c>
      <c r="T140" s="84" t="s">
        <v>33</v>
      </c>
      <c r="U140" s="92" t="s">
        <v>1055</v>
      </c>
      <c r="V140" s="483">
        <v>1.0</v>
      </c>
      <c r="W140" s="92" t="s">
        <v>1081</v>
      </c>
      <c r="X140" s="106"/>
      <c r="Y140" s="106"/>
      <c r="Z140" s="427"/>
      <c r="AA140" s="107"/>
      <c r="AB140" s="107"/>
      <c r="AC140" s="107"/>
      <c r="AD140" s="106"/>
    </row>
    <row r="141" ht="36.75" customHeight="1">
      <c r="A141" s="104">
        <v>101.0</v>
      </c>
      <c r="B141" s="103">
        <v>45181.0</v>
      </c>
      <c r="C141" s="93">
        <v>1.702859481599E12</v>
      </c>
      <c r="D141" s="92" t="s">
        <v>39</v>
      </c>
      <c r="E141" s="105" t="s">
        <v>40</v>
      </c>
      <c r="F141" s="758" t="s">
        <v>1085</v>
      </c>
      <c r="G141" s="63"/>
      <c r="H141" s="64"/>
      <c r="I141" s="47"/>
      <c r="J141" s="48"/>
      <c r="K141" s="76"/>
      <c r="L141" s="108"/>
      <c r="M141" s="78"/>
      <c r="N141" s="115"/>
      <c r="O141" s="80"/>
      <c r="P141" s="81" t="s">
        <v>449</v>
      </c>
      <c r="Q141" s="176"/>
      <c r="R141" s="108">
        <v>23501.0</v>
      </c>
      <c r="S141" s="84" t="s">
        <v>32</v>
      </c>
      <c r="T141" s="84" t="s">
        <v>33</v>
      </c>
      <c r="U141" s="92" t="s">
        <v>1055</v>
      </c>
      <c r="V141" s="483">
        <v>1.0</v>
      </c>
      <c r="W141" s="92" t="s">
        <v>1081</v>
      </c>
      <c r="X141" s="106"/>
      <c r="Y141" s="106"/>
      <c r="Z141" s="427"/>
      <c r="AA141" s="107"/>
      <c r="AB141" s="107"/>
      <c r="AC141" s="107"/>
      <c r="AD141" s="106"/>
    </row>
    <row r="142" ht="36.0" customHeight="1">
      <c r="A142" s="104">
        <v>102.0</v>
      </c>
      <c r="B142" s="103">
        <v>45181.0</v>
      </c>
      <c r="C142" s="93">
        <v>1.70292575494E12</v>
      </c>
      <c r="D142" s="92" t="s">
        <v>216</v>
      </c>
      <c r="E142" s="105" t="s">
        <v>217</v>
      </c>
      <c r="F142" s="758" t="s">
        <v>218</v>
      </c>
      <c r="G142" s="63" t="s">
        <v>30</v>
      </c>
      <c r="H142" s="64">
        <v>5.0</v>
      </c>
      <c r="I142" s="47">
        <f t="shared" ref="I142:I168" si="37">VLOOKUP(G142,$Y$4:$Z$45,2,0)</f>
        <v>220000</v>
      </c>
      <c r="J142" s="48">
        <f t="shared" ref="J142:J168" si="38">I142*H142</f>
        <v>1100000</v>
      </c>
      <c r="K142" s="76">
        <f t="shared" ref="K142:K147" si="39">SUM(J142)</f>
        <v>1100000</v>
      </c>
      <c r="L142" s="108"/>
      <c r="M142" s="78"/>
      <c r="N142" s="115"/>
      <c r="O142" s="80">
        <f t="shared" ref="O142:O148" si="40">K142+L142-M142-N142</f>
        <v>1100000</v>
      </c>
      <c r="P142" s="81" t="s">
        <v>449</v>
      </c>
      <c r="Q142" s="81" t="s">
        <v>31</v>
      </c>
      <c r="R142" s="108">
        <v>64003.0</v>
      </c>
      <c r="S142" s="84" t="s">
        <v>32</v>
      </c>
      <c r="T142" s="84" t="s">
        <v>33</v>
      </c>
      <c r="U142" s="92" t="s">
        <v>1055</v>
      </c>
      <c r="V142" s="483">
        <v>2.0</v>
      </c>
      <c r="W142" s="92" t="s">
        <v>1023</v>
      </c>
      <c r="X142" s="106"/>
      <c r="Y142" s="106"/>
      <c r="Z142" s="427"/>
      <c r="AA142" s="107"/>
      <c r="AB142" s="107"/>
      <c r="AC142" s="107"/>
      <c r="AD142" s="106"/>
    </row>
    <row r="143" ht="30.75" customHeight="1">
      <c r="A143" s="104">
        <v>103.0</v>
      </c>
      <c r="B143" s="103">
        <v>45181.0</v>
      </c>
      <c r="C143" s="93">
        <v>1.706319294226E12</v>
      </c>
      <c r="D143" s="92" t="s">
        <v>1086</v>
      </c>
      <c r="E143" s="105" t="s">
        <v>1087</v>
      </c>
      <c r="F143" s="121" t="s">
        <v>1088</v>
      </c>
      <c r="G143" s="63" t="s">
        <v>30</v>
      </c>
      <c r="H143" s="64">
        <v>6.0</v>
      </c>
      <c r="I143" s="47">
        <f t="shared" si="37"/>
        <v>220000</v>
      </c>
      <c r="J143" s="48">
        <f t="shared" si="38"/>
        <v>1320000</v>
      </c>
      <c r="K143" s="76">
        <f t="shared" si="39"/>
        <v>1320000</v>
      </c>
      <c r="L143" s="65"/>
      <c r="M143" s="78"/>
      <c r="N143" s="79"/>
      <c r="O143" s="80">
        <f t="shared" si="40"/>
        <v>1320000</v>
      </c>
      <c r="P143" s="81" t="s">
        <v>449</v>
      </c>
      <c r="Q143" s="81" t="s">
        <v>31</v>
      </c>
      <c r="R143" s="108">
        <v>67503.0</v>
      </c>
      <c r="S143" s="84" t="s">
        <v>32</v>
      </c>
      <c r="T143" s="84" t="s">
        <v>33</v>
      </c>
      <c r="U143" s="92" t="s">
        <v>1055</v>
      </c>
      <c r="V143" s="483">
        <v>1.0</v>
      </c>
      <c r="W143" s="92" t="s">
        <v>1023</v>
      </c>
      <c r="X143" s="106"/>
      <c r="Y143" s="106"/>
      <c r="Z143" s="427"/>
      <c r="AA143" s="107"/>
      <c r="AB143" s="107"/>
      <c r="AC143" s="107"/>
      <c r="AD143" s="106"/>
    </row>
    <row r="144" ht="30.75" customHeight="1">
      <c r="A144" s="93">
        <v>104.0</v>
      </c>
      <c r="B144" s="103">
        <v>45181.0</v>
      </c>
      <c r="C144" s="93">
        <v>1.717447367726E12</v>
      </c>
      <c r="D144" s="92" t="s">
        <v>1089</v>
      </c>
      <c r="E144" s="105" t="s">
        <v>1090</v>
      </c>
      <c r="F144" s="92" t="s">
        <v>1091</v>
      </c>
      <c r="G144" s="63" t="s">
        <v>30</v>
      </c>
      <c r="H144" s="64">
        <v>3.0</v>
      </c>
      <c r="I144" s="47">
        <f t="shared" si="37"/>
        <v>220000</v>
      </c>
      <c r="J144" s="48">
        <f t="shared" si="38"/>
        <v>660000</v>
      </c>
      <c r="K144" s="76">
        <f t="shared" si="39"/>
        <v>660000</v>
      </c>
      <c r="L144" s="65"/>
      <c r="M144" s="78"/>
      <c r="N144" s="79"/>
      <c r="O144" s="80">
        <f t="shared" si="40"/>
        <v>660000</v>
      </c>
      <c r="P144" s="81" t="s">
        <v>449</v>
      </c>
      <c r="Q144" s="81" t="s">
        <v>31</v>
      </c>
      <c r="R144" s="108">
        <v>52002.0</v>
      </c>
      <c r="S144" s="84" t="s">
        <v>32</v>
      </c>
      <c r="T144" s="84" t="s">
        <v>33</v>
      </c>
      <c r="U144" s="92" t="s">
        <v>1020</v>
      </c>
      <c r="V144" s="483">
        <v>1.0</v>
      </c>
      <c r="W144" s="92" t="s">
        <v>1021</v>
      </c>
      <c r="X144" s="106"/>
      <c r="Y144" s="106"/>
      <c r="Z144" s="427"/>
      <c r="AA144" s="107"/>
      <c r="AB144" s="107"/>
      <c r="AC144" s="107"/>
      <c r="AD144" s="106"/>
    </row>
    <row r="145" ht="30.75" customHeight="1">
      <c r="A145" s="104">
        <v>105.0</v>
      </c>
      <c r="B145" s="103">
        <v>45181.0</v>
      </c>
      <c r="C145" s="65" t="s">
        <v>1092</v>
      </c>
      <c r="D145" s="92" t="s">
        <v>50</v>
      </c>
      <c r="E145" s="105" t="s">
        <v>1093</v>
      </c>
      <c r="F145" s="92" t="s">
        <v>119</v>
      </c>
      <c r="G145" s="63" t="s">
        <v>30</v>
      </c>
      <c r="H145" s="64">
        <v>1.0</v>
      </c>
      <c r="I145" s="47">
        <f t="shared" si="37"/>
        <v>220000</v>
      </c>
      <c r="J145" s="48">
        <f t="shared" si="38"/>
        <v>220000</v>
      </c>
      <c r="K145" s="76">
        <f t="shared" si="39"/>
        <v>220000</v>
      </c>
      <c r="L145" s="65"/>
      <c r="M145" s="78">
        <f>11507</f>
        <v>11507</v>
      </c>
      <c r="N145" s="79"/>
      <c r="O145" s="80">
        <f t="shared" si="40"/>
        <v>208493</v>
      </c>
      <c r="P145" s="81" t="s">
        <v>449</v>
      </c>
      <c r="Q145" s="81" t="s">
        <v>31</v>
      </c>
      <c r="R145" s="109"/>
      <c r="S145" s="183"/>
      <c r="T145" s="84" t="s">
        <v>33</v>
      </c>
      <c r="U145" s="122"/>
      <c r="V145" s="673"/>
      <c r="W145" s="135" t="s">
        <v>53</v>
      </c>
      <c r="X145" s="106"/>
      <c r="Y145" s="106"/>
      <c r="Z145" s="427"/>
      <c r="AA145" s="107"/>
      <c r="AB145" s="107"/>
      <c r="AC145" s="107"/>
      <c r="AD145" s="106"/>
    </row>
    <row r="146" ht="30.75" customHeight="1">
      <c r="A146" s="104">
        <v>106.0</v>
      </c>
      <c r="B146" s="103">
        <v>45181.0</v>
      </c>
      <c r="C146" s="65" t="s">
        <v>1094</v>
      </c>
      <c r="D146" s="92" t="s">
        <v>50</v>
      </c>
      <c r="E146" s="105" t="s">
        <v>1095</v>
      </c>
      <c r="F146" s="92" t="s">
        <v>193</v>
      </c>
      <c r="G146" s="63" t="s">
        <v>30</v>
      </c>
      <c r="H146" s="64">
        <v>2.0</v>
      </c>
      <c r="I146" s="47">
        <f t="shared" si="37"/>
        <v>220000</v>
      </c>
      <c r="J146" s="48">
        <f t="shared" si="38"/>
        <v>440000</v>
      </c>
      <c r="K146" s="76">
        <f t="shared" si="39"/>
        <v>440000</v>
      </c>
      <c r="L146" s="65"/>
      <c r="M146" s="78">
        <f>22630</f>
        <v>22630</v>
      </c>
      <c r="N146" s="79"/>
      <c r="O146" s="80">
        <f t="shared" si="40"/>
        <v>417370</v>
      </c>
      <c r="P146" s="81" t="s">
        <v>449</v>
      </c>
      <c r="Q146" s="81" t="s">
        <v>31</v>
      </c>
      <c r="R146" s="109"/>
      <c r="S146" s="183"/>
      <c r="T146" s="84" t="s">
        <v>33</v>
      </c>
      <c r="U146" s="122"/>
      <c r="V146" s="673"/>
      <c r="W146" s="135" t="s">
        <v>53</v>
      </c>
      <c r="X146" s="106"/>
      <c r="Y146" s="106"/>
      <c r="Z146" s="427"/>
      <c r="AA146" s="107"/>
      <c r="AB146" s="107"/>
      <c r="AC146" s="107"/>
      <c r="AD146" s="106"/>
    </row>
    <row r="147" ht="30.75" customHeight="1">
      <c r="A147" s="104">
        <v>107.0</v>
      </c>
      <c r="B147" s="103">
        <v>45181.0</v>
      </c>
      <c r="C147" s="65" t="s">
        <v>1096</v>
      </c>
      <c r="D147" s="92" t="s">
        <v>50</v>
      </c>
      <c r="E147" s="105" t="s">
        <v>1097</v>
      </c>
      <c r="F147" s="92" t="s">
        <v>119</v>
      </c>
      <c r="G147" s="63" t="s">
        <v>30</v>
      </c>
      <c r="H147" s="64">
        <v>1.0</v>
      </c>
      <c r="I147" s="47">
        <f t="shared" si="37"/>
        <v>220000</v>
      </c>
      <c r="J147" s="48">
        <f t="shared" si="38"/>
        <v>220000</v>
      </c>
      <c r="K147" s="76">
        <f t="shared" si="39"/>
        <v>220000</v>
      </c>
      <c r="L147" s="109"/>
      <c r="M147" s="78">
        <f>12257</f>
        <v>12257</v>
      </c>
      <c r="N147" s="79"/>
      <c r="O147" s="80">
        <f t="shared" si="40"/>
        <v>207743</v>
      </c>
      <c r="P147" s="81" t="s">
        <v>449</v>
      </c>
      <c r="Q147" s="81" t="s">
        <v>31</v>
      </c>
      <c r="R147" s="109"/>
      <c r="S147" s="183"/>
      <c r="T147" s="84" t="s">
        <v>33</v>
      </c>
      <c r="U147" s="122"/>
      <c r="V147" s="673"/>
      <c r="W147" s="135" t="s">
        <v>53</v>
      </c>
      <c r="X147" s="106"/>
      <c r="Y147" s="106"/>
      <c r="Z147" s="427"/>
      <c r="AA147" s="107"/>
      <c r="AB147" s="107"/>
      <c r="AC147" s="107"/>
      <c r="AD147" s="106"/>
    </row>
    <row r="148" ht="30.75" customHeight="1">
      <c r="A148" s="111">
        <v>108.0</v>
      </c>
      <c r="B148" s="112">
        <v>45182.0</v>
      </c>
      <c r="C148" s="111">
        <v>1.697454375554E12</v>
      </c>
      <c r="D148" s="142" t="s">
        <v>1098</v>
      </c>
      <c r="E148" s="759" t="s">
        <v>1099</v>
      </c>
      <c r="F148" s="760" t="s">
        <v>1100</v>
      </c>
      <c r="G148" s="92" t="s">
        <v>30</v>
      </c>
      <c r="H148" s="64">
        <v>1.0</v>
      </c>
      <c r="I148" s="47">
        <f t="shared" si="37"/>
        <v>220000</v>
      </c>
      <c r="J148" s="48">
        <f t="shared" si="38"/>
        <v>220000</v>
      </c>
      <c r="K148" s="49">
        <f>sum(J148:J150)</f>
        <v>520000</v>
      </c>
      <c r="L148" s="145">
        <v>43001.0</v>
      </c>
      <c r="M148" s="51"/>
      <c r="N148" s="117">
        <v>13001.0</v>
      </c>
      <c r="O148" s="53">
        <f t="shared" si="40"/>
        <v>550000</v>
      </c>
      <c r="P148" s="99" t="s">
        <v>449</v>
      </c>
      <c r="Q148" s="99" t="s">
        <v>31</v>
      </c>
      <c r="R148" s="144"/>
      <c r="S148" s="197"/>
      <c r="T148" s="57" t="s">
        <v>33</v>
      </c>
      <c r="U148" s="147"/>
      <c r="V148" s="678"/>
      <c r="W148" s="147"/>
      <c r="X148" s="106"/>
      <c r="Y148" s="106"/>
      <c r="Z148" s="427"/>
      <c r="AA148" s="107"/>
      <c r="AB148" s="107"/>
      <c r="AC148" s="107"/>
      <c r="AD148" s="106"/>
    </row>
    <row r="149" ht="30.75" customHeight="1">
      <c r="A149" s="62"/>
      <c r="B149" s="62"/>
      <c r="C149" s="62"/>
      <c r="D149" s="62"/>
      <c r="E149" s="423"/>
      <c r="F149" s="423"/>
      <c r="G149" s="92" t="s">
        <v>290</v>
      </c>
      <c r="H149" s="64">
        <v>1.0</v>
      </c>
      <c r="I149" s="47">
        <f t="shared" si="37"/>
        <v>220000</v>
      </c>
      <c r="J149" s="48">
        <f t="shared" si="38"/>
        <v>220000</v>
      </c>
      <c r="K149" s="62"/>
      <c r="L149" s="62"/>
      <c r="M149" s="62"/>
      <c r="N149" s="62"/>
      <c r="O149" s="62"/>
      <c r="P149" s="62"/>
      <c r="Q149" s="62"/>
      <c r="R149" s="62"/>
      <c r="S149" s="62"/>
      <c r="T149" s="62"/>
      <c r="U149" s="62"/>
      <c r="V149" s="62"/>
      <c r="W149" s="62"/>
      <c r="X149" s="106"/>
      <c r="Y149" s="106"/>
      <c r="Z149" s="427"/>
      <c r="AA149" s="107"/>
      <c r="AB149" s="107"/>
      <c r="AC149" s="107"/>
      <c r="AD149" s="106"/>
    </row>
    <row r="150" ht="30.75" customHeight="1">
      <c r="A150" s="67"/>
      <c r="B150" s="67"/>
      <c r="C150" s="67"/>
      <c r="D150" s="67"/>
      <c r="E150" s="102"/>
      <c r="F150" s="102"/>
      <c r="G150" s="92" t="s">
        <v>147</v>
      </c>
      <c r="H150" s="64">
        <v>1.0</v>
      </c>
      <c r="I150" s="47">
        <f t="shared" si="37"/>
        <v>80000</v>
      </c>
      <c r="J150" s="48">
        <f t="shared" si="38"/>
        <v>80000</v>
      </c>
      <c r="K150" s="67"/>
      <c r="L150" s="67"/>
      <c r="M150" s="67"/>
      <c r="N150" s="67"/>
      <c r="O150" s="67"/>
      <c r="P150" s="67"/>
      <c r="Q150" s="67"/>
      <c r="R150" s="67"/>
      <c r="S150" s="67"/>
      <c r="T150" s="67"/>
      <c r="U150" s="67"/>
      <c r="V150" s="67"/>
      <c r="W150" s="67"/>
      <c r="X150" s="106"/>
      <c r="Y150" s="106"/>
      <c r="Z150" s="427"/>
      <c r="AA150" s="107"/>
      <c r="AB150" s="107"/>
      <c r="AC150" s="107"/>
      <c r="AD150" s="106"/>
    </row>
    <row r="151" ht="30.75" customHeight="1">
      <c r="A151" s="111">
        <v>109.0</v>
      </c>
      <c r="B151" s="112">
        <v>45182.0</v>
      </c>
      <c r="C151" s="111">
        <v>1.69755118733E12</v>
      </c>
      <c r="D151" s="142" t="s">
        <v>1101</v>
      </c>
      <c r="E151" s="761" t="s">
        <v>1102</v>
      </c>
      <c r="F151" s="578" t="s">
        <v>1103</v>
      </c>
      <c r="G151" s="63" t="s">
        <v>30</v>
      </c>
      <c r="H151" s="64">
        <v>2.0</v>
      </c>
      <c r="I151" s="47">
        <f t="shared" si="37"/>
        <v>220000</v>
      </c>
      <c r="J151" s="48">
        <f t="shared" si="38"/>
        <v>440000</v>
      </c>
      <c r="K151" s="49">
        <f>SUM(J151:J153)</f>
        <v>1100000</v>
      </c>
      <c r="L151" s="145"/>
      <c r="M151" s="51"/>
      <c r="N151" s="52"/>
      <c r="O151" s="53">
        <f>K151+L151-M151-N151</f>
        <v>1100000</v>
      </c>
      <c r="P151" s="99" t="s">
        <v>449</v>
      </c>
      <c r="Q151" s="99" t="s">
        <v>31</v>
      </c>
      <c r="R151" s="145">
        <v>61003.0</v>
      </c>
      <c r="S151" s="57" t="s">
        <v>32</v>
      </c>
      <c r="T151" s="57" t="s">
        <v>33</v>
      </c>
      <c r="U151" s="142" t="s">
        <v>1055</v>
      </c>
      <c r="V151" s="538">
        <v>1.0</v>
      </c>
      <c r="W151" s="142" t="s">
        <v>1023</v>
      </c>
      <c r="X151" s="106"/>
      <c r="Y151" s="106"/>
      <c r="Z151" s="427"/>
      <c r="AA151" s="107"/>
      <c r="AB151" s="107"/>
      <c r="AC151" s="107"/>
      <c r="AD151" s="106"/>
    </row>
    <row r="152" ht="30.75" customHeight="1">
      <c r="A152" s="62"/>
      <c r="B152" s="62"/>
      <c r="C152" s="62"/>
      <c r="D152" s="62"/>
      <c r="E152" s="423"/>
      <c r="F152" s="423"/>
      <c r="G152" s="63" t="s">
        <v>37</v>
      </c>
      <c r="H152" s="64">
        <v>2.0</v>
      </c>
      <c r="I152" s="47">
        <f t="shared" si="37"/>
        <v>220000</v>
      </c>
      <c r="J152" s="48">
        <f t="shared" si="38"/>
        <v>440000</v>
      </c>
      <c r="K152" s="62"/>
      <c r="L152" s="62"/>
      <c r="M152" s="62"/>
      <c r="N152" s="62"/>
      <c r="O152" s="62"/>
      <c r="P152" s="62"/>
      <c r="Q152" s="62"/>
      <c r="R152" s="62"/>
      <c r="S152" s="62"/>
      <c r="T152" s="62"/>
      <c r="U152" s="62"/>
      <c r="V152" s="62"/>
      <c r="W152" s="62"/>
      <c r="X152" s="106"/>
      <c r="Y152" s="106"/>
      <c r="Z152" s="427"/>
      <c r="AA152" s="107"/>
      <c r="AB152" s="107"/>
      <c r="AC152" s="107"/>
      <c r="AD152" s="106"/>
    </row>
    <row r="153" ht="30.75" customHeight="1">
      <c r="A153" s="67"/>
      <c r="B153" s="67"/>
      <c r="C153" s="67"/>
      <c r="D153" s="67"/>
      <c r="E153" s="102"/>
      <c r="F153" s="102"/>
      <c r="G153" s="63" t="s">
        <v>122</v>
      </c>
      <c r="H153" s="64">
        <v>1.0</v>
      </c>
      <c r="I153" s="47">
        <f t="shared" si="37"/>
        <v>220000</v>
      </c>
      <c r="J153" s="48">
        <f t="shared" si="38"/>
        <v>220000</v>
      </c>
      <c r="K153" s="67"/>
      <c r="L153" s="67"/>
      <c r="M153" s="67"/>
      <c r="N153" s="67"/>
      <c r="O153" s="67"/>
      <c r="P153" s="67"/>
      <c r="Q153" s="67"/>
      <c r="R153" s="67"/>
      <c r="S153" s="67"/>
      <c r="T153" s="67"/>
      <c r="U153" s="67"/>
      <c r="V153" s="67"/>
      <c r="W153" s="67"/>
      <c r="X153" s="106"/>
      <c r="Y153" s="106"/>
      <c r="Z153" s="427"/>
      <c r="AA153" s="107"/>
      <c r="AB153" s="107"/>
      <c r="AC153" s="107"/>
      <c r="AD153" s="106"/>
    </row>
    <row r="154" ht="30.75" customHeight="1">
      <c r="A154" s="93">
        <v>110.0</v>
      </c>
      <c r="B154" s="103">
        <v>45182.0</v>
      </c>
      <c r="C154" s="93">
        <v>1.705613181909E12</v>
      </c>
      <c r="D154" s="92" t="s">
        <v>738</v>
      </c>
      <c r="E154" s="762" t="s">
        <v>1104</v>
      </c>
      <c r="F154" s="763" t="s">
        <v>1105</v>
      </c>
      <c r="G154" s="63" t="s">
        <v>30</v>
      </c>
      <c r="H154" s="64">
        <v>6.0</v>
      </c>
      <c r="I154" s="47">
        <f t="shared" si="37"/>
        <v>220000</v>
      </c>
      <c r="J154" s="48">
        <f t="shared" si="38"/>
        <v>1320000</v>
      </c>
      <c r="K154" s="76">
        <f>SUM(J154)</f>
        <v>1320000</v>
      </c>
      <c r="L154" s="109"/>
      <c r="M154" s="78"/>
      <c r="N154" s="79"/>
      <c r="O154" s="80">
        <f t="shared" ref="O154:O155" si="41">K154+L154-M154-N154</f>
        <v>1320000</v>
      </c>
      <c r="P154" s="81" t="s">
        <v>449</v>
      </c>
      <c r="Q154" s="81" t="s">
        <v>31</v>
      </c>
      <c r="R154" s="108">
        <v>48597.0</v>
      </c>
      <c r="S154" s="84" t="s">
        <v>32</v>
      </c>
      <c r="T154" s="84" t="s">
        <v>33</v>
      </c>
      <c r="U154" s="92" t="s">
        <v>1055</v>
      </c>
      <c r="V154" s="483">
        <v>1.0</v>
      </c>
      <c r="W154" s="764" t="s">
        <v>1023</v>
      </c>
      <c r="X154" s="106"/>
      <c r="Y154" s="106"/>
      <c r="Z154" s="427"/>
      <c r="AA154" s="107"/>
      <c r="AB154" s="107"/>
      <c r="AC154" s="107"/>
      <c r="AD154" s="106"/>
    </row>
    <row r="155" ht="30.75" customHeight="1">
      <c r="A155" s="111">
        <v>111.0</v>
      </c>
      <c r="B155" s="112">
        <v>45182.0</v>
      </c>
      <c r="C155" s="111">
        <v>1.705752251313E12</v>
      </c>
      <c r="D155" s="142" t="s">
        <v>510</v>
      </c>
      <c r="E155" s="143" t="s">
        <v>873</v>
      </c>
      <c r="F155" s="142" t="s">
        <v>512</v>
      </c>
      <c r="G155" s="63" t="s">
        <v>30</v>
      </c>
      <c r="H155" s="64">
        <v>3.0</v>
      </c>
      <c r="I155" s="47">
        <f t="shared" si="37"/>
        <v>220000</v>
      </c>
      <c r="J155" s="48">
        <f t="shared" si="38"/>
        <v>660000</v>
      </c>
      <c r="K155" s="49">
        <f>SUM(J155:J157)</f>
        <v>1190000</v>
      </c>
      <c r="L155" s="144"/>
      <c r="M155" s="51"/>
      <c r="N155" s="52"/>
      <c r="O155" s="53">
        <f t="shared" si="41"/>
        <v>1190000</v>
      </c>
      <c r="P155" s="196"/>
      <c r="Q155" s="196"/>
      <c r="R155" s="145">
        <v>67503.0</v>
      </c>
      <c r="S155" s="57" t="s">
        <v>32</v>
      </c>
      <c r="T155" s="197"/>
      <c r="U155" s="142" t="s">
        <v>1055</v>
      </c>
      <c r="V155" s="111">
        <v>1.0</v>
      </c>
      <c r="W155" s="142" t="s">
        <v>1023</v>
      </c>
      <c r="X155" s="106"/>
      <c r="Y155" s="106"/>
      <c r="Z155" s="427"/>
      <c r="AA155" s="107"/>
      <c r="AB155" s="107"/>
      <c r="AC155" s="107"/>
      <c r="AD155" s="106"/>
    </row>
    <row r="156" ht="30.75" customHeight="1">
      <c r="A156" s="62"/>
      <c r="B156" s="62"/>
      <c r="C156" s="62"/>
      <c r="D156" s="62"/>
      <c r="E156" s="62"/>
      <c r="F156" s="62"/>
      <c r="G156" s="63" t="s">
        <v>35</v>
      </c>
      <c r="H156" s="64">
        <v>2.0</v>
      </c>
      <c r="I156" s="47">
        <f t="shared" si="37"/>
        <v>220000</v>
      </c>
      <c r="J156" s="48">
        <f t="shared" si="38"/>
        <v>440000</v>
      </c>
      <c r="K156" s="62"/>
      <c r="L156" s="62"/>
      <c r="M156" s="62"/>
      <c r="N156" s="62"/>
      <c r="O156" s="62"/>
      <c r="P156" s="62"/>
      <c r="Q156" s="62"/>
      <c r="R156" s="62"/>
      <c r="S156" s="62"/>
      <c r="T156" s="62"/>
      <c r="U156" s="62"/>
      <c r="V156" s="62"/>
      <c r="W156" s="62"/>
      <c r="X156" s="106"/>
      <c r="Y156" s="106"/>
      <c r="Z156" s="427"/>
      <c r="AA156" s="107"/>
      <c r="AB156" s="107"/>
      <c r="AC156" s="107"/>
      <c r="AD156" s="106"/>
    </row>
    <row r="157" ht="30.75" customHeight="1">
      <c r="A157" s="67"/>
      <c r="B157" s="67"/>
      <c r="C157" s="67"/>
      <c r="D157" s="67"/>
      <c r="E157" s="67"/>
      <c r="F157" s="67"/>
      <c r="G157" s="72" t="s">
        <v>61</v>
      </c>
      <c r="H157" s="73">
        <v>1.0</v>
      </c>
      <c r="I157" s="74">
        <f t="shared" si="37"/>
        <v>90000</v>
      </c>
      <c r="J157" s="48">
        <f t="shared" si="38"/>
        <v>90000</v>
      </c>
      <c r="K157" s="67"/>
      <c r="L157" s="67"/>
      <c r="M157" s="67"/>
      <c r="N157" s="67"/>
      <c r="O157" s="67"/>
      <c r="P157" s="67"/>
      <c r="Q157" s="67"/>
      <c r="R157" s="67"/>
      <c r="S157" s="67"/>
      <c r="T157" s="67"/>
      <c r="U157" s="67"/>
      <c r="V157" s="67"/>
      <c r="W157" s="67"/>
      <c r="X157" s="106"/>
      <c r="Y157" s="106"/>
      <c r="Z157" s="427"/>
      <c r="AA157" s="107"/>
      <c r="AB157" s="107"/>
      <c r="AC157" s="107"/>
      <c r="AD157" s="106"/>
    </row>
    <row r="158" ht="30.75" customHeight="1">
      <c r="A158" s="111">
        <v>112.0</v>
      </c>
      <c r="B158" s="112">
        <v>45182.0</v>
      </c>
      <c r="C158" s="111">
        <v>1.706744463332E12</v>
      </c>
      <c r="D158" s="142" t="s">
        <v>1106</v>
      </c>
      <c r="E158" s="761" t="s">
        <v>1107</v>
      </c>
      <c r="F158" s="422" t="s">
        <v>1108</v>
      </c>
      <c r="G158" s="63" t="s">
        <v>30</v>
      </c>
      <c r="H158" s="64">
        <v>3.0</v>
      </c>
      <c r="I158" s="47">
        <f t="shared" si="37"/>
        <v>220000</v>
      </c>
      <c r="J158" s="48">
        <f t="shared" si="38"/>
        <v>660000</v>
      </c>
      <c r="K158" s="49">
        <f>SUM(J158:J159)</f>
        <v>1100000</v>
      </c>
      <c r="L158" s="144"/>
      <c r="M158" s="51"/>
      <c r="N158" s="52"/>
      <c r="O158" s="53">
        <f>K158+L158-M158-N158</f>
        <v>1100000</v>
      </c>
      <c r="P158" s="99" t="s">
        <v>449</v>
      </c>
      <c r="Q158" s="99" t="s">
        <v>31</v>
      </c>
      <c r="R158" s="145">
        <v>54002.0</v>
      </c>
      <c r="S158" s="57" t="s">
        <v>32</v>
      </c>
      <c r="T158" s="57" t="s">
        <v>33</v>
      </c>
      <c r="U158" s="142" t="s">
        <v>1055</v>
      </c>
      <c r="V158" s="538">
        <v>1.0</v>
      </c>
      <c r="W158" s="765" t="s">
        <v>1023</v>
      </c>
      <c r="X158" s="106"/>
      <c r="Y158" s="106"/>
      <c r="Z158" s="427"/>
      <c r="AA158" s="107"/>
      <c r="AB158" s="107"/>
      <c r="AC158" s="107"/>
      <c r="AD158" s="106"/>
    </row>
    <row r="159" ht="30.75" customHeight="1">
      <c r="A159" s="67"/>
      <c r="B159" s="67"/>
      <c r="C159" s="67"/>
      <c r="D159" s="67"/>
      <c r="E159" s="102"/>
      <c r="F159" s="102"/>
      <c r="G159" s="63" t="s">
        <v>35</v>
      </c>
      <c r="H159" s="64">
        <v>2.0</v>
      </c>
      <c r="I159" s="47">
        <f t="shared" si="37"/>
        <v>220000</v>
      </c>
      <c r="J159" s="48">
        <f t="shared" si="38"/>
        <v>440000</v>
      </c>
      <c r="K159" s="67"/>
      <c r="L159" s="67"/>
      <c r="M159" s="67"/>
      <c r="N159" s="67"/>
      <c r="O159" s="67"/>
      <c r="P159" s="67"/>
      <c r="Q159" s="67"/>
      <c r="R159" s="67"/>
      <c r="S159" s="67"/>
      <c r="T159" s="67"/>
      <c r="U159" s="67"/>
      <c r="V159" s="67"/>
      <c r="W159" s="67"/>
      <c r="X159" s="106"/>
      <c r="Y159" s="106"/>
      <c r="Z159" s="427"/>
      <c r="AA159" s="107"/>
      <c r="AB159" s="107"/>
      <c r="AC159" s="107"/>
      <c r="AD159" s="106"/>
    </row>
    <row r="160" ht="30.75" customHeight="1">
      <c r="A160" s="104">
        <v>113.0</v>
      </c>
      <c r="B160" s="103">
        <v>45182.0</v>
      </c>
      <c r="C160" s="93" t="s">
        <v>1109</v>
      </c>
      <c r="D160" s="92" t="s">
        <v>50</v>
      </c>
      <c r="E160" s="762" t="s">
        <v>1110</v>
      </c>
      <c r="F160" s="763" t="s">
        <v>1111</v>
      </c>
      <c r="G160" s="63" t="s">
        <v>30</v>
      </c>
      <c r="H160" s="64">
        <v>1.0</v>
      </c>
      <c r="I160" s="47">
        <f t="shared" si="37"/>
        <v>220000</v>
      </c>
      <c r="J160" s="48">
        <f t="shared" si="38"/>
        <v>220000</v>
      </c>
      <c r="K160" s="76">
        <f t="shared" ref="K160:K161" si="42">SUM(J160)</f>
        <v>220000</v>
      </c>
      <c r="L160" s="109"/>
      <c r="M160" s="78">
        <f>10757</f>
        <v>10757</v>
      </c>
      <c r="N160" s="79"/>
      <c r="O160" s="80">
        <f t="shared" ref="O160:O162" si="43">K160+L160-M160-N160</f>
        <v>209243</v>
      </c>
      <c r="P160" s="81" t="s">
        <v>449</v>
      </c>
      <c r="Q160" s="81" t="s">
        <v>31</v>
      </c>
      <c r="R160" s="109"/>
      <c r="S160" s="183"/>
      <c r="T160" s="84" t="s">
        <v>33</v>
      </c>
      <c r="U160" s="122"/>
      <c r="V160" s="673"/>
      <c r="W160" s="135" t="s">
        <v>53</v>
      </c>
      <c r="X160" s="106"/>
      <c r="Y160" s="106"/>
      <c r="Z160" s="427"/>
      <c r="AA160" s="107"/>
      <c r="AB160" s="107"/>
      <c r="AC160" s="107"/>
      <c r="AD160" s="106"/>
    </row>
    <row r="161" ht="30.75" customHeight="1">
      <c r="A161" s="104">
        <v>114.0</v>
      </c>
      <c r="B161" s="103">
        <v>45182.0</v>
      </c>
      <c r="C161" s="93" t="s">
        <v>1112</v>
      </c>
      <c r="D161" s="92" t="s">
        <v>50</v>
      </c>
      <c r="E161" s="762" t="s">
        <v>500</v>
      </c>
      <c r="F161" s="763" t="s">
        <v>132</v>
      </c>
      <c r="G161" s="63" t="s">
        <v>30</v>
      </c>
      <c r="H161" s="64">
        <v>1.0</v>
      </c>
      <c r="I161" s="47">
        <f t="shared" si="37"/>
        <v>220000</v>
      </c>
      <c r="J161" s="48">
        <f t="shared" si="38"/>
        <v>220000</v>
      </c>
      <c r="K161" s="76">
        <f t="shared" si="42"/>
        <v>220000</v>
      </c>
      <c r="L161" s="109"/>
      <c r="M161" s="78">
        <f>30257</f>
        <v>30257</v>
      </c>
      <c r="N161" s="79"/>
      <c r="O161" s="80">
        <f t="shared" si="43"/>
        <v>189743</v>
      </c>
      <c r="P161" s="81" t="s">
        <v>449</v>
      </c>
      <c r="Q161" s="81" t="s">
        <v>31</v>
      </c>
      <c r="R161" s="109"/>
      <c r="S161" s="183"/>
      <c r="T161" s="84" t="s">
        <v>33</v>
      </c>
      <c r="U161" s="122"/>
      <c r="V161" s="673"/>
      <c r="W161" s="135" t="s">
        <v>53</v>
      </c>
      <c r="X161" s="106"/>
      <c r="Y161" s="106"/>
      <c r="Z161" s="427"/>
      <c r="AA161" s="107"/>
      <c r="AB161" s="107"/>
      <c r="AC161" s="107"/>
      <c r="AD161" s="106"/>
    </row>
    <row r="162" ht="30.75" customHeight="1">
      <c r="A162" s="152">
        <v>115.0</v>
      </c>
      <c r="B162" s="112">
        <v>45182.0</v>
      </c>
      <c r="C162" s="111" t="s">
        <v>1113</v>
      </c>
      <c r="D162" s="142" t="s">
        <v>50</v>
      </c>
      <c r="E162" s="761" t="s">
        <v>1114</v>
      </c>
      <c r="F162" s="422" t="s">
        <v>74</v>
      </c>
      <c r="G162" s="63" t="s">
        <v>30</v>
      </c>
      <c r="H162" s="64">
        <v>3.0</v>
      </c>
      <c r="I162" s="47">
        <f t="shared" si="37"/>
        <v>220000</v>
      </c>
      <c r="J162" s="48">
        <f t="shared" si="38"/>
        <v>660000</v>
      </c>
      <c r="K162" s="49">
        <f>SUM(J162:J163)</f>
        <v>1100000</v>
      </c>
      <c r="L162" s="144"/>
      <c r="M162" s="51">
        <f>53011</f>
        <v>53011</v>
      </c>
      <c r="N162" s="52"/>
      <c r="O162" s="53">
        <f t="shared" si="43"/>
        <v>1046989</v>
      </c>
      <c r="P162" s="99" t="s">
        <v>449</v>
      </c>
      <c r="Q162" s="99" t="s">
        <v>31</v>
      </c>
      <c r="R162" s="144"/>
      <c r="S162" s="197"/>
      <c r="T162" s="57" t="s">
        <v>33</v>
      </c>
      <c r="U162" s="147"/>
      <c r="V162" s="678"/>
      <c r="W162" s="679" t="s">
        <v>53</v>
      </c>
      <c r="X162" s="106"/>
      <c r="Y162" s="106"/>
      <c r="Z162" s="427"/>
      <c r="AA162" s="107"/>
      <c r="AB162" s="107"/>
      <c r="AC162" s="107"/>
      <c r="AD162" s="106"/>
    </row>
    <row r="163" ht="30.75" customHeight="1">
      <c r="A163" s="67"/>
      <c r="B163" s="67"/>
      <c r="C163" s="67"/>
      <c r="D163" s="67"/>
      <c r="E163" s="102"/>
      <c r="F163" s="102"/>
      <c r="G163" s="63" t="s">
        <v>290</v>
      </c>
      <c r="H163" s="64">
        <v>2.0</v>
      </c>
      <c r="I163" s="47">
        <f t="shared" si="37"/>
        <v>220000</v>
      </c>
      <c r="J163" s="48">
        <f t="shared" si="38"/>
        <v>440000</v>
      </c>
      <c r="K163" s="67"/>
      <c r="L163" s="67"/>
      <c r="M163" s="67"/>
      <c r="N163" s="67"/>
      <c r="O163" s="67"/>
      <c r="P163" s="67"/>
      <c r="Q163" s="67"/>
      <c r="R163" s="67"/>
      <c r="S163" s="67"/>
      <c r="T163" s="67"/>
      <c r="U163" s="67"/>
      <c r="V163" s="67"/>
      <c r="W163" s="67"/>
      <c r="X163" s="106"/>
      <c r="Y163" s="106"/>
      <c r="Z163" s="427"/>
      <c r="AA163" s="107"/>
      <c r="AB163" s="107"/>
      <c r="AC163" s="107"/>
      <c r="AD163" s="106"/>
    </row>
    <row r="164" ht="30.75" customHeight="1">
      <c r="A164" s="104">
        <v>116.0</v>
      </c>
      <c r="B164" s="103">
        <v>45182.0</v>
      </c>
      <c r="C164" s="93" t="s">
        <v>1115</v>
      </c>
      <c r="D164" s="92" t="s">
        <v>50</v>
      </c>
      <c r="E164" s="762" t="s">
        <v>1116</v>
      </c>
      <c r="F164" s="763" t="s">
        <v>74</v>
      </c>
      <c r="G164" s="63" t="s">
        <v>30</v>
      </c>
      <c r="H164" s="64">
        <v>2.0</v>
      </c>
      <c r="I164" s="47">
        <f t="shared" si="37"/>
        <v>220000</v>
      </c>
      <c r="J164" s="48">
        <f t="shared" si="38"/>
        <v>440000</v>
      </c>
      <c r="K164" s="76">
        <f t="shared" ref="K164:K165" si="44">SUM(J164)</f>
        <v>440000</v>
      </c>
      <c r="L164" s="109"/>
      <c r="M164" s="78">
        <f>21976</f>
        <v>21976</v>
      </c>
      <c r="N164" s="79"/>
      <c r="O164" s="80">
        <f t="shared" ref="O164:O166" si="45">K164+L164-M164-N164</f>
        <v>418024</v>
      </c>
      <c r="P164" s="81" t="s">
        <v>449</v>
      </c>
      <c r="Q164" s="81" t="s">
        <v>31</v>
      </c>
      <c r="R164" s="109"/>
      <c r="S164" s="183"/>
      <c r="T164" s="84" t="s">
        <v>33</v>
      </c>
      <c r="U164" s="122"/>
      <c r="V164" s="673"/>
      <c r="W164" s="135" t="s">
        <v>53</v>
      </c>
      <c r="X164" s="106"/>
      <c r="Y164" s="106"/>
      <c r="Z164" s="427"/>
      <c r="AA164" s="107"/>
      <c r="AB164" s="107"/>
      <c r="AC164" s="107"/>
      <c r="AD164" s="106"/>
    </row>
    <row r="165" ht="30.75" customHeight="1">
      <c r="A165" s="93">
        <v>117.0</v>
      </c>
      <c r="B165" s="103">
        <v>45183.0</v>
      </c>
      <c r="C165" s="93">
        <v>1.697749637009E12</v>
      </c>
      <c r="D165" s="92" t="s">
        <v>1082</v>
      </c>
      <c r="E165" s="762" t="s">
        <v>1083</v>
      </c>
      <c r="F165" s="763" t="s">
        <v>1117</v>
      </c>
      <c r="G165" s="63" t="s">
        <v>35</v>
      </c>
      <c r="H165" s="64">
        <v>5.0</v>
      </c>
      <c r="I165" s="47">
        <f t="shared" si="37"/>
        <v>220000</v>
      </c>
      <c r="J165" s="48">
        <f t="shared" si="38"/>
        <v>1100000</v>
      </c>
      <c r="K165" s="76">
        <f t="shared" si="44"/>
        <v>1100000</v>
      </c>
      <c r="L165" s="109"/>
      <c r="M165" s="78"/>
      <c r="N165" s="79"/>
      <c r="O165" s="80">
        <f t="shared" si="45"/>
        <v>1100000</v>
      </c>
      <c r="P165" s="81" t="s">
        <v>449</v>
      </c>
      <c r="Q165" s="81" t="s">
        <v>31</v>
      </c>
      <c r="R165" s="108">
        <v>61003.0</v>
      </c>
      <c r="S165" s="84" t="s">
        <v>32</v>
      </c>
      <c r="T165" s="84" t="s">
        <v>33</v>
      </c>
      <c r="U165" s="92" t="s">
        <v>1055</v>
      </c>
      <c r="V165" s="483">
        <v>1.0</v>
      </c>
      <c r="W165" s="122"/>
      <c r="X165" s="106"/>
      <c r="Y165" s="106"/>
      <c r="Z165" s="427"/>
      <c r="AA165" s="107"/>
      <c r="AB165" s="107"/>
      <c r="AC165" s="107"/>
      <c r="AD165" s="106"/>
    </row>
    <row r="166" ht="30.75" customHeight="1">
      <c r="A166" s="111">
        <v>118.0</v>
      </c>
      <c r="B166" s="112">
        <v>45183.0</v>
      </c>
      <c r="C166" s="111">
        <v>1.706997842006E12</v>
      </c>
      <c r="D166" s="142" t="s">
        <v>1118</v>
      </c>
      <c r="E166" s="761" t="s">
        <v>1119</v>
      </c>
      <c r="F166" s="578" t="s">
        <v>1120</v>
      </c>
      <c r="G166" s="63" t="s">
        <v>30</v>
      </c>
      <c r="H166" s="64">
        <v>1.0</v>
      </c>
      <c r="I166" s="47">
        <f t="shared" si="37"/>
        <v>220000</v>
      </c>
      <c r="J166" s="48">
        <f t="shared" si="38"/>
        <v>220000</v>
      </c>
      <c r="K166" s="49">
        <f>SUM(J166:J168)</f>
        <v>1100000</v>
      </c>
      <c r="L166" s="144"/>
      <c r="M166" s="51"/>
      <c r="N166" s="52"/>
      <c r="O166" s="53">
        <f t="shared" si="45"/>
        <v>1100000</v>
      </c>
      <c r="P166" s="99" t="s">
        <v>449</v>
      </c>
      <c r="Q166" s="99" t="s">
        <v>31</v>
      </c>
      <c r="R166" s="145">
        <v>58002.0</v>
      </c>
      <c r="S166" s="57" t="s">
        <v>32</v>
      </c>
      <c r="T166" s="57" t="s">
        <v>33</v>
      </c>
      <c r="U166" s="142" t="s">
        <v>1055</v>
      </c>
      <c r="V166" s="538">
        <v>1.0</v>
      </c>
      <c r="W166" s="765" t="s">
        <v>1023</v>
      </c>
      <c r="X166" s="106"/>
      <c r="Y166" s="106"/>
      <c r="Z166" s="427"/>
      <c r="AA166" s="107"/>
      <c r="AB166" s="107"/>
      <c r="AC166" s="107"/>
      <c r="AD166" s="106"/>
    </row>
    <row r="167" ht="30.75" customHeight="1">
      <c r="A167" s="62"/>
      <c r="B167" s="62"/>
      <c r="C167" s="62"/>
      <c r="D167" s="62"/>
      <c r="E167" s="423"/>
      <c r="F167" s="423"/>
      <c r="G167" s="63" t="s">
        <v>35</v>
      </c>
      <c r="H167" s="64">
        <v>2.0</v>
      </c>
      <c r="I167" s="47">
        <f t="shared" si="37"/>
        <v>220000</v>
      </c>
      <c r="J167" s="48">
        <f t="shared" si="38"/>
        <v>440000</v>
      </c>
      <c r="K167" s="62"/>
      <c r="L167" s="62"/>
      <c r="M167" s="62"/>
      <c r="N167" s="62"/>
      <c r="O167" s="62"/>
      <c r="P167" s="62"/>
      <c r="Q167" s="62"/>
      <c r="R167" s="62"/>
      <c r="S167" s="62"/>
      <c r="T167" s="62"/>
      <c r="U167" s="62"/>
      <c r="V167" s="62"/>
      <c r="W167" s="62"/>
      <c r="X167" s="106"/>
      <c r="Y167" s="106"/>
      <c r="Z167" s="427"/>
      <c r="AA167" s="107"/>
      <c r="AB167" s="107"/>
      <c r="AC167" s="107"/>
      <c r="AD167" s="106"/>
    </row>
    <row r="168" ht="30.75" customHeight="1">
      <c r="A168" s="67"/>
      <c r="B168" s="67"/>
      <c r="C168" s="67"/>
      <c r="D168" s="67"/>
      <c r="E168" s="102"/>
      <c r="F168" s="102"/>
      <c r="G168" s="63" t="s">
        <v>290</v>
      </c>
      <c r="H168" s="64">
        <v>2.0</v>
      </c>
      <c r="I168" s="47">
        <f t="shared" si="37"/>
        <v>220000</v>
      </c>
      <c r="J168" s="48">
        <f t="shared" si="38"/>
        <v>440000</v>
      </c>
      <c r="K168" s="67"/>
      <c r="L168" s="67"/>
      <c r="M168" s="67"/>
      <c r="N168" s="67"/>
      <c r="O168" s="67"/>
      <c r="P168" s="67"/>
      <c r="Q168" s="67"/>
      <c r="R168" s="67"/>
      <c r="S168" s="67"/>
      <c r="T168" s="67"/>
      <c r="U168" s="67"/>
      <c r="V168" s="67"/>
      <c r="W168" s="67"/>
      <c r="X168" s="106"/>
      <c r="Y168" s="106"/>
      <c r="Z168" s="427"/>
      <c r="AA168" s="107"/>
      <c r="AB168" s="107"/>
      <c r="AC168" s="107"/>
      <c r="AD168" s="106"/>
    </row>
    <row r="169" ht="49.5" customHeight="1">
      <c r="A169" s="93">
        <v>119.0</v>
      </c>
      <c r="B169" s="103">
        <v>45183.0</v>
      </c>
      <c r="C169" s="93">
        <v>1.71870449738E12</v>
      </c>
      <c r="D169" s="92" t="s">
        <v>1121</v>
      </c>
      <c r="E169" s="762" t="s">
        <v>1122</v>
      </c>
      <c r="F169" s="758" t="s">
        <v>1123</v>
      </c>
      <c r="G169" s="63"/>
      <c r="H169" s="64"/>
      <c r="I169" s="47"/>
      <c r="J169" s="48"/>
      <c r="K169" s="76"/>
      <c r="L169" s="109"/>
      <c r="M169" s="78"/>
      <c r="N169" s="79"/>
      <c r="O169" s="80"/>
      <c r="P169" s="81" t="s">
        <v>449</v>
      </c>
      <c r="Q169" s="176"/>
      <c r="R169" s="108">
        <v>26665.0</v>
      </c>
      <c r="S169" s="84" t="s">
        <v>32</v>
      </c>
      <c r="T169" s="84" t="s">
        <v>33</v>
      </c>
      <c r="U169" s="92" t="s">
        <v>1055</v>
      </c>
      <c r="V169" s="483">
        <v>1.0</v>
      </c>
      <c r="W169" s="135" t="s">
        <v>1124</v>
      </c>
      <c r="X169" s="106"/>
      <c r="Y169" s="106"/>
      <c r="Z169" s="427"/>
      <c r="AA169" s="107"/>
      <c r="AB169" s="107"/>
      <c r="AC169" s="107"/>
      <c r="AD169" s="106"/>
    </row>
    <row r="170" ht="30.75" customHeight="1">
      <c r="A170" s="104">
        <v>120.0</v>
      </c>
      <c r="B170" s="103">
        <v>45183.0</v>
      </c>
      <c r="C170" s="93">
        <v>1.718931268103E12</v>
      </c>
      <c r="D170" s="92" t="s">
        <v>1106</v>
      </c>
      <c r="E170" s="762" t="s">
        <v>1107</v>
      </c>
      <c r="F170" s="763" t="s">
        <v>1125</v>
      </c>
      <c r="G170" s="63"/>
      <c r="H170" s="64"/>
      <c r="I170" s="47"/>
      <c r="J170" s="48"/>
      <c r="K170" s="76"/>
      <c r="L170" s="109"/>
      <c r="M170" s="78"/>
      <c r="N170" s="79"/>
      <c r="O170" s="80"/>
      <c r="P170" s="81" t="s">
        <v>449</v>
      </c>
      <c r="Q170" s="176"/>
      <c r="R170" s="108">
        <v>15000.0</v>
      </c>
      <c r="S170" s="84" t="s">
        <v>32</v>
      </c>
      <c r="T170" s="84" t="s">
        <v>33</v>
      </c>
      <c r="U170" s="92" t="s">
        <v>1020</v>
      </c>
      <c r="V170" s="483">
        <v>1.0</v>
      </c>
      <c r="W170" s="135" t="s">
        <v>1126</v>
      </c>
      <c r="X170" s="106"/>
      <c r="Y170" s="106"/>
      <c r="Z170" s="427"/>
      <c r="AA170" s="107"/>
      <c r="AB170" s="107"/>
      <c r="AC170" s="107"/>
      <c r="AD170" s="106"/>
    </row>
    <row r="171" ht="30.75" customHeight="1">
      <c r="A171" s="104">
        <v>121.0</v>
      </c>
      <c r="B171" s="103">
        <v>45183.0</v>
      </c>
      <c r="C171" s="104" t="s">
        <v>1127</v>
      </c>
      <c r="D171" s="92" t="s">
        <v>50</v>
      </c>
      <c r="E171" s="762" t="s">
        <v>1128</v>
      </c>
      <c r="F171" s="763" t="s">
        <v>74</v>
      </c>
      <c r="G171" s="63" t="s">
        <v>30</v>
      </c>
      <c r="H171" s="64">
        <v>1.0</v>
      </c>
      <c r="I171" s="47">
        <f t="shared" ref="I171:I176" si="46">VLOOKUP(G171,$Y$4:$Z$45,2,0)</f>
        <v>220000</v>
      </c>
      <c r="J171" s="48">
        <f t="shared" ref="J171:J176" si="47">I171*H171</f>
        <v>220000</v>
      </c>
      <c r="K171" s="76">
        <f t="shared" ref="K171:K172" si="48">SUM(J171)</f>
        <v>220000</v>
      </c>
      <c r="L171" s="109"/>
      <c r="M171" s="78">
        <f>K171*5%</f>
        <v>11000</v>
      </c>
      <c r="N171" s="79"/>
      <c r="O171" s="80">
        <f t="shared" ref="O171:O173" si="49">K171+L171-M171-N171</f>
        <v>209000</v>
      </c>
      <c r="P171" s="176"/>
      <c r="Q171" s="176"/>
      <c r="R171" s="109"/>
      <c r="S171" s="183"/>
      <c r="T171" s="183"/>
      <c r="U171" s="92"/>
      <c r="V171" s="673"/>
      <c r="W171" s="135" t="s">
        <v>53</v>
      </c>
      <c r="X171" s="106"/>
      <c r="Y171" s="106"/>
      <c r="Z171" s="427"/>
      <c r="AA171" s="107"/>
      <c r="AB171" s="107"/>
      <c r="AC171" s="107"/>
      <c r="AD171" s="106"/>
    </row>
    <row r="172" ht="30.75" customHeight="1">
      <c r="A172" s="104">
        <v>122.0</v>
      </c>
      <c r="B172" s="103">
        <v>45183.0</v>
      </c>
      <c r="C172" s="93" t="s">
        <v>1129</v>
      </c>
      <c r="D172" s="92" t="s">
        <v>50</v>
      </c>
      <c r="E172" s="105" t="s">
        <v>1130</v>
      </c>
      <c r="F172" s="92" t="s">
        <v>193</v>
      </c>
      <c r="G172" s="63" t="s">
        <v>30</v>
      </c>
      <c r="H172" s="64">
        <v>2.0</v>
      </c>
      <c r="I172" s="47">
        <f t="shared" si="46"/>
        <v>220000</v>
      </c>
      <c r="J172" s="48">
        <f t="shared" si="47"/>
        <v>440000</v>
      </c>
      <c r="K172" s="76">
        <f t="shared" si="48"/>
        <v>440000</v>
      </c>
      <c r="L172" s="109"/>
      <c r="M172" s="78">
        <f>21280</f>
        <v>21280</v>
      </c>
      <c r="N172" s="79"/>
      <c r="O172" s="80">
        <f t="shared" si="49"/>
        <v>418720</v>
      </c>
      <c r="P172" s="81" t="s">
        <v>449</v>
      </c>
      <c r="Q172" s="81" t="s">
        <v>31</v>
      </c>
      <c r="R172" s="109"/>
      <c r="S172" s="183"/>
      <c r="T172" s="84" t="s">
        <v>33</v>
      </c>
      <c r="U172" s="92"/>
      <c r="V172" s="673"/>
      <c r="W172" s="135" t="s">
        <v>53</v>
      </c>
      <c r="X172" s="106"/>
      <c r="Y172" s="106"/>
      <c r="Z172" s="427"/>
      <c r="AA172" s="107"/>
      <c r="AB172" s="107"/>
      <c r="AC172" s="107"/>
      <c r="AD172" s="106"/>
    </row>
    <row r="173" ht="30.75" customHeight="1">
      <c r="A173" s="152">
        <v>123.0</v>
      </c>
      <c r="B173" s="112">
        <v>45184.0</v>
      </c>
      <c r="C173" s="111">
        <v>1.7059013007E12</v>
      </c>
      <c r="D173" s="142" t="s">
        <v>517</v>
      </c>
      <c r="E173" s="143" t="s">
        <v>518</v>
      </c>
      <c r="F173" s="44" t="s">
        <v>1131</v>
      </c>
      <c r="G173" s="63" t="s">
        <v>30</v>
      </c>
      <c r="H173" s="64">
        <v>3.0</v>
      </c>
      <c r="I173" s="47">
        <f t="shared" si="46"/>
        <v>220000</v>
      </c>
      <c r="J173" s="48">
        <f t="shared" si="47"/>
        <v>660000</v>
      </c>
      <c r="K173" s="49">
        <f>SUM(J173:J175)</f>
        <v>1760000</v>
      </c>
      <c r="L173" s="144"/>
      <c r="M173" s="51"/>
      <c r="N173" s="52"/>
      <c r="O173" s="53">
        <f t="shared" si="49"/>
        <v>1760000</v>
      </c>
      <c r="P173" s="99" t="s">
        <v>449</v>
      </c>
      <c r="Q173" s="99" t="s">
        <v>31</v>
      </c>
      <c r="R173" s="145">
        <v>75004.0</v>
      </c>
      <c r="S173" s="57" t="s">
        <v>32</v>
      </c>
      <c r="T173" s="57" t="s">
        <v>33</v>
      </c>
      <c r="U173" s="92" t="s">
        <v>1055</v>
      </c>
      <c r="V173" s="483">
        <v>2.0</v>
      </c>
      <c r="W173" s="44" t="s">
        <v>1132</v>
      </c>
      <c r="X173" s="106"/>
      <c r="Y173" s="106"/>
      <c r="Z173" s="427"/>
      <c r="AA173" s="107"/>
      <c r="AB173" s="107"/>
      <c r="AC173" s="107"/>
      <c r="AD173" s="106"/>
    </row>
    <row r="174" ht="30.75" customHeight="1">
      <c r="A174" s="62"/>
      <c r="B174" s="62"/>
      <c r="C174" s="62"/>
      <c r="D174" s="62"/>
      <c r="E174" s="62"/>
      <c r="F174" s="62"/>
      <c r="G174" s="63" t="s">
        <v>290</v>
      </c>
      <c r="H174" s="64">
        <v>4.0</v>
      </c>
      <c r="I174" s="47">
        <f t="shared" si="46"/>
        <v>220000</v>
      </c>
      <c r="J174" s="48">
        <f t="shared" si="47"/>
        <v>880000</v>
      </c>
      <c r="K174" s="62"/>
      <c r="L174" s="62"/>
      <c r="M174" s="62"/>
      <c r="N174" s="62"/>
      <c r="O174" s="62"/>
      <c r="P174" s="62"/>
      <c r="Q174" s="62"/>
      <c r="R174" s="62"/>
      <c r="S174" s="62"/>
      <c r="T174" s="62"/>
      <c r="U174" s="142" t="s">
        <v>1020</v>
      </c>
      <c r="V174" s="538">
        <v>1.0</v>
      </c>
      <c r="W174" s="62"/>
      <c r="X174" s="106"/>
      <c r="Y174" s="106"/>
      <c r="Z174" s="427"/>
      <c r="AA174" s="107"/>
      <c r="AB174" s="107"/>
      <c r="AC174" s="107"/>
      <c r="AD174" s="106"/>
    </row>
    <row r="175" ht="30.75" customHeight="1">
      <c r="A175" s="67"/>
      <c r="B175" s="67"/>
      <c r="C175" s="67"/>
      <c r="D175" s="67"/>
      <c r="E175" s="67"/>
      <c r="F175" s="67"/>
      <c r="G175" s="63" t="s">
        <v>165</v>
      </c>
      <c r="H175" s="64">
        <v>1.0</v>
      </c>
      <c r="I175" s="47">
        <f t="shared" si="46"/>
        <v>220000</v>
      </c>
      <c r="J175" s="48">
        <f t="shared" si="47"/>
        <v>220000</v>
      </c>
      <c r="K175" s="67"/>
      <c r="L175" s="67"/>
      <c r="M175" s="67"/>
      <c r="N175" s="67"/>
      <c r="O175" s="67"/>
      <c r="P175" s="67"/>
      <c r="Q175" s="67"/>
      <c r="R175" s="67"/>
      <c r="S175" s="67"/>
      <c r="T175" s="67"/>
      <c r="U175" s="67"/>
      <c r="V175" s="67"/>
      <c r="W175" s="67"/>
      <c r="X175" s="106"/>
      <c r="Y175" s="106"/>
      <c r="Z175" s="427"/>
      <c r="AA175" s="107"/>
      <c r="AB175" s="107"/>
      <c r="AC175" s="107"/>
      <c r="AD175" s="106"/>
    </row>
    <row r="176" ht="30.75" customHeight="1">
      <c r="A176" s="111">
        <v>124.0</v>
      </c>
      <c r="B176" s="112">
        <v>45184.0</v>
      </c>
      <c r="C176" s="111">
        <v>1.706078450755E12</v>
      </c>
      <c r="D176" s="142" t="s">
        <v>1133</v>
      </c>
      <c r="E176" s="143" t="s">
        <v>1134</v>
      </c>
      <c r="F176" s="578" t="s">
        <v>1135</v>
      </c>
      <c r="G176" s="126" t="s">
        <v>47</v>
      </c>
      <c r="H176" s="39">
        <v>5.0</v>
      </c>
      <c r="I176" s="766">
        <f t="shared" si="46"/>
        <v>220000</v>
      </c>
      <c r="J176" s="450">
        <f t="shared" si="47"/>
        <v>1100000</v>
      </c>
      <c r="K176" s="49">
        <f>SUM(J176)</f>
        <v>1100000</v>
      </c>
      <c r="L176" s="144"/>
      <c r="M176" s="561"/>
      <c r="N176" s="52"/>
      <c r="O176" s="53">
        <f>K176+L176-M176-N176</f>
        <v>1100000</v>
      </c>
      <c r="P176" s="99" t="s">
        <v>449</v>
      </c>
      <c r="Q176" s="99" t="s">
        <v>31</v>
      </c>
      <c r="R176" s="145">
        <v>64003.0</v>
      </c>
      <c r="S176" s="57" t="s">
        <v>32</v>
      </c>
      <c r="T176" s="57" t="s">
        <v>33</v>
      </c>
      <c r="U176" s="92" t="s">
        <v>1055</v>
      </c>
      <c r="V176" s="483">
        <v>1.0</v>
      </c>
      <c r="W176" s="92" t="s">
        <v>1023</v>
      </c>
      <c r="X176" s="106"/>
      <c r="Y176" s="106"/>
      <c r="Z176" s="427"/>
      <c r="AA176" s="107"/>
      <c r="AB176" s="107"/>
      <c r="AC176" s="107"/>
      <c r="AD176" s="106"/>
    </row>
    <row r="177" ht="30.75" customHeight="1">
      <c r="A177" s="67"/>
      <c r="B177" s="67"/>
      <c r="C177" s="67"/>
      <c r="D177" s="67"/>
      <c r="E177" s="67"/>
      <c r="F177" s="102"/>
      <c r="G177" s="67"/>
      <c r="H177" s="67"/>
      <c r="I177" s="67"/>
      <c r="J177" s="453"/>
      <c r="K177" s="67"/>
      <c r="L177" s="67"/>
      <c r="M177" s="67"/>
      <c r="N177" s="67"/>
      <c r="O177" s="67"/>
      <c r="P177" s="67"/>
      <c r="Q177" s="67"/>
      <c r="R177" s="67"/>
      <c r="S177" s="67"/>
      <c r="T177" s="67"/>
      <c r="U177" s="92" t="s">
        <v>1020</v>
      </c>
      <c r="V177" s="483">
        <v>1.0</v>
      </c>
      <c r="W177" s="92" t="s">
        <v>1136</v>
      </c>
      <c r="X177" s="106"/>
      <c r="Y177" s="106"/>
      <c r="Z177" s="427"/>
      <c r="AA177" s="107"/>
      <c r="AB177" s="107"/>
      <c r="AC177" s="107"/>
      <c r="AD177" s="106"/>
    </row>
    <row r="178" ht="30.75" customHeight="1">
      <c r="A178" s="93">
        <v>125.0</v>
      </c>
      <c r="B178" s="103">
        <v>45184.0</v>
      </c>
      <c r="C178" s="65"/>
      <c r="D178" s="92" t="s">
        <v>1137</v>
      </c>
      <c r="E178" s="105" t="s">
        <v>1035</v>
      </c>
      <c r="F178" s="92" t="s">
        <v>613</v>
      </c>
      <c r="G178" s="63" t="s">
        <v>30</v>
      </c>
      <c r="H178" s="64">
        <v>3.0</v>
      </c>
      <c r="I178" s="47">
        <f t="shared" ref="I178:I179" si="50">VLOOKUP(G178,$Y$4:$Z$45,2,0)</f>
        <v>220000</v>
      </c>
      <c r="J178" s="48">
        <f t="shared" ref="J178:J179" si="51">I178*H178</f>
        <v>660000</v>
      </c>
      <c r="K178" s="76">
        <f t="shared" ref="K178:K179" si="52">SUM(J178)</f>
        <v>660000</v>
      </c>
      <c r="L178" s="109"/>
      <c r="M178" s="575"/>
      <c r="N178" s="79"/>
      <c r="O178" s="80">
        <f t="shared" ref="O178:O179" si="53">K178+L178-M178-N178</f>
        <v>660000</v>
      </c>
      <c r="P178" s="81" t="s">
        <v>449</v>
      </c>
      <c r="Q178" s="81" t="s">
        <v>31</v>
      </c>
      <c r="R178" s="109"/>
      <c r="S178" s="84" t="s">
        <v>32</v>
      </c>
      <c r="T178" s="84" t="s">
        <v>33</v>
      </c>
      <c r="U178" s="92" t="s">
        <v>1020</v>
      </c>
      <c r="V178" s="483">
        <v>1.0</v>
      </c>
      <c r="W178" s="92" t="s">
        <v>1138</v>
      </c>
      <c r="X178" s="106"/>
      <c r="Y178" s="106"/>
      <c r="Z178" s="427"/>
      <c r="AA178" s="107"/>
      <c r="AB178" s="107"/>
      <c r="AC178" s="107"/>
      <c r="AD178" s="106"/>
    </row>
    <row r="179" ht="39.0" customHeight="1">
      <c r="A179" s="111">
        <v>126.0</v>
      </c>
      <c r="B179" s="112">
        <v>45184.0</v>
      </c>
      <c r="C179" s="111">
        <v>1.706298241002E12</v>
      </c>
      <c r="D179" s="142" t="s">
        <v>1139</v>
      </c>
      <c r="E179" s="143" t="s">
        <v>1140</v>
      </c>
      <c r="F179" s="44" t="s">
        <v>1141</v>
      </c>
      <c r="G179" s="126" t="s">
        <v>290</v>
      </c>
      <c r="H179" s="39">
        <v>5.0</v>
      </c>
      <c r="I179" s="766">
        <f t="shared" si="50"/>
        <v>220000</v>
      </c>
      <c r="J179" s="450">
        <f t="shared" si="51"/>
        <v>1100000</v>
      </c>
      <c r="K179" s="49">
        <f t="shared" si="52"/>
        <v>1100000</v>
      </c>
      <c r="L179" s="144"/>
      <c r="M179" s="561"/>
      <c r="N179" s="52"/>
      <c r="O179" s="53">
        <f t="shared" si="53"/>
        <v>1100000</v>
      </c>
      <c r="P179" s="99" t="s">
        <v>449</v>
      </c>
      <c r="Q179" s="99" t="s">
        <v>31</v>
      </c>
      <c r="R179" s="145">
        <v>64003.0</v>
      </c>
      <c r="S179" s="57" t="s">
        <v>32</v>
      </c>
      <c r="T179" s="57" t="s">
        <v>33</v>
      </c>
      <c r="U179" s="92" t="s">
        <v>1055</v>
      </c>
      <c r="V179" s="483">
        <v>1.0</v>
      </c>
      <c r="W179" s="92" t="s">
        <v>1023</v>
      </c>
      <c r="X179" s="106"/>
      <c r="Y179" s="106"/>
      <c r="Z179" s="427"/>
      <c r="AA179" s="107"/>
      <c r="AB179" s="107"/>
      <c r="AC179" s="107"/>
      <c r="AD179" s="106"/>
    </row>
    <row r="180" ht="30.75" customHeight="1">
      <c r="A180" s="67"/>
      <c r="B180" s="67"/>
      <c r="C180" s="67"/>
      <c r="D180" s="67"/>
      <c r="E180" s="67"/>
      <c r="F180" s="67"/>
      <c r="G180" s="67"/>
      <c r="H180" s="67"/>
      <c r="I180" s="67"/>
      <c r="J180" s="453"/>
      <c r="K180" s="67"/>
      <c r="L180" s="67"/>
      <c r="M180" s="67"/>
      <c r="N180" s="67"/>
      <c r="O180" s="67"/>
      <c r="P180" s="67"/>
      <c r="Q180" s="67"/>
      <c r="R180" s="67"/>
      <c r="S180" s="67"/>
      <c r="T180" s="67"/>
      <c r="U180" s="92" t="s">
        <v>1020</v>
      </c>
      <c r="V180" s="483">
        <v>1.0</v>
      </c>
      <c r="W180" s="92" t="s">
        <v>1136</v>
      </c>
      <c r="X180" s="106"/>
      <c r="Y180" s="106"/>
      <c r="Z180" s="427"/>
      <c r="AA180" s="107"/>
      <c r="AB180" s="107"/>
      <c r="AC180" s="107"/>
      <c r="AD180" s="106"/>
    </row>
    <row r="181" ht="30.75" customHeight="1">
      <c r="A181" s="93">
        <v>127.0</v>
      </c>
      <c r="B181" s="103">
        <v>45184.0</v>
      </c>
      <c r="C181" s="93">
        <v>1.70639522431E12</v>
      </c>
      <c r="D181" s="92" t="s">
        <v>1142</v>
      </c>
      <c r="E181" s="105" t="s">
        <v>1143</v>
      </c>
      <c r="F181" s="92" t="s">
        <v>1144</v>
      </c>
      <c r="G181" s="63" t="s">
        <v>30</v>
      </c>
      <c r="H181" s="64">
        <v>1.0</v>
      </c>
      <c r="I181" s="47">
        <f t="shared" ref="I181:I188" si="54">VLOOKUP(G181,$Y$4:$Z$45,2,0)</f>
        <v>220000</v>
      </c>
      <c r="J181" s="48">
        <f t="shared" ref="J181:J188" si="55">I181*H181</f>
        <v>220000</v>
      </c>
      <c r="K181" s="76">
        <f>SUM(J181)</f>
        <v>220000</v>
      </c>
      <c r="L181" s="108">
        <v>33000.0</v>
      </c>
      <c r="M181" s="575"/>
      <c r="N181" s="115">
        <v>13000.0</v>
      </c>
      <c r="O181" s="80">
        <f t="shared" ref="O181:O182" si="56">K181+L181-M181-N181</f>
        <v>240000</v>
      </c>
      <c r="P181" s="81" t="s">
        <v>449</v>
      </c>
      <c r="Q181" s="81" t="s">
        <v>31</v>
      </c>
      <c r="R181" s="109"/>
      <c r="S181" s="183"/>
      <c r="T181" s="84" t="s">
        <v>33</v>
      </c>
      <c r="U181" s="122"/>
      <c r="V181" s="488"/>
      <c r="W181" s="122"/>
      <c r="X181" s="106"/>
      <c r="Y181" s="106"/>
      <c r="Z181" s="427"/>
      <c r="AA181" s="107"/>
      <c r="AB181" s="107"/>
      <c r="AC181" s="107"/>
      <c r="AD181" s="106"/>
    </row>
    <row r="182" ht="30.75" customHeight="1">
      <c r="A182" s="111">
        <v>128.0</v>
      </c>
      <c r="B182" s="112">
        <v>45184.0</v>
      </c>
      <c r="C182" s="111">
        <v>1.706508860355E12</v>
      </c>
      <c r="D182" s="142" t="s">
        <v>186</v>
      </c>
      <c r="E182" s="143" t="s">
        <v>1145</v>
      </c>
      <c r="F182" s="44" t="s">
        <v>1146</v>
      </c>
      <c r="G182" s="63" t="s">
        <v>35</v>
      </c>
      <c r="H182" s="64">
        <v>2.0</v>
      </c>
      <c r="I182" s="47">
        <f t="shared" si="54"/>
        <v>220000</v>
      </c>
      <c r="J182" s="48">
        <f t="shared" si="55"/>
        <v>440000</v>
      </c>
      <c r="K182" s="49">
        <f>SUM(J182:J184)</f>
        <v>750000</v>
      </c>
      <c r="L182" s="144"/>
      <c r="M182" s="51"/>
      <c r="N182" s="52"/>
      <c r="O182" s="53">
        <f t="shared" si="56"/>
        <v>750000</v>
      </c>
      <c r="P182" s="99" t="s">
        <v>449</v>
      </c>
      <c r="Q182" s="99" t="s">
        <v>31</v>
      </c>
      <c r="R182" s="145">
        <v>48002.0</v>
      </c>
      <c r="S182" s="57" t="s">
        <v>32</v>
      </c>
      <c r="T182" s="57" t="s">
        <v>33</v>
      </c>
      <c r="U182" s="142" t="s">
        <v>1020</v>
      </c>
      <c r="V182" s="538">
        <v>1.0</v>
      </c>
      <c r="W182" s="142" t="s">
        <v>1021</v>
      </c>
      <c r="X182" s="106"/>
      <c r="Y182" s="106"/>
      <c r="Z182" s="427"/>
      <c r="AA182" s="107"/>
      <c r="AB182" s="107"/>
      <c r="AC182" s="107"/>
      <c r="AD182" s="106"/>
    </row>
    <row r="183" ht="30.75" customHeight="1">
      <c r="A183" s="62"/>
      <c r="B183" s="62"/>
      <c r="C183" s="62"/>
      <c r="D183" s="62"/>
      <c r="E183" s="62"/>
      <c r="F183" s="62"/>
      <c r="G183" s="63" t="s">
        <v>30</v>
      </c>
      <c r="H183" s="64">
        <v>1.0</v>
      </c>
      <c r="I183" s="47">
        <f t="shared" si="54"/>
        <v>220000</v>
      </c>
      <c r="J183" s="48">
        <f t="shared" si="55"/>
        <v>220000</v>
      </c>
      <c r="K183" s="62"/>
      <c r="L183" s="62"/>
      <c r="M183" s="62"/>
      <c r="N183" s="62"/>
      <c r="O183" s="62"/>
      <c r="P183" s="62"/>
      <c r="Q183" s="62"/>
      <c r="R183" s="62"/>
      <c r="S183" s="62"/>
      <c r="T183" s="62"/>
      <c r="U183" s="62"/>
      <c r="V183" s="62"/>
      <c r="W183" s="62"/>
      <c r="X183" s="106"/>
      <c r="Y183" s="106"/>
      <c r="Z183" s="427"/>
      <c r="AA183" s="107"/>
      <c r="AB183" s="107"/>
      <c r="AC183" s="107"/>
      <c r="AD183" s="106"/>
    </row>
    <row r="184" ht="30.75" customHeight="1">
      <c r="A184" s="67"/>
      <c r="B184" s="67"/>
      <c r="C184" s="67"/>
      <c r="D184" s="67"/>
      <c r="E184" s="67"/>
      <c r="F184" s="67"/>
      <c r="G184" s="72" t="s">
        <v>61</v>
      </c>
      <c r="H184" s="73">
        <v>1.0</v>
      </c>
      <c r="I184" s="74">
        <f t="shared" si="54"/>
        <v>90000</v>
      </c>
      <c r="J184" s="48">
        <f t="shared" si="55"/>
        <v>90000</v>
      </c>
      <c r="K184" s="67"/>
      <c r="L184" s="67"/>
      <c r="M184" s="67"/>
      <c r="N184" s="67"/>
      <c r="O184" s="67"/>
      <c r="P184" s="67"/>
      <c r="Q184" s="67"/>
      <c r="R184" s="67"/>
      <c r="S184" s="67"/>
      <c r="T184" s="67"/>
      <c r="U184" s="67"/>
      <c r="V184" s="67"/>
      <c r="W184" s="67"/>
      <c r="X184" s="106"/>
      <c r="Y184" s="106"/>
      <c r="Z184" s="427"/>
      <c r="AA184" s="107"/>
      <c r="AB184" s="107"/>
      <c r="AC184" s="107"/>
      <c r="AD184" s="106"/>
    </row>
    <row r="185" ht="30.75" customHeight="1">
      <c r="A185" s="104">
        <v>129.0</v>
      </c>
      <c r="B185" s="103">
        <v>45184.0</v>
      </c>
      <c r="C185" s="65" t="s">
        <v>1147</v>
      </c>
      <c r="D185" s="92" t="s">
        <v>50</v>
      </c>
      <c r="E185" s="105" t="s">
        <v>1148</v>
      </c>
      <c r="F185" s="92" t="s">
        <v>193</v>
      </c>
      <c r="G185" s="63" t="s">
        <v>30</v>
      </c>
      <c r="H185" s="64">
        <v>2.0</v>
      </c>
      <c r="I185" s="47">
        <f t="shared" si="54"/>
        <v>220000</v>
      </c>
      <c r="J185" s="48">
        <f t="shared" si="55"/>
        <v>440000</v>
      </c>
      <c r="K185" s="76">
        <f t="shared" ref="K185:K188" si="57">SUM(J185)</f>
        <v>440000</v>
      </c>
      <c r="L185" s="109"/>
      <c r="M185" s="78">
        <f>20500</f>
        <v>20500</v>
      </c>
      <c r="N185" s="79"/>
      <c r="O185" s="80">
        <f t="shared" ref="O185:O188" si="58">K185+L185-M185-N185</f>
        <v>419500</v>
      </c>
      <c r="P185" s="81" t="s">
        <v>449</v>
      </c>
      <c r="Q185" s="81" t="s">
        <v>31</v>
      </c>
      <c r="R185" s="109"/>
      <c r="S185" s="183"/>
      <c r="T185" s="84" t="s">
        <v>33</v>
      </c>
      <c r="U185" s="122"/>
      <c r="V185" s="488"/>
      <c r="W185" s="135" t="s">
        <v>53</v>
      </c>
      <c r="X185" s="106"/>
      <c r="Y185" s="106"/>
      <c r="Z185" s="427"/>
      <c r="AA185" s="107"/>
      <c r="AB185" s="107"/>
      <c r="AC185" s="107"/>
      <c r="AD185" s="106"/>
    </row>
    <row r="186" ht="30.75" customHeight="1">
      <c r="A186" s="104">
        <v>130.0</v>
      </c>
      <c r="B186" s="103">
        <v>45184.0</v>
      </c>
      <c r="C186" s="65" t="s">
        <v>1149</v>
      </c>
      <c r="D186" s="92" t="s">
        <v>50</v>
      </c>
      <c r="E186" s="105" t="s">
        <v>1150</v>
      </c>
      <c r="F186" s="92" t="s">
        <v>897</v>
      </c>
      <c r="G186" s="63" t="s">
        <v>30</v>
      </c>
      <c r="H186" s="64">
        <v>1.0</v>
      </c>
      <c r="I186" s="47">
        <f t="shared" si="54"/>
        <v>220000</v>
      </c>
      <c r="J186" s="48">
        <f t="shared" si="55"/>
        <v>220000</v>
      </c>
      <c r="K186" s="76">
        <f t="shared" si="57"/>
        <v>220000</v>
      </c>
      <c r="L186" s="109"/>
      <c r="M186" s="78">
        <f>32915</f>
        <v>32915</v>
      </c>
      <c r="N186" s="79"/>
      <c r="O186" s="80">
        <f t="shared" si="58"/>
        <v>187085</v>
      </c>
      <c r="P186" s="81" t="s">
        <v>449</v>
      </c>
      <c r="Q186" s="81" t="s">
        <v>31</v>
      </c>
      <c r="R186" s="109"/>
      <c r="S186" s="183"/>
      <c r="T186" s="84" t="s">
        <v>33</v>
      </c>
      <c r="U186" s="122"/>
      <c r="V186" s="488"/>
      <c r="W186" s="135" t="s">
        <v>53</v>
      </c>
      <c r="X186" s="106"/>
      <c r="Y186" s="106"/>
      <c r="Z186" s="427"/>
      <c r="AA186" s="107"/>
      <c r="AB186" s="107"/>
      <c r="AC186" s="107"/>
      <c r="AD186" s="106"/>
    </row>
    <row r="187" ht="30.75" customHeight="1">
      <c r="A187" s="104">
        <v>131.0</v>
      </c>
      <c r="B187" s="103">
        <v>45184.0</v>
      </c>
      <c r="C187" s="65" t="s">
        <v>1151</v>
      </c>
      <c r="D187" s="92" t="s">
        <v>50</v>
      </c>
      <c r="E187" s="105" t="s">
        <v>1152</v>
      </c>
      <c r="F187" s="92" t="s">
        <v>74</v>
      </c>
      <c r="G187" s="63" t="s">
        <v>75</v>
      </c>
      <c r="H187" s="64">
        <v>2.0</v>
      </c>
      <c r="I187" s="47">
        <f t="shared" si="54"/>
        <v>45000</v>
      </c>
      <c r="J187" s="48">
        <f t="shared" si="55"/>
        <v>90000</v>
      </c>
      <c r="K187" s="76">
        <f t="shared" si="57"/>
        <v>90000</v>
      </c>
      <c r="L187" s="109"/>
      <c r="M187" s="78">
        <f>K187*5%</f>
        <v>4500</v>
      </c>
      <c r="N187" s="79"/>
      <c r="O187" s="80">
        <f t="shared" si="58"/>
        <v>85500</v>
      </c>
      <c r="P187" s="81"/>
      <c r="Q187" s="81"/>
      <c r="R187" s="109"/>
      <c r="S187" s="183"/>
      <c r="T187" s="84"/>
      <c r="U187" s="122"/>
      <c r="V187" s="488"/>
      <c r="W187" s="135" t="s">
        <v>53</v>
      </c>
      <c r="X187" s="106"/>
      <c r="Y187" s="106"/>
      <c r="Z187" s="427"/>
      <c r="AA187" s="107"/>
      <c r="AB187" s="107"/>
      <c r="AC187" s="107"/>
      <c r="AD187" s="106"/>
    </row>
    <row r="188" ht="30.75" customHeight="1">
      <c r="A188" s="377">
        <v>132.0</v>
      </c>
      <c r="B188" s="103">
        <v>45184.0</v>
      </c>
      <c r="C188" s="65" t="s">
        <v>1153</v>
      </c>
      <c r="D188" s="92" t="s">
        <v>50</v>
      </c>
      <c r="E188" s="105" t="s">
        <v>1154</v>
      </c>
      <c r="F188" s="92" t="s">
        <v>613</v>
      </c>
      <c r="G188" s="63" t="s">
        <v>30</v>
      </c>
      <c r="H188" s="64">
        <v>2.0</v>
      </c>
      <c r="I188" s="47">
        <f t="shared" si="54"/>
        <v>220000</v>
      </c>
      <c r="J188" s="48">
        <f t="shared" si="55"/>
        <v>440000</v>
      </c>
      <c r="K188" s="76">
        <f t="shared" si="57"/>
        <v>440000</v>
      </c>
      <c r="L188" s="109"/>
      <c r="M188" s="78">
        <f>22009</f>
        <v>22009</v>
      </c>
      <c r="N188" s="79"/>
      <c r="O188" s="80">
        <f t="shared" si="58"/>
        <v>417991</v>
      </c>
      <c r="P188" s="81" t="s">
        <v>449</v>
      </c>
      <c r="Q188" s="81" t="s">
        <v>31</v>
      </c>
      <c r="R188" s="109"/>
      <c r="S188" s="183"/>
      <c r="T188" s="84" t="s">
        <v>33</v>
      </c>
      <c r="U188" s="122"/>
      <c r="V188" s="488"/>
      <c r="W188" s="135" t="s">
        <v>53</v>
      </c>
      <c r="X188" s="106"/>
      <c r="Y188" s="106"/>
      <c r="Z188" s="427"/>
      <c r="AA188" s="107"/>
      <c r="AB188" s="107"/>
      <c r="AC188" s="107"/>
      <c r="AD188" s="106"/>
    </row>
    <row r="189" ht="34.5" customHeight="1">
      <c r="A189" s="93">
        <v>133.0</v>
      </c>
      <c r="B189" s="103">
        <v>45184.0</v>
      </c>
      <c r="C189" s="93">
        <v>1.704590117582E12</v>
      </c>
      <c r="D189" s="92" t="s">
        <v>247</v>
      </c>
      <c r="E189" s="105" t="s">
        <v>248</v>
      </c>
      <c r="F189" s="121" t="s">
        <v>549</v>
      </c>
      <c r="G189" s="63"/>
      <c r="H189" s="64"/>
      <c r="I189" s="47"/>
      <c r="J189" s="48"/>
      <c r="K189" s="76"/>
      <c r="L189" s="109"/>
      <c r="M189" s="78"/>
      <c r="N189" s="79"/>
      <c r="O189" s="80"/>
      <c r="P189" s="81" t="s">
        <v>449</v>
      </c>
      <c r="Q189" s="176"/>
      <c r="R189" s="108">
        <v>17777.0</v>
      </c>
      <c r="S189" s="183"/>
      <c r="T189" s="84" t="s">
        <v>33</v>
      </c>
      <c r="U189" s="92" t="s">
        <v>1020</v>
      </c>
      <c r="V189" s="483">
        <v>1.0</v>
      </c>
      <c r="W189" s="135" t="s">
        <v>1136</v>
      </c>
      <c r="X189" s="106"/>
      <c r="Y189" s="106"/>
      <c r="Z189" s="427"/>
      <c r="AA189" s="107"/>
      <c r="AB189" s="107"/>
      <c r="AC189" s="107"/>
      <c r="AD189" s="106"/>
    </row>
    <row r="190" ht="39.0" customHeight="1">
      <c r="A190" s="93">
        <v>134.0</v>
      </c>
      <c r="B190" s="103">
        <v>45184.0</v>
      </c>
      <c r="C190" s="93">
        <v>1.704701870614E12</v>
      </c>
      <c r="D190" s="92" t="s">
        <v>550</v>
      </c>
      <c r="E190" s="105" t="s">
        <v>551</v>
      </c>
      <c r="F190" s="121" t="s">
        <v>1155</v>
      </c>
      <c r="G190" s="63"/>
      <c r="H190" s="64"/>
      <c r="I190" s="47"/>
      <c r="J190" s="48"/>
      <c r="K190" s="76"/>
      <c r="L190" s="109"/>
      <c r="M190" s="78"/>
      <c r="N190" s="79"/>
      <c r="O190" s="80"/>
      <c r="P190" s="81" t="s">
        <v>449</v>
      </c>
      <c r="Q190" s="176"/>
      <c r="R190" s="108">
        <v>20147.0</v>
      </c>
      <c r="S190" s="183"/>
      <c r="T190" s="84" t="s">
        <v>33</v>
      </c>
      <c r="U190" s="92" t="s">
        <v>1020</v>
      </c>
      <c r="V190" s="483">
        <v>1.0</v>
      </c>
      <c r="W190" s="135" t="s">
        <v>1136</v>
      </c>
      <c r="X190" s="106"/>
      <c r="Y190" s="106"/>
      <c r="Z190" s="427"/>
      <c r="AA190" s="107"/>
      <c r="AB190" s="107"/>
      <c r="AC190" s="107"/>
      <c r="AD190" s="106"/>
    </row>
    <row r="191" ht="30.75" customHeight="1">
      <c r="A191" s="93">
        <v>135.0</v>
      </c>
      <c r="B191" s="103">
        <v>45184.0</v>
      </c>
      <c r="C191" s="93">
        <v>1.705337559812E12</v>
      </c>
      <c r="D191" s="92" t="s">
        <v>1156</v>
      </c>
      <c r="E191" s="105" t="s">
        <v>150</v>
      </c>
      <c r="F191" s="92" t="s">
        <v>1157</v>
      </c>
      <c r="G191" s="63"/>
      <c r="H191" s="64"/>
      <c r="I191" s="47"/>
      <c r="J191" s="48"/>
      <c r="K191" s="76"/>
      <c r="L191" s="109"/>
      <c r="M191" s="78"/>
      <c r="N191" s="79"/>
      <c r="O191" s="80"/>
      <c r="P191" s="81" t="s">
        <v>449</v>
      </c>
      <c r="Q191" s="176"/>
      <c r="R191" s="108">
        <v>17777.0</v>
      </c>
      <c r="S191" s="183"/>
      <c r="T191" s="84" t="s">
        <v>33</v>
      </c>
      <c r="U191" s="92" t="s">
        <v>1020</v>
      </c>
      <c r="V191" s="483">
        <v>1.0</v>
      </c>
      <c r="W191" s="135" t="s">
        <v>1136</v>
      </c>
      <c r="X191" s="106"/>
      <c r="Y191" s="106"/>
      <c r="Z191" s="427"/>
      <c r="AA191" s="107"/>
      <c r="AB191" s="107"/>
      <c r="AC191" s="107"/>
      <c r="AD191" s="106"/>
    </row>
    <row r="192" ht="30.75" customHeight="1">
      <c r="A192" s="93">
        <v>136.0</v>
      </c>
      <c r="B192" s="103">
        <v>45184.0</v>
      </c>
      <c r="C192" s="93">
        <v>1.705294257615E12</v>
      </c>
      <c r="D192" s="92" t="s">
        <v>1158</v>
      </c>
      <c r="E192" s="105" t="s">
        <v>860</v>
      </c>
      <c r="F192" s="92" t="s">
        <v>1159</v>
      </c>
      <c r="G192" s="63"/>
      <c r="H192" s="64"/>
      <c r="I192" s="47"/>
      <c r="J192" s="48"/>
      <c r="K192" s="76"/>
      <c r="L192" s="109"/>
      <c r="M192" s="78"/>
      <c r="N192" s="79"/>
      <c r="O192" s="80"/>
      <c r="P192" s="81" t="s">
        <v>449</v>
      </c>
      <c r="Q192" s="176"/>
      <c r="R192" s="108">
        <v>17777.0</v>
      </c>
      <c r="S192" s="183"/>
      <c r="T192" s="84" t="s">
        <v>33</v>
      </c>
      <c r="U192" s="92" t="s">
        <v>1020</v>
      </c>
      <c r="V192" s="483">
        <v>1.0</v>
      </c>
      <c r="W192" s="135" t="s">
        <v>1136</v>
      </c>
      <c r="X192" s="106"/>
      <c r="Y192" s="106"/>
      <c r="Z192" s="427"/>
      <c r="AA192" s="107"/>
      <c r="AB192" s="107"/>
      <c r="AC192" s="107"/>
      <c r="AD192" s="106"/>
    </row>
    <row r="193" ht="42.0" customHeight="1">
      <c r="A193" s="93">
        <v>137.0</v>
      </c>
      <c r="B193" s="103">
        <v>45184.0</v>
      </c>
      <c r="C193" s="93">
        <v>1.705206921169E12</v>
      </c>
      <c r="D193" s="92" t="s">
        <v>114</v>
      </c>
      <c r="E193" s="105" t="s">
        <v>903</v>
      </c>
      <c r="F193" s="121" t="s">
        <v>1160</v>
      </c>
      <c r="G193" s="63"/>
      <c r="H193" s="64"/>
      <c r="I193" s="47"/>
      <c r="J193" s="48"/>
      <c r="K193" s="76"/>
      <c r="L193" s="109"/>
      <c r="M193" s="78"/>
      <c r="N193" s="79"/>
      <c r="O193" s="80"/>
      <c r="P193" s="81" t="s">
        <v>449</v>
      </c>
      <c r="Q193" s="176"/>
      <c r="R193" s="108">
        <v>17777.0</v>
      </c>
      <c r="S193" s="183"/>
      <c r="T193" s="84" t="s">
        <v>33</v>
      </c>
      <c r="U193" s="92" t="s">
        <v>1020</v>
      </c>
      <c r="V193" s="483">
        <v>1.0</v>
      </c>
      <c r="W193" s="135" t="s">
        <v>1136</v>
      </c>
      <c r="X193" s="106"/>
      <c r="Y193" s="106"/>
      <c r="Z193" s="427"/>
      <c r="AA193" s="107"/>
      <c r="AB193" s="107"/>
      <c r="AC193" s="107"/>
      <c r="AD193" s="106"/>
    </row>
    <row r="194" ht="30.75" customHeight="1">
      <c r="A194" s="93">
        <v>138.0</v>
      </c>
      <c r="B194" s="103">
        <v>45184.0</v>
      </c>
      <c r="C194" s="93">
        <v>1.704849148261E12</v>
      </c>
      <c r="D194" s="92" t="s">
        <v>294</v>
      </c>
      <c r="E194" s="105" t="s">
        <v>295</v>
      </c>
      <c r="F194" s="92" t="s">
        <v>1161</v>
      </c>
      <c r="G194" s="63"/>
      <c r="H194" s="64"/>
      <c r="I194" s="47"/>
      <c r="J194" s="48"/>
      <c r="K194" s="76"/>
      <c r="L194" s="109"/>
      <c r="M194" s="78"/>
      <c r="N194" s="79"/>
      <c r="O194" s="80"/>
      <c r="P194" s="81" t="s">
        <v>449</v>
      </c>
      <c r="Q194" s="176"/>
      <c r="R194" s="108">
        <v>17777.0</v>
      </c>
      <c r="S194" s="183"/>
      <c r="T194" s="84" t="s">
        <v>33</v>
      </c>
      <c r="U194" s="92" t="s">
        <v>1020</v>
      </c>
      <c r="V194" s="483">
        <v>1.0</v>
      </c>
      <c r="W194" s="135" t="s">
        <v>1136</v>
      </c>
      <c r="X194" s="106"/>
      <c r="Y194" s="106"/>
      <c r="Z194" s="427"/>
      <c r="AA194" s="107"/>
      <c r="AB194" s="107"/>
      <c r="AC194" s="107"/>
      <c r="AD194" s="106"/>
    </row>
    <row r="195" ht="42.0" customHeight="1">
      <c r="A195" s="93">
        <v>139.0</v>
      </c>
      <c r="B195" s="103">
        <v>45184.0</v>
      </c>
      <c r="C195" s="93">
        <v>1.706986073829E12</v>
      </c>
      <c r="D195" s="92" t="s">
        <v>1162</v>
      </c>
      <c r="E195" s="105" t="s">
        <v>1163</v>
      </c>
      <c r="F195" s="121" t="s">
        <v>1164</v>
      </c>
      <c r="G195" s="63"/>
      <c r="H195" s="64"/>
      <c r="I195" s="47"/>
      <c r="J195" s="48"/>
      <c r="K195" s="76"/>
      <c r="L195" s="108"/>
      <c r="M195" s="78"/>
      <c r="N195" s="115"/>
      <c r="O195" s="80"/>
      <c r="P195" s="81" t="s">
        <v>449</v>
      </c>
      <c r="Q195" s="176"/>
      <c r="R195" s="108">
        <v>22501.0</v>
      </c>
      <c r="S195" s="183"/>
      <c r="T195" s="84" t="s">
        <v>33</v>
      </c>
      <c r="U195" s="92" t="s">
        <v>1055</v>
      </c>
      <c r="V195" s="483">
        <v>1.0</v>
      </c>
      <c r="W195" s="92" t="s">
        <v>1124</v>
      </c>
      <c r="X195" s="106"/>
      <c r="Y195" s="106"/>
      <c r="Z195" s="427"/>
      <c r="AA195" s="107"/>
      <c r="AB195" s="107"/>
      <c r="AC195" s="107"/>
      <c r="AD195" s="106"/>
    </row>
    <row r="196" ht="42.0" customHeight="1">
      <c r="A196" s="93">
        <v>140.0</v>
      </c>
      <c r="B196" s="103">
        <v>45184.0</v>
      </c>
      <c r="C196" s="93">
        <v>1.721217546718E12</v>
      </c>
      <c r="D196" s="92" t="s">
        <v>357</v>
      </c>
      <c r="E196" s="105" t="s">
        <v>358</v>
      </c>
      <c r="F196" s="121" t="s">
        <v>853</v>
      </c>
      <c r="G196" s="63" t="s">
        <v>30</v>
      </c>
      <c r="H196" s="64">
        <v>2.0</v>
      </c>
      <c r="I196" s="47">
        <f t="shared" ref="I196:I218" si="59">VLOOKUP(G196,$Y$4:$Z$45,2,0)</f>
        <v>220000</v>
      </c>
      <c r="J196" s="48">
        <f t="shared" ref="J196:J218" si="60">I196*H196</f>
        <v>440000</v>
      </c>
      <c r="K196" s="76">
        <f t="shared" ref="K196:K200" si="61">SUM(J196)</f>
        <v>440000</v>
      </c>
      <c r="L196" s="108">
        <v>43001.0</v>
      </c>
      <c r="M196" s="78"/>
      <c r="N196" s="115">
        <v>13001.0</v>
      </c>
      <c r="O196" s="80">
        <f t="shared" ref="O196:O201" si="62">K196+L196-M196-N196</f>
        <v>470000</v>
      </c>
      <c r="P196" s="81" t="s">
        <v>449</v>
      </c>
      <c r="Q196" s="81" t="s">
        <v>31</v>
      </c>
      <c r="R196" s="109"/>
      <c r="S196" s="183"/>
      <c r="T196" s="84" t="s">
        <v>33</v>
      </c>
      <c r="U196" s="122"/>
      <c r="V196" s="488"/>
      <c r="W196" s="92"/>
      <c r="X196" s="106"/>
      <c r="Y196" s="106"/>
      <c r="Z196" s="427"/>
      <c r="AA196" s="107"/>
      <c r="AB196" s="107"/>
      <c r="AC196" s="107"/>
      <c r="AD196" s="106"/>
    </row>
    <row r="197" ht="30.75" customHeight="1">
      <c r="A197" s="104">
        <v>141.0</v>
      </c>
      <c r="B197" s="103">
        <v>45185.0</v>
      </c>
      <c r="C197" s="93" t="s">
        <v>1165</v>
      </c>
      <c r="D197" s="92" t="s">
        <v>50</v>
      </c>
      <c r="E197" s="105" t="s">
        <v>1166</v>
      </c>
      <c r="F197" s="155" t="s">
        <v>271</v>
      </c>
      <c r="G197" s="63" t="s">
        <v>30</v>
      </c>
      <c r="H197" s="64">
        <v>1.0</v>
      </c>
      <c r="I197" s="47">
        <f t="shared" si="59"/>
        <v>220000</v>
      </c>
      <c r="J197" s="48">
        <f t="shared" si="60"/>
        <v>220000</v>
      </c>
      <c r="K197" s="76">
        <f t="shared" si="61"/>
        <v>220000</v>
      </c>
      <c r="L197" s="109"/>
      <c r="M197" s="78">
        <f t="shared" ref="M197:M200" si="63">K197*5%</f>
        <v>11000</v>
      </c>
      <c r="N197" s="79"/>
      <c r="O197" s="80">
        <f t="shared" si="62"/>
        <v>209000</v>
      </c>
      <c r="P197" s="176"/>
      <c r="Q197" s="176"/>
      <c r="R197" s="109"/>
      <c r="S197" s="183"/>
      <c r="T197" s="183"/>
      <c r="U197" s="122"/>
      <c r="V197" s="488"/>
      <c r="W197" s="92"/>
      <c r="X197" s="106"/>
      <c r="Y197" s="106"/>
      <c r="Z197" s="427"/>
      <c r="AA197" s="107"/>
      <c r="AB197" s="107"/>
      <c r="AC197" s="107"/>
      <c r="AD197" s="106"/>
    </row>
    <row r="198" ht="30.75" customHeight="1">
      <c r="A198" s="104">
        <v>142.0</v>
      </c>
      <c r="B198" s="103">
        <v>45185.0</v>
      </c>
      <c r="C198" s="93" t="s">
        <v>1167</v>
      </c>
      <c r="D198" s="92" t="s">
        <v>50</v>
      </c>
      <c r="E198" s="105" t="s">
        <v>825</v>
      </c>
      <c r="F198" s="92" t="s">
        <v>74</v>
      </c>
      <c r="G198" s="63" t="s">
        <v>30</v>
      </c>
      <c r="H198" s="64">
        <v>1.0</v>
      </c>
      <c r="I198" s="47">
        <f t="shared" si="59"/>
        <v>220000</v>
      </c>
      <c r="J198" s="48">
        <f t="shared" si="60"/>
        <v>220000</v>
      </c>
      <c r="K198" s="76">
        <f t="shared" si="61"/>
        <v>220000</v>
      </c>
      <c r="L198" s="109"/>
      <c r="M198" s="78">
        <f t="shared" si="63"/>
        <v>11000</v>
      </c>
      <c r="N198" s="79"/>
      <c r="O198" s="80">
        <f t="shared" si="62"/>
        <v>209000</v>
      </c>
      <c r="P198" s="176"/>
      <c r="Q198" s="176"/>
      <c r="R198" s="109"/>
      <c r="S198" s="183"/>
      <c r="T198" s="183"/>
      <c r="U198" s="122"/>
      <c r="V198" s="488"/>
      <c r="W198" s="122"/>
      <c r="X198" s="106"/>
      <c r="Y198" s="106"/>
      <c r="Z198" s="427"/>
      <c r="AA198" s="107"/>
      <c r="AB198" s="107"/>
      <c r="AC198" s="107"/>
      <c r="AD198" s="106"/>
    </row>
    <row r="199" ht="30.75" customHeight="1">
      <c r="A199" s="104">
        <v>143.0</v>
      </c>
      <c r="B199" s="103">
        <v>45185.0</v>
      </c>
      <c r="C199" s="93" t="s">
        <v>1168</v>
      </c>
      <c r="D199" s="92" t="s">
        <v>50</v>
      </c>
      <c r="E199" s="105" t="s">
        <v>1169</v>
      </c>
      <c r="F199" s="92" t="s">
        <v>74</v>
      </c>
      <c r="G199" s="63" t="s">
        <v>30</v>
      </c>
      <c r="H199" s="64">
        <v>3.0</v>
      </c>
      <c r="I199" s="47">
        <f t="shared" si="59"/>
        <v>220000</v>
      </c>
      <c r="J199" s="48">
        <f t="shared" si="60"/>
        <v>660000</v>
      </c>
      <c r="K199" s="76">
        <f t="shared" si="61"/>
        <v>660000</v>
      </c>
      <c r="L199" s="109"/>
      <c r="M199" s="78">
        <f t="shared" si="63"/>
        <v>33000</v>
      </c>
      <c r="N199" s="79"/>
      <c r="O199" s="80">
        <f t="shared" si="62"/>
        <v>627000</v>
      </c>
      <c r="P199" s="176"/>
      <c r="Q199" s="176"/>
      <c r="R199" s="109"/>
      <c r="S199" s="183"/>
      <c r="T199" s="183"/>
      <c r="U199" s="122"/>
      <c r="V199" s="488"/>
      <c r="W199" s="122"/>
      <c r="X199" s="106"/>
      <c r="Y199" s="106"/>
      <c r="Z199" s="427"/>
      <c r="AA199" s="107"/>
      <c r="AB199" s="107"/>
      <c r="AC199" s="107"/>
      <c r="AD199" s="106"/>
    </row>
    <row r="200" ht="30.75" customHeight="1">
      <c r="A200" s="104">
        <v>144.0</v>
      </c>
      <c r="B200" s="103">
        <v>45185.0</v>
      </c>
      <c r="C200" s="93" t="s">
        <v>1170</v>
      </c>
      <c r="D200" s="92" t="s">
        <v>50</v>
      </c>
      <c r="E200" s="105" t="s">
        <v>1171</v>
      </c>
      <c r="F200" s="92" t="s">
        <v>74</v>
      </c>
      <c r="G200" s="63" t="s">
        <v>75</v>
      </c>
      <c r="H200" s="64">
        <v>1.0</v>
      </c>
      <c r="I200" s="47">
        <f t="shared" si="59"/>
        <v>45000</v>
      </c>
      <c r="J200" s="48">
        <f t="shared" si="60"/>
        <v>45000</v>
      </c>
      <c r="K200" s="76">
        <f t="shared" si="61"/>
        <v>45000</v>
      </c>
      <c r="L200" s="109"/>
      <c r="M200" s="78">
        <f t="shared" si="63"/>
        <v>2250</v>
      </c>
      <c r="N200" s="79"/>
      <c r="O200" s="80">
        <f t="shared" si="62"/>
        <v>42750</v>
      </c>
      <c r="P200" s="176"/>
      <c r="Q200" s="176"/>
      <c r="R200" s="109"/>
      <c r="S200" s="183"/>
      <c r="T200" s="183"/>
      <c r="U200" s="122"/>
      <c r="V200" s="488"/>
      <c r="W200" s="122"/>
      <c r="X200" s="106"/>
      <c r="Y200" s="106"/>
      <c r="Z200" s="427"/>
      <c r="AA200" s="107"/>
      <c r="AB200" s="107"/>
      <c r="AC200" s="107"/>
      <c r="AD200" s="106"/>
    </row>
    <row r="201" ht="30.75" customHeight="1">
      <c r="A201" s="111">
        <v>145.0</v>
      </c>
      <c r="B201" s="112">
        <v>45187.0</v>
      </c>
      <c r="C201" s="111">
        <v>1.700147805616E12</v>
      </c>
      <c r="D201" s="142" t="s">
        <v>553</v>
      </c>
      <c r="E201" s="143" t="s">
        <v>554</v>
      </c>
      <c r="F201" s="422" t="s">
        <v>555</v>
      </c>
      <c r="G201" s="63" t="s">
        <v>165</v>
      </c>
      <c r="H201" s="64">
        <v>1.0</v>
      </c>
      <c r="I201" s="47">
        <f t="shared" si="59"/>
        <v>220000</v>
      </c>
      <c r="J201" s="48">
        <f t="shared" si="60"/>
        <v>220000</v>
      </c>
      <c r="K201" s="49">
        <f>SUM(J201:J204)</f>
        <v>1320000</v>
      </c>
      <c r="L201" s="144"/>
      <c r="M201" s="51"/>
      <c r="N201" s="52"/>
      <c r="O201" s="53">
        <f t="shared" si="62"/>
        <v>1320000</v>
      </c>
      <c r="P201" s="99" t="s">
        <v>449</v>
      </c>
      <c r="Q201" s="99" t="s">
        <v>31</v>
      </c>
      <c r="R201" s="145">
        <v>64003.0</v>
      </c>
      <c r="S201" s="57" t="s">
        <v>32</v>
      </c>
      <c r="T201" s="57" t="s">
        <v>33</v>
      </c>
      <c r="U201" s="142" t="s">
        <v>1055</v>
      </c>
      <c r="V201" s="111">
        <v>1.0</v>
      </c>
      <c r="W201" s="142" t="s">
        <v>1023</v>
      </c>
      <c r="X201" s="106"/>
      <c r="Y201" s="106"/>
      <c r="Z201" s="427"/>
      <c r="AA201" s="107"/>
      <c r="AB201" s="107"/>
      <c r="AC201" s="107"/>
      <c r="AD201" s="106"/>
    </row>
    <row r="202" ht="30.75" customHeight="1">
      <c r="A202" s="62"/>
      <c r="B202" s="62"/>
      <c r="C202" s="62"/>
      <c r="D202" s="62"/>
      <c r="E202" s="62"/>
      <c r="F202" s="423"/>
      <c r="G202" s="63" t="s">
        <v>122</v>
      </c>
      <c r="H202" s="64">
        <v>1.0</v>
      </c>
      <c r="I202" s="47">
        <f t="shared" si="59"/>
        <v>220000</v>
      </c>
      <c r="J202" s="48">
        <f t="shared" si="60"/>
        <v>220000</v>
      </c>
      <c r="K202" s="62"/>
      <c r="L202" s="62"/>
      <c r="M202" s="62"/>
      <c r="N202" s="62"/>
      <c r="O202" s="62"/>
      <c r="P202" s="62"/>
      <c r="Q202" s="62"/>
      <c r="R202" s="62"/>
      <c r="S202" s="62"/>
      <c r="T202" s="62"/>
      <c r="U202" s="62"/>
      <c r="V202" s="62"/>
      <c r="W202" s="62"/>
      <c r="X202" s="106"/>
      <c r="Y202" s="106"/>
      <c r="Z202" s="427"/>
      <c r="AA202" s="107"/>
      <c r="AB202" s="107"/>
      <c r="AC202" s="107"/>
      <c r="AD202" s="106"/>
    </row>
    <row r="203" ht="30.75" customHeight="1">
      <c r="A203" s="62"/>
      <c r="B203" s="62"/>
      <c r="C203" s="62"/>
      <c r="D203" s="62"/>
      <c r="E203" s="62"/>
      <c r="F203" s="423"/>
      <c r="G203" s="63" t="s">
        <v>30</v>
      </c>
      <c r="H203" s="64">
        <v>2.0</v>
      </c>
      <c r="I203" s="47">
        <f t="shared" si="59"/>
        <v>220000</v>
      </c>
      <c r="J203" s="48">
        <f t="shared" si="60"/>
        <v>440000</v>
      </c>
      <c r="K203" s="62"/>
      <c r="L203" s="62"/>
      <c r="M203" s="62"/>
      <c r="N203" s="62"/>
      <c r="O203" s="62"/>
      <c r="P203" s="62"/>
      <c r="Q203" s="62"/>
      <c r="R203" s="62"/>
      <c r="S203" s="62"/>
      <c r="T203" s="62"/>
      <c r="U203" s="62"/>
      <c r="V203" s="62"/>
      <c r="W203" s="62"/>
      <c r="X203" s="106"/>
      <c r="Y203" s="106"/>
      <c r="Z203" s="427"/>
      <c r="AA203" s="107"/>
      <c r="AB203" s="107"/>
      <c r="AC203" s="107"/>
      <c r="AD203" s="106"/>
    </row>
    <row r="204" ht="30.75" customHeight="1">
      <c r="A204" s="67"/>
      <c r="B204" s="67"/>
      <c r="C204" s="67"/>
      <c r="D204" s="67"/>
      <c r="E204" s="67"/>
      <c r="F204" s="102"/>
      <c r="G204" s="63" t="s">
        <v>58</v>
      </c>
      <c r="H204" s="64">
        <v>2.0</v>
      </c>
      <c r="I204" s="47">
        <f t="shared" si="59"/>
        <v>220000</v>
      </c>
      <c r="J204" s="48">
        <f t="shared" si="60"/>
        <v>440000</v>
      </c>
      <c r="K204" s="67"/>
      <c r="L204" s="67"/>
      <c r="M204" s="67"/>
      <c r="N204" s="67"/>
      <c r="O204" s="67"/>
      <c r="P204" s="67"/>
      <c r="Q204" s="67"/>
      <c r="R204" s="67"/>
      <c r="S204" s="67"/>
      <c r="T204" s="67"/>
      <c r="U204" s="67"/>
      <c r="V204" s="67"/>
      <c r="W204" s="67"/>
      <c r="X204" s="106"/>
      <c r="Y204" s="106"/>
      <c r="Z204" s="427"/>
      <c r="AA204" s="107"/>
      <c r="AB204" s="107"/>
      <c r="AC204" s="107"/>
      <c r="AD204" s="106"/>
    </row>
    <row r="205" ht="30.75" customHeight="1">
      <c r="A205" s="111">
        <v>146.0</v>
      </c>
      <c r="B205" s="112">
        <v>45187.0</v>
      </c>
      <c r="C205" s="111">
        <v>1.70020926247E12</v>
      </c>
      <c r="D205" s="142" t="s">
        <v>247</v>
      </c>
      <c r="E205" s="143" t="s">
        <v>248</v>
      </c>
      <c r="F205" s="578" t="s">
        <v>1172</v>
      </c>
      <c r="G205" s="63" t="s">
        <v>35</v>
      </c>
      <c r="H205" s="64">
        <v>3.0</v>
      </c>
      <c r="I205" s="47">
        <f t="shared" si="59"/>
        <v>220000</v>
      </c>
      <c r="J205" s="48">
        <f t="shared" si="60"/>
        <v>660000</v>
      </c>
      <c r="K205" s="49">
        <f>sum(J205:J206)</f>
        <v>1100000</v>
      </c>
      <c r="L205" s="144"/>
      <c r="M205" s="51"/>
      <c r="N205" s="52"/>
      <c r="O205" s="53">
        <f>K205+L205-M205-N205</f>
        <v>1100000</v>
      </c>
      <c r="P205" s="99" t="s">
        <v>449</v>
      </c>
      <c r="Q205" s="99" t="s">
        <v>31</v>
      </c>
      <c r="R205" s="145">
        <v>64003.0</v>
      </c>
      <c r="S205" s="57" t="s">
        <v>32</v>
      </c>
      <c r="T205" s="57" t="s">
        <v>33</v>
      </c>
      <c r="U205" s="142" t="s">
        <v>1055</v>
      </c>
      <c r="V205" s="538">
        <v>1.0</v>
      </c>
      <c r="W205" s="142" t="s">
        <v>1023</v>
      </c>
      <c r="X205" s="106"/>
      <c r="Y205" s="106"/>
      <c r="Z205" s="427"/>
      <c r="AA205" s="107"/>
      <c r="AB205" s="107"/>
      <c r="AC205" s="107"/>
      <c r="AD205" s="106"/>
    </row>
    <row r="206" ht="30.75" customHeight="1">
      <c r="A206" s="67"/>
      <c r="B206" s="67"/>
      <c r="C206" s="67"/>
      <c r="D206" s="67"/>
      <c r="E206" s="67"/>
      <c r="F206" s="102"/>
      <c r="G206" s="63" t="s">
        <v>122</v>
      </c>
      <c r="H206" s="64">
        <v>2.0</v>
      </c>
      <c r="I206" s="47">
        <f t="shared" si="59"/>
        <v>220000</v>
      </c>
      <c r="J206" s="48">
        <f t="shared" si="60"/>
        <v>440000</v>
      </c>
      <c r="K206" s="67"/>
      <c r="L206" s="67"/>
      <c r="M206" s="67"/>
      <c r="N206" s="67"/>
      <c r="O206" s="67"/>
      <c r="P206" s="67"/>
      <c r="Q206" s="67"/>
      <c r="R206" s="67"/>
      <c r="S206" s="67"/>
      <c r="T206" s="67"/>
      <c r="U206" s="67"/>
      <c r="V206" s="67"/>
      <c r="W206" s="67"/>
      <c r="X206" s="106"/>
      <c r="Y206" s="106"/>
      <c r="Z206" s="427"/>
      <c r="AA206" s="107"/>
      <c r="AB206" s="107"/>
      <c r="AC206" s="107"/>
      <c r="AD206" s="106"/>
    </row>
    <row r="207" ht="40.5" customHeight="1">
      <c r="A207" s="93">
        <v>147.0</v>
      </c>
      <c r="B207" s="103">
        <v>45187.0</v>
      </c>
      <c r="C207" s="93">
        <v>1.700286714039E12</v>
      </c>
      <c r="D207" s="92" t="s">
        <v>1173</v>
      </c>
      <c r="E207" s="105" t="s">
        <v>1174</v>
      </c>
      <c r="F207" s="121" t="s">
        <v>1175</v>
      </c>
      <c r="G207" s="63" t="s">
        <v>58</v>
      </c>
      <c r="H207" s="64">
        <v>3.0</v>
      </c>
      <c r="I207" s="47">
        <f t="shared" si="59"/>
        <v>220000</v>
      </c>
      <c r="J207" s="48">
        <f t="shared" si="60"/>
        <v>660000</v>
      </c>
      <c r="K207" s="76">
        <f>SUM(J207)</f>
        <v>660000</v>
      </c>
      <c r="L207" s="109"/>
      <c r="M207" s="78"/>
      <c r="N207" s="79"/>
      <c r="O207" s="80">
        <f t="shared" ref="O207:O208" si="64">K207+L207-M207-N207</f>
        <v>660000</v>
      </c>
      <c r="P207" s="81" t="s">
        <v>449</v>
      </c>
      <c r="Q207" s="81" t="s">
        <v>31</v>
      </c>
      <c r="R207" s="108">
        <v>40001.0</v>
      </c>
      <c r="S207" s="84" t="s">
        <v>32</v>
      </c>
      <c r="T207" s="84" t="s">
        <v>33</v>
      </c>
      <c r="U207" s="92" t="s">
        <v>1020</v>
      </c>
      <c r="V207" s="483">
        <v>1.0</v>
      </c>
      <c r="W207" s="92" t="s">
        <v>1021</v>
      </c>
      <c r="X207" s="106"/>
      <c r="Y207" s="106"/>
      <c r="Z207" s="427"/>
      <c r="AA207" s="107"/>
      <c r="AB207" s="107"/>
      <c r="AC207" s="107"/>
      <c r="AD207" s="106"/>
    </row>
    <row r="208" ht="30.75" customHeight="1">
      <c r="A208" s="111">
        <v>148.0</v>
      </c>
      <c r="B208" s="112">
        <v>45187.0</v>
      </c>
      <c r="C208" s="111">
        <v>1.700614056481E12</v>
      </c>
      <c r="D208" s="142" t="s">
        <v>646</v>
      </c>
      <c r="E208" s="143" t="s">
        <v>647</v>
      </c>
      <c r="F208" s="44" t="s">
        <v>648</v>
      </c>
      <c r="G208" s="63" t="s">
        <v>30</v>
      </c>
      <c r="H208" s="64">
        <v>2.0</v>
      </c>
      <c r="I208" s="47">
        <f t="shared" si="59"/>
        <v>220000</v>
      </c>
      <c r="J208" s="48">
        <f t="shared" si="60"/>
        <v>440000</v>
      </c>
      <c r="K208" s="49">
        <f>sum(J208:J209)</f>
        <v>660000</v>
      </c>
      <c r="L208" s="144"/>
      <c r="M208" s="51"/>
      <c r="N208" s="52"/>
      <c r="O208" s="53">
        <f t="shared" si="64"/>
        <v>660000</v>
      </c>
      <c r="P208" s="99" t="s">
        <v>449</v>
      </c>
      <c r="Q208" s="99" t="s">
        <v>31</v>
      </c>
      <c r="R208" s="145">
        <v>52002.0</v>
      </c>
      <c r="S208" s="57" t="s">
        <v>32</v>
      </c>
      <c r="T208" s="57" t="s">
        <v>33</v>
      </c>
      <c r="U208" s="142" t="s">
        <v>1020</v>
      </c>
      <c r="V208" s="538">
        <v>1.0</v>
      </c>
      <c r="W208" s="142" t="s">
        <v>1021</v>
      </c>
      <c r="X208" s="106"/>
      <c r="Y208" s="106"/>
      <c r="Z208" s="427"/>
      <c r="AA208" s="107"/>
      <c r="AB208" s="107"/>
      <c r="AC208" s="107"/>
      <c r="AD208" s="106"/>
    </row>
    <row r="209" ht="30.75" customHeight="1">
      <c r="A209" s="67"/>
      <c r="B209" s="67"/>
      <c r="C209" s="67"/>
      <c r="D209" s="67"/>
      <c r="E209" s="67"/>
      <c r="F209" s="67"/>
      <c r="G209" s="63" t="s">
        <v>165</v>
      </c>
      <c r="H209" s="64">
        <v>1.0</v>
      </c>
      <c r="I209" s="47">
        <f t="shared" si="59"/>
        <v>220000</v>
      </c>
      <c r="J209" s="48">
        <f t="shared" si="60"/>
        <v>220000</v>
      </c>
      <c r="K209" s="67"/>
      <c r="L209" s="67"/>
      <c r="M209" s="67"/>
      <c r="N209" s="67"/>
      <c r="O209" s="67"/>
      <c r="P209" s="67"/>
      <c r="Q209" s="67"/>
      <c r="R209" s="67"/>
      <c r="S209" s="67"/>
      <c r="T209" s="67"/>
      <c r="U209" s="67"/>
      <c r="V209" s="67"/>
      <c r="W209" s="67"/>
      <c r="X209" s="106"/>
      <c r="Y209" s="106"/>
      <c r="Z209" s="427"/>
      <c r="AA209" s="107"/>
      <c r="AB209" s="107"/>
      <c r="AC209" s="107"/>
      <c r="AD209" s="106"/>
    </row>
    <row r="210" ht="30.75" customHeight="1">
      <c r="A210" s="93">
        <v>149.0</v>
      </c>
      <c r="B210" s="103">
        <v>45187.0</v>
      </c>
      <c r="C210" s="93">
        <v>1.700447892672E12</v>
      </c>
      <c r="D210" s="92" t="s">
        <v>1176</v>
      </c>
      <c r="E210" s="105" t="s">
        <v>1177</v>
      </c>
      <c r="F210" s="92" t="s">
        <v>1178</v>
      </c>
      <c r="G210" s="63" t="s">
        <v>30</v>
      </c>
      <c r="H210" s="64">
        <v>6.0</v>
      </c>
      <c r="I210" s="47">
        <f t="shared" si="59"/>
        <v>220000</v>
      </c>
      <c r="J210" s="48">
        <f t="shared" si="60"/>
        <v>1320000</v>
      </c>
      <c r="K210" s="76">
        <f t="shared" ref="K210:K218" si="65">SUM(J210)</f>
        <v>1320000</v>
      </c>
      <c r="L210" s="109"/>
      <c r="M210" s="78"/>
      <c r="N210" s="79"/>
      <c r="O210" s="80">
        <f t="shared" ref="O210:O218" si="66">K210+L210-M210-N210</f>
        <v>1320000</v>
      </c>
      <c r="P210" s="81" t="s">
        <v>449</v>
      </c>
      <c r="Q210" s="81" t="s">
        <v>31</v>
      </c>
      <c r="R210" s="108">
        <v>64003.0</v>
      </c>
      <c r="S210" s="84" t="s">
        <v>32</v>
      </c>
      <c r="T210" s="84" t="s">
        <v>33</v>
      </c>
      <c r="U210" s="92" t="s">
        <v>1055</v>
      </c>
      <c r="V210" s="483">
        <v>1.0</v>
      </c>
      <c r="W210" s="92" t="s">
        <v>1023</v>
      </c>
      <c r="X210" s="106"/>
      <c r="Y210" s="106"/>
      <c r="Z210" s="427"/>
      <c r="AA210" s="107"/>
      <c r="AB210" s="107"/>
      <c r="AC210" s="107"/>
      <c r="AD210" s="106"/>
    </row>
    <row r="211" ht="30.75" customHeight="1">
      <c r="A211" s="93">
        <v>150.0</v>
      </c>
      <c r="B211" s="103">
        <v>45187.0</v>
      </c>
      <c r="C211" s="93" t="s">
        <v>1179</v>
      </c>
      <c r="D211" s="92" t="s">
        <v>50</v>
      </c>
      <c r="E211" s="105" t="s">
        <v>571</v>
      </c>
      <c r="F211" s="92" t="s">
        <v>119</v>
      </c>
      <c r="G211" s="63" t="s">
        <v>30</v>
      </c>
      <c r="H211" s="64">
        <v>2.0</v>
      </c>
      <c r="I211" s="47">
        <f t="shared" si="59"/>
        <v>220000</v>
      </c>
      <c r="J211" s="48">
        <f t="shared" si="60"/>
        <v>440000</v>
      </c>
      <c r="K211" s="76">
        <f t="shared" si="65"/>
        <v>440000</v>
      </c>
      <c r="L211" s="109"/>
      <c r="M211" s="78">
        <f t="shared" ref="M211:M217" si="67">K211*5%</f>
        <v>22000</v>
      </c>
      <c r="N211" s="79"/>
      <c r="O211" s="80">
        <f t="shared" si="66"/>
        <v>418000</v>
      </c>
      <c r="P211" s="176"/>
      <c r="Q211" s="176"/>
      <c r="R211" s="109"/>
      <c r="S211" s="183"/>
      <c r="T211" s="183"/>
      <c r="U211" s="122"/>
      <c r="V211" s="488"/>
      <c r="W211" s="135" t="s">
        <v>53</v>
      </c>
      <c r="X211" s="106"/>
      <c r="Y211" s="106"/>
      <c r="Z211" s="427"/>
      <c r="AA211" s="107"/>
      <c r="AB211" s="107"/>
      <c r="AC211" s="107"/>
      <c r="AD211" s="106"/>
    </row>
    <row r="212" ht="30.75" customHeight="1">
      <c r="A212" s="93">
        <v>151.0</v>
      </c>
      <c r="B212" s="103">
        <v>45187.0</v>
      </c>
      <c r="C212" s="93" t="s">
        <v>1180</v>
      </c>
      <c r="D212" s="92" t="s">
        <v>50</v>
      </c>
      <c r="E212" s="105" t="s">
        <v>1181</v>
      </c>
      <c r="F212" s="92" t="s">
        <v>74</v>
      </c>
      <c r="G212" s="63" t="s">
        <v>30</v>
      </c>
      <c r="H212" s="64">
        <v>2.0</v>
      </c>
      <c r="I212" s="47">
        <f t="shared" si="59"/>
        <v>220000</v>
      </c>
      <c r="J212" s="48">
        <f t="shared" si="60"/>
        <v>440000</v>
      </c>
      <c r="K212" s="76">
        <f t="shared" si="65"/>
        <v>440000</v>
      </c>
      <c r="L212" s="109"/>
      <c r="M212" s="78">
        <f t="shared" si="67"/>
        <v>22000</v>
      </c>
      <c r="N212" s="79"/>
      <c r="O212" s="80">
        <f t="shared" si="66"/>
        <v>418000</v>
      </c>
      <c r="P212" s="176"/>
      <c r="Q212" s="176"/>
      <c r="R212" s="109"/>
      <c r="S212" s="183"/>
      <c r="T212" s="183"/>
      <c r="U212" s="122"/>
      <c r="V212" s="767"/>
      <c r="W212" s="135" t="s">
        <v>53</v>
      </c>
      <c r="X212" s="106"/>
      <c r="Y212" s="106"/>
      <c r="Z212" s="427"/>
      <c r="AA212" s="107"/>
      <c r="AB212" s="107"/>
      <c r="AC212" s="107"/>
      <c r="AD212" s="106"/>
    </row>
    <row r="213" ht="30.75" customHeight="1">
      <c r="A213" s="93">
        <v>152.0</v>
      </c>
      <c r="B213" s="103">
        <v>45187.0</v>
      </c>
      <c r="C213" s="93" t="s">
        <v>1182</v>
      </c>
      <c r="D213" s="92" t="s">
        <v>50</v>
      </c>
      <c r="E213" s="105" t="s">
        <v>1183</v>
      </c>
      <c r="F213" s="92" t="s">
        <v>119</v>
      </c>
      <c r="G213" s="63" t="s">
        <v>30</v>
      </c>
      <c r="H213" s="64">
        <v>1.0</v>
      </c>
      <c r="I213" s="47">
        <f t="shared" si="59"/>
        <v>220000</v>
      </c>
      <c r="J213" s="48">
        <f t="shared" si="60"/>
        <v>220000</v>
      </c>
      <c r="K213" s="76">
        <f t="shared" si="65"/>
        <v>220000</v>
      </c>
      <c r="L213" s="109"/>
      <c r="M213" s="78">
        <f t="shared" si="67"/>
        <v>11000</v>
      </c>
      <c r="N213" s="79"/>
      <c r="O213" s="80">
        <f t="shared" si="66"/>
        <v>209000</v>
      </c>
      <c r="P213" s="176"/>
      <c r="Q213" s="176"/>
      <c r="R213" s="109"/>
      <c r="S213" s="183"/>
      <c r="T213" s="183"/>
      <c r="U213" s="122"/>
      <c r="V213" s="767"/>
      <c r="W213" s="135" t="s">
        <v>53</v>
      </c>
      <c r="X213" s="106"/>
      <c r="Y213" s="106"/>
      <c r="Z213" s="427"/>
      <c r="AA213" s="107"/>
      <c r="AB213" s="107"/>
      <c r="AC213" s="107"/>
      <c r="AD213" s="106"/>
    </row>
    <row r="214" ht="30.75" customHeight="1">
      <c r="A214" s="93">
        <v>153.0</v>
      </c>
      <c r="B214" s="103">
        <v>45187.0</v>
      </c>
      <c r="C214" s="93" t="s">
        <v>1184</v>
      </c>
      <c r="D214" s="92" t="s">
        <v>50</v>
      </c>
      <c r="E214" s="105" t="s">
        <v>1185</v>
      </c>
      <c r="F214" s="92" t="s">
        <v>1186</v>
      </c>
      <c r="G214" s="63" t="s">
        <v>75</v>
      </c>
      <c r="H214" s="64">
        <v>1.0</v>
      </c>
      <c r="I214" s="47">
        <f t="shared" si="59"/>
        <v>45000</v>
      </c>
      <c r="J214" s="48">
        <f t="shared" si="60"/>
        <v>45000</v>
      </c>
      <c r="K214" s="76">
        <f t="shared" si="65"/>
        <v>45000</v>
      </c>
      <c r="L214" s="109"/>
      <c r="M214" s="78">
        <f t="shared" si="67"/>
        <v>2250</v>
      </c>
      <c r="N214" s="79"/>
      <c r="O214" s="80">
        <f t="shared" si="66"/>
        <v>42750</v>
      </c>
      <c r="P214" s="176"/>
      <c r="Q214" s="176"/>
      <c r="R214" s="109"/>
      <c r="S214" s="183"/>
      <c r="T214" s="183"/>
      <c r="U214" s="122"/>
      <c r="V214" s="767"/>
      <c r="W214" s="135" t="s">
        <v>53</v>
      </c>
      <c r="X214" s="106"/>
      <c r="Y214" s="106"/>
      <c r="Z214" s="427"/>
      <c r="AA214" s="107"/>
      <c r="AB214" s="107"/>
      <c r="AC214" s="107"/>
      <c r="AD214" s="106"/>
    </row>
    <row r="215" ht="30.75" customHeight="1">
      <c r="A215" s="93">
        <v>154.0</v>
      </c>
      <c r="B215" s="103">
        <v>45187.0</v>
      </c>
      <c r="C215" s="93" t="s">
        <v>1187</v>
      </c>
      <c r="D215" s="92" t="s">
        <v>50</v>
      </c>
      <c r="E215" s="105" t="s">
        <v>1188</v>
      </c>
      <c r="F215" s="92" t="s">
        <v>119</v>
      </c>
      <c r="G215" s="63" t="s">
        <v>30</v>
      </c>
      <c r="H215" s="64">
        <v>1.0</v>
      </c>
      <c r="I215" s="47">
        <f t="shared" si="59"/>
        <v>220000</v>
      </c>
      <c r="J215" s="48">
        <f t="shared" si="60"/>
        <v>220000</v>
      </c>
      <c r="K215" s="76">
        <f t="shared" si="65"/>
        <v>220000</v>
      </c>
      <c r="L215" s="109"/>
      <c r="M215" s="78">
        <f t="shared" si="67"/>
        <v>11000</v>
      </c>
      <c r="N215" s="79"/>
      <c r="O215" s="80">
        <f t="shared" si="66"/>
        <v>209000</v>
      </c>
      <c r="P215" s="176"/>
      <c r="Q215" s="176"/>
      <c r="R215" s="109"/>
      <c r="S215" s="183"/>
      <c r="T215" s="183"/>
      <c r="U215" s="122"/>
      <c r="V215" s="767"/>
      <c r="W215" s="135" t="s">
        <v>53</v>
      </c>
      <c r="X215" s="106"/>
      <c r="Y215" s="106"/>
      <c r="Z215" s="427"/>
      <c r="AA215" s="107"/>
      <c r="AB215" s="107"/>
      <c r="AC215" s="107"/>
      <c r="AD215" s="106"/>
    </row>
    <row r="216" ht="30.75" customHeight="1">
      <c r="A216" s="93">
        <v>155.0</v>
      </c>
      <c r="B216" s="103">
        <v>45187.0</v>
      </c>
      <c r="C216" s="93" t="s">
        <v>1189</v>
      </c>
      <c r="D216" s="92" t="s">
        <v>50</v>
      </c>
      <c r="E216" s="105" t="s">
        <v>1190</v>
      </c>
      <c r="F216" s="92" t="s">
        <v>84</v>
      </c>
      <c r="G216" s="63" t="s">
        <v>30</v>
      </c>
      <c r="H216" s="64">
        <v>1.0</v>
      </c>
      <c r="I216" s="47">
        <f t="shared" si="59"/>
        <v>220000</v>
      </c>
      <c r="J216" s="48">
        <f t="shared" si="60"/>
        <v>220000</v>
      </c>
      <c r="K216" s="76">
        <f t="shared" si="65"/>
        <v>220000</v>
      </c>
      <c r="L216" s="109"/>
      <c r="M216" s="78">
        <f t="shared" si="67"/>
        <v>11000</v>
      </c>
      <c r="N216" s="79"/>
      <c r="O216" s="80">
        <f t="shared" si="66"/>
        <v>209000</v>
      </c>
      <c r="P216" s="176"/>
      <c r="Q216" s="176"/>
      <c r="R216" s="109"/>
      <c r="S216" s="183"/>
      <c r="T216" s="183"/>
      <c r="U216" s="122"/>
      <c r="V216" s="767"/>
      <c r="W216" s="135" t="s">
        <v>53</v>
      </c>
      <c r="X216" s="106"/>
      <c r="Y216" s="106"/>
      <c r="Z216" s="427"/>
      <c r="AA216" s="107"/>
      <c r="AB216" s="107"/>
      <c r="AC216" s="107"/>
      <c r="AD216" s="106"/>
    </row>
    <row r="217" ht="30.75" customHeight="1">
      <c r="A217" s="93">
        <v>156.0</v>
      </c>
      <c r="B217" s="103">
        <v>45187.0</v>
      </c>
      <c r="C217" s="93" t="s">
        <v>1191</v>
      </c>
      <c r="D217" s="92" t="s">
        <v>50</v>
      </c>
      <c r="E217" s="105" t="s">
        <v>1192</v>
      </c>
      <c r="F217" s="92" t="s">
        <v>84</v>
      </c>
      <c r="G217" s="63" t="s">
        <v>30</v>
      </c>
      <c r="H217" s="64">
        <v>1.0</v>
      </c>
      <c r="I217" s="47">
        <f t="shared" si="59"/>
        <v>220000</v>
      </c>
      <c r="J217" s="48">
        <f t="shared" si="60"/>
        <v>220000</v>
      </c>
      <c r="K217" s="76">
        <f t="shared" si="65"/>
        <v>220000</v>
      </c>
      <c r="L217" s="109"/>
      <c r="M217" s="78">
        <f t="shared" si="67"/>
        <v>11000</v>
      </c>
      <c r="N217" s="79"/>
      <c r="O217" s="80">
        <f t="shared" si="66"/>
        <v>209000</v>
      </c>
      <c r="P217" s="176"/>
      <c r="Q217" s="176"/>
      <c r="R217" s="109"/>
      <c r="S217" s="183"/>
      <c r="T217" s="183"/>
      <c r="U217" s="122"/>
      <c r="V217" s="767"/>
      <c r="W217" s="135" t="s">
        <v>53</v>
      </c>
      <c r="X217" s="106"/>
      <c r="Y217" s="106"/>
      <c r="Z217" s="427"/>
      <c r="AA217" s="107"/>
      <c r="AB217" s="107"/>
      <c r="AC217" s="107"/>
      <c r="AD217" s="106"/>
    </row>
    <row r="218" ht="30.75" customHeight="1">
      <c r="A218" s="111">
        <v>157.0</v>
      </c>
      <c r="B218" s="112">
        <v>45188.0</v>
      </c>
      <c r="C218" s="111">
        <v>1.717934134223E12</v>
      </c>
      <c r="D218" s="142" t="s">
        <v>644</v>
      </c>
      <c r="E218" s="143" t="s">
        <v>45</v>
      </c>
      <c r="F218" s="142" t="s">
        <v>1159</v>
      </c>
      <c r="G218" s="126" t="s">
        <v>30</v>
      </c>
      <c r="H218" s="39">
        <v>15.0</v>
      </c>
      <c r="I218" s="766">
        <f t="shared" si="59"/>
        <v>220000</v>
      </c>
      <c r="J218" s="450">
        <f t="shared" si="60"/>
        <v>3300000</v>
      </c>
      <c r="K218" s="49">
        <f t="shared" si="65"/>
        <v>3300000</v>
      </c>
      <c r="L218" s="144"/>
      <c r="M218" s="561"/>
      <c r="N218" s="52"/>
      <c r="O218" s="53">
        <f t="shared" si="66"/>
        <v>3300000</v>
      </c>
      <c r="P218" s="99" t="s">
        <v>449</v>
      </c>
      <c r="Q218" s="99" t="s">
        <v>31</v>
      </c>
      <c r="R218" s="145">
        <v>136402.0</v>
      </c>
      <c r="S218" s="57" t="s">
        <v>32</v>
      </c>
      <c r="T218" s="57" t="s">
        <v>33</v>
      </c>
      <c r="U218" s="92" t="s">
        <v>1055</v>
      </c>
      <c r="V218" s="483">
        <v>1.0</v>
      </c>
      <c r="W218" s="142" t="s">
        <v>1023</v>
      </c>
      <c r="X218" s="106"/>
      <c r="Y218" s="106"/>
      <c r="Z218" s="427"/>
      <c r="AA218" s="107"/>
      <c r="AB218" s="107"/>
      <c r="AC218" s="107"/>
      <c r="AD218" s="106"/>
    </row>
    <row r="219" ht="30.75" customHeight="1">
      <c r="A219" s="67"/>
      <c r="B219" s="67"/>
      <c r="C219" s="67"/>
      <c r="D219" s="67"/>
      <c r="E219" s="67"/>
      <c r="F219" s="67"/>
      <c r="G219" s="67"/>
      <c r="H219" s="67"/>
      <c r="I219" s="67"/>
      <c r="J219" s="453"/>
      <c r="K219" s="67"/>
      <c r="L219" s="67"/>
      <c r="M219" s="67"/>
      <c r="N219" s="67"/>
      <c r="O219" s="67"/>
      <c r="P219" s="67"/>
      <c r="Q219" s="67"/>
      <c r="R219" s="67"/>
      <c r="S219" s="67"/>
      <c r="T219" s="67"/>
      <c r="U219" s="92" t="s">
        <v>1020</v>
      </c>
      <c r="V219" s="483">
        <v>4.0</v>
      </c>
      <c r="W219" s="67"/>
      <c r="X219" s="106"/>
      <c r="Y219" s="106"/>
      <c r="Z219" s="427"/>
      <c r="AA219" s="107"/>
      <c r="AB219" s="107"/>
      <c r="AC219" s="107"/>
      <c r="AD219" s="106"/>
    </row>
    <row r="220" ht="30.75" customHeight="1">
      <c r="A220" s="93">
        <v>158.0</v>
      </c>
      <c r="B220" s="103">
        <v>45188.0</v>
      </c>
      <c r="C220" s="93">
        <v>1.723714953406E12</v>
      </c>
      <c r="D220" s="92" t="s">
        <v>603</v>
      </c>
      <c r="E220" s="105" t="s">
        <v>712</v>
      </c>
      <c r="F220" s="92" t="s">
        <v>768</v>
      </c>
      <c r="G220" s="63" t="s">
        <v>30</v>
      </c>
      <c r="H220" s="64">
        <v>3.0</v>
      </c>
      <c r="I220" s="47">
        <f t="shared" ref="I220:I283" si="68">VLOOKUP(G220,$Y$4:$Z$45,2,0)</f>
        <v>220000</v>
      </c>
      <c r="J220" s="48">
        <f t="shared" ref="J220:J283" si="69">I220*H220</f>
        <v>660000</v>
      </c>
      <c r="K220" s="76">
        <f>SUM(J220)</f>
        <v>660000</v>
      </c>
      <c r="L220" s="109"/>
      <c r="M220" s="575"/>
      <c r="N220" s="79"/>
      <c r="O220" s="80">
        <f t="shared" ref="O220:O221" si="70">K220+L220-M220-N220</f>
        <v>660000</v>
      </c>
      <c r="P220" s="81" t="s">
        <v>449</v>
      </c>
      <c r="Q220" s="81" t="s">
        <v>31</v>
      </c>
      <c r="R220" s="108">
        <v>42001.0</v>
      </c>
      <c r="S220" s="84" t="s">
        <v>32</v>
      </c>
      <c r="T220" s="84" t="s">
        <v>33</v>
      </c>
      <c r="U220" s="92" t="s">
        <v>1020</v>
      </c>
      <c r="V220" s="483">
        <v>1.0</v>
      </c>
      <c r="W220" s="92" t="s">
        <v>1021</v>
      </c>
      <c r="X220" s="106"/>
      <c r="Y220" s="106"/>
      <c r="Z220" s="427"/>
      <c r="AA220" s="107"/>
      <c r="AB220" s="107"/>
      <c r="AC220" s="107"/>
      <c r="AD220" s="106"/>
    </row>
    <row r="221" ht="30.75" customHeight="1">
      <c r="A221" s="111">
        <v>159.0</v>
      </c>
      <c r="B221" s="112">
        <v>45188.0</v>
      </c>
      <c r="C221" s="111">
        <v>1.72055793715E12</v>
      </c>
      <c r="D221" s="142" t="s">
        <v>114</v>
      </c>
      <c r="E221" s="143" t="s">
        <v>1193</v>
      </c>
      <c r="F221" s="142" t="s">
        <v>1194</v>
      </c>
      <c r="G221" s="63" t="s">
        <v>30</v>
      </c>
      <c r="H221" s="64">
        <v>2.0</v>
      </c>
      <c r="I221" s="47">
        <f t="shared" si="68"/>
        <v>220000</v>
      </c>
      <c r="J221" s="48">
        <f t="shared" si="69"/>
        <v>440000</v>
      </c>
      <c r="K221" s="49">
        <f>SUM(J221:J223)</f>
        <v>1100000</v>
      </c>
      <c r="L221" s="144"/>
      <c r="M221" s="561"/>
      <c r="N221" s="52"/>
      <c r="O221" s="53">
        <f t="shared" si="70"/>
        <v>1100000</v>
      </c>
      <c r="P221" s="99" t="s">
        <v>449</v>
      </c>
      <c r="Q221" s="99" t="s">
        <v>31</v>
      </c>
      <c r="R221" s="145">
        <v>55104.0</v>
      </c>
      <c r="S221" s="57" t="s">
        <v>32</v>
      </c>
      <c r="T221" s="57" t="s">
        <v>33</v>
      </c>
      <c r="U221" s="142" t="s">
        <v>1020</v>
      </c>
      <c r="V221" s="538">
        <v>2.0</v>
      </c>
      <c r="W221" s="142" t="s">
        <v>1023</v>
      </c>
      <c r="X221" s="106"/>
      <c r="Y221" s="106"/>
      <c r="Z221" s="427"/>
      <c r="AA221" s="107"/>
      <c r="AB221" s="107"/>
      <c r="AC221" s="107"/>
      <c r="AD221" s="106"/>
    </row>
    <row r="222" ht="30.75" customHeight="1">
      <c r="A222" s="62"/>
      <c r="B222" s="62"/>
      <c r="C222" s="62"/>
      <c r="D222" s="62"/>
      <c r="E222" s="62"/>
      <c r="F222" s="62"/>
      <c r="G222" s="63" t="s">
        <v>144</v>
      </c>
      <c r="H222" s="64">
        <v>2.0</v>
      </c>
      <c r="I222" s="47">
        <f t="shared" si="68"/>
        <v>220000</v>
      </c>
      <c r="J222" s="48">
        <f t="shared" si="69"/>
        <v>440000</v>
      </c>
      <c r="K222" s="62"/>
      <c r="L222" s="62"/>
      <c r="M222" s="62"/>
      <c r="N222" s="62"/>
      <c r="O222" s="62"/>
      <c r="P222" s="62"/>
      <c r="Q222" s="62"/>
      <c r="R222" s="62"/>
      <c r="S222" s="62"/>
      <c r="T222" s="62"/>
      <c r="U222" s="62"/>
      <c r="V222" s="62"/>
      <c r="W222" s="62"/>
      <c r="X222" s="106"/>
      <c r="Y222" s="106"/>
      <c r="Z222" s="427"/>
      <c r="AA222" s="107"/>
      <c r="AB222" s="107"/>
      <c r="AC222" s="107"/>
      <c r="AD222" s="106"/>
    </row>
    <row r="223" ht="30.75" customHeight="1">
      <c r="A223" s="67"/>
      <c r="B223" s="67"/>
      <c r="C223" s="67"/>
      <c r="D223" s="67"/>
      <c r="E223" s="67"/>
      <c r="F223" s="67"/>
      <c r="G223" s="63" t="s">
        <v>35</v>
      </c>
      <c r="H223" s="64">
        <v>1.0</v>
      </c>
      <c r="I223" s="47">
        <f t="shared" si="68"/>
        <v>220000</v>
      </c>
      <c r="J223" s="48">
        <f t="shared" si="69"/>
        <v>220000</v>
      </c>
      <c r="K223" s="67"/>
      <c r="L223" s="67"/>
      <c r="M223" s="67"/>
      <c r="N223" s="67"/>
      <c r="O223" s="67"/>
      <c r="P223" s="67"/>
      <c r="Q223" s="67"/>
      <c r="R223" s="67"/>
      <c r="S223" s="67"/>
      <c r="T223" s="67"/>
      <c r="U223" s="67"/>
      <c r="V223" s="67"/>
      <c r="W223" s="67"/>
      <c r="X223" s="106"/>
      <c r="Y223" s="106"/>
      <c r="Z223" s="427"/>
      <c r="AA223" s="107"/>
      <c r="AB223" s="107"/>
      <c r="AC223" s="107"/>
      <c r="AD223" s="106"/>
    </row>
    <row r="224" ht="30.75" customHeight="1">
      <c r="A224" s="93">
        <v>160.0</v>
      </c>
      <c r="B224" s="103">
        <v>45188.0</v>
      </c>
      <c r="C224" s="93" t="s">
        <v>1195</v>
      </c>
      <c r="D224" s="92" t="s">
        <v>50</v>
      </c>
      <c r="E224" s="105" t="s">
        <v>1196</v>
      </c>
      <c r="F224" s="92" t="s">
        <v>70</v>
      </c>
      <c r="G224" s="63" t="s">
        <v>30</v>
      </c>
      <c r="H224" s="64">
        <v>1.0</v>
      </c>
      <c r="I224" s="47">
        <f t="shared" si="68"/>
        <v>220000</v>
      </c>
      <c r="J224" s="48">
        <f t="shared" si="69"/>
        <v>220000</v>
      </c>
      <c r="K224" s="76">
        <f t="shared" ref="K224:K238" si="71">SUM(J224)</f>
        <v>220000</v>
      </c>
      <c r="L224" s="109"/>
      <c r="M224" s="78">
        <f t="shared" ref="M224:M229" si="72">K224*5%</f>
        <v>11000</v>
      </c>
      <c r="N224" s="79"/>
      <c r="O224" s="80">
        <f t="shared" ref="O224:O239" si="73">K224+L224-M224-N224</f>
        <v>209000</v>
      </c>
      <c r="P224" s="176"/>
      <c r="Q224" s="176"/>
      <c r="R224" s="109"/>
      <c r="S224" s="183"/>
      <c r="T224" s="183"/>
      <c r="U224" s="122"/>
      <c r="V224" s="767"/>
      <c r="W224" s="135" t="s">
        <v>53</v>
      </c>
      <c r="X224" s="106"/>
      <c r="Y224" s="106"/>
      <c r="Z224" s="427"/>
      <c r="AA224" s="107"/>
      <c r="AB224" s="107"/>
      <c r="AC224" s="107"/>
      <c r="AD224" s="106"/>
    </row>
    <row r="225" ht="30.75" customHeight="1">
      <c r="A225" s="93">
        <v>161.0</v>
      </c>
      <c r="B225" s="103">
        <v>45188.0</v>
      </c>
      <c r="C225" s="93" t="s">
        <v>1197</v>
      </c>
      <c r="D225" s="92" t="s">
        <v>50</v>
      </c>
      <c r="E225" s="105" t="s">
        <v>1198</v>
      </c>
      <c r="F225" s="92" t="s">
        <v>613</v>
      </c>
      <c r="G225" s="63" t="s">
        <v>30</v>
      </c>
      <c r="H225" s="64">
        <v>4.0</v>
      </c>
      <c r="I225" s="47">
        <f t="shared" si="68"/>
        <v>220000</v>
      </c>
      <c r="J225" s="48">
        <f t="shared" si="69"/>
        <v>880000</v>
      </c>
      <c r="K225" s="76">
        <f t="shared" si="71"/>
        <v>880000</v>
      </c>
      <c r="L225" s="109"/>
      <c r="M225" s="78">
        <f t="shared" si="72"/>
        <v>44000</v>
      </c>
      <c r="N225" s="79"/>
      <c r="O225" s="80">
        <f t="shared" si="73"/>
        <v>836000</v>
      </c>
      <c r="P225" s="176"/>
      <c r="Q225" s="176"/>
      <c r="R225" s="109"/>
      <c r="S225" s="183"/>
      <c r="T225" s="183"/>
      <c r="U225" s="122"/>
      <c r="V225" s="767"/>
      <c r="W225" s="135" t="s">
        <v>53</v>
      </c>
      <c r="X225" s="106"/>
      <c r="Y225" s="106"/>
      <c r="Z225" s="427"/>
      <c r="AA225" s="107"/>
      <c r="AB225" s="107"/>
      <c r="AC225" s="107"/>
      <c r="AD225" s="106"/>
    </row>
    <row r="226" ht="30.75" customHeight="1">
      <c r="A226" s="93">
        <v>162.0</v>
      </c>
      <c r="B226" s="103">
        <v>45188.0</v>
      </c>
      <c r="C226" s="93" t="s">
        <v>1199</v>
      </c>
      <c r="D226" s="92" t="s">
        <v>50</v>
      </c>
      <c r="E226" s="105" t="s">
        <v>1200</v>
      </c>
      <c r="F226" s="92" t="s">
        <v>528</v>
      </c>
      <c r="G226" s="63" t="s">
        <v>30</v>
      </c>
      <c r="H226" s="64">
        <v>2.0</v>
      </c>
      <c r="I226" s="47">
        <f t="shared" si="68"/>
        <v>220000</v>
      </c>
      <c r="J226" s="48">
        <f t="shared" si="69"/>
        <v>440000</v>
      </c>
      <c r="K226" s="76">
        <f t="shared" si="71"/>
        <v>440000</v>
      </c>
      <c r="L226" s="109"/>
      <c r="M226" s="78">
        <f t="shared" si="72"/>
        <v>22000</v>
      </c>
      <c r="N226" s="79"/>
      <c r="O226" s="80">
        <f t="shared" si="73"/>
        <v>418000</v>
      </c>
      <c r="P226" s="176"/>
      <c r="Q226" s="176"/>
      <c r="R226" s="109"/>
      <c r="S226" s="183"/>
      <c r="T226" s="183"/>
      <c r="U226" s="122"/>
      <c r="V226" s="767"/>
      <c r="W226" s="135" t="s">
        <v>53</v>
      </c>
      <c r="X226" s="106"/>
      <c r="Y226" s="106"/>
      <c r="Z226" s="427"/>
      <c r="AA226" s="107"/>
      <c r="AB226" s="107"/>
      <c r="AC226" s="107"/>
      <c r="AD226" s="106"/>
    </row>
    <row r="227" ht="30.75" customHeight="1">
      <c r="A227" s="93">
        <v>163.0</v>
      </c>
      <c r="B227" s="103">
        <v>45188.0</v>
      </c>
      <c r="C227" s="93" t="s">
        <v>1201</v>
      </c>
      <c r="D227" s="92" t="s">
        <v>50</v>
      </c>
      <c r="E227" s="105" t="s">
        <v>595</v>
      </c>
      <c r="F227" s="92" t="s">
        <v>485</v>
      </c>
      <c r="G227" s="63" t="s">
        <v>30</v>
      </c>
      <c r="H227" s="64">
        <v>5.0</v>
      </c>
      <c r="I227" s="47">
        <f t="shared" si="68"/>
        <v>220000</v>
      </c>
      <c r="J227" s="48">
        <f t="shared" si="69"/>
        <v>1100000</v>
      </c>
      <c r="K227" s="76">
        <f t="shared" si="71"/>
        <v>1100000</v>
      </c>
      <c r="L227" s="109"/>
      <c r="M227" s="78">
        <f t="shared" si="72"/>
        <v>55000</v>
      </c>
      <c r="N227" s="79"/>
      <c r="O227" s="80">
        <f t="shared" si="73"/>
        <v>1045000</v>
      </c>
      <c r="P227" s="176"/>
      <c r="Q227" s="176"/>
      <c r="R227" s="109"/>
      <c r="S227" s="183"/>
      <c r="T227" s="183"/>
      <c r="U227" s="122"/>
      <c r="V227" s="767"/>
      <c r="W227" s="135" t="s">
        <v>53</v>
      </c>
      <c r="X227" s="106"/>
      <c r="Y227" s="106"/>
      <c r="Z227" s="427"/>
      <c r="AA227" s="107"/>
      <c r="AB227" s="107"/>
      <c r="AC227" s="107"/>
      <c r="AD227" s="106"/>
    </row>
    <row r="228" ht="30.75" customHeight="1">
      <c r="A228" s="93">
        <v>164.0</v>
      </c>
      <c r="B228" s="103">
        <v>45188.0</v>
      </c>
      <c r="C228" s="93" t="s">
        <v>1202</v>
      </c>
      <c r="D228" s="92" t="s">
        <v>50</v>
      </c>
      <c r="E228" s="105" t="s">
        <v>1203</v>
      </c>
      <c r="F228" s="92" t="s">
        <v>193</v>
      </c>
      <c r="G228" s="63" t="s">
        <v>30</v>
      </c>
      <c r="H228" s="64">
        <v>1.0</v>
      </c>
      <c r="I228" s="47">
        <f t="shared" si="68"/>
        <v>220000</v>
      </c>
      <c r="J228" s="48">
        <f t="shared" si="69"/>
        <v>220000</v>
      </c>
      <c r="K228" s="76">
        <f t="shared" si="71"/>
        <v>220000</v>
      </c>
      <c r="L228" s="109"/>
      <c r="M228" s="78">
        <f t="shared" si="72"/>
        <v>11000</v>
      </c>
      <c r="N228" s="79"/>
      <c r="O228" s="80">
        <f t="shared" si="73"/>
        <v>209000</v>
      </c>
      <c r="P228" s="176"/>
      <c r="Q228" s="176"/>
      <c r="R228" s="109"/>
      <c r="S228" s="183"/>
      <c r="T228" s="183"/>
      <c r="U228" s="122"/>
      <c r="V228" s="767"/>
      <c r="W228" s="135" t="s">
        <v>53</v>
      </c>
      <c r="X228" s="106"/>
      <c r="Y228" s="106"/>
      <c r="Z228" s="427"/>
      <c r="AA228" s="107"/>
      <c r="AB228" s="107"/>
      <c r="AC228" s="107"/>
      <c r="AD228" s="106"/>
    </row>
    <row r="229" ht="30.75" customHeight="1">
      <c r="A229" s="93">
        <v>165.0</v>
      </c>
      <c r="B229" s="103">
        <v>45188.0</v>
      </c>
      <c r="C229" s="93" t="s">
        <v>1204</v>
      </c>
      <c r="D229" s="92" t="s">
        <v>50</v>
      </c>
      <c r="E229" s="105" t="s">
        <v>1205</v>
      </c>
      <c r="F229" s="92" t="s">
        <v>841</v>
      </c>
      <c r="G229" s="63" t="s">
        <v>30</v>
      </c>
      <c r="H229" s="64">
        <v>1.0</v>
      </c>
      <c r="I229" s="47">
        <f t="shared" si="68"/>
        <v>220000</v>
      </c>
      <c r="J229" s="48">
        <f t="shared" si="69"/>
        <v>220000</v>
      </c>
      <c r="K229" s="76">
        <f t="shared" si="71"/>
        <v>220000</v>
      </c>
      <c r="L229" s="109"/>
      <c r="M229" s="78">
        <f t="shared" si="72"/>
        <v>11000</v>
      </c>
      <c r="N229" s="79"/>
      <c r="O229" s="80">
        <f t="shared" si="73"/>
        <v>209000</v>
      </c>
      <c r="P229" s="176"/>
      <c r="Q229" s="176"/>
      <c r="R229" s="109"/>
      <c r="S229" s="183"/>
      <c r="T229" s="183"/>
      <c r="U229" s="122"/>
      <c r="V229" s="767"/>
      <c r="W229" s="135" t="s">
        <v>53</v>
      </c>
      <c r="X229" s="106"/>
      <c r="Y229" s="106"/>
      <c r="Z229" s="427"/>
      <c r="AA229" s="107"/>
      <c r="AB229" s="107"/>
      <c r="AC229" s="107"/>
      <c r="AD229" s="106"/>
    </row>
    <row r="230" ht="30.75" customHeight="1">
      <c r="A230" s="93">
        <v>166.0</v>
      </c>
      <c r="B230" s="103">
        <v>45189.0</v>
      </c>
      <c r="C230" s="93">
        <v>1.699015176245E12</v>
      </c>
      <c r="D230" s="92" t="s">
        <v>446</v>
      </c>
      <c r="E230" s="105" t="s">
        <v>447</v>
      </c>
      <c r="F230" s="92" t="s">
        <v>1206</v>
      </c>
      <c r="G230" s="63" t="s">
        <v>30</v>
      </c>
      <c r="H230" s="64">
        <v>3.0</v>
      </c>
      <c r="I230" s="47">
        <f t="shared" si="68"/>
        <v>220000</v>
      </c>
      <c r="J230" s="48">
        <f t="shared" si="69"/>
        <v>660000</v>
      </c>
      <c r="K230" s="76">
        <f t="shared" si="71"/>
        <v>660000</v>
      </c>
      <c r="L230" s="109"/>
      <c r="M230" s="575"/>
      <c r="N230" s="79"/>
      <c r="O230" s="80">
        <f t="shared" si="73"/>
        <v>660000</v>
      </c>
      <c r="P230" s="81" t="s">
        <v>449</v>
      </c>
      <c r="Q230" s="81" t="s">
        <v>31</v>
      </c>
      <c r="R230" s="108">
        <v>49002.0</v>
      </c>
      <c r="S230" s="84" t="s">
        <v>32</v>
      </c>
      <c r="T230" s="84" t="s">
        <v>33</v>
      </c>
      <c r="U230" s="92" t="s">
        <v>1020</v>
      </c>
      <c r="V230" s="483">
        <v>1.0</v>
      </c>
      <c r="W230" s="92" t="s">
        <v>1021</v>
      </c>
      <c r="X230" s="106"/>
      <c r="Y230" s="106"/>
      <c r="Z230" s="427"/>
      <c r="AA230" s="107"/>
      <c r="AB230" s="107"/>
      <c r="AC230" s="107"/>
      <c r="AD230" s="106"/>
    </row>
    <row r="231" ht="30.75" customHeight="1">
      <c r="A231" s="93">
        <v>167.0</v>
      </c>
      <c r="B231" s="103">
        <v>45189.0</v>
      </c>
      <c r="C231" s="93">
        <v>1.701493802119E12</v>
      </c>
      <c r="D231" s="674" t="s">
        <v>1207</v>
      </c>
      <c r="E231" s="105" t="s">
        <v>1208</v>
      </c>
      <c r="F231" s="92" t="s">
        <v>1209</v>
      </c>
      <c r="G231" s="63" t="s">
        <v>30</v>
      </c>
      <c r="H231" s="64">
        <v>5.0</v>
      </c>
      <c r="I231" s="47">
        <f t="shared" si="68"/>
        <v>220000</v>
      </c>
      <c r="J231" s="48">
        <f t="shared" si="69"/>
        <v>1100000</v>
      </c>
      <c r="K231" s="76">
        <f t="shared" si="71"/>
        <v>1100000</v>
      </c>
      <c r="L231" s="109"/>
      <c r="M231" s="575"/>
      <c r="N231" s="79"/>
      <c r="O231" s="80">
        <f t="shared" si="73"/>
        <v>1100000</v>
      </c>
      <c r="P231" s="81" t="s">
        <v>449</v>
      </c>
      <c r="Q231" s="81" t="s">
        <v>31</v>
      </c>
      <c r="R231" s="108">
        <v>58002.0</v>
      </c>
      <c r="S231" s="84" t="s">
        <v>32</v>
      </c>
      <c r="T231" s="84" t="s">
        <v>33</v>
      </c>
      <c r="U231" s="92" t="s">
        <v>1055</v>
      </c>
      <c r="V231" s="483">
        <v>1.0</v>
      </c>
      <c r="W231" s="92" t="s">
        <v>1023</v>
      </c>
      <c r="X231" s="106"/>
      <c r="Y231" s="106"/>
      <c r="Z231" s="427"/>
      <c r="AA231" s="107"/>
      <c r="AB231" s="107"/>
      <c r="AC231" s="107"/>
      <c r="AD231" s="106"/>
    </row>
    <row r="232" ht="30.75" customHeight="1">
      <c r="A232" s="93">
        <v>168.0</v>
      </c>
      <c r="B232" s="103">
        <v>45189.0</v>
      </c>
      <c r="C232" s="93">
        <v>1.699127121553E12</v>
      </c>
      <c r="D232" s="92" t="s">
        <v>1210</v>
      </c>
      <c r="E232" s="105" t="s">
        <v>1211</v>
      </c>
      <c r="F232" s="121" t="s">
        <v>1212</v>
      </c>
      <c r="G232" s="63" t="s">
        <v>30</v>
      </c>
      <c r="H232" s="64">
        <v>3.0</v>
      </c>
      <c r="I232" s="47">
        <f t="shared" si="68"/>
        <v>220000</v>
      </c>
      <c r="J232" s="48">
        <f t="shared" si="69"/>
        <v>660000</v>
      </c>
      <c r="K232" s="76">
        <f t="shared" si="71"/>
        <v>660000</v>
      </c>
      <c r="L232" s="109"/>
      <c r="M232" s="575"/>
      <c r="N232" s="79"/>
      <c r="O232" s="80">
        <f t="shared" si="73"/>
        <v>660000</v>
      </c>
      <c r="P232" s="81" t="s">
        <v>449</v>
      </c>
      <c r="Q232" s="81" t="s">
        <v>31</v>
      </c>
      <c r="R232" s="108">
        <v>42001.0</v>
      </c>
      <c r="S232" s="84" t="s">
        <v>32</v>
      </c>
      <c r="T232" s="84" t="s">
        <v>33</v>
      </c>
      <c r="U232" s="92" t="s">
        <v>1020</v>
      </c>
      <c r="V232" s="483">
        <v>1.0</v>
      </c>
      <c r="W232" s="92" t="s">
        <v>1021</v>
      </c>
      <c r="X232" s="106"/>
      <c r="Y232" s="106"/>
      <c r="Z232" s="427"/>
      <c r="AA232" s="107"/>
      <c r="AB232" s="107"/>
      <c r="AC232" s="107"/>
      <c r="AD232" s="106"/>
    </row>
    <row r="233" ht="30.75" customHeight="1">
      <c r="A233" s="93">
        <v>169.0</v>
      </c>
      <c r="B233" s="103">
        <v>45189.0</v>
      </c>
      <c r="C233" s="93">
        <v>1.699179433027E12</v>
      </c>
      <c r="D233" s="92" t="s">
        <v>351</v>
      </c>
      <c r="E233" s="105" t="s">
        <v>1213</v>
      </c>
      <c r="F233" s="92" t="s">
        <v>1214</v>
      </c>
      <c r="G233" s="63" t="s">
        <v>30</v>
      </c>
      <c r="H233" s="64">
        <v>5.0</v>
      </c>
      <c r="I233" s="47">
        <f t="shared" si="68"/>
        <v>220000</v>
      </c>
      <c r="J233" s="48">
        <f t="shared" si="69"/>
        <v>1100000</v>
      </c>
      <c r="K233" s="76">
        <f t="shared" si="71"/>
        <v>1100000</v>
      </c>
      <c r="L233" s="109"/>
      <c r="M233" s="575"/>
      <c r="N233" s="79"/>
      <c r="O233" s="80">
        <f t="shared" si="73"/>
        <v>1100000</v>
      </c>
      <c r="P233" s="81" t="s">
        <v>449</v>
      </c>
      <c r="Q233" s="81" t="s">
        <v>31</v>
      </c>
      <c r="R233" s="108">
        <v>58002.0</v>
      </c>
      <c r="S233" s="84" t="s">
        <v>32</v>
      </c>
      <c r="T233" s="84" t="s">
        <v>33</v>
      </c>
      <c r="U233" s="92" t="s">
        <v>1055</v>
      </c>
      <c r="V233" s="483">
        <v>1.0</v>
      </c>
      <c r="W233" s="92" t="s">
        <v>1023</v>
      </c>
      <c r="X233" s="106"/>
      <c r="Y233" s="106"/>
      <c r="Z233" s="427"/>
      <c r="AA233" s="107"/>
      <c r="AB233" s="107"/>
      <c r="AC233" s="107"/>
      <c r="AD233" s="106"/>
    </row>
    <row r="234" ht="30.75" customHeight="1">
      <c r="A234" s="93">
        <v>170.0</v>
      </c>
      <c r="B234" s="103">
        <v>45189.0</v>
      </c>
      <c r="C234" s="93">
        <v>1.704355479803E12</v>
      </c>
      <c r="D234" s="92" t="s">
        <v>1215</v>
      </c>
      <c r="E234" s="105" t="s">
        <v>1216</v>
      </c>
      <c r="F234" s="92" t="s">
        <v>1217</v>
      </c>
      <c r="G234" s="63" t="s">
        <v>30</v>
      </c>
      <c r="H234" s="64">
        <v>1.0</v>
      </c>
      <c r="I234" s="47">
        <f t="shared" si="68"/>
        <v>220000</v>
      </c>
      <c r="J234" s="48">
        <f t="shared" si="69"/>
        <v>220000</v>
      </c>
      <c r="K234" s="76">
        <f t="shared" si="71"/>
        <v>220000</v>
      </c>
      <c r="L234" s="108">
        <v>40001.0</v>
      </c>
      <c r="M234" s="575"/>
      <c r="N234" s="115">
        <v>20001.0</v>
      </c>
      <c r="O234" s="80">
        <f t="shared" si="73"/>
        <v>240000</v>
      </c>
      <c r="P234" s="81" t="s">
        <v>449</v>
      </c>
      <c r="Q234" s="81" t="s">
        <v>31</v>
      </c>
      <c r="R234" s="109"/>
      <c r="S234" s="183"/>
      <c r="T234" s="84" t="s">
        <v>33</v>
      </c>
      <c r="U234" s="122"/>
      <c r="V234" s="767"/>
      <c r="W234" s="122"/>
      <c r="X234" s="106"/>
      <c r="Y234" s="106"/>
      <c r="Z234" s="427"/>
      <c r="AA234" s="107"/>
      <c r="AB234" s="107"/>
      <c r="AC234" s="107"/>
      <c r="AD234" s="106"/>
    </row>
    <row r="235" ht="30.75" customHeight="1">
      <c r="A235" s="93">
        <v>171.0</v>
      </c>
      <c r="B235" s="103">
        <v>45189.0</v>
      </c>
      <c r="C235" s="93">
        <v>1.706432352201E12</v>
      </c>
      <c r="D235" s="92" t="s">
        <v>1218</v>
      </c>
      <c r="E235" s="105" t="s">
        <v>1219</v>
      </c>
      <c r="F235" s="92" t="s">
        <v>1220</v>
      </c>
      <c r="G235" s="63" t="s">
        <v>30</v>
      </c>
      <c r="H235" s="64">
        <v>1.0</v>
      </c>
      <c r="I235" s="47">
        <f t="shared" si="68"/>
        <v>220000</v>
      </c>
      <c r="J235" s="48">
        <f t="shared" si="69"/>
        <v>220000</v>
      </c>
      <c r="K235" s="76">
        <f t="shared" si="71"/>
        <v>220000</v>
      </c>
      <c r="L235" s="108">
        <v>40001.0</v>
      </c>
      <c r="M235" s="575"/>
      <c r="N235" s="115">
        <v>20001.0</v>
      </c>
      <c r="O235" s="80">
        <f t="shared" si="73"/>
        <v>240000</v>
      </c>
      <c r="P235" s="81" t="s">
        <v>449</v>
      </c>
      <c r="Q235" s="81" t="s">
        <v>31</v>
      </c>
      <c r="R235" s="109"/>
      <c r="S235" s="183"/>
      <c r="T235" s="84" t="s">
        <v>33</v>
      </c>
      <c r="U235" s="122"/>
      <c r="V235" s="767"/>
      <c r="W235" s="122"/>
      <c r="X235" s="106"/>
      <c r="Y235" s="106"/>
      <c r="Z235" s="427"/>
      <c r="AA235" s="107"/>
      <c r="AB235" s="107"/>
      <c r="AC235" s="107"/>
      <c r="AD235" s="106"/>
    </row>
    <row r="236" ht="30.75" customHeight="1">
      <c r="A236" s="93">
        <v>172.0</v>
      </c>
      <c r="B236" s="103">
        <v>45189.0</v>
      </c>
      <c r="C236" s="65" t="s">
        <v>1221</v>
      </c>
      <c r="D236" s="92" t="s">
        <v>50</v>
      </c>
      <c r="E236" s="105" t="s">
        <v>1222</v>
      </c>
      <c r="F236" s="92" t="s">
        <v>70</v>
      </c>
      <c r="G236" s="63" t="s">
        <v>30</v>
      </c>
      <c r="H236" s="64">
        <v>1.0</v>
      </c>
      <c r="I236" s="47">
        <f t="shared" si="68"/>
        <v>220000</v>
      </c>
      <c r="J236" s="48">
        <f t="shared" si="69"/>
        <v>220000</v>
      </c>
      <c r="K236" s="76">
        <f t="shared" si="71"/>
        <v>220000</v>
      </c>
      <c r="L236" s="109"/>
      <c r="M236" s="78">
        <f t="shared" ref="M236:M237" si="74">K236*5%</f>
        <v>11000</v>
      </c>
      <c r="N236" s="79"/>
      <c r="O236" s="80">
        <f t="shared" si="73"/>
        <v>209000</v>
      </c>
      <c r="P236" s="176"/>
      <c r="Q236" s="176"/>
      <c r="R236" s="109"/>
      <c r="S236" s="183"/>
      <c r="T236" s="183"/>
      <c r="U236" s="122"/>
      <c r="V236" s="767"/>
      <c r="W236" s="122"/>
      <c r="X236" s="106"/>
      <c r="Y236" s="106"/>
      <c r="Z236" s="427"/>
      <c r="AA236" s="107"/>
      <c r="AB236" s="107"/>
      <c r="AC236" s="107"/>
      <c r="AD236" s="106"/>
    </row>
    <row r="237" ht="30.75" customHeight="1">
      <c r="A237" s="93">
        <v>173.0</v>
      </c>
      <c r="B237" s="103">
        <v>45189.0</v>
      </c>
      <c r="C237" s="65" t="s">
        <v>1223</v>
      </c>
      <c r="D237" s="92" t="s">
        <v>50</v>
      </c>
      <c r="E237" s="105" t="s">
        <v>906</v>
      </c>
      <c r="F237" s="92" t="s">
        <v>70</v>
      </c>
      <c r="G237" s="63" t="s">
        <v>30</v>
      </c>
      <c r="H237" s="64">
        <v>1.0</v>
      </c>
      <c r="I237" s="47">
        <f t="shared" si="68"/>
        <v>220000</v>
      </c>
      <c r="J237" s="48">
        <f t="shared" si="69"/>
        <v>220000</v>
      </c>
      <c r="K237" s="76">
        <f t="shared" si="71"/>
        <v>220000</v>
      </c>
      <c r="L237" s="109"/>
      <c r="M237" s="78">
        <f t="shared" si="74"/>
        <v>11000</v>
      </c>
      <c r="N237" s="79"/>
      <c r="O237" s="80">
        <f t="shared" si="73"/>
        <v>209000</v>
      </c>
      <c r="P237" s="176"/>
      <c r="Q237" s="176"/>
      <c r="R237" s="109"/>
      <c r="S237" s="183"/>
      <c r="T237" s="183"/>
      <c r="U237" s="122"/>
      <c r="V237" s="767"/>
      <c r="W237" s="135" t="s">
        <v>53</v>
      </c>
      <c r="X237" s="106"/>
      <c r="Y237" s="106"/>
      <c r="Z237" s="427"/>
      <c r="AA237" s="107"/>
      <c r="AB237" s="107"/>
      <c r="AC237" s="107"/>
      <c r="AD237" s="106"/>
    </row>
    <row r="238" ht="30.75" customHeight="1">
      <c r="A238" s="93">
        <v>174.0</v>
      </c>
      <c r="B238" s="103">
        <v>45190.0</v>
      </c>
      <c r="C238" s="93">
        <v>1.707292393443E12</v>
      </c>
      <c r="D238" s="92" t="s">
        <v>1224</v>
      </c>
      <c r="E238" s="105" t="s">
        <v>1225</v>
      </c>
      <c r="F238" s="674" t="s">
        <v>1226</v>
      </c>
      <c r="G238" s="63" t="s">
        <v>30</v>
      </c>
      <c r="H238" s="64">
        <v>3.0</v>
      </c>
      <c r="I238" s="47">
        <f t="shared" si="68"/>
        <v>220000</v>
      </c>
      <c r="J238" s="48">
        <f t="shared" si="69"/>
        <v>660000</v>
      </c>
      <c r="K238" s="76">
        <f t="shared" si="71"/>
        <v>660000</v>
      </c>
      <c r="L238" s="109"/>
      <c r="M238" s="575"/>
      <c r="N238" s="79"/>
      <c r="O238" s="80">
        <f t="shared" si="73"/>
        <v>660000</v>
      </c>
      <c r="P238" s="81" t="s">
        <v>449</v>
      </c>
      <c r="Q238" s="81" t="s">
        <v>31</v>
      </c>
      <c r="R238" s="108">
        <v>46002.0</v>
      </c>
      <c r="S238" s="84" t="s">
        <v>32</v>
      </c>
      <c r="T238" s="84" t="s">
        <v>33</v>
      </c>
      <c r="U238" s="92" t="s">
        <v>1020</v>
      </c>
      <c r="V238" s="93">
        <v>1.0</v>
      </c>
      <c r="W238" s="92" t="s">
        <v>1021</v>
      </c>
      <c r="X238" s="106"/>
      <c r="Y238" s="106"/>
      <c r="Z238" s="427"/>
      <c r="AA238" s="107"/>
      <c r="AB238" s="107"/>
      <c r="AC238" s="107"/>
      <c r="AD238" s="106"/>
    </row>
    <row r="239" ht="30.75" customHeight="1">
      <c r="A239" s="111">
        <v>175.0</v>
      </c>
      <c r="B239" s="112">
        <v>45190.0</v>
      </c>
      <c r="C239" s="111">
        <v>1.718535357811E12</v>
      </c>
      <c r="D239" s="142" t="s">
        <v>902</v>
      </c>
      <c r="E239" s="143" t="s">
        <v>441</v>
      </c>
      <c r="F239" s="142" t="s">
        <v>442</v>
      </c>
      <c r="G239" s="63" t="s">
        <v>30</v>
      </c>
      <c r="H239" s="64">
        <v>6.0</v>
      </c>
      <c r="I239" s="47">
        <f t="shared" si="68"/>
        <v>220000</v>
      </c>
      <c r="J239" s="48">
        <f t="shared" si="69"/>
        <v>1320000</v>
      </c>
      <c r="K239" s="49">
        <f>SUM(J239:J241)</f>
        <v>3360000</v>
      </c>
      <c r="L239" s="144"/>
      <c r="M239" s="561"/>
      <c r="N239" s="52"/>
      <c r="O239" s="53">
        <f t="shared" si="73"/>
        <v>3360000</v>
      </c>
      <c r="P239" s="99" t="s">
        <v>449</v>
      </c>
      <c r="Q239" s="99" t="s">
        <v>31</v>
      </c>
      <c r="R239" s="145">
        <v>166680.0</v>
      </c>
      <c r="S239" s="57" t="s">
        <v>32</v>
      </c>
      <c r="T239" s="57" t="s">
        <v>33</v>
      </c>
      <c r="U239" s="142" t="s">
        <v>30</v>
      </c>
      <c r="V239" s="111">
        <v>2.0</v>
      </c>
      <c r="W239" s="44" t="s">
        <v>1227</v>
      </c>
      <c r="X239" s="106"/>
      <c r="Y239" s="106"/>
      <c r="Z239" s="427"/>
      <c r="AA239" s="107"/>
      <c r="AB239" s="107"/>
      <c r="AC239" s="107"/>
      <c r="AD239" s="106"/>
    </row>
    <row r="240" ht="37.5" customHeight="1">
      <c r="A240" s="62"/>
      <c r="B240" s="62"/>
      <c r="C240" s="62"/>
      <c r="D240" s="62"/>
      <c r="E240" s="62"/>
      <c r="F240" s="62"/>
      <c r="G240" s="63" t="s">
        <v>35</v>
      </c>
      <c r="H240" s="64">
        <v>6.0</v>
      </c>
      <c r="I240" s="47">
        <f t="shared" si="68"/>
        <v>220000</v>
      </c>
      <c r="J240" s="48">
        <f t="shared" si="69"/>
        <v>1320000</v>
      </c>
      <c r="K240" s="62"/>
      <c r="L240" s="62"/>
      <c r="M240" s="62"/>
      <c r="N240" s="62"/>
      <c r="O240" s="62"/>
      <c r="P240" s="62"/>
      <c r="Q240" s="62"/>
      <c r="R240" s="62"/>
      <c r="S240" s="62"/>
      <c r="T240" s="62"/>
      <c r="U240" s="67"/>
      <c r="V240" s="67"/>
      <c r="W240" s="67"/>
      <c r="X240" s="106"/>
      <c r="Y240" s="106"/>
      <c r="Z240" s="427"/>
      <c r="AA240" s="107"/>
      <c r="AB240" s="107"/>
      <c r="AC240" s="107"/>
      <c r="AD240" s="106"/>
    </row>
    <row r="241" ht="55.5" customHeight="1">
      <c r="A241" s="67"/>
      <c r="B241" s="67"/>
      <c r="C241" s="67"/>
      <c r="D241" s="67"/>
      <c r="E241" s="67"/>
      <c r="F241" s="67"/>
      <c r="G241" s="63" t="s">
        <v>383</v>
      </c>
      <c r="H241" s="64">
        <v>9.0</v>
      </c>
      <c r="I241" s="47">
        <f t="shared" si="68"/>
        <v>80000</v>
      </c>
      <c r="J241" s="48">
        <f t="shared" si="69"/>
        <v>720000</v>
      </c>
      <c r="K241" s="67"/>
      <c r="L241" s="67"/>
      <c r="M241" s="67"/>
      <c r="N241" s="67"/>
      <c r="O241" s="67"/>
      <c r="P241" s="67"/>
      <c r="Q241" s="67"/>
      <c r="R241" s="67"/>
      <c r="S241" s="67"/>
      <c r="T241" s="67"/>
      <c r="U241" s="92" t="s">
        <v>1228</v>
      </c>
      <c r="V241" s="93">
        <v>1.0</v>
      </c>
      <c r="W241" s="121" t="s">
        <v>1229</v>
      </c>
      <c r="X241" s="106"/>
      <c r="Y241" s="106"/>
      <c r="Z241" s="427"/>
      <c r="AA241" s="107"/>
      <c r="AB241" s="107"/>
      <c r="AC241" s="107"/>
      <c r="AD241" s="106"/>
    </row>
    <row r="242" ht="30.75" customHeight="1">
      <c r="A242" s="93">
        <v>176.0</v>
      </c>
      <c r="B242" s="103">
        <v>45190.0</v>
      </c>
      <c r="C242" s="93">
        <v>1.719211251547E12</v>
      </c>
      <c r="D242" s="92" t="s">
        <v>1230</v>
      </c>
      <c r="E242" s="768" t="s">
        <v>1231</v>
      </c>
      <c r="F242" s="121" t="s">
        <v>1232</v>
      </c>
      <c r="G242" s="63" t="s">
        <v>30</v>
      </c>
      <c r="H242" s="64">
        <v>5.0</v>
      </c>
      <c r="I242" s="47">
        <f t="shared" si="68"/>
        <v>220000</v>
      </c>
      <c r="J242" s="48">
        <f t="shared" si="69"/>
        <v>1100000</v>
      </c>
      <c r="K242" s="76">
        <f>SUM(J242)</f>
        <v>1100000</v>
      </c>
      <c r="L242" s="109"/>
      <c r="M242" s="575"/>
      <c r="N242" s="79"/>
      <c r="O242" s="80">
        <f t="shared" ref="O242:O243" si="75">K242+L242-M242-N242</f>
        <v>1100000</v>
      </c>
      <c r="P242" s="176"/>
      <c r="Q242" s="81" t="s">
        <v>31</v>
      </c>
      <c r="R242" s="108">
        <v>46497.0</v>
      </c>
      <c r="S242" s="84" t="s">
        <v>32</v>
      </c>
      <c r="T242" s="84" t="s">
        <v>33</v>
      </c>
      <c r="U242" s="92" t="s">
        <v>1020</v>
      </c>
      <c r="V242" s="93">
        <v>2.0</v>
      </c>
      <c r="W242" s="92" t="s">
        <v>1023</v>
      </c>
      <c r="X242" s="106"/>
      <c r="Y242" s="106"/>
      <c r="Z242" s="427"/>
      <c r="AA242" s="107"/>
      <c r="AB242" s="107"/>
      <c r="AC242" s="107"/>
      <c r="AD242" s="106"/>
    </row>
    <row r="243" ht="30.75" customHeight="1">
      <c r="A243" s="111">
        <v>177.0</v>
      </c>
      <c r="B243" s="112">
        <v>45190.0</v>
      </c>
      <c r="C243" s="111" t="s">
        <v>1233</v>
      </c>
      <c r="D243" s="142" t="s">
        <v>50</v>
      </c>
      <c r="E243" s="143" t="s">
        <v>635</v>
      </c>
      <c r="F243" s="142" t="s">
        <v>461</v>
      </c>
      <c r="G243" s="63" t="s">
        <v>35</v>
      </c>
      <c r="H243" s="64">
        <v>2.0</v>
      </c>
      <c r="I243" s="47">
        <f t="shared" si="68"/>
        <v>220000</v>
      </c>
      <c r="J243" s="48">
        <f t="shared" si="69"/>
        <v>440000</v>
      </c>
      <c r="K243" s="49">
        <f>SUM(J243:J245)</f>
        <v>880000</v>
      </c>
      <c r="L243" s="144"/>
      <c r="M243" s="51">
        <f>K243*5%</f>
        <v>44000</v>
      </c>
      <c r="N243" s="52"/>
      <c r="O243" s="53">
        <f t="shared" si="75"/>
        <v>836000</v>
      </c>
      <c r="P243" s="196"/>
      <c r="Q243" s="196"/>
      <c r="R243" s="144"/>
      <c r="S243" s="197"/>
      <c r="T243" s="197"/>
      <c r="U243" s="147"/>
      <c r="V243" s="147"/>
      <c r="W243" s="679" t="s">
        <v>53</v>
      </c>
      <c r="X243" s="106"/>
      <c r="Y243" s="106"/>
      <c r="Z243" s="427"/>
      <c r="AA243" s="107"/>
      <c r="AB243" s="107"/>
      <c r="AC243" s="107"/>
      <c r="AD243" s="106"/>
    </row>
    <row r="244" ht="30.75" customHeight="1">
      <c r="A244" s="62"/>
      <c r="B244" s="62"/>
      <c r="C244" s="62"/>
      <c r="D244" s="62"/>
      <c r="E244" s="62"/>
      <c r="F244" s="62"/>
      <c r="G244" s="63" t="s">
        <v>165</v>
      </c>
      <c r="H244" s="64">
        <v>1.0</v>
      </c>
      <c r="I244" s="47">
        <f t="shared" si="68"/>
        <v>220000</v>
      </c>
      <c r="J244" s="48">
        <f t="shared" si="69"/>
        <v>220000</v>
      </c>
      <c r="K244" s="62"/>
      <c r="L244" s="62"/>
      <c r="M244" s="62"/>
      <c r="N244" s="62"/>
      <c r="O244" s="62"/>
      <c r="P244" s="62"/>
      <c r="Q244" s="62"/>
      <c r="R244" s="62"/>
      <c r="S244" s="62"/>
      <c r="T244" s="62"/>
      <c r="U244" s="62"/>
      <c r="V244" s="62"/>
      <c r="W244" s="62"/>
      <c r="X244" s="106"/>
      <c r="Y244" s="106"/>
      <c r="Z244" s="427"/>
      <c r="AA244" s="107"/>
      <c r="AB244" s="107"/>
      <c r="AC244" s="107"/>
      <c r="AD244" s="106"/>
    </row>
    <row r="245" ht="30.75" customHeight="1">
      <c r="A245" s="67"/>
      <c r="B245" s="67"/>
      <c r="C245" s="67"/>
      <c r="D245" s="67"/>
      <c r="E245" s="67"/>
      <c r="F245" s="67"/>
      <c r="G245" s="63" t="s">
        <v>30</v>
      </c>
      <c r="H245" s="64">
        <v>1.0</v>
      </c>
      <c r="I245" s="47">
        <f t="shared" si="68"/>
        <v>220000</v>
      </c>
      <c r="J245" s="48">
        <f t="shared" si="69"/>
        <v>220000</v>
      </c>
      <c r="K245" s="67"/>
      <c r="L245" s="67"/>
      <c r="M245" s="67"/>
      <c r="N245" s="67"/>
      <c r="O245" s="67"/>
      <c r="P245" s="67"/>
      <c r="Q245" s="67"/>
      <c r="R245" s="67"/>
      <c r="S245" s="67"/>
      <c r="T245" s="67"/>
      <c r="U245" s="67"/>
      <c r="V245" s="67"/>
      <c r="W245" s="67"/>
      <c r="X245" s="106"/>
      <c r="Y245" s="106"/>
      <c r="Z245" s="427"/>
      <c r="AA245" s="107"/>
      <c r="AB245" s="107"/>
      <c r="AC245" s="107"/>
      <c r="AD245" s="106"/>
    </row>
    <row r="246" ht="30.75" customHeight="1">
      <c r="A246" s="93">
        <v>178.0</v>
      </c>
      <c r="B246" s="103">
        <v>45190.0</v>
      </c>
      <c r="C246" s="93" t="s">
        <v>1234</v>
      </c>
      <c r="D246" s="92" t="s">
        <v>50</v>
      </c>
      <c r="E246" s="105" t="s">
        <v>1235</v>
      </c>
      <c r="F246" s="92" t="s">
        <v>119</v>
      </c>
      <c r="G246" s="63" t="s">
        <v>30</v>
      </c>
      <c r="H246" s="64">
        <v>1.0</v>
      </c>
      <c r="I246" s="47">
        <f t="shared" si="68"/>
        <v>220000</v>
      </c>
      <c r="J246" s="48">
        <f t="shared" si="69"/>
        <v>220000</v>
      </c>
      <c r="K246" s="76">
        <f t="shared" ref="K246:K251" si="76">SUM(J246)</f>
        <v>220000</v>
      </c>
      <c r="L246" s="109"/>
      <c r="M246" s="78">
        <f t="shared" ref="M246:M251" si="77">K246*5%</f>
        <v>11000</v>
      </c>
      <c r="N246" s="79"/>
      <c r="O246" s="80">
        <f t="shared" ref="O246:O252" si="78">K246+L246-M246-N246</f>
        <v>209000</v>
      </c>
      <c r="P246" s="176"/>
      <c r="Q246" s="176"/>
      <c r="R246" s="109"/>
      <c r="S246" s="183"/>
      <c r="T246" s="183"/>
      <c r="U246" s="122"/>
      <c r="V246" s="767"/>
      <c r="W246" s="135" t="s">
        <v>53</v>
      </c>
      <c r="X246" s="106"/>
      <c r="Y246" s="106"/>
      <c r="Z246" s="427"/>
      <c r="AA246" s="107"/>
      <c r="AB246" s="107"/>
      <c r="AC246" s="107"/>
      <c r="AD246" s="106"/>
    </row>
    <row r="247" ht="30.75" customHeight="1">
      <c r="A247" s="93">
        <v>179.0</v>
      </c>
      <c r="B247" s="103">
        <v>45190.0</v>
      </c>
      <c r="C247" s="93" t="s">
        <v>1236</v>
      </c>
      <c r="D247" s="92" t="s">
        <v>50</v>
      </c>
      <c r="E247" s="105" t="s">
        <v>1237</v>
      </c>
      <c r="F247" s="92" t="s">
        <v>84</v>
      </c>
      <c r="G247" s="63" t="s">
        <v>30</v>
      </c>
      <c r="H247" s="64">
        <v>1.0</v>
      </c>
      <c r="I247" s="47">
        <f t="shared" si="68"/>
        <v>220000</v>
      </c>
      <c r="J247" s="48">
        <f t="shared" si="69"/>
        <v>220000</v>
      </c>
      <c r="K247" s="76">
        <f t="shared" si="76"/>
        <v>220000</v>
      </c>
      <c r="L247" s="109"/>
      <c r="M247" s="78">
        <f t="shared" si="77"/>
        <v>11000</v>
      </c>
      <c r="N247" s="79"/>
      <c r="O247" s="80">
        <f t="shared" si="78"/>
        <v>209000</v>
      </c>
      <c r="P247" s="176"/>
      <c r="Q247" s="176"/>
      <c r="R247" s="109"/>
      <c r="S247" s="183"/>
      <c r="T247" s="183"/>
      <c r="U247" s="122"/>
      <c r="V247" s="767"/>
      <c r="W247" s="135" t="s">
        <v>53</v>
      </c>
      <c r="X247" s="106"/>
      <c r="Y247" s="106"/>
      <c r="Z247" s="427"/>
      <c r="AA247" s="107"/>
      <c r="AB247" s="107"/>
      <c r="AC247" s="107"/>
      <c r="AD247" s="106"/>
    </row>
    <row r="248" ht="30.75" customHeight="1">
      <c r="A248" s="93">
        <v>180.0</v>
      </c>
      <c r="B248" s="103">
        <v>45190.0</v>
      </c>
      <c r="C248" s="93" t="s">
        <v>1238</v>
      </c>
      <c r="D248" s="92" t="s">
        <v>50</v>
      </c>
      <c r="E248" s="105" t="s">
        <v>301</v>
      </c>
      <c r="F248" s="92" t="s">
        <v>528</v>
      </c>
      <c r="G248" s="63" t="s">
        <v>30</v>
      </c>
      <c r="H248" s="64">
        <v>1.0</v>
      </c>
      <c r="I248" s="47">
        <f t="shared" si="68"/>
        <v>220000</v>
      </c>
      <c r="J248" s="48">
        <f t="shared" si="69"/>
        <v>220000</v>
      </c>
      <c r="K248" s="76">
        <f t="shared" si="76"/>
        <v>220000</v>
      </c>
      <c r="L248" s="109"/>
      <c r="M248" s="78">
        <f t="shared" si="77"/>
        <v>11000</v>
      </c>
      <c r="N248" s="79"/>
      <c r="O248" s="80">
        <f t="shared" si="78"/>
        <v>209000</v>
      </c>
      <c r="P248" s="176"/>
      <c r="Q248" s="176"/>
      <c r="R248" s="109"/>
      <c r="S248" s="183"/>
      <c r="T248" s="183"/>
      <c r="U248" s="122"/>
      <c r="V248" s="767"/>
      <c r="W248" s="135" t="s">
        <v>53</v>
      </c>
      <c r="X248" s="106"/>
      <c r="Y248" s="106"/>
      <c r="Z248" s="427"/>
      <c r="AA248" s="107"/>
      <c r="AB248" s="107"/>
      <c r="AC248" s="107"/>
      <c r="AD248" s="106"/>
    </row>
    <row r="249" ht="30.75" customHeight="1">
      <c r="A249" s="93">
        <v>181.0</v>
      </c>
      <c r="B249" s="103">
        <v>45190.0</v>
      </c>
      <c r="C249" s="93" t="s">
        <v>1239</v>
      </c>
      <c r="D249" s="92" t="s">
        <v>50</v>
      </c>
      <c r="E249" s="105" t="s">
        <v>1240</v>
      </c>
      <c r="F249" s="92" t="s">
        <v>74</v>
      </c>
      <c r="G249" s="63" t="s">
        <v>30</v>
      </c>
      <c r="H249" s="64">
        <v>1.0</v>
      </c>
      <c r="I249" s="47">
        <f t="shared" si="68"/>
        <v>220000</v>
      </c>
      <c r="J249" s="48">
        <f t="shared" si="69"/>
        <v>220000</v>
      </c>
      <c r="K249" s="76">
        <f t="shared" si="76"/>
        <v>220000</v>
      </c>
      <c r="L249" s="109"/>
      <c r="M249" s="78">
        <f t="shared" si="77"/>
        <v>11000</v>
      </c>
      <c r="N249" s="79"/>
      <c r="O249" s="80">
        <f t="shared" si="78"/>
        <v>209000</v>
      </c>
      <c r="P249" s="176"/>
      <c r="Q249" s="176"/>
      <c r="R249" s="109"/>
      <c r="S249" s="183"/>
      <c r="T249" s="183"/>
      <c r="U249" s="122"/>
      <c r="V249" s="767"/>
      <c r="W249" s="135" t="s">
        <v>53</v>
      </c>
      <c r="X249" s="106"/>
      <c r="Y249" s="106"/>
      <c r="Z249" s="427"/>
      <c r="AA249" s="107"/>
      <c r="AB249" s="107"/>
      <c r="AC249" s="107"/>
      <c r="AD249" s="106"/>
    </row>
    <row r="250" ht="30.75" customHeight="1">
      <c r="A250" s="93">
        <v>182.0</v>
      </c>
      <c r="B250" s="103">
        <v>45190.0</v>
      </c>
      <c r="C250" s="93" t="s">
        <v>1241</v>
      </c>
      <c r="D250" s="92" t="s">
        <v>50</v>
      </c>
      <c r="E250" s="105" t="s">
        <v>1242</v>
      </c>
      <c r="F250" s="92" t="s">
        <v>70</v>
      </c>
      <c r="G250" s="63" t="s">
        <v>30</v>
      </c>
      <c r="H250" s="64">
        <v>1.0</v>
      </c>
      <c r="I250" s="47">
        <f t="shared" si="68"/>
        <v>220000</v>
      </c>
      <c r="J250" s="48">
        <f t="shared" si="69"/>
        <v>220000</v>
      </c>
      <c r="K250" s="76">
        <f t="shared" si="76"/>
        <v>220000</v>
      </c>
      <c r="L250" s="109"/>
      <c r="M250" s="78">
        <f t="shared" si="77"/>
        <v>11000</v>
      </c>
      <c r="N250" s="79"/>
      <c r="O250" s="80">
        <f t="shared" si="78"/>
        <v>209000</v>
      </c>
      <c r="P250" s="176"/>
      <c r="Q250" s="176"/>
      <c r="R250" s="109"/>
      <c r="S250" s="183"/>
      <c r="T250" s="183"/>
      <c r="U250" s="122"/>
      <c r="V250" s="767"/>
      <c r="W250" s="135" t="s">
        <v>53</v>
      </c>
      <c r="X250" s="106"/>
      <c r="Y250" s="106"/>
      <c r="Z250" s="427"/>
      <c r="AA250" s="107"/>
      <c r="AB250" s="107"/>
      <c r="AC250" s="107"/>
      <c r="AD250" s="106"/>
    </row>
    <row r="251" ht="30.75" customHeight="1">
      <c r="A251" s="93">
        <v>183.0</v>
      </c>
      <c r="B251" s="103">
        <v>45190.0</v>
      </c>
      <c r="C251" s="93" t="s">
        <v>1243</v>
      </c>
      <c r="D251" s="92" t="s">
        <v>50</v>
      </c>
      <c r="E251" s="105" t="s">
        <v>1244</v>
      </c>
      <c r="F251" s="92" t="s">
        <v>991</v>
      </c>
      <c r="G251" s="63" t="s">
        <v>30</v>
      </c>
      <c r="H251" s="64">
        <v>1.0</v>
      </c>
      <c r="I251" s="47">
        <f t="shared" si="68"/>
        <v>220000</v>
      </c>
      <c r="J251" s="48">
        <f t="shared" si="69"/>
        <v>220000</v>
      </c>
      <c r="K251" s="76">
        <f t="shared" si="76"/>
        <v>220000</v>
      </c>
      <c r="L251" s="109"/>
      <c r="M251" s="78">
        <f t="shared" si="77"/>
        <v>11000</v>
      </c>
      <c r="N251" s="79"/>
      <c r="O251" s="80">
        <f t="shared" si="78"/>
        <v>209000</v>
      </c>
      <c r="P251" s="176"/>
      <c r="Q251" s="176"/>
      <c r="R251" s="109"/>
      <c r="S251" s="183"/>
      <c r="T251" s="183"/>
      <c r="U251" s="122"/>
      <c r="V251" s="767"/>
      <c r="W251" s="135" t="s">
        <v>53</v>
      </c>
      <c r="X251" s="106"/>
      <c r="Y251" s="106"/>
      <c r="Z251" s="427"/>
      <c r="AA251" s="107"/>
      <c r="AB251" s="107"/>
      <c r="AC251" s="107"/>
      <c r="AD251" s="106"/>
    </row>
    <row r="252" ht="30.75" customHeight="1">
      <c r="A252" s="111">
        <v>184.0</v>
      </c>
      <c r="B252" s="112">
        <v>45191.0</v>
      </c>
      <c r="C252" s="111">
        <v>1.699089369538E12</v>
      </c>
      <c r="D252" s="142" t="s">
        <v>550</v>
      </c>
      <c r="E252" s="143" t="s">
        <v>551</v>
      </c>
      <c r="F252" s="142" t="s">
        <v>889</v>
      </c>
      <c r="G252" s="63" t="s">
        <v>30</v>
      </c>
      <c r="H252" s="64">
        <v>5.0</v>
      </c>
      <c r="I252" s="47">
        <f t="shared" si="68"/>
        <v>220000</v>
      </c>
      <c r="J252" s="48">
        <f t="shared" si="69"/>
        <v>1100000</v>
      </c>
      <c r="K252" s="49">
        <f>sum(J252:J259)</f>
        <v>3610000</v>
      </c>
      <c r="L252" s="144"/>
      <c r="M252" s="561"/>
      <c r="N252" s="52"/>
      <c r="O252" s="53">
        <f t="shared" si="78"/>
        <v>3610000</v>
      </c>
      <c r="P252" s="196"/>
      <c r="Q252" s="196"/>
      <c r="R252" s="145">
        <v>178920.0</v>
      </c>
      <c r="S252" s="57" t="s">
        <v>32</v>
      </c>
      <c r="T252" s="197"/>
      <c r="U252" s="147"/>
      <c r="V252" s="147"/>
      <c r="W252" s="147"/>
      <c r="X252" s="106"/>
      <c r="Y252" s="106"/>
      <c r="Z252" s="427"/>
      <c r="AA252" s="107"/>
      <c r="AB252" s="107"/>
      <c r="AC252" s="107"/>
      <c r="AD252" s="106"/>
    </row>
    <row r="253" ht="30.75" customHeight="1">
      <c r="A253" s="62"/>
      <c r="B253" s="62"/>
      <c r="C253" s="62"/>
      <c r="D253" s="62"/>
      <c r="E253" s="62"/>
      <c r="F253" s="62"/>
      <c r="G253" s="63" t="s">
        <v>37</v>
      </c>
      <c r="H253" s="64">
        <v>2.0</v>
      </c>
      <c r="I253" s="47">
        <f t="shared" si="68"/>
        <v>220000</v>
      </c>
      <c r="J253" s="48">
        <f t="shared" si="69"/>
        <v>440000</v>
      </c>
      <c r="K253" s="62"/>
      <c r="L253" s="62"/>
      <c r="M253" s="62"/>
      <c r="N253" s="62"/>
      <c r="O253" s="62"/>
      <c r="P253" s="62"/>
      <c r="Q253" s="62"/>
      <c r="R253" s="62"/>
      <c r="S253" s="62"/>
      <c r="T253" s="62"/>
      <c r="U253" s="62"/>
      <c r="V253" s="62"/>
      <c r="W253" s="62"/>
      <c r="X253" s="106"/>
      <c r="Y253" s="106"/>
      <c r="Z253" s="427"/>
      <c r="AA253" s="107"/>
      <c r="AB253" s="107"/>
      <c r="AC253" s="107"/>
      <c r="AD253" s="106"/>
    </row>
    <row r="254" ht="30.75" customHeight="1">
      <c r="A254" s="62"/>
      <c r="B254" s="62"/>
      <c r="C254" s="62"/>
      <c r="D254" s="62"/>
      <c r="E254" s="62"/>
      <c r="F254" s="62"/>
      <c r="G254" s="63" t="s">
        <v>122</v>
      </c>
      <c r="H254" s="64">
        <v>2.0</v>
      </c>
      <c r="I254" s="47">
        <f t="shared" si="68"/>
        <v>220000</v>
      </c>
      <c r="J254" s="48">
        <f t="shared" si="69"/>
        <v>440000</v>
      </c>
      <c r="K254" s="62"/>
      <c r="L254" s="62"/>
      <c r="M254" s="62"/>
      <c r="N254" s="62"/>
      <c r="O254" s="62"/>
      <c r="P254" s="62"/>
      <c r="Q254" s="62"/>
      <c r="R254" s="62"/>
      <c r="S254" s="62"/>
      <c r="T254" s="62"/>
      <c r="U254" s="62"/>
      <c r="V254" s="62"/>
      <c r="W254" s="62"/>
      <c r="X254" s="106"/>
      <c r="Y254" s="106"/>
      <c r="Z254" s="427"/>
      <c r="AA254" s="107"/>
      <c r="AB254" s="107"/>
      <c r="AC254" s="107"/>
      <c r="AD254" s="106"/>
    </row>
    <row r="255" ht="30.75" customHeight="1">
      <c r="A255" s="62"/>
      <c r="B255" s="62"/>
      <c r="C255" s="62"/>
      <c r="D255" s="62"/>
      <c r="E255" s="62"/>
      <c r="F255" s="62"/>
      <c r="G255" s="63" t="s">
        <v>165</v>
      </c>
      <c r="H255" s="64">
        <v>2.0</v>
      </c>
      <c r="I255" s="47">
        <f t="shared" si="68"/>
        <v>220000</v>
      </c>
      <c r="J255" s="48">
        <f t="shared" si="69"/>
        <v>440000</v>
      </c>
      <c r="K255" s="62"/>
      <c r="L255" s="62"/>
      <c r="M255" s="62"/>
      <c r="N255" s="62"/>
      <c r="O255" s="62"/>
      <c r="P255" s="62"/>
      <c r="Q255" s="62"/>
      <c r="R255" s="62"/>
      <c r="S255" s="62"/>
      <c r="T255" s="62"/>
      <c r="U255" s="62"/>
      <c r="V255" s="62"/>
      <c r="W255" s="62"/>
      <c r="X255" s="106"/>
      <c r="Y255" s="106"/>
      <c r="Z255" s="427"/>
      <c r="AA255" s="107"/>
      <c r="AB255" s="107"/>
      <c r="AC255" s="107"/>
      <c r="AD255" s="106"/>
    </row>
    <row r="256" ht="30.75" customHeight="1">
      <c r="A256" s="62"/>
      <c r="B256" s="62"/>
      <c r="C256" s="62"/>
      <c r="D256" s="62"/>
      <c r="E256" s="62"/>
      <c r="F256" s="62"/>
      <c r="G256" s="72" t="s">
        <v>76</v>
      </c>
      <c r="H256" s="73">
        <v>5.0</v>
      </c>
      <c r="I256" s="74">
        <f t="shared" si="68"/>
        <v>90000</v>
      </c>
      <c r="J256" s="75">
        <f t="shared" si="69"/>
        <v>450000</v>
      </c>
      <c r="K256" s="62"/>
      <c r="L256" s="62"/>
      <c r="M256" s="62"/>
      <c r="N256" s="62"/>
      <c r="O256" s="62"/>
      <c r="P256" s="62"/>
      <c r="Q256" s="62"/>
      <c r="R256" s="62"/>
      <c r="S256" s="62"/>
      <c r="T256" s="62"/>
      <c r="U256" s="62"/>
      <c r="V256" s="62"/>
      <c r="W256" s="62"/>
      <c r="X256" s="106"/>
      <c r="Y256" s="106"/>
      <c r="Z256" s="427"/>
      <c r="AA256" s="107"/>
      <c r="AB256" s="107"/>
      <c r="AC256" s="107"/>
      <c r="AD256" s="106"/>
    </row>
    <row r="257" ht="30.75" customHeight="1">
      <c r="A257" s="62"/>
      <c r="B257" s="62"/>
      <c r="C257" s="62"/>
      <c r="D257" s="62"/>
      <c r="E257" s="62"/>
      <c r="F257" s="62"/>
      <c r="G257" s="72" t="s">
        <v>477</v>
      </c>
      <c r="H257" s="73">
        <v>4.0</v>
      </c>
      <c r="I257" s="74">
        <f t="shared" si="68"/>
        <v>65000</v>
      </c>
      <c r="J257" s="75">
        <f t="shared" si="69"/>
        <v>260000</v>
      </c>
      <c r="K257" s="62"/>
      <c r="L257" s="62"/>
      <c r="M257" s="62"/>
      <c r="N257" s="62"/>
      <c r="O257" s="62"/>
      <c r="P257" s="62"/>
      <c r="Q257" s="62"/>
      <c r="R257" s="62"/>
      <c r="S257" s="62"/>
      <c r="T257" s="62"/>
      <c r="U257" s="62"/>
      <c r="V257" s="62"/>
      <c r="W257" s="62"/>
      <c r="X257" s="106"/>
      <c r="Y257" s="106"/>
      <c r="Z257" s="427"/>
      <c r="AA257" s="107"/>
      <c r="AB257" s="107"/>
      <c r="AC257" s="107"/>
      <c r="AD257" s="106"/>
    </row>
    <row r="258" ht="30.75" customHeight="1">
      <c r="A258" s="62"/>
      <c r="B258" s="62"/>
      <c r="C258" s="62"/>
      <c r="D258" s="62"/>
      <c r="E258" s="62"/>
      <c r="F258" s="62"/>
      <c r="G258" s="72" t="s">
        <v>478</v>
      </c>
      <c r="H258" s="73">
        <v>4.0</v>
      </c>
      <c r="I258" s="74">
        <f t="shared" si="68"/>
        <v>65000</v>
      </c>
      <c r="J258" s="75">
        <f t="shared" si="69"/>
        <v>260000</v>
      </c>
      <c r="K258" s="62"/>
      <c r="L258" s="62"/>
      <c r="M258" s="62"/>
      <c r="N258" s="62"/>
      <c r="O258" s="62"/>
      <c r="P258" s="62"/>
      <c r="Q258" s="62"/>
      <c r="R258" s="62"/>
      <c r="S258" s="62"/>
      <c r="T258" s="62"/>
      <c r="U258" s="62"/>
      <c r="V258" s="62"/>
      <c r="W258" s="62"/>
      <c r="X258" s="106"/>
      <c r="Y258" s="106"/>
      <c r="Z258" s="427"/>
      <c r="AA258" s="107"/>
      <c r="AB258" s="107"/>
      <c r="AC258" s="107"/>
      <c r="AD258" s="106"/>
    </row>
    <row r="259" ht="30.75" customHeight="1">
      <c r="A259" s="67"/>
      <c r="B259" s="67"/>
      <c r="C259" s="67"/>
      <c r="D259" s="67"/>
      <c r="E259" s="67"/>
      <c r="F259" s="67"/>
      <c r="G259" s="72" t="s">
        <v>476</v>
      </c>
      <c r="H259" s="73">
        <v>4.0</v>
      </c>
      <c r="I259" s="74">
        <f t="shared" si="68"/>
        <v>55000</v>
      </c>
      <c r="J259" s="75">
        <f t="shared" si="69"/>
        <v>220000</v>
      </c>
      <c r="K259" s="67"/>
      <c r="L259" s="67"/>
      <c r="M259" s="67"/>
      <c r="N259" s="67"/>
      <c r="O259" s="67"/>
      <c r="P259" s="67"/>
      <c r="Q259" s="67"/>
      <c r="R259" s="67"/>
      <c r="S259" s="67"/>
      <c r="T259" s="67"/>
      <c r="U259" s="67"/>
      <c r="V259" s="67"/>
      <c r="W259" s="67"/>
      <c r="X259" s="106"/>
      <c r="Y259" s="106"/>
      <c r="Z259" s="427"/>
      <c r="AA259" s="107"/>
      <c r="AB259" s="107"/>
      <c r="AC259" s="107"/>
      <c r="AD259" s="106"/>
    </row>
    <row r="260" ht="30.75" customHeight="1">
      <c r="A260" s="93">
        <v>185.0</v>
      </c>
      <c r="B260" s="103">
        <v>45191.0</v>
      </c>
      <c r="C260" s="93" t="s">
        <v>1245</v>
      </c>
      <c r="D260" s="92" t="s">
        <v>50</v>
      </c>
      <c r="E260" s="105" t="s">
        <v>1246</v>
      </c>
      <c r="F260" s="92" t="s">
        <v>74</v>
      </c>
      <c r="G260" s="63" t="s">
        <v>30</v>
      </c>
      <c r="H260" s="64">
        <v>2.0</v>
      </c>
      <c r="I260" s="47">
        <f t="shared" si="68"/>
        <v>220000</v>
      </c>
      <c r="J260" s="48">
        <f t="shared" si="69"/>
        <v>440000</v>
      </c>
      <c r="K260" s="76">
        <f t="shared" ref="K260:K268" si="79">SUM(J260)</f>
        <v>440000</v>
      </c>
      <c r="L260" s="109"/>
      <c r="M260" s="78">
        <f t="shared" ref="M260:M262" si="80">K260*5%</f>
        <v>22000</v>
      </c>
      <c r="N260" s="79"/>
      <c r="O260" s="80">
        <f t="shared" ref="O260:O269" si="81">K260+L260-M260-N260</f>
        <v>418000</v>
      </c>
      <c r="P260" s="176"/>
      <c r="Q260" s="176"/>
      <c r="R260" s="109"/>
      <c r="S260" s="183"/>
      <c r="T260" s="183"/>
      <c r="U260" s="122"/>
      <c r="V260" s="767"/>
      <c r="W260" s="135" t="s">
        <v>53</v>
      </c>
      <c r="X260" s="106"/>
      <c r="Y260" s="106"/>
      <c r="Z260" s="427"/>
      <c r="AA260" s="107"/>
      <c r="AB260" s="107"/>
      <c r="AC260" s="107"/>
      <c r="AD260" s="106"/>
    </row>
    <row r="261" ht="30.75" customHeight="1">
      <c r="A261" s="93">
        <v>186.0</v>
      </c>
      <c r="B261" s="103">
        <v>45191.0</v>
      </c>
      <c r="C261" s="93" t="s">
        <v>1247</v>
      </c>
      <c r="D261" s="92" t="s">
        <v>50</v>
      </c>
      <c r="E261" s="105" t="s">
        <v>1248</v>
      </c>
      <c r="F261" s="92" t="s">
        <v>464</v>
      </c>
      <c r="G261" s="63" t="s">
        <v>30</v>
      </c>
      <c r="H261" s="64">
        <v>1.0</v>
      </c>
      <c r="I261" s="47">
        <f t="shared" si="68"/>
        <v>220000</v>
      </c>
      <c r="J261" s="48">
        <f t="shared" si="69"/>
        <v>220000</v>
      </c>
      <c r="K261" s="76">
        <f t="shared" si="79"/>
        <v>220000</v>
      </c>
      <c r="L261" s="109"/>
      <c r="M261" s="78">
        <f t="shared" si="80"/>
        <v>11000</v>
      </c>
      <c r="N261" s="79"/>
      <c r="O261" s="80">
        <f t="shared" si="81"/>
        <v>209000</v>
      </c>
      <c r="P261" s="176"/>
      <c r="Q261" s="176"/>
      <c r="R261" s="109"/>
      <c r="S261" s="183"/>
      <c r="T261" s="183"/>
      <c r="U261" s="122"/>
      <c r="V261" s="767"/>
      <c r="W261" s="135" t="s">
        <v>53</v>
      </c>
      <c r="X261" s="106"/>
      <c r="Y261" s="106"/>
      <c r="Z261" s="427"/>
      <c r="AA261" s="107"/>
      <c r="AB261" s="107"/>
      <c r="AC261" s="107"/>
      <c r="AD261" s="106"/>
    </row>
    <row r="262" ht="30.75" customHeight="1">
      <c r="A262" s="93">
        <v>187.0</v>
      </c>
      <c r="B262" s="103">
        <v>45191.0</v>
      </c>
      <c r="C262" s="93" t="s">
        <v>1249</v>
      </c>
      <c r="D262" s="92" t="s">
        <v>50</v>
      </c>
      <c r="E262" s="105" t="s">
        <v>1250</v>
      </c>
      <c r="F262" s="92" t="s">
        <v>119</v>
      </c>
      <c r="G262" s="63" t="s">
        <v>30</v>
      </c>
      <c r="H262" s="64">
        <v>1.0</v>
      </c>
      <c r="I262" s="47">
        <f t="shared" si="68"/>
        <v>220000</v>
      </c>
      <c r="J262" s="48">
        <f t="shared" si="69"/>
        <v>220000</v>
      </c>
      <c r="K262" s="76">
        <f t="shared" si="79"/>
        <v>220000</v>
      </c>
      <c r="L262" s="109"/>
      <c r="M262" s="78">
        <f t="shared" si="80"/>
        <v>11000</v>
      </c>
      <c r="N262" s="79"/>
      <c r="O262" s="80">
        <f t="shared" si="81"/>
        <v>209000</v>
      </c>
      <c r="P262" s="176"/>
      <c r="Q262" s="176"/>
      <c r="R262" s="109"/>
      <c r="S262" s="183"/>
      <c r="T262" s="183"/>
      <c r="U262" s="122"/>
      <c r="V262" s="767"/>
      <c r="W262" s="135" t="s">
        <v>53</v>
      </c>
      <c r="X262" s="106"/>
      <c r="Y262" s="106"/>
      <c r="Z262" s="427"/>
      <c r="AA262" s="107"/>
      <c r="AB262" s="107"/>
      <c r="AC262" s="107"/>
      <c r="AD262" s="106"/>
    </row>
    <row r="263" ht="30.75" customHeight="1">
      <c r="A263" s="93">
        <v>188.0</v>
      </c>
      <c r="B263" s="103">
        <v>45191.0</v>
      </c>
      <c r="C263" s="93">
        <v>1.720539533688E12</v>
      </c>
      <c r="D263" s="92" t="s">
        <v>126</v>
      </c>
      <c r="E263" s="105" t="s">
        <v>1251</v>
      </c>
      <c r="F263" s="92" t="s">
        <v>1252</v>
      </c>
      <c r="G263" s="63" t="s">
        <v>30</v>
      </c>
      <c r="H263" s="64">
        <v>6.0</v>
      </c>
      <c r="I263" s="47">
        <f t="shared" si="68"/>
        <v>220000</v>
      </c>
      <c r="J263" s="48">
        <f t="shared" si="69"/>
        <v>1320000</v>
      </c>
      <c r="K263" s="76">
        <f t="shared" si="79"/>
        <v>1320000</v>
      </c>
      <c r="L263" s="109"/>
      <c r="M263" s="78"/>
      <c r="N263" s="79"/>
      <c r="O263" s="80">
        <f t="shared" si="81"/>
        <v>1320000</v>
      </c>
      <c r="P263" s="81" t="s">
        <v>449</v>
      </c>
      <c r="Q263" s="81" t="s">
        <v>31</v>
      </c>
      <c r="R263" s="108">
        <v>74503.0</v>
      </c>
      <c r="S263" s="84" t="s">
        <v>32</v>
      </c>
      <c r="T263" s="84" t="s">
        <v>33</v>
      </c>
      <c r="U263" s="122"/>
      <c r="V263" s="767"/>
      <c r="W263" s="135"/>
      <c r="X263" s="106"/>
      <c r="Y263" s="106"/>
      <c r="Z263" s="427"/>
      <c r="AA263" s="107"/>
      <c r="AB263" s="107"/>
      <c r="AC263" s="107"/>
      <c r="AD263" s="106"/>
    </row>
    <row r="264" ht="30.75" customHeight="1">
      <c r="A264" s="93">
        <v>189.0</v>
      </c>
      <c r="B264" s="103">
        <v>45192.0</v>
      </c>
      <c r="C264" s="93" t="s">
        <v>1253</v>
      </c>
      <c r="D264" s="155" t="s">
        <v>273</v>
      </c>
      <c r="E264" s="105" t="s">
        <v>1254</v>
      </c>
      <c r="F264" s="92" t="s">
        <v>613</v>
      </c>
      <c r="G264" s="92" t="s">
        <v>30</v>
      </c>
      <c r="H264" s="64">
        <v>3.0</v>
      </c>
      <c r="I264" s="47">
        <f t="shared" si="68"/>
        <v>220000</v>
      </c>
      <c r="J264" s="48">
        <f t="shared" si="69"/>
        <v>660000</v>
      </c>
      <c r="K264" s="76">
        <f t="shared" si="79"/>
        <v>660000</v>
      </c>
      <c r="L264" s="109"/>
      <c r="M264" s="78">
        <f t="shared" ref="M264:M267" si="82">K264*5%</f>
        <v>33000</v>
      </c>
      <c r="N264" s="79"/>
      <c r="O264" s="80">
        <f t="shared" si="81"/>
        <v>627000</v>
      </c>
      <c r="P264" s="176"/>
      <c r="Q264" s="176"/>
      <c r="R264" s="109"/>
      <c r="S264" s="183"/>
      <c r="T264" s="183"/>
      <c r="U264" s="122"/>
      <c r="V264" s="767"/>
      <c r="W264" s="135" t="s">
        <v>53</v>
      </c>
      <c r="X264" s="106"/>
      <c r="Y264" s="106"/>
      <c r="Z264" s="427"/>
      <c r="AA264" s="107"/>
      <c r="AB264" s="107"/>
      <c r="AC264" s="107"/>
      <c r="AD264" s="106"/>
    </row>
    <row r="265" ht="30.75" customHeight="1">
      <c r="A265" s="93">
        <v>190.0</v>
      </c>
      <c r="B265" s="103">
        <v>45192.0</v>
      </c>
      <c r="C265" s="93" t="s">
        <v>1255</v>
      </c>
      <c r="D265" s="155" t="s">
        <v>273</v>
      </c>
      <c r="E265" s="105" t="s">
        <v>1256</v>
      </c>
      <c r="F265" s="92" t="s">
        <v>70</v>
      </c>
      <c r="G265" s="92" t="s">
        <v>35</v>
      </c>
      <c r="H265" s="64">
        <v>1.0</v>
      </c>
      <c r="I265" s="47">
        <f t="shared" si="68"/>
        <v>220000</v>
      </c>
      <c r="J265" s="48">
        <f t="shared" si="69"/>
        <v>220000</v>
      </c>
      <c r="K265" s="76">
        <f t="shared" si="79"/>
        <v>220000</v>
      </c>
      <c r="L265" s="109"/>
      <c r="M265" s="78">
        <f t="shared" si="82"/>
        <v>11000</v>
      </c>
      <c r="N265" s="79"/>
      <c r="O265" s="80">
        <f t="shared" si="81"/>
        <v>209000</v>
      </c>
      <c r="P265" s="176"/>
      <c r="Q265" s="176"/>
      <c r="R265" s="109"/>
      <c r="S265" s="183"/>
      <c r="T265" s="183"/>
      <c r="U265" s="122"/>
      <c r="V265" s="767"/>
      <c r="W265" s="135" t="s">
        <v>53</v>
      </c>
      <c r="X265" s="106"/>
      <c r="Y265" s="106"/>
      <c r="Z265" s="427"/>
      <c r="AA265" s="107"/>
      <c r="AB265" s="107"/>
      <c r="AC265" s="107"/>
      <c r="AD265" s="106"/>
    </row>
    <row r="266" ht="30.75" customHeight="1">
      <c r="A266" s="93">
        <v>191.0</v>
      </c>
      <c r="B266" s="103">
        <v>45192.0</v>
      </c>
      <c r="C266" s="93" t="s">
        <v>1257</v>
      </c>
      <c r="D266" s="155" t="s">
        <v>273</v>
      </c>
      <c r="E266" s="105" t="s">
        <v>1258</v>
      </c>
      <c r="F266" s="92" t="s">
        <v>84</v>
      </c>
      <c r="G266" s="92" t="s">
        <v>30</v>
      </c>
      <c r="H266" s="64">
        <v>1.0</v>
      </c>
      <c r="I266" s="47">
        <f t="shared" si="68"/>
        <v>220000</v>
      </c>
      <c r="J266" s="48">
        <f t="shared" si="69"/>
        <v>220000</v>
      </c>
      <c r="K266" s="76">
        <f t="shared" si="79"/>
        <v>220000</v>
      </c>
      <c r="L266" s="109"/>
      <c r="M266" s="78">
        <f t="shared" si="82"/>
        <v>11000</v>
      </c>
      <c r="N266" s="79"/>
      <c r="O266" s="80">
        <f t="shared" si="81"/>
        <v>209000</v>
      </c>
      <c r="P266" s="176"/>
      <c r="Q266" s="176"/>
      <c r="R266" s="109"/>
      <c r="S266" s="183"/>
      <c r="T266" s="183"/>
      <c r="U266" s="122"/>
      <c r="V266" s="767"/>
      <c r="W266" s="135" t="s">
        <v>53</v>
      </c>
      <c r="X266" s="106"/>
      <c r="Y266" s="106"/>
      <c r="Z266" s="427"/>
      <c r="AA266" s="107"/>
      <c r="AB266" s="107"/>
      <c r="AC266" s="107"/>
      <c r="AD266" s="106"/>
    </row>
    <row r="267" ht="30.75" customHeight="1">
      <c r="A267" s="93">
        <v>192.0</v>
      </c>
      <c r="B267" s="103">
        <v>45192.0</v>
      </c>
      <c r="C267" s="93" t="s">
        <v>1259</v>
      </c>
      <c r="D267" s="155" t="s">
        <v>273</v>
      </c>
      <c r="E267" s="105" t="s">
        <v>1260</v>
      </c>
      <c r="F267" s="92" t="s">
        <v>271</v>
      </c>
      <c r="G267" s="92" t="s">
        <v>30</v>
      </c>
      <c r="H267" s="64">
        <v>1.0</v>
      </c>
      <c r="I267" s="47">
        <f t="shared" si="68"/>
        <v>220000</v>
      </c>
      <c r="J267" s="48">
        <f t="shared" si="69"/>
        <v>220000</v>
      </c>
      <c r="K267" s="76">
        <f t="shared" si="79"/>
        <v>220000</v>
      </c>
      <c r="L267" s="109"/>
      <c r="M267" s="78">
        <f t="shared" si="82"/>
        <v>11000</v>
      </c>
      <c r="N267" s="79"/>
      <c r="O267" s="80">
        <f t="shared" si="81"/>
        <v>209000</v>
      </c>
      <c r="P267" s="176"/>
      <c r="Q267" s="176"/>
      <c r="R267" s="108"/>
      <c r="S267" s="84"/>
      <c r="T267" s="183"/>
      <c r="U267" s="122"/>
      <c r="V267" s="767"/>
      <c r="W267" s="122"/>
      <c r="X267" s="106"/>
      <c r="Y267" s="106"/>
      <c r="Z267" s="427"/>
      <c r="AA267" s="107"/>
      <c r="AB267" s="107"/>
      <c r="AC267" s="107"/>
      <c r="AD267" s="106"/>
    </row>
    <row r="268" ht="30.75" customHeight="1">
      <c r="A268" s="93">
        <v>193.0</v>
      </c>
      <c r="B268" s="103">
        <v>45192.0</v>
      </c>
      <c r="C268" s="93">
        <v>1.710340403983E12</v>
      </c>
      <c r="D268" s="92" t="s">
        <v>1261</v>
      </c>
      <c r="E268" s="105" t="s">
        <v>1262</v>
      </c>
      <c r="F268" s="92" t="s">
        <v>1263</v>
      </c>
      <c r="G268" s="63" t="s">
        <v>30</v>
      </c>
      <c r="H268" s="64">
        <v>4.0</v>
      </c>
      <c r="I268" s="47">
        <f t="shared" si="68"/>
        <v>220000</v>
      </c>
      <c r="J268" s="48">
        <f t="shared" si="69"/>
        <v>880000</v>
      </c>
      <c r="K268" s="76">
        <f t="shared" si="79"/>
        <v>880000</v>
      </c>
      <c r="L268" s="109"/>
      <c r="M268" s="575"/>
      <c r="N268" s="79"/>
      <c r="O268" s="80">
        <f t="shared" si="81"/>
        <v>880000</v>
      </c>
      <c r="P268" s="176"/>
      <c r="Q268" s="176"/>
      <c r="R268" s="108">
        <v>52002.0</v>
      </c>
      <c r="S268" s="84" t="s">
        <v>32</v>
      </c>
      <c r="T268" s="183"/>
      <c r="U268" s="122"/>
      <c r="V268" s="767"/>
      <c r="W268" s="122"/>
      <c r="X268" s="106"/>
      <c r="Y268" s="106"/>
      <c r="Z268" s="427"/>
      <c r="AA268" s="107"/>
      <c r="AB268" s="107"/>
      <c r="AC268" s="107"/>
      <c r="AD268" s="106"/>
    </row>
    <row r="269" ht="30.75" customHeight="1">
      <c r="A269" s="111">
        <v>194.0</v>
      </c>
      <c r="B269" s="112">
        <v>45192.0</v>
      </c>
      <c r="C269" s="111">
        <v>1.709100934838E12</v>
      </c>
      <c r="D269" s="142" t="s">
        <v>1264</v>
      </c>
      <c r="E269" s="143" t="s">
        <v>1265</v>
      </c>
      <c r="F269" s="142" t="s">
        <v>1266</v>
      </c>
      <c r="G269" s="63" t="s">
        <v>516</v>
      </c>
      <c r="H269" s="64">
        <v>1.0</v>
      </c>
      <c r="I269" s="47">
        <f t="shared" si="68"/>
        <v>220000</v>
      </c>
      <c r="J269" s="48">
        <f t="shared" si="69"/>
        <v>220000</v>
      </c>
      <c r="K269" s="49">
        <f>SUM(J269:J271)</f>
        <v>660000</v>
      </c>
      <c r="L269" s="144"/>
      <c r="M269" s="561"/>
      <c r="N269" s="52"/>
      <c r="O269" s="53">
        <f t="shared" si="81"/>
        <v>660000</v>
      </c>
      <c r="P269" s="99" t="s">
        <v>449</v>
      </c>
      <c r="Q269" s="196"/>
      <c r="R269" s="145">
        <v>42001.0</v>
      </c>
      <c r="S269" s="57" t="s">
        <v>32</v>
      </c>
      <c r="T269" s="197"/>
      <c r="U269" s="147"/>
      <c r="V269" s="147"/>
      <c r="W269" s="147"/>
      <c r="X269" s="106"/>
      <c r="Y269" s="106"/>
      <c r="Z269" s="427"/>
      <c r="AA269" s="107"/>
      <c r="AB269" s="107"/>
      <c r="AC269" s="107"/>
      <c r="AD269" s="106"/>
    </row>
    <row r="270" ht="30.75" customHeight="1">
      <c r="A270" s="62"/>
      <c r="B270" s="62"/>
      <c r="C270" s="62"/>
      <c r="D270" s="62"/>
      <c r="E270" s="62"/>
      <c r="F270" s="62"/>
      <c r="G270" s="63" t="s">
        <v>290</v>
      </c>
      <c r="H270" s="64">
        <v>1.0</v>
      </c>
      <c r="I270" s="47">
        <f t="shared" si="68"/>
        <v>220000</v>
      </c>
      <c r="J270" s="48">
        <f t="shared" si="69"/>
        <v>220000</v>
      </c>
      <c r="K270" s="62"/>
      <c r="L270" s="62"/>
      <c r="M270" s="62"/>
      <c r="N270" s="62"/>
      <c r="O270" s="62"/>
      <c r="P270" s="62"/>
      <c r="Q270" s="62"/>
      <c r="R270" s="62"/>
      <c r="S270" s="62"/>
      <c r="T270" s="62"/>
      <c r="U270" s="62"/>
      <c r="V270" s="62"/>
      <c r="W270" s="62"/>
      <c r="X270" s="106"/>
      <c r="Y270" s="106"/>
      <c r="Z270" s="427"/>
      <c r="AA270" s="107"/>
      <c r="AB270" s="107"/>
      <c r="AC270" s="107"/>
      <c r="AD270" s="106"/>
    </row>
    <row r="271" ht="30.75" customHeight="1">
      <c r="A271" s="67"/>
      <c r="B271" s="67"/>
      <c r="C271" s="67"/>
      <c r="D271" s="67"/>
      <c r="E271" s="67"/>
      <c r="F271" s="67"/>
      <c r="G271" s="63" t="s">
        <v>35</v>
      </c>
      <c r="H271" s="64">
        <v>1.0</v>
      </c>
      <c r="I271" s="47">
        <f t="shared" si="68"/>
        <v>220000</v>
      </c>
      <c r="J271" s="48">
        <f t="shared" si="69"/>
        <v>220000</v>
      </c>
      <c r="K271" s="67"/>
      <c r="L271" s="67"/>
      <c r="M271" s="67"/>
      <c r="N271" s="67"/>
      <c r="O271" s="67"/>
      <c r="P271" s="67"/>
      <c r="Q271" s="67"/>
      <c r="R271" s="67"/>
      <c r="S271" s="67"/>
      <c r="T271" s="67"/>
      <c r="U271" s="67"/>
      <c r="V271" s="67"/>
      <c r="W271" s="67"/>
      <c r="X271" s="106"/>
      <c r="Y271" s="106"/>
      <c r="Z271" s="427"/>
      <c r="AA271" s="107"/>
      <c r="AB271" s="107"/>
      <c r="AC271" s="107"/>
      <c r="AD271" s="106"/>
    </row>
    <row r="272" ht="30.75" customHeight="1">
      <c r="A272" s="111">
        <v>195.0</v>
      </c>
      <c r="B272" s="112">
        <v>45192.0</v>
      </c>
      <c r="C272" s="111">
        <v>1.710233097974E12</v>
      </c>
      <c r="D272" s="769" t="s">
        <v>1267</v>
      </c>
      <c r="E272" s="143" t="s">
        <v>1268</v>
      </c>
      <c r="F272" s="148" t="s">
        <v>1269</v>
      </c>
      <c r="G272" s="63" t="s">
        <v>165</v>
      </c>
      <c r="H272" s="64">
        <v>1.0</v>
      </c>
      <c r="I272" s="47">
        <f t="shared" si="68"/>
        <v>220000</v>
      </c>
      <c r="J272" s="48">
        <f t="shared" si="69"/>
        <v>220000</v>
      </c>
      <c r="K272" s="49">
        <f>SUM(J272:J273)</f>
        <v>440000</v>
      </c>
      <c r="L272" s="145">
        <v>43001.0</v>
      </c>
      <c r="M272" s="561"/>
      <c r="N272" s="117">
        <v>13001.0</v>
      </c>
      <c r="O272" s="53">
        <f>K272+L272-M272-N272</f>
        <v>470000</v>
      </c>
      <c r="P272" s="196"/>
      <c r="Q272" s="196"/>
      <c r="R272" s="144"/>
      <c r="S272" s="197"/>
      <c r="T272" s="197"/>
      <c r="U272" s="147"/>
      <c r="V272" s="147"/>
      <c r="W272" s="147"/>
      <c r="X272" s="106"/>
      <c r="Y272" s="106"/>
      <c r="Z272" s="427"/>
      <c r="AA272" s="107"/>
      <c r="AB272" s="107"/>
      <c r="AC272" s="107"/>
      <c r="AD272" s="106"/>
    </row>
    <row r="273" ht="30.75" customHeight="1">
      <c r="A273" s="67"/>
      <c r="B273" s="67"/>
      <c r="C273" s="67"/>
      <c r="D273" s="102"/>
      <c r="E273" s="67"/>
      <c r="F273" s="67"/>
      <c r="G273" s="63" t="s">
        <v>122</v>
      </c>
      <c r="H273" s="64">
        <v>1.0</v>
      </c>
      <c r="I273" s="47">
        <f t="shared" si="68"/>
        <v>220000</v>
      </c>
      <c r="J273" s="48">
        <f t="shared" si="69"/>
        <v>220000</v>
      </c>
      <c r="K273" s="67"/>
      <c r="L273" s="67"/>
      <c r="M273" s="67"/>
      <c r="N273" s="67"/>
      <c r="O273" s="67"/>
      <c r="P273" s="67"/>
      <c r="Q273" s="67"/>
      <c r="R273" s="67"/>
      <c r="S273" s="67"/>
      <c r="T273" s="67"/>
      <c r="U273" s="67"/>
      <c r="V273" s="67"/>
      <c r="W273" s="67"/>
      <c r="X273" s="106"/>
      <c r="Y273" s="106"/>
      <c r="Z273" s="427"/>
      <c r="AA273" s="107"/>
      <c r="AB273" s="107"/>
      <c r="AC273" s="107"/>
      <c r="AD273" s="106"/>
    </row>
    <row r="274" ht="30.75" customHeight="1">
      <c r="A274" s="93">
        <v>196.0</v>
      </c>
      <c r="B274" s="103">
        <v>45194.0</v>
      </c>
      <c r="C274" s="93" t="s">
        <v>1270</v>
      </c>
      <c r="D274" s="763" t="s">
        <v>50</v>
      </c>
      <c r="E274" s="105" t="s">
        <v>1271</v>
      </c>
      <c r="F274" s="92" t="s">
        <v>485</v>
      </c>
      <c r="G274" s="63" t="s">
        <v>35</v>
      </c>
      <c r="H274" s="64">
        <v>1.0</v>
      </c>
      <c r="I274" s="47">
        <f t="shared" si="68"/>
        <v>220000</v>
      </c>
      <c r="J274" s="48">
        <f t="shared" si="69"/>
        <v>220000</v>
      </c>
      <c r="K274" s="76">
        <f t="shared" ref="K274:K283" si="83">SUM(J274)</f>
        <v>220000</v>
      </c>
      <c r="L274" s="109"/>
      <c r="M274" s="78">
        <f t="shared" ref="M274:M281" si="84">K274*5%</f>
        <v>11000</v>
      </c>
      <c r="N274" s="79"/>
      <c r="O274" s="80">
        <f t="shared" ref="O274:O283" si="85">K274+L274-M274-N274</f>
        <v>209000</v>
      </c>
      <c r="P274" s="176"/>
      <c r="Q274" s="176"/>
      <c r="R274" s="109"/>
      <c r="S274" s="183"/>
      <c r="T274" s="183"/>
      <c r="U274" s="122"/>
      <c r="V274" s="767"/>
      <c r="W274" s="135" t="s">
        <v>53</v>
      </c>
      <c r="X274" s="106"/>
      <c r="Y274" s="106"/>
      <c r="Z274" s="427"/>
      <c r="AA274" s="107"/>
      <c r="AB274" s="107"/>
      <c r="AC274" s="107"/>
      <c r="AD274" s="106"/>
    </row>
    <row r="275" ht="30.75" customHeight="1">
      <c r="A275" s="93">
        <v>197.0</v>
      </c>
      <c r="B275" s="103">
        <v>45194.0</v>
      </c>
      <c r="C275" s="93" t="s">
        <v>1272</v>
      </c>
      <c r="D275" s="763" t="s">
        <v>50</v>
      </c>
      <c r="E275" s="105" t="s">
        <v>1273</v>
      </c>
      <c r="F275" s="92" t="s">
        <v>65</v>
      </c>
      <c r="G275" s="63" t="s">
        <v>30</v>
      </c>
      <c r="H275" s="64">
        <v>1.0</v>
      </c>
      <c r="I275" s="47">
        <f t="shared" si="68"/>
        <v>220000</v>
      </c>
      <c r="J275" s="48">
        <f t="shared" si="69"/>
        <v>220000</v>
      </c>
      <c r="K275" s="76">
        <f t="shared" si="83"/>
        <v>220000</v>
      </c>
      <c r="L275" s="109"/>
      <c r="M275" s="78">
        <f t="shared" si="84"/>
        <v>11000</v>
      </c>
      <c r="N275" s="79"/>
      <c r="O275" s="80">
        <f t="shared" si="85"/>
        <v>209000</v>
      </c>
      <c r="P275" s="176"/>
      <c r="Q275" s="176"/>
      <c r="R275" s="109"/>
      <c r="S275" s="183"/>
      <c r="T275" s="183"/>
      <c r="U275" s="122"/>
      <c r="V275" s="767"/>
      <c r="W275" s="135" t="s">
        <v>53</v>
      </c>
      <c r="X275" s="106"/>
      <c r="Y275" s="106"/>
      <c r="Z275" s="427"/>
      <c r="AA275" s="107"/>
      <c r="AB275" s="107"/>
      <c r="AC275" s="107"/>
      <c r="AD275" s="106"/>
    </row>
    <row r="276" ht="30.75" customHeight="1">
      <c r="A276" s="93">
        <v>198.0</v>
      </c>
      <c r="B276" s="103">
        <v>45194.0</v>
      </c>
      <c r="C276" s="93" t="s">
        <v>1274</v>
      </c>
      <c r="D276" s="763" t="s">
        <v>50</v>
      </c>
      <c r="E276" s="105" t="s">
        <v>1275</v>
      </c>
      <c r="F276" s="92" t="s">
        <v>70</v>
      </c>
      <c r="G276" s="63" t="s">
        <v>75</v>
      </c>
      <c r="H276" s="64">
        <v>1.0</v>
      </c>
      <c r="I276" s="47">
        <f t="shared" si="68"/>
        <v>45000</v>
      </c>
      <c r="J276" s="48">
        <f t="shared" si="69"/>
        <v>45000</v>
      </c>
      <c r="K276" s="76">
        <f t="shared" si="83"/>
        <v>45000</v>
      </c>
      <c r="L276" s="109"/>
      <c r="M276" s="78">
        <f t="shared" si="84"/>
        <v>2250</v>
      </c>
      <c r="N276" s="79"/>
      <c r="O276" s="80">
        <f t="shared" si="85"/>
        <v>42750</v>
      </c>
      <c r="P276" s="176"/>
      <c r="Q276" s="176"/>
      <c r="R276" s="109"/>
      <c r="S276" s="183"/>
      <c r="T276" s="183"/>
      <c r="U276" s="122"/>
      <c r="V276" s="767"/>
      <c r="W276" s="135" t="s">
        <v>53</v>
      </c>
      <c r="X276" s="106"/>
      <c r="Y276" s="106"/>
      <c r="Z276" s="427"/>
      <c r="AA276" s="107"/>
      <c r="AB276" s="107"/>
      <c r="AC276" s="107"/>
      <c r="AD276" s="106"/>
    </row>
    <row r="277" ht="30.75" customHeight="1">
      <c r="A277" s="93">
        <v>199.0</v>
      </c>
      <c r="B277" s="103">
        <v>45194.0</v>
      </c>
      <c r="C277" s="93" t="s">
        <v>1276</v>
      </c>
      <c r="D277" s="763" t="s">
        <v>50</v>
      </c>
      <c r="E277" s="105" t="s">
        <v>1277</v>
      </c>
      <c r="F277" s="92" t="s">
        <v>464</v>
      </c>
      <c r="G277" s="63" t="s">
        <v>30</v>
      </c>
      <c r="H277" s="64">
        <v>1.0</v>
      </c>
      <c r="I277" s="47">
        <f t="shared" si="68"/>
        <v>220000</v>
      </c>
      <c r="J277" s="48">
        <f t="shared" si="69"/>
        <v>220000</v>
      </c>
      <c r="K277" s="76">
        <f t="shared" si="83"/>
        <v>220000</v>
      </c>
      <c r="L277" s="109"/>
      <c r="M277" s="78">
        <f t="shared" si="84"/>
        <v>11000</v>
      </c>
      <c r="N277" s="79"/>
      <c r="O277" s="80">
        <f t="shared" si="85"/>
        <v>209000</v>
      </c>
      <c r="P277" s="176"/>
      <c r="Q277" s="176"/>
      <c r="R277" s="109"/>
      <c r="S277" s="183"/>
      <c r="T277" s="183"/>
      <c r="U277" s="122"/>
      <c r="V277" s="767"/>
      <c r="W277" s="135" t="s">
        <v>53</v>
      </c>
      <c r="X277" s="106"/>
      <c r="Y277" s="106"/>
      <c r="Z277" s="427"/>
      <c r="AA277" s="107"/>
      <c r="AB277" s="107"/>
      <c r="AC277" s="107"/>
      <c r="AD277" s="106"/>
    </row>
    <row r="278" ht="30.75" customHeight="1">
      <c r="A278" s="93">
        <v>200.0</v>
      </c>
      <c r="B278" s="103">
        <v>45194.0</v>
      </c>
      <c r="C278" s="93" t="s">
        <v>1278</v>
      </c>
      <c r="D278" s="763" t="s">
        <v>50</v>
      </c>
      <c r="E278" s="105" t="s">
        <v>1279</v>
      </c>
      <c r="F278" s="92" t="s">
        <v>65</v>
      </c>
      <c r="G278" s="63" t="s">
        <v>30</v>
      </c>
      <c r="H278" s="64">
        <v>1.0</v>
      </c>
      <c r="I278" s="47">
        <f t="shared" si="68"/>
        <v>220000</v>
      </c>
      <c r="J278" s="48">
        <f t="shared" si="69"/>
        <v>220000</v>
      </c>
      <c r="K278" s="76">
        <f t="shared" si="83"/>
        <v>220000</v>
      </c>
      <c r="L278" s="109"/>
      <c r="M278" s="78">
        <f t="shared" si="84"/>
        <v>11000</v>
      </c>
      <c r="N278" s="79"/>
      <c r="O278" s="80">
        <f t="shared" si="85"/>
        <v>209000</v>
      </c>
      <c r="P278" s="176"/>
      <c r="Q278" s="176"/>
      <c r="R278" s="109"/>
      <c r="S278" s="183"/>
      <c r="T278" s="183"/>
      <c r="U278" s="122"/>
      <c r="V278" s="767"/>
      <c r="W278" s="135" t="s">
        <v>53</v>
      </c>
      <c r="X278" s="106"/>
      <c r="Y278" s="106"/>
      <c r="Z278" s="427"/>
      <c r="AA278" s="107"/>
      <c r="AB278" s="107"/>
      <c r="AC278" s="107"/>
      <c r="AD278" s="106"/>
    </row>
    <row r="279" ht="30.75" customHeight="1">
      <c r="A279" s="93">
        <v>201.0</v>
      </c>
      <c r="B279" s="103">
        <v>45194.0</v>
      </c>
      <c r="C279" s="93" t="s">
        <v>1280</v>
      </c>
      <c r="D279" s="763" t="s">
        <v>50</v>
      </c>
      <c r="E279" s="105" t="s">
        <v>1281</v>
      </c>
      <c r="F279" s="92" t="s">
        <v>548</v>
      </c>
      <c r="G279" s="63" t="s">
        <v>30</v>
      </c>
      <c r="H279" s="64">
        <v>1.0</v>
      </c>
      <c r="I279" s="47">
        <f t="shared" si="68"/>
        <v>220000</v>
      </c>
      <c r="J279" s="48">
        <f t="shared" si="69"/>
        <v>220000</v>
      </c>
      <c r="K279" s="76">
        <f t="shared" si="83"/>
        <v>220000</v>
      </c>
      <c r="L279" s="109"/>
      <c r="M279" s="78">
        <f t="shared" si="84"/>
        <v>11000</v>
      </c>
      <c r="N279" s="79"/>
      <c r="O279" s="80">
        <f t="shared" si="85"/>
        <v>209000</v>
      </c>
      <c r="P279" s="176"/>
      <c r="Q279" s="176"/>
      <c r="R279" s="109"/>
      <c r="S279" s="183"/>
      <c r="T279" s="183"/>
      <c r="U279" s="122"/>
      <c r="V279" s="767"/>
      <c r="W279" s="135" t="s">
        <v>53</v>
      </c>
      <c r="X279" s="106"/>
      <c r="Y279" s="106"/>
      <c r="Z279" s="427"/>
      <c r="AA279" s="107"/>
      <c r="AB279" s="107"/>
      <c r="AC279" s="107"/>
      <c r="AD279" s="106"/>
    </row>
    <row r="280" ht="30.75" customHeight="1">
      <c r="A280" s="93">
        <v>202.0</v>
      </c>
      <c r="B280" s="103">
        <v>45194.0</v>
      </c>
      <c r="C280" s="93" t="s">
        <v>1282</v>
      </c>
      <c r="D280" s="763" t="s">
        <v>50</v>
      </c>
      <c r="E280" s="105" t="s">
        <v>1283</v>
      </c>
      <c r="F280" s="92" t="s">
        <v>74</v>
      </c>
      <c r="G280" s="63" t="s">
        <v>30</v>
      </c>
      <c r="H280" s="64">
        <v>1.0</v>
      </c>
      <c r="I280" s="47">
        <f t="shared" si="68"/>
        <v>220000</v>
      </c>
      <c r="J280" s="48">
        <f t="shared" si="69"/>
        <v>220000</v>
      </c>
      <c r="K280" s="76">
        <f t="shared" si="83"/>
        <v>220000</v>
      </c>
      <c r="L280" s="109"/>
      <c r="M280" s="78">
        <f t="shared" si="84"/>
        <v>11000</v>
      </c>
      <c r="N280" s="79"/>
      <c r="O280" s="80">
        <f t="shared" si="85"/>
        <v>209000</v>
      </c>
      <c r="P280" s="176"/>
      <c r="Q280" s="176"/>
      <c r="R280" s="109"/>
      <c r="S280" s="183"/>
      <c r="T280" s="183"/>
      <c r="U280" s="122"/>
      <c r="V280" s="767"/>
      <c r="W280" s="135" t="s">
        <v>53</v>
      </c>
      <c r="X280" s="106"/>
      <c r="Y280" s="106"/>
      <c r="Z280" s="427"/>
      <c r="AA280" s="107"/>
      <c r="AB280" s="107"/>
      <c r="AC280" s="107"/>
      <c r="AD280" s="106"/>
    </row>
    <row r="281" ht="30.75" customHeight="1">
      <c r="A281" s="93">
        <v>203.0</v>
      </c>
      <c r="B281" s="103">
        <v>45194.0</v>
      </c>
      <c r="C281" s="93" t="s">
        <v>1284</v>
      </c>
      <c r="D281" s="763" t="s">
        <v>50</v>
      </c>
      <c r="E281" s="105" t="s">
        <v>1285</v>
      </c>
      <c r="F281" s="92" t="s">
        <v>74</v>
      </c>
      <c r="G281" s="63" t="s">
        <v>30</v>
      </c>
      <c r="H281" s="64">
        <v>1.0</v>
      </c>
      <c r="I281" s="47">
        <f t="shared" si="68"/>
        <v>220000</v>
      </c>
      <c r="J281" s="48">
        <f t="shared" si="69"/>
        <v>220000</v>
      </c>
      <c r="K281" s="76">
        <f t="shared" si="83"/>
        <v>220000</v>
      </c>
      <c r="L281" s="109"/>
      <c r="M281" s="78">
        <f t="shared" si="84"/>
        <v>11000</v>
      </c>
      <c r="N281" s="79"/>
      <c r="O281" s="80">
        <f t="shared" si="85"/>
        <v>209000</v>
      </c>
      <c r="P281" s="176"/>
      <c r="Q281" s="176"/>
      <c r="R281" s="109"/>
      <c r="S281" s="183"/>
      <c r="T281" s="183"/>
      <c r="U281" s="122"/>
      <c r="V281" s="767"/>
      <c r="W281" s="135" t="s">
        <v>53</v>
      </c>
      <c r="X281" s="106"/>
      <c r="Y281" s="106"/>
      <c r="Z281" s="427"/>
      <c r="AA281" s="107"/>
      <c r="AB281" s="107"/>
      <c r="AC281" s="107"/>
      <c r="AD281" s="106"/>
    </row>
    <row r="282" ht="30.75" customHeight="1">
      <c r="A282" s="93">
        <v>204.0</v>
      </c>
      <c r="B282" s="103">
        <v>45194.0</v>
      </c>
      <c r="C282" s="93">
        <v>1.700743944441E12</v>
      </c>
      <c r="D282" s="92" t="s">
        <v>1286</v>
      </c>
      <c r="E282" s="762" t="s">
        <v>1287</v>
      </c>
      <c r="F282" s="770" t="s">
        <v>1288</v>
      </c>
      <c r="G282" s="63" t="s">
        <v>30</v>
      </c>
      <c r="H282" s="64">
        <v>3.0</v>
      </c>
      <c r="I282" s="47">
        <f t="shared" si="68"/>
        <v>220000</v>
      </c>
      <c r="J282" s="48">
        <f t="shared" si="69"/>
        <v>660000</v>
      </c>
      <c r="K282" s="76">
        <f t="shared" si="83"/>
        <v>660000</v>
      </c>
      <c r="L282" s="109"/>
      <c r="M282" s="575"/>
      <c r="N282" s="79"/>
      <c r="O282" s="80">
        <f t="shared" si="85"/>
        <v>660000</v>
      </c>
      <c r="P282" s="176"/>
      <c r="Q282" s="176"/>
      <c r="R282" s="108">
        <v>49002.0</v>
      </c>
      <c r="S282" s="84" t="s">
        <v>32</v>
      </c>
      <c r="T282" s="183"/>
      <c r="U282" s="122"/>
      <c r="V282" s="767"/>
      <c r="W282" s="122"/>
      <c r="X282" s="106"/>
      <c r="Y282" s="106"/>
      <c r="Z282" s="427"/>
      <c r="AA282" s="107"/>
      <c r="AB282" s="107"/>
      <c r="AC282" s="107"/>
      <c r="AD282" s="106"/>
    </row>
    <row r="283" ht="30.75" customHeight="1">
      <c r="A283" s="93">
        <v>205.0</v>
      </c>
      <c r="B283" s="103">
        <v>45194.0</v>
      </c>
      <c r="C283" s="93">
        <v>1.707914909361E12</v>
      </c>
      <c r="D283" s="763" t="s">
        <v>1289</v>
      </c>
      <c r="E283" s="105" t="s">
        <v>481</v>
      </c>
      <c r="F283" s="92" t="s">
        <v>1290</v>
      </c>
      <c r="G283" s="63" t="s">
        <v>456</v>
      </c>
      <c r="H283" s="64">
        <v>1.0</v>
      </c>
      <c r="I283" s="47">
        <f t="shared" si="68"/>
        <v>45000</v>
      </c>
      <c r="J283" s="48">
        <f t="shared" si="69"/>
        <v>45000</v>
      </c>
      <c r="K283" s="76">
        <f t="shared" si="83"/>
        <v>45000</v>
      </c>
      <c r="L283" s="109"/>
      <c r="M283" s="575"/>
      <c r="N283" s="79"/>
      <c r="O283" s="80">
        <f t="shared" si="85"/>
        <v>45000</v>
      </c>
      <c r="P283" s="176"/>
      <c r="Q283" s="176"/>
      <c r="R283" s="109"/>
      <c r="S283" s="183"/>
      <c r="T283" s="183"/>
      <c r="U283" s="122"/>
      <c r="V283" s="767"/>
      <c r="W283" s="122"/>
      <c r="X283" s="106"/>
      <c r="Y283" s="106"/>
      <c r="Z283" s="427"/>
      <c r="AA283" s="107"/>
      <c r="AB283" s="107"/>
      <c r="AC283" s="107"/>
      <c r="AD283" s="106"/>
    </row>
    <row r="284" ht="30.75" customHeight="1">
      <c r="A284" s="65"/>
      <c r="B284" s="65"/>
      <c r="C284" s="65"/>
      <c r="D284" s="763"/>
      <c r="E284" s="93"/>
      <c r="F284" s="92"/>
      <c r="G284" s="63"/>
      <c r="H284" s="64"/>
      <c r="I284" s="455"/>
      <c r="J284" s="48"/>
      <c r="K284" s="76"/>
      <c r="L284" s="109"/>
      <c r="M284" s="575"/>
      <c r="N284" s="79"/>
      <c r="O284" s="80"/>
      <c r="P284" s="176"/>
      <c r="Q284" s="176"/>
      <c r="R284" s="109"/>
      <c r="S284" s="183"/>
      <c r="T284" s="183"/>
      <c r="U284" s="122"/>
      <c r="V284" s="767"/>
      <c r="W284" s="122"/>
      <c r="X284" s="106"/>
      <c r="Y284" s="106"/>
      <c r="Z284" s="427"/>
      <c r="AA284" s="107"/>
      <c r="AB284" s="107"/>
      <c r="AC284" s="107"/>
      <c r="AD284" s="106"/>
    </row>
    <row r="285" ht="30.75" customHeight="1">
      <c r="A285" s="65"/>
      <c r="B285" s="65"/>
      <c r="C285" s="65"/>
      <c r="D285" s="763"/>
      <c r="E285" s="93"/>
      <c r="F285" s="92"/>
      <c r="G285" s="63"/>
      <c r="H285" s="64"/>
      <c r="I285" s="455"/>
      <c r="J285" s="48"/>
      <c r="K285" s="76"/>
      <c r="L285" s="109"/>
      <c r="M285" s="575"/>
      <c r="N285" s="79"/>
      <c r="O285" s="80"/>
      <c r="P285" s="176"/>
      <c r="Q285" s="176"/>
      <c r="R285" s="109"/>
      <c r="S285" s="183"/>
      <c r="T285" s="183"/>
      <c r="U285" s="122"/>
      <c r="V285" s="767"/>
      <c r="W285" s="122"/>
      <c r="X285" s="106"/>
      <c r="Y285" s="106"/>
      <c r="Z285" s="427"/>
      <c r="AA285" s="107"/>
      <c r="AB285" s="107"/>
      <c r="AC285" s="107"/>
      <c r="AD285" s="106"/>
    </row>
    <row r="286" ht="30.75" customHeight="1">
      <c r="A286" s="556"/>
      <c r="B286" s="198" t="s">
        <v>384</v>
      </c>
      <c r="C286" s="16"/>
      <c r="D286" s="16"/>
      <c r="E286" s="16"/>
      <c r="F286" s="16"/>
      <c r="G286" s="16"/>
      <c r="H286" s="16"/>
      <c r="I286" s="17"/>
      <c r="J286" s="590">
        <f>sum(J4:J285)</f>
        <v>116375000</v>
      </c>
      <c r="K286" s="76">
        <f>SUM(J286)</f>
        <v>116375000</v>
      </c>
      <c r="L286" s="201">
        <f t="shared" ref="L286:N286" si="86">SUM(L4:L285)</f>
        <v>465010</v>
      </c>
      <c r="M286" s="202">
        <f t="shared" si="86"/>
        <v>2536655</v>
      </c>
      <c r="N286" s="201">
        <f t="shared" si="86"/>
        <v>144008</v>
      </c>
      <c r="O286" s="203">
        <f>K286+L286-N286</f>
        <v>116696002</v>
      </c>
      <c r="P286" s="201"/>
      <c r="Q286" s="201">
        <f t="shared" ref="Q286:W286" si="87">SUM(Q4:Q285)</f>
        <v>0</v>
      </c>
      <c r="R286" s="201">
        <f t="shared" si="87"/>
        <v>3859535</v>
      </c>
      <c r="S286" s="201">
        <f t="shared" si="87"/>
        <v>0</v>
      </c>
      <c r="T286" s="201">
        <f t="shared" si="87"/>
        <v>0</v>
      </c>
      <c r="U286" s="201">
        <f t="shared" si="87"/>
        <v>0</v>
      </c>
      <c r="V286" s="201">
        <f t="shared" si="87"/>
        <v>124</v>
      </c>
      <c r="W286" s="201">
        <f t="shared" si="87"/>
        <v>0</v>
      </c>
      <c r="X286" s="556"/>
      <c r="Y286" s="556"/>
      <c r="Z286" s="579"/>
      <c r="AA286" s="592"/>
      <c r="AB286" s="592"/>
      <c r="AC286" s="592"/>
      <c r="AD286" s="556"/>
    </row>
    <row r="287" ht="30.75" customHeight="1">
      <c r="A287" s="556"/>
      <c r="B287" s="463" t="s">
        <v>385</v>
      </c>
      <c r="C287" s="16"/>
      <c r="D287" s="16"/>
      <c r="E287" s="16"/>
      <c r="F287" s="16"/>
      <c r="G287" s="16"/>
      <c r="H287" s="16"/>
      <c r="I287" s="17"/>
      <c r="J287" s="207">
        <f>SUMIF(G4:G285, "&lt;&gt;*Omi*", J4:J285)</f>
        <v>3665000</v>
      </c>
      <c r="K287" s="208"/>
      <c r="L287" s="208"/>
      <c r="M287" s="209"/>
      <c r="N287" s="210"/>
      <c r="O287" s="211"/>
      <c r="P287" s="210"/>
      <c r="Q287" s="210"/>
      <c r="R287" s="23"/>
      <c r="S287" s="23"/>
      <c r="T287" s="23"/>
      <c r="U287" s="23"/>
      <c r="V287" s="466"/>
      <c r="W287" s="464"/>
      <c r="X287" s="556"/>
      <c r="Y287" s="556"/>
      <c r="Z287" s="579"/>
      <c r="AA287" s="592"/>
      <c r="AB287" s="592"/>
      <c r="AC287" s="592"/>
      <c r="AD287" s="556"/>
    </row>
    <row r="288" ht="24.75" customHeight="1">
      <c r="A288" s="556"/>
      <c r="B288" s="214" t="s">
        <v>386</v>
      </c>
      <c r="C288" s="16"/>
      <c r="D288" s="16"/>
      <c r="E288" s="16"/>
      <c r="F288" s="16"/>
      <c r="G288" s="16"/>
      <c r="H288" s="16"/>
      <c r="I288" s="17"/>
      <c r="J288" s="215">
        <f>J286-J287</f>
        <v>112710000</v>
      </c>
      <c r="K288" s="208"/>
      <c r="L288" s="216"/>
      <c r="M288" s="216"/>
      <c r="N288" s="216"/>
      <c r="O288" s="216"/>
      <c r="P288" s="216"/>
      <c r="Q288" s="23"/>
      <c r="R288" s="23"/>
      <c r="S288" s="23"/>
      <c r="T288" s="23"/>
      <c r="U288" s="23"/>
      <c r="V288" s="466"/>
      <c r="W288" s="464"/>
      <c r="X288" s="556"/>
      <c r="Y288" s="556"/>
      <c r="Z288" s="579"/>
      <c r="AA288" s="592"/>
      <c r="AB288" s="592"/>
      <c r="AC288" s="592"/>
      <c r="AD288" s="556"/>
    </row>
    <row r="289" ht="24.75" customHeight="1">
      <c r="A289" s="556"/>
      <c r="B289" s="217" t="s">
        <v>387</v>
      </c>
      <c r="C289" s="16"/>
      <c r="D289" s="16"/>
      <c r="E289" s="16"/>
      <c r="F289" s="16"/>
      <c r="G289" s="16"/>
      <c r="H289" s="16"/>
      <c r="I289" s="17"/>
      <c r="J289" s="207">
        <f>SUMIF(S4:S285,"Cty trả ship",R4:R285)</f>
        <v>3728002</v>
      </c>
      <c r="K289" s="208"/>
      <c r="L289" s="216"/>
      <c r="M289" s="216"/>
      <c r="N289" s="216"/>
      <c r="O289" s="216"/>
      <c r="P289" s="216"/>
      <c r="Q289" s="23"/>
      <c r="R289" s="23"/>
      <c r="S289" s="23"/>
      <c r="T289" s="23"/>
      <c r="U289" s="23"/>
      <c r="V289" s="466"/>
      <c r="W289" s="464"/>
      <c r="X289" s="556"/>
      <c r="Y289" s="218"/>
      <c r="Z289" s="219"/>
      <c r="AA289" s="592"/>
      <c r="AB289" s="592"/>
      <c r="AC289" s="592"/>
      <c r="AD289" s="556"/>
    </row>
    <row r="290" ht="24.75" customHeight="1">
      <c r="A290" s="556"/>
      <c r="B290" s="220" t="s">
        <v>388</v>
      </c>
      <c r="C290" s="16"/>
      <c r="D290" s="16"/>
      <c r="E290" s="16"/>
      <c r="F290" s="16"/>
      <c r="G290" s="16"/>
      <c r="H290" s="16"/>
      <c r="I290" s="17"/>
      <c r="J290" s="221">
        <f>N286</f>
        <v>144008</v>
      </c>
      <c r="K290" s="208"/>
      <c r="L290" s="208"/>
      <c r="M290" s="210"/>
      <c r="N290" s="210"/>
      <c r="O290" s="211"/>
      <c r="P290" s="210"/>
      <c r="Q290" s="210"/>
      <c r="R290" s="23"/>
      <c r="S290" s="23"/>
      <c r="T290" s="210"/>
      <c r="U290" s="210"/>
      <c r="V290" s="466"/>
      <c r="W290" s="466"/>
      <c r="X290" s="210"/>
      <c r="Y290" s="218"/>
      <c r="Z290" s="219"/>
      <c r="AA290" s="592"/>
      <c r="AB290" s="592"/>
      <c r="AC290" s="592"/>
      <c r="AD290" s="556"/>
    </row>
    <row r="291" ht="15.75" customHeight="1">
      <c r="A291" s="556"/>
      <c r="B291" s="556"/>
      <c r="C291" s="596"/>
      <c r="D291" s="556"/>
      <c r="E291" s="596"/>
      <c r="F291" s="595"/>
      <c r="G291" s="596"/>
      <c r="H291" s="597"/>
      <c r="I291" s="598"/>
      <c r="J291" s="598"/>
      <c r="K291" s="106"/>
      <c r="L291" s="556"/>
      <c r="M291" s="556"/>
      <c r="N291" s="556"/>
      <c r="O291" s="402"/>
      <c r="P291" s="556"/>
      <c r="Q291" s="556"/>
      <c r="R291" s="596"/>
      <c r="S291" s="596"/>
      <c r="T291" s="556"/>
      <c r="U291" s="556"/>
      <c r="V291" s="771"/>
      <c r="W291" s="599"/>
      <c r="X291" s="556"/>
      <c r="Y291" s="556"/>
      <c r="Z291" s="579"/>
      <c r="AA291" s="592"/>
      <c r="AB291" s="592"/>
      <c r="AC291" s="592"/>
      <c r="AD291" s="556"/>
    </row>
    <row r="292" ht="15.75" customHeight="1">
      <c r="A292" s="218"/>
      <c r="B292" s="227"/>
      <c r="C292" s="228"/>
      <c r="D292" s="229"/>
      <c r="E292" s="772"/>
      <c r="F292" s="229"/>
      <c r="G292" s="231"/>
      <c r="H292" s="231"/>
      <c r="I292" s="231"/>
      <c r="J292" s="232"/>
      <c r="K292" s="233"/>
      <c r="L292" s="232"/>
      <c r="M292" s="232"/>
      <c r="N292" s="232"/>
      <c r="O292" s="234"/>
      <c r="P292" s="218"/>
      <c r="Q292" s="218"/>
      <c r="R292" s="218"/>
      <c r="S292" s="218"/>
      <c r="T292" s="218"/>
      <c r="U292" s="218"/>
      <c r="V292" s="622"/>
      <c r="W292" s="601"/>
      <c r="X292" s="235"/>
      <c r="Y292" s="218"/>
      <c r="Z292" s="219"/>
      <c r="AA292" s="592"/>
      <c r="AB292" s="592"/>
      <c r="AC292" s="592"/>
      <c r="AD292" s="556"/>
    </row>
    <row r="293" ht="15.75" customHeight="1">
      <c r="A293" s="218"/>
      <c r="B293" s="236"/>
      <c r="C293" s="16"/>
      <c r="D293" s="17"/>
      <c r="E293" s="237" t="s">
        <v>389</v>
      </c>
      <c r="F293" s="16"/>
      <c r="G293" s="16"/>
      <c r="H293" s="16"/>
      <c r="I293" s="16"/>
      <c r="J293" s="17"/>
      <c r="K293" s="23"/>
      <c r="L293" s="218"/>
      <c r="M293" s="238"/>
      <c r="N293" s="602" t="s">
        <v>864</v>
      </c>
      <c r="O293" s="16"/>
      <c r="P293" s="16"/>
      <c r="Q293" s="16"/>
      <c r="R293" s="16"/>
      <c r="S293" s="16"/>
      <c r="T293" s="17"/>
      <c r="U293" s="275"/>
      <c r="V293" s="773"/>
      <c r="W293" s="604"/>
      <c r="X293" s="240"/>
      <c r="Y293" s="218"/>
      <c r="Z293" s="219"/>
      <c r="AA293" s="592"/>
      <c r="AB293" s="592"/>
      <c r="AC293" s="592"/>
      <c r="AD293" s="556"/>
    </row>
    <row r="294" ht="15.75" customHeight="1">
      <c r="A294" s="218"/>
      <c r="B294" s="241" t="s">
        <v>391</v>
      </c>
      <c r="C294" s="242" t="s">
        <v>392</v>
      </c>
      <c r="D294" s="243" t="s">
        <v>393</v>
      </c>
      <c r="E294" s="244" t="s">
        <v>394</v>
      </c>
      <c r="F294" s="245" t="s">
        <v>395</v>
      </c>
      <c r="G294" s="201" t="s">
        <v>396</v>
      </c>
      <c r="H294" s="243" t="s">
        <v>397</v>
      </c>
      <c r="I294" s="246" t="s">
        <v>398</v>
      </c>
      <c r="J294" s="247" t="s">
        <v>399</v>
      </c>
      <c r="K294" s="23"/>
      <c r="L294" s="218"/>
      <c r="M294" s="248"/>
      <c r="N294" s="605" t="s">
        <v>400</v>
      </c>
      <c r="O294" s="250" t="s">
        <v>1291</v>
      </c>
      <c r="P294" s="250" t="s">
        <v>865</v>
      </c>
      <c r="Q294" s="251" t="s">
        <v>1292</v>
      </c>
      <c r="R294" s="251" t="s">
        <v>866</v>
      </c>
      <c r="S294" s="252" t="s">
        <v>405</v>
      </c>
      <c r="T294" s="253" t="s">
        <v>406</v>
      </c>
      <c r="U294" s="606"/>
      <c r="V294" s="607"/>
      <c r="W294" s="608"/>
      <c r="X294" s="240"/>
      <c r="Y294" s="218"/>
      <c r="Z294" s="219"/>
      <c r="AA294" s="592"/>
      <c r="AB294" s="592"/>
      <c r="AC294" s="592"/>
      <c r="AD294" s="556"/>
    </row>
    <row r="295" ht="21.0" customHeight="1">
      <c r="A295" s="218"/>
      <c r="B295" s="254" t="s">
        <v>407</v>
      </c>
      <c r="C295" s="85" t="s">
        <v>121</v>
      </c>
      <c r="D295" s="255">
        <f t="shared" ref="D295:D335" si="88">SUMIF($G$4:$G$288,C295,$H$4:$H$288)</f>
        <v>33</v>
      </c>
      <c r="E295" s="93">
        <v>3.0</v>
      </c>
      <c r="F295" s="613">
        <v>1.0</v>
      </c>
      <c r="G295" s="256">
        <f t="shared" ref="G295:G335" si="89">D295-E295-F295</f>
        <v>29</v>
      </c>
      <c r="H295" s="128">
        <v>220000.0</v>
      </c>
      <c r="I295" s="217">
        <f t="shared" ref="I295:I335" si="90">G295*H295</f>
        <v>6380000</v>
      </c>
      <c r="J295" s="257">
        <f t="shared" ref="J295:J304" si="91">SUMIF($U$4:$U$285,C295,$V$4:$V$285)</f>
        <v>0</v>
      </c>
      <c r="K295" s="23"/>
      <c r="L295" s="218"/>
      <c r="M295" s="258"/>
      <c r="N295" s="103">
        <v>45166.0</v>
      </c>
      <c r="O295" s="261">
        <f>505000+240000+550000+660000+470000+680000+2200000</f>
        <v>5305000</v>
      </c>
      <c r="P295" s="261"/>
      <c r="Q295" s="263">
        <f>43001+78004+33183+36001+46002+48002</f>
        <v>284193</v>
      </c>
      <c r="R295" s="263"/>
      <c r="S295" s="264">
        <f t="shared" ref="S295:S329" si="92">O295+P295-Q295-R295</f>
        <v>5020807</v>
      </c>
      <c r="T295" s="488"/>
      <c r="U295" s="583"/>
      <c r="V295" s="607"/>
      <c r="W295" s="611"/>
      <c r="X295" s="266"/>
      <c r="Y295" s="218"/>
      <c r="Z295" s="219"/>
      <c r="AA295" s="592"/>
      <c r="AB295" s="592"/>
      <c r="AC295" s="592"/>
      <c r="AD295" s="556"/>
    </row>
    <row r="296" ht="21.0" customHeight="1">
      <c r="A296" s="218"/>
      <c r="B296" s="62"/>
      <c r="C296" s="85" t="s">
        <v>123</v>
      </c>
      <c r="D296" s="255">
        <f t="shared" si="88"/>
        <v>4</v>
      </c>
      <c r="E296" s="65"/>
      <c r="F296" s="255"/>
      <c r="G296" s="256">
        <f t="shared" si="89"/>
        <v>4</v>
      </c>
      <c r="H296" s="128">
        <v>220000.0</v>
      </c>
      <c r="I296" s="217">
        <f t="shared" si="90"/>
        <v>880000</v>
      </c>
      <c r="J296" s="257">
        <f t="shared" si="91"/>
        <v>0</v>
      </c>
      <c r="K296" s="23"/>
      <c r="L296" s="218"/>
      <c r="M296" s="258"/>
      <c r="N296" s="103">
        <v>45167.0</v>
      </c>
      <c r="O296" s="261">
        <f>186493+208163+189113+187643+210200+186493+208403+417370+417058+416824</f>
        <v>2627760</v>
      </c>
      <c r="P296" s="261"/>
      <c r="Q296" s="487"/>
      <c r="R296" s="263"/>
      <c r="S296" s="264">
        <f t="shared" si="92"/>
        <v>2627760</v>
      </c>
      <c r="T296" s="483" t="s">
        <v>659</v>
      </c>
      <c r="U296" s="583"/>
      <c r="V296" s="607"/>
      <c r="W296" s="611"/>
      <c r="X296" s="266"/>
      <c r="Y296" s="218"/>
      <c r="Z296" s="219"/>
      <c r="AA296" s="592"/>
      <c r="AB296" s="592"/>
      <c r="AC296" s="592"/>
      <c r="AD296" s="556"/>
    </row>
    <row r="297" ht="21.0" customHeight="1">
      <c r="A297" s="218"/>
      <c r="B297" s="62"/>
      <c r="C297" s="85" t="s">
        <v>124</v>
      </c>
      <c r="D297" s="255">
        <f t="shared" si="88"/>
        <v>12</v>
      </c>
      <c r="E297" s="93">
        <v>2.0</v>
      </c>
      <c r="F297" s="255"/>
      <c r="G297" s="256">
        <f t="shared" si="89"/>
        <v>10</v>
      </c>
      <c r="H297" s="128">
        <v>220000.0</v>
      </c>
      <c r="I297" s="217">
        <f t="shared" si="90"/>
        <v>2200000</v>
      </c>
      <c r="J297" s="257">
        <f t="shared" si="91"/>
        <v>0</v>
      </c>
      <c r="K297" s="23"/>
      <c r="L297" s="218"/>
      <c r="M297" s="258"/>
      <c r="N297" s="103">
        <v>45168.0</v>
      </c>
      <c r="O297" s="261">
        <f>209000+208493+208493+626577+208493</f>
        <v>1461056</v>
      </c>
      <c r="P297" s="261"/>
      <c r="Q297" s="487"/>
      <c r="R297" s="263"/>
      <c r="S297" s="264">
        <f t="shared" si="92"/>
        <v>1461056</v>
      </c>
      <c r="T297" s="483" t="s">
        <v>659</v>
      </c>
      <c r="U297" s="583"/>
      <c r="V297" s="607"/>
      <c r="W297" s="611"/>
      <c r="X297" s="266"/>
      <c r="Y297" s="218"/>
      <c r="Z297" s="219"/>
      <c r="AA297" s="592"/>
      <c r="AB297" s="592"/>
      <c r="AC297" s="592"/>
      <c r="AD297" s="556"/>
    </row>
    <row r="298" ht="21.0" customHeight="1">
      <c r="A298" s="218"/>
      <c r="B298" s="62"/>
      <c r="C298" s="129" t="s">
        <v>125</v>
      </c>
      <c r="D298" s="255">
        <f t="shared" si="88"/>
        <v>0</v>
      </c>
      <c r="E298" s="65"/>
      <c r="F298" s="255"/>
      <c r="G298" s="256">
        <f t="shared" si="89"/>
        <v>0</v>
      </c>
      <c r="H298" s="80">
        <v>220000.0</v>
      </c>
      <c r="I298" s="217">
        <f t="shared" si="90"/>
        <v>0</v>
      </c>
      <c r="J298" s="257">
        <f t="shared" si="91"/>
        <v>0</v>
      </c>
      <c r="K298" s="23"/>
      <c r="L298" s="218"/>
      <c r="M298" s="258"/>
      <c r="N298" s="103">
        <v>45168.0</v>
      </c>
      <c r="O298" s="261">
        <f>1100000</f>
        <v>1100000</v>
      </c>
      <c r="P298" s="261">
        <f>O6</f>
        <v>240000</v>
      </c>
      <c r="Q298" s="487"/>
      <c r="R298" s="263">
        <f>R10+L6+R7</f>
        <v>187999</v>
      </c>
      <c r="S298" s="264">
        <f t="shared" si="92"/>
        <v>1152001</v>
      </c>
      <c r="T298" s="488"/>
      <c r="U298" s="583"/>
      <c r="V298" s="607"/>
      <c r="W298" s="611"/>
      <c r="X298" s="266"/>
      <c r="Y298" s="218"/>
      <c r="Z298" s="219"/>
      <c r="AA298" s="592"/>
      <c r="AB298" s="592"/>
      <c r="AC298" s="592"/>
      <c r="AD298" s="556"/>
    </row>
    <row r="299" ht="21.0" customHeight="1">
      <c r="A299" s="218"/>
      <c r="B299" s="62"/>
      <c r="C299" s="129" t="s">
        <v>129</v>
      </c>
      <c r="D299" s="255">
        <f t="shared" si="88"/>
        <v>15</v>
      </c>
      <c r="E299" s="268"/>
      <c r="F299" s="269"/>
      <c r="G299" s="256">
        <f t="shared" si="89"/>
        <v>15</v>
      </c>
      <c r="H299" s="80">
        <v>220000.0</v>
      </c>
      <c r="I299" s="217">
        <f t="shared" si="90"/>
        <v>3300000</v>
      </c>
      <c r="J299" s="257">
        <f t="shared" si="91"/>
        <v>0</v>
      </c>
      <c r="K299" s="23"/>
      <c r="L299" s="218"/>
      <c r="M299" s="258"/>
      <c r="N299" s="103">
        <v>45169.0</v>
      </c>
      <c r="O299" s="261"/>
      <c r="P299" s="261">
        <f>970000</f>
        <v>970000</v>
      </c>
      <c r="Q299" s="487"/>
      <c r="R299" s="263"/>
      <c r="S299" s="264">
        <f t="shared" si="92"/>
        <v>970000</v>
      </c>
      <c r="T299" s="483" t="s">
        <v>1293</v>
      </c>
      <c r="U299" s="583"/>
      <c r="V299" s="607"/>
      <c r="W299" s="611"/>
      <c r="X299" s="266"/>
      <c r="Y299" s="218"/>
      <c r="Z299" s="219"/>
      <c r="AA299" s="592"/>
      <c r="AB299" s="592"/>
      <c r="AC299" s="592"/>
      <c r="AD299" s="556"/>
    </row>
    <row r="300" ht="21.0" customHeight="1">
      <c r="A300" s="218"/>
      <c r="B300" s="62"/>
      <c r="C300" s="85" t="s">
        <v>133</v>
      </c>
      <c r="D300" s="255">
        <f t="shared" si="88"/>
        <v>56</v>
      </c>
      <c r="E300" s="65"/>
      <c r="F300" s="269"/>
      <c r="G300" s="256">
        <f t="shared" si="89"/>
        <v>56</v>
      </c>
      <c r="H300" s="128">
        <v>220000.0</v>
      </c>
      <c r="I300" s="217">
        <f t="shared" si="90"/>
        <v>12320000</v>
      </c>
      <c r="J300" s="257">
        <f t="shared" si="91"/>
        <v>0</v>
      </c>
      <c r="K300" s="23"/>
      <c r="L300" s="218"/>
      <c r="M300" s="258"/>
      <c r="N300" s="103">
        <v>45169.0</v>
      </c>
      <c r="O300" s="261"/>
      <c r="P300" s="261">
        <f>O7</f>
        <v>1100000</v>
      </c>
      <c r="Q300" s="487"/>
      <c r="R300" s="263">
        <f>R22+R20+R35</f>
        <v>390298</v>
      </c>
      <c r="S300" s="264">
        <f t="shared" si="92"/>
        <v>709702</v>
      </c>
      <c r="T300" s="488"/>
      <c r="U300" s="583"/>
      <c r="V300" s="607"/>
      <c r="W300" s="611"/>
      <c r="X300" s="266"/>
      <c r="Y300" s="218"/>
      <c r="Z300" s="219"/>
      <c r="AA300" s="592"/>
      <c r="AB300" s="592"/>
      <c r="AC300" s="592"/>
      <c r="AD300" s="556"/>
    </row>
    <row r="301" ht="21.0" customHeight="1">
      <c r="A301" s="218"/>
      <c r="B301" s="62"/>
      <c r="C301" s="85" t="s">
        <v>135</v>
      </c>
      <c r="D301" s="255">
        <f t="shared" si="88"/>
        <v>1</v>
      </c>
      <c r="E301" s="268"/>
      <c r="F301" s="269"/>
      <c r="G301" s="256">
        <f t="shared" si="89"/>
        <v>1</v>
      </c>
      <c r="H301" s="128">
        <v>220000.0</v>
      </c>
      <c r="I301" s="217">
        <f t="shared" si="90"/>
        <v>220000</v>
      </c>
      <c r="J301" s="257">
        <f t="shared" si="91"/>
        <v>0</v>
      </c>
      <c r="K301" s="23"/>
      <c r="L301" s="218"/>
      <c r="M301" s="258"/>
      <c r="N301" s="103">
        <v>45173.0</v>
      </c>
      <c r="O301" s="261"/>
      <c r="P301" s="496">
        <v>90000.0</v>
      </c>
      <c r="Q301" s="487"/>
      <c r="R301" s="263"/>
      <c r="S301" s="264">
        <f t="shared" si="92"/>
        <v>90000</v>
      </c>
      <c r="T301" s="483" t="s">
        <v>413</v>
      </c>
      <c r="U301" s="583"/>
      <c r="V301" s="607"/>
      <c r="W301" s="611"/>
      <c r="X301" s="266"/>
      <c r="Y301" s="218"/>
      <c r="Z301" s="219"/>
      <c r="AA301" s="592"/>
      <c r="AB301" s="592"/>
      <c r="AC301" s="592"/>
      <c r="AD301" s="556"/>
    </row>
    <row r="302" ht="21.0" customHeight="1">
      <c r="A302" s="218"/>
      <c r="B302" s="62"/>
      <c r="C302" s="85" t="s">
        <v>139</v>
      </c>
      <c r="D302" s="255">
        <f t="shared" si="88"/>
        <v>37</v>
      </c>
      <c r="E302" s="65"/>
      <c r="F302" s="269"/>
      <c r="G302" s="256">
        <f t="shared" si="89"/>
        <v>37</v>
      </c>
      <c r="H302" s="128">
        <v>80000.0</v>
      </c>
      <c r="I302" s="217">
        <f t="shared" si="90"/>
        <v>2960000</v>
      </c>
      <c r="J302" s="257">
        <f t="shared" si="91"/>
        <v>0</v>
      </c>
      <c r="K302" s="23"/>
      <c r="L302" s="218"/>
      <c r="M302" s="258"/>
      <c r="N302" s="103">
        <v>45173.0</v>
      </c>
      <c r="O302" s="261">
        <f>207263+185263+625497+208013+417991+208493+208823+208013+419200+627897+417700+208493+208493+209243+208493+186013</f>
        <v>4754888</v>
      </c>
      <c r="P302" s="261"/>
      <c r="Q302" s="487"/>
      <c r="R302" s="263"/>
      <c r="S302" s="264">
        <f t="shared" si="92"/>
        <v>4754888</v>
      </c>
      <c r="T302" s="483" t="s">
        <v>659</v>
      </c>
      <c r="U302" s="583"/>
      <c r="V302" s="607"/>
      <c r="W302" s="611"/>
      <c r="X302" s="266"/>
      <c r="Y302" s="218"/>
      <c r="Z302" s="219"/>
      <c r="AA302" s="592"/>
      <c r="AB302" s="592"/>
      <c r="AC302" s="592"/>
      <c r="AD302" s="556"/>
    </row>
    <row r="303" ht="20.25" customHeight="1">
      <c r="A303" s="218"/>
      <c r="B303" s="62"/>
      <c r="C303" s="85" t="s">
        <v>142</v>
      </c>
      <c r="D303" s="255">
        <f t="shared" si="88"/>
        <v>1</v>
      </c>
      <c r="E303" s="65"/>
      <c r="F303" s="269"/>
      <c r="G303" s="256">
        <f t="shared" si="89"/>
        <v>1</v>
      </c>
      <c r="H303" s="128">
        <v>220000.0</v>
      </c>
      <c r="I303" s="217">
        <f t="shared" si="90"/>
        <v>220000</v>
      </c>
      <c r="J303" s="257">
        <f t="shared" si="91"/>
        <v>0</v>
      </c>
      <c r="K303" s="23"/>
      <c r="L303" s="218"/>
      <c r="M303" s="258"/>
      <c r="N303" s="103">
        <v>45174.0</v>
      </c>
      <c r="O303" s="261"/>
      <c r="P303" s="261">
        <f>O4+O5+O14+O19</f>
        <v>835676</v>
      </c>
      <c r="Q303" s="487"/>
      <c r="R303" s="263"/>
      <c r="S303" s="264">
        <f t="shared" si="92"/>
        <v>835676</v>
      </c>
      <c r="T303" s="483" t="s">
        <v>659</v>
      </c>
      <c r="U303" s="583"/>
      <c r="V303" s="607"/>
      <c r="W303" s="611"/>
      <c r="X303" s="266"/>
      <c r="Y303" s="218"/>
      <c r="Z303" s="219"/>
      <c r="AA303" s="592"/>
      <c r="AB303" s="592"/>
      <c r="AC303" s="592"/>
      <c r="AD303" s="556"/>
    </row>
    <row r="304" ht="20.25" customHeight="1">
      <c r="A304" s="218"/>
      <c r="B304" s="62"/>
      <c r="C304" s="85" t="s">
        <v>145</v>
      </c>
      <c r="D304" s="255">
        <f t="shared" si="88"/>
        <v>363</v>
      </c>
      <c r="E304" s="65"/>
      <c r="F304" s="613">
        <v>3.0</v>
      </c>
      <c r="G304" s="256">
        <f t="shared" si="89"/>
        <v>360</v>
      </c>
      <c r="H304" s="128">
        <v>220000.0</v>
      </c>
      <c r="I304" s="217">
        <f t="shared" si="90"/>
        <v>79200000</v>
      </c>
      <c r="J304" s="257">
        <f t="shared" si="91"/>
        <v>2</v>
      </c>
      <c r="K304" s="23"/>
      <c r="L304" s="218"/>
      <c r="M304" s="258"/>
      <c r="N304" s="103">
        <v>45174.0</v>
      </c>
      <c r="O304" s="261"/>
      <c r="P304" s="261">
        <f>O50+O57+O22+O40+O10</f>
        <v>11880000</v>
      </c>
      <c r="Q304" s="487"/>
      <c r="R304" s="263">
        <f>R54+R50+R51+L57+R36+R40</f>
        <v>395112</v>
      </c>
      <c r="S304" s="264">
        <f t="shared" si="92"/>
        <v>11484888</v>
      </c>
      <c r="T304" s="488"/>
      <c r="U304" s="583"/>
      <c r="V304" s="607"/>
      <c r="W304" s="611"/>
      <c r="X304" s="266"/>
      <c r="Y304" s="218"/>
      <c r="Z304" s="219"/>
      <c r="AA304" s="592"/>
      <c r="AB304" s="592"/>
      <c r="AC304" s="592"/>
      <c r="AD304" s="556"/>
    </row>
    <row r="305" ht="20.25" customHeight="1">
      <c r="A305" s="218"/>
      <c r="B305" s="62"/>
      <c r="C305" s="85" t="s">
        <v>153</v>
      </c>
      <c r="D305" s="255">
        <f t="shared" si="88"/>
        <v>13</v>
      </c>
      <c r="E305" s="65"/>
      <c r="F305" s="269"/>
      <c r="G305" s="256">
        <f t="shared" si="89"/>
        <v>13</v>
      </c>
      <c r="H305" s="128">
        <v>45000.0</v>
      </c>
      <c r="I305" s="217">
        <f t="shared" si="90"/>
        <v>585000</v>
      </c>
      <c r="J305" s="774">
        <v>58.0</v>
      </c>
      <c r="K305" s="23"/>
      <c r="L305" s="218"/>
      <c r="M305" s="258"/>
      <c r="N305" s="103">
        <v>45175.0</v>
      </c>
      <c r="O305" s="261"/>
      <c r="P305" s="261">
        <f>O63+O70+O62</f>
        <v>820000</v>
      </c>
      <c r="Q305" s="487"/>
      <c r="R305" s="263">
        <f>R64+L62+L70+L63</f>
        <v>165005</v>
      </c>
      <c r="S305" s="264">
        <f t="shared" si="92"/>
        <v>654995</v>
      </c>
      <c r="T305" s="488"/>
      <c r="U305" s="583"/>
      <c r="V305" s="607"/>
      <c r="W305" s="611"/>
      <c r="X305" s="266"/>
      <c r="Y305" s="218"/>
      <c r="Z305" s="219"/>
      <c r="AA305" s="592"/>
      <c r="AB305" s="592"/>
      <c r="AC305" s="592"/>
      <c r="AD305" s="556"/>
    </row>
    <row r="306" ht="20.25" customHeight="1">
      <c r="A306" s="218"/>
      <c r="B306" s="62"/>
      <c r="C306" s="273" t="s">
        <v>161</v>
      </c>
      <c r="D306" s="255">
        <f t="shared" si="88"/>
        <v>5</v>
      </c>
      <c r="E306" s="65"/>
      <c r="F306" s="269"/>
      <c r="G306" s="256">
        <f t="shared" si="89"/>
        <v>5</v>
      </c>
      <c r="H306" s="274">
        <v>220000.0</v>
      </c>
      <c r="I306" s="217">
        <f t="shared" si="90"/>
        <v>1100000</v>
      </c>
      <c r="J306" s="257">
        <f t="shared" ref="J306:J335" si="93">SUMIF($U$4:$U$285,C306,$V$4:$V$285)</f>
        <v>0</v>
      </c>
      <c r="K306" s="23"/>
      <c r="L306" s="218"/>
      <c r="M306" s="258"/>
      <c r="N306" s="103">
        <v>45177.0</v>
      </c>
      <c r="O306" s="261"/>
      <c r="P306" s="261">
        <f>O15+O17+O27+O31+O34+O16+O26+O32+O33+O47+O48</f>
        <v>2917000</v>
      </c>
      <c r="Q306" s="487"/>
      <c r="R306" s="263"/>
      <c r="S306" s="264">
        <f t="shared" si="92"/>
        <v>2917000</v>
      </c>
      <c r="T306" s="483" t="s">
        <v>659</v>
      </c>
      <c r="U306" s="583"/>
      <c r="V306" s="607"/>
      <c r="W306" s="611"/>
      <c r="X306" s="266"/>
      <c r="Y306" s="218"/>
      <c r="Z306" s="219"/>
      <c r="AA306" s="592"/>
      <c r="AB306" s="592"/>
      <c r="AC306" s="592"/>
      <c r="AD306" s="556"/>
    </row>
    <row r="307" ht="20.25" customHeight="1">
      <c r="A307" s="218"/>
      <c r="B307" s="62"/>
      <c r="C307" s="273" t="s">
        <v>488</v>
      </c>
      <c r="D307" s="255">
        <f t="shared" si="88"/>
        <v>0</v>
      </c>
      <c r="E307" s="65"/>
      <c r="F307" s="269"/>
      <c r="G307" s="256">
        <f t="shared" si="89"/>
        <v>0</v>
      </c>
      <c r="H307" s="274">
        <v>45000.0</v>
      </c>
      <c r="I307" s="217">
        <f t="shared" si="90"/>
        <v>0</v>
      </c>
      <c r="J307" s="257">
        <f t="shared" si="93"/>
        <v>0</v>
      </c>
      <c r="K307" s="23"/>
      <c r="L307" s="218"/>
      <c r="M307" s="258"/>
      <c r="N307" s="103">
        <v>45177.0</v>
      </c>
      <c r="O307" s="261"/>
      <c r="P307" s="261">
        <f>O54+O91+O20+O36+O64</f>
        <v>8655000</v>
      </c>
      <c r="Q307" s="487"/>
      <c r="R307" s="263">
        <f>L91+R104</f>
        <v>85003</v>
      </c>
      <c r="S307" s="264">
        <f t="shared" si="92"/>
        <v>8569997</v>
      </c>
      <c r="T307" s="488"/>
      <c r="U307" s="583"/>
      <c r="V307" s="607"/>
      <c r="W307" s="611"/>
      <c r="X307" s="266"/>
      <c r="Y307" s="218"/>
      <c r="Z307" s="219"/>
      <c r="AA307" s="592"/>
      <c r="AB307" s="592"/>
      <c r="AC307" s="592"/>
      <c r="AD307" s="556"/>
    </row>
    <row r="308" ht="20.25" customHeight="1">
      <c r="A308" s="218"/>
      <c r="B308" s="62"/>
      <c r="C308" s="273" t="s">
        <v>412</v>
      </c>
      <c r="D308" s="255">
        <f t="shared" si="88"/>
        <v>1</v>
      </c>
      <c r="E308" s="65"/>
      <c r="F308" s="269"/>
      <c r="G308" s="256">
        <f t="shared" si="89"/>
        <v>1</v>
      </c>
      <c r="H308" s="274">
        <v>45000.0</v>
      </c>
      <c r="I308" s="217">
        <f t="shared" si="90"/>
        <v>45000</v>
      </c>
      <c r="J308" s="257">
        <f t="shared" si="93"/>
        <v>0</v>
      </c>
      <c r="K308" s="23"/>
      <c r="L308" s="218"/>
      <c r="M308" s="258"/>
      <c r="N308" s="103">
        <v>45178.0</v>
      </c>
      <c r="O308" s="261"/>
      <c r="P308" s="261">
        <f>O25+O30+O44+O45+O49+O59+O61</f>
        <v>1875645</v>
      </c>
      <c r="Q308" s="487"/>
      <c r="R308" s="263"/>
      <c r="S308" s="264">
        <f t="shared" si="92"/>
        <v>1875645</v>
      </c>
      <c r="T308" s="483" t="s">
        <v>659</v>
      </c>
      <c r="U308" s="583"/>
      <c r="V308" s="607"/>
      <c r="W308" s="611"/>
      <c r="X308" s="266"/>
      <c r="Y308" s="218"/>
      <c r="Z308" s="219"/>
      <c r="AA308" s="592"/>
      <c r="AB308" s="592"/>
      <c r="AC308" s="592"/>
      <c r="AD308" s="556"/>
    </row>
    <row r="309" ht="20.25" customHeight="1">
      <c r="A309" s="218"/>
      <c r="B309" s="62"/>
      <c r="C309" s="273" t="s">
        <v>151</v>
      </c>
      <c r="D309" s="255">
        <f t="shared" si="88"/>
        <v>5</v>
      </c>
      <c r="E309" s="65"/>
      <c r="F309" s="269"/>
      <c r="G309" s="256">
        <f t="shared" si="89"/>
        <v>5</v>
      </c>
      <c r="H309" s="274">
        <v>220000.0</v>
      </c>
      <c r="I309" s="217">
        <f t="shared" si="90"/>
        <v>1100000</v>
      </c>
      <c r="J309" s="257">
        <f t="shared" si="93"/>
        <v>0</v>
      </c>
      <c r="K309" s="23"/>
      <c r="L309" s="218"/>
      <c r="M309" s="258"/>
      <c r="N309" s="103">
        <v>45180.0</v>
      </c>
      <c r="O309" s="261"/>
      <c r="P309" s="261">
        <f>O46</f>
        <v>207263</v>
      </c>
      <c r="Q309" s="487"/>
      <c r="R309" s="263"/>
      <c r="S309" s="264">
        <f t="shared" si="92"/>
        <v>207263</v>
      </c>
      <c r="T309" s="483" t="s">
        <v>659</v>
      </c>
      <c r="U309" s="583"/>
      <c r="V309" s="607"/>
      <c r="W309" s="611"/>
      <c r="X309" s="266"/>
      <c r="Y309" s="218"/>
      <c r="Z309" s="219"/>
      <c r="AA309" s="592"/>
      <c r="AB309" s="592"/>
      <c r="AC309" s="592"/>
      <c r="AD309" s="556"/>
    </row>
    <row r="310" ht="20.25" customHeight="1">
      <c r="A310" s="218"/>
      <c r="B310" s="62"/>
      <c r="C310" s="65" t="s">
        <v>148</v>
      </c>
      <c r="D310" s="255">
        <f t="shared" si="88"/>
        <v>10</v>
      </c>
      <c r="E310" s="65"/>
      <c r="F310" s="269"/>
      <c r="G310" s="256">
        <f t="shared" si="89"/>
        <v>10</v>
      </c>
      <c r="H310" s="66">
        <v>220000.0</v>
      </c>
      <c r="I310" s="217">
        <f t="shared" si="90"/>
        <v>2200000</v>
      </c>
      <c r="J310" s="257">
        <f t="shared" si="93"/>
        <v>0</v>
      </c>
      <c r="K310" s="23"/>
      <c r="L310" s="218"/>
      <c r="M310" s="258"/>
      <c r="N310" s="103">
        <v>45180.0</v>
      </c>
      <c r="O310" s="261"/>
      <c r="P310" s="261">
        <f>O104+O106</f>
        <v>5060000</v>
      </c>
      <c r="Q310" s="487"/>
      <c r="R310" s="263">
        <f>R106</f>
        <v>183870</v>
      </c>
      <c r="S310" s="264">
        <f t="shared" si="92"/>
        <v>4876130</v>
      </c>
      <c r="T310" s="488"/>
      <c r="U310" s="583"/>
      <c r="V310" s="607"/>
      <c r="W310" s="611"/>
      <c r="X310" s="266"/>
      <c r="Y310" s="218"/>
      <c r="Z310" s="219"/>
      <c r="AA310" s="592"/>
      <c r="AB310" s="592"/>
      <c r="AC310" s="592"/>
      <c r="AD310" s="556"/>
    </row>
    <row r="311" ht="20.25" customHeight="1">
      <c r="A311" s="218"/>
      <c r="B311" s="254" t="s">
        <v>415</v>
      </c>
      <c r="C311" s="283" t="s">
        <v>34</v>
      </c>
      <c r="D311" s="255">
        <f t="shared" si="88"/>
        <v>9</v>
      </c>
      <c r="E311" s="65"/>
      <c r="F311" s="269"/>
      <c r="G311" s="256">
        <f t="shared" si="89"/>
        <v>9</v>
      </c>
      <c r="H311" s="61">
        <v>65000.0</v>
      </c>
      <c r="I311" s="217">
        <f t="shared" si="90"/>
        <v>585000</v>
      </c>
      <c r="J311" s="257">
        <f t="shared" si="93"/>
        <v>0</v>
      </c>
      <c r="K311" s="23"/>
      <c r="L311" s="218"/>
      <c r="M311" s="258"/>
      <c r="N311" s="103">
        <v>45182.0</v>
      </c>
      <c r="O311" s="261"/>
      <c r="P311" s="261">
        <f>O76+O77+O88+O89</f>
        <v>2538366</v>
      </c>
      <c r="Q311" s="487"/>
      <c r="R311" s="263"/>
      <c r="S311" s="264">
        <f t="shared" si="92"/>
        <v>2538366</v>
      </c>
      <c r="T311" s="483" t="s">
        <v>659</v>
      </c>
      <c r="U311" s="615"/>
      <c r="V311" s="607"/>
      <c r="W311" s="616"/>
      <c r="X311" s="266"/>
      <c r="Y311" s="218"/>
      <c r="Z311" s="219"/>
      <c r="AA311" s="592"/>
      <c r="AB311" s="592"/>
      <c r="AC311" s="592"/>
      <c r="AD311" s="556"/>
    </row>
    <row r="312" ht="20.25" customHeight="1">
      <c r="A312" s="218"/>
      <c r="B312" s="62"/>
      <c r="C312" s="285" t="s">
        <v>36</v>
      </c>
      <c r="D312" s="255">
        <f t="shared" si="88"/>
        <v>0</v>
      </c>
      <c r="E312" s="65"/>
      <c r="F312" s="269"/>
      <c r="G312" s="256">
        <f t="shared" si="89"/>
        <v>0</v>
      </c>
      <c r="H312" s="66">
        <v>180000.0</v>
      </c>
      <c r="I312" s="217">
        <f t="shared" si="90"/>
        <v>0</v>
      </c>
      <c r="J312" s="257">
        <f t="shared" si="93"/>
        <v>0</v>
      </c>
      <c r="K312" s="23"/>
      <c r="L312" s="218"/>
      <c r="M312" s="286"/>
      <c r="N312" s="103">
        <v>45182.0</v>
      </c>
      <c r="O312" s="261"/>
      <c r="P312" s="261">
        <f>1320000</f>
        <v>1320000</v>
      </c>
      <c r="Q312" s="487"/>
      <c r="R312" s="263"/>
      <c r="S312" s="264">
        <f t="shared" si="92"/>
        <v>1320000</v>
      </c>
      <c r="T312" s="483" t="s">
        <v>1294</v>
      </c>
      <c r="U312" s="615"/>
      <c r="V312" s="607"/>
      <c r="W312" s="616"/>
      <c r="X312" s="266"/>
      <c r="Y312" s="218"/>
      <c r="Z312" s="219"/>
      <c r="AA312" s="592"/>
      <c r="AB312" s="592"/>
      <c r="AC312" s="592"/>
      <c r="AD312" s="556"/>
    </row>
    <row r="313" ht="20.25" customHeight="1">
      <c r="A313" s="218"/>
      <c r="B313" s="62"/>
      <c r="C313" s="285" t="s">
        <v>38</v>
      </c>
      <c r="D313" s="255">
        <f t="shared" si="88"/>
        <v>0</v>
      </c>
      <c r="E313" s="65"/>
      <c r="F313" s="269"/>
      <c r="G313" s="256">
        <f t="shared" si="89"/>
        <v>0</v>
      </c>
      <c r="H313" s="66">
        <v>160000.0</v>
      </c>
      <c r="I313" s="217">
        <f t="shared" si="90"/>
        <v>0</v>
      </c>
      <c r="J313" s="257">
        <f t="shared" si="93"/>
        <v>0</v>
      </c>
      <c r="K313" s="23"/>
      <c r="L313" s="218"/>
      <c r="M313" s="218"/>
      <c r="N313" s="103">
        <v>45183.0</v>
      </c>
      <c r="O313" s="261"/>
      <c r="P313" s="261">
        <f>O71+O72+O73+O74+O75+O81+O82+O84+O86+O87+O90+O93+O95+O96+O97+O98+O101</f>
        <v>5191264</v>
      </c>
      <c r="Q313" s="487"/>
      <c r="R313" s="263"/>
      <c r="S313" s="264">
        <f t="shared" si="92"/>
        <v>5191264</v>
      </c>
      <c r="T313" s="483" t="s">
        <v>659</v>
      </c>
      <c r="U313" s="617"/>
      <c r="V313" s="618"/>
      <c r="W313" s="616"/>
      <c r="X313" s="266"/>
      <c r="Y313" s="218"/>
      <c r="Z313" s="219"/>
      <c r="AA313" s="592"/>
      <c r="AB313" s="592"/>
      <c r="AC313" s="592"/>
      <c r="AD313" s="556"/>
    </row>
    <row r="314" ht="20.25" customHeight="1">
      <c r="A314" s="218"/>
      <c r="B314" s="62"/>
      <c r="C314" s="285" t="s">
        <v>43</v>
      </c>
      <c r="D314" s="255">
        <f t="shared" si="88"/>
        <v>9</v>
      </c>
      <c r="E314" s="65"/>
      <c r="F314" s="269"/>
      <c r="G314" s="256">
        <f t="shared" si="89"/>
        <v>9</v>
      </c>
      <c r="H314" s="87">
        <v>65000.0</v>
      </c>
      <c r="I314" s="217">
        <f t="shared" si="90"/>
        <v>585000</v>
      </c>
      <c r="J314" s="257">
        <f t="shared" si="93"/>
        <v>0</v>
      </c>
      <c r="K314" s="23"/>
      <c r="L314" s="218"/>
      <c r="M314" s="218"/>
      <c r="N314" s="103">
        <v>45184.0</v>
      </c>
      <c r="O314" s="261"/>
      <c r="P314" s="261">
        <f>660000</f>
        <v>660000</v>
      </c>
      <c r="Q314" s="487"/>
      <c r="R314" s="263"/>
      <c r="S314" s="264">
        <f t="shared" si="92"/>
        <v>660000</v>
      </c>
      <c r="T314" s="483" t="s">
        <v>1295</v>
      </c>
      <c r="U314" s="617"/>
      <c r="V314" s="618"/>
      <c r="W314" s="616"/>
      <c r="X314" s="266"/>
      <c r="Y314" s="218"/>
      <c r="Z314" s="219"/>
      <c r="AA314" s="592"/>
      <c r="AB314" s="592"/>
      <c r="AC314" s="592"/>
      <c r="AD314" s="556"/>
    </row>
    <row r="315" ht="20.25" customHeight="1">
      <c r="A315" s="218"/>
      <c r="B315" s="62"/>
      <c r="C315" s="285" t="s">
        <v>48</v>
      </c>
      <c r="D315" s="255">
        <f t="shared" si="88"/>
        <v>6</v>
      </c>
      <c r="E315" s="65"/>
      <c r="F315" s="269"/>
      <c r="G315" s="256">
        <f t="shared" si="89"/>
        <v>6</v>
      </c>
      <c r="H315" s="66">
        <v>55000.0</v>
      </c>
      <c r="I315" s="217">
        <f t="shared" si="90"/>
        <v>330000</v>
      </c>
      <c r="J315" s="257">
        <f t="shared" si="93"/>
        <v>0</v>
      </c>
      <c r="K315" s="23"/>
      <c r="L315" s="218"/>
      <c r="M315" s="218"/>
      <c r="N315" s="103">
        <v>45184.0</v>
      </c>
      <c r="O315" s="261"/>
      <c r="P315" s="261">
        <f>O151+O124+O144+O127+O143+O142</f>
        <v>8140000</v>
      </c>
      <c r="Q315" s="487"/>
      <c r="R315" s="263">
        <f>R126+R158+R124+R142+R144+L148+R125+R139+R141+R155+R143+R151+R138+R127+R140+R154</f>
        <v>794906</v>
      </c>
      <c r="S315" s="264">
        <f t="shared" si="92"/>
        <v>7345094</v>
      </c>
      <c r="T315" s="488"/>
      <c r="U315" s="617"/>
      <c r="V315" s="618"/>
      <c r="W315" s="616"/>
      <c r="X315" s="266"/>
      <c r="Y315" s="218"/>
      <c r="Z315" s="219"/>
      <c r="AA315" s="592"/>
      <c r="AB315" s="592"/>
      <c r="AC315" s="592"/>
      <c r="AD315" s="556"/>
    </row>
    <row r="316" ht="22.5" customHeight="1">
      <c r="A316" s="218"/>
      <c r="B316" s="62"/>
      <c r="C316" s="287" t="s">
        <v>54</v>
      </c>
      <c r="D316" s="255">
        <f t="shared" si="88"/>
        <v>0</v>
      </c>
      <c r="E316" s="65"/>
      <c r="F316" s="269"/>
      <c r="G316" s="256">
        <f t="shared" si="89"/>
        <v>0</v>
      </c>
      <c r="H316" s="87">
        <v>35000.0</v>
      </c>
      <c r="I316" s="217">
        <f t="shared" si="90"/>
        <v>0</v>
      </c>
      <c r="J316" s="257">
        <f t="shared" si="93"/>
        <v>0</v>
      </c>
      <c r="K316" s="23"/>
      <c r="L316" s="218"/>
      <c r="M316" s="218"/>
      <c r="N316" s="103">
        <v>45184.0</v>
      </c>
      <c r="O316" s="261"/>
      <c r="P316" s="261">
        <f>O135</f>
        <v>471250</v>
      </c>
      <c r="Q316" s="487"/>
      <c r="R316" s="263"/>
      <c r="S316" s="264">
        <f t="shared" si="92"/>
        <v>471250</v>
      </c>
      <c r="T316" s="483" t="s">
        <v>1296</v>
      </c>
      <c r="U316" s="617"/>
      <c r="V316" s="618"/>
      <c r="W316" s="616"/>
      <c r="X316" s="266"/>
      <c r="Y316" s="218"/>
      <c r="Z316" s="219"/>
      <c r="AA316" s="592"/>
      <c r="AB316" s="592"/>
      <c r="AC316" s="592"/>
      <c r="AD316" s="556"/>
    </row>
    <row r="317" ht="22.5" customHeight="1">
      <c r="A317" s="218"/>
      <c r="B317" s="62"/>
      <c r="C317" s="285" t="s">
        <v>60</v>
      </c>
      <c r="D317" s="255">
        <f t="shared" si="88"/>
        <v>0</v>
      </c>
      <c r="E317" s="65"/>
      <c r="F317" s="269"/>
      <c r="G317" s="256">
        <f t="shared" si="89"/>
        <v>0</v>
      </c>
      <c r="H317" s="66">
        <v>45000.0</v>
      </c>
      <c r="I317" s="217">
        <f t="shared" si="90"/>
        <v>0</v>
      </c>
      <c r="J317" s="257">
        <f t="shared" si="93"/>
        <v>0</v>
      </c>
      <c r="K317" s="23"/>
      <c r="L317" s="218"/>
      <c r="M317" s="218"/>
      <c r="N317" s="103">
        <v>45187.0</v>
      </c>
      <c r="O317" s="261"/>
      <c r="P317" s="261">
        <f>O83+O94+O102+O110</f>
        <v>833259</v>
      </c>
      <c r="Q317" s="487"/>
      <c r="R317" s="263"/>
      <c r="S317" s="264">
        <f t="shared" si="92"/>
        <v>833259</v>
      </c>
      <c r="T317" s="483" t="s">
        <v>659</v>
      </c>
      <c r="U317" s="617"/>
      <c r="V317" s="618"/>
      <c r="W317" s="616"/>
      <c r="X317" s="266"/>
      <c r="Y317" s="218"/>
      <c r="Z317" s="219"/>
      <c r="AA317" s="592"/>
      <c r="AB317" s="592"/>
      <c r="AC317" s="592"/>
      <c r="AD317" s="556"/>
    </row>
    <row r="318" ht="22.5" customHeight="1">
      <c r="A318" s="218"/>
      <c r="B318" s="62"/>
      <c r="C318" s="285" t="s">
        <v>679</v>
      </c>
      <c r="D318" s="255">
        <f t="shared" si="88"/>
        <v>0</v>
      </c>
      <c r="E318" s="65"/>
      <c r="F318" s="269"/>
      <c r="G318" s="256">
        <f t="shared" si="89"/>
        <v>0</v>
      </c>
      <c r="H318" s="66">
        <v>110000.0</v>
      </c>
      <c r="I318" s="217">
        <f t="shared" si="90"/>
        <v>0</v>
      </c>
      <c r="J318" s="257">
        <f t="shared" si="93"/>
        <v>0</v>
      </c>
      <c r="K318" s="23"/>
      <c r="L318" s="218"/>
      <c r="M318" s="218"/>
      <c r="N318" s="103">
        <v>45187.0</v>
      </c>
      <c r="O318" s="261"/>
      <c r="P318" s="261">
        <f>O158+O176+O166+O148+O179</f>
        <v>4950000</v>
      </c>
      <c r="Q318" s="487"/>
      <c r="R318" s="263">
        <f>R195+L196+R193+R179+R182+R166+R191+R176+R190+R169+R165+R194+R192+R189+R173+L181+R170</f>
        <v>619216</v>
      </c>
      <c r="S318" s="264">
        <f t="shared" si="92"/>
        <v>4330784</v>
      </c>
      <c r="T318" s="488"/>
      <c r="U318" s="617"/>
      <c r="V318" s="618"/>
      <c r="W318" s="616"/>
      <c r="X318" s="266"/>
      <c r="Y318" s="218"/>
      <c r="Z318" s="219"/>
      <c r="AA318" s="592"/>
      <c r="AB318" s="592"/>
      <c r="AC318" s="592"/>
      <c r="AD318" s="556"/>
    </row>
    <row r="319" ht="22.5" customHeight="1">
      <c r="A319" s="218"/>
      <c r="B319" s="62"/>
      <c r="C319" s="285" t="s">
        <v>66</v>
      </c>
      <c r="D319" s="255">
        <f t="shared" si="88"/>
        <v>0</v>
      </c>
      <c r="E319" s="65"/>
      <c r="F319" s="269"/>
      <c r="G319" s="256">
        <f t="shared" si="89"/>
        <v>0</v>
      </c>
      <c r="H319" s="66">
        <v>205000.0</v>
      </c>
      <c r="I319" s="217">
        <f t="shared" si="90"/>
        <v>0</v>
      </c>
      <c r="J319" s="257">
        <f t="shared" si="93"/>
        <v>0</v>
      </c>
      <c r="K319" s="23"/>
      <c r="L319" s="218"/>
      <c r="M319" s="218"/>
      <c r="N319" s="103">
        <v>45188.0</v>
      </c>
      <c r="O319" s="261"/>
      <c r="P319" s="261">
        <f>1100000</f>
        <v>1100000</v>
      </c>
      <c r="Q319" s="487"/>
      <c r="R319" s="263"/>
      <c r="S319" s="264">
        <f t="shared" si="92"/>
        <v>1100000</v>
      </c>
      <c r="T319" s="483" t="s">
        <v>661</v>
      </c>
      <c r="U319" s="617"/>
      <c r="V319" s="618"/>
      <c r="W319" s="616"/>
      <c r="X319" s="266"/>
      <c r="Y319" s="218"/>
      <c r="Z319" s="219"/>
      <c r="AA319" s="592"/>
      <c r="AB319" s="592"/>
      <c r="AC319" s="592"/>
      <c r="AD319" s="556"/>
    </row>
    <row r="320" ht="22.5" customHeight="1">
      <c r="A320" s="218"/>
      <c r="B320" s="62"/>
      <c r="C320" s="285" t="s">
        <v>684</v>
      </c>
      <c r="D320" s="255">
        <f t="shared" si="88"/>
        <v>0</v>
      </c>
      <c r="E320" s="65"/>
      <c r="F320" s="269"/>
      <c r="G320" s="256">
        <f t="shared" si="89"/>
        <v>0</v>
      </c>
      <c r="H320" s="66">
        <v>150000.0</v>
      </c>
      <c r="I320" s="217">
        <f t="shared" si="90"/>
        <v>0</v>
      </c>
      <c r="J320" s="257">
        <f t="shared" si="93"/>
        <v>0</v>
      </c>
      <c r="K320" s="23"/>
      <c r="L320" s="218"/>
      <c r="M320" s="218"/>
      <c r="N320" s="103">
        <v>45188.0</v>
      </c>
      <c r="O320" s="261"/>
      <c r="P320" s="261">
        <f>O103+O108+O109+O111+O112+O113+O115+O116+O118+O119+O120+O121+O122+O123+O128+O129+O130+O132+O117+O114</f>
        <v>6117514</v>
      </c>
      <c r="Q320" s="487"/>
      <c r="R320" s="263"/>
      <c r="S320" s="264">
        <f t="shared" si="92"/>
        <v>6117514</v>
      </c>
      <c r="T320" s="483" t="s">
        <v>659</v>
      </c>
      <c r="U320" s="617"/>
      <c r="V320" s="618"/>
      <c r="W320" s="616"/>
      <c r="X320" s="266"/>
      <c r="Y320" s="218"/>
      <c r="Z320" s="219"/>
      <c r="AA320" s="592"/>
      <c r="AB320" s="592"/>
      <c r="AC320" s="592"/>
      <c r="AD320" s="556"/>
    </row>
    <row r="321" ht="22.5" customHeight="1">
      <c r="A321" s="218"/>
      <c r="B321" s="62"/>
      <c r="C321" s="288" t="s">
        <v>71</v>
      </c>
      <c r="D321" s="255">
        <f t="shared" si="88"/>
        <v>0</v>
      </c>
      <c r="E321" s="65"/>
      <c r="F321" s="269"/>
      <c r="G321" s="256">
        <f t="shared" si="89"/>
        <v>0</v>
      </c>
      <c r="H321" s="66">
        <v>85000.0</v>
      </c>
      <c r="I321" s="217">
        <f t="shared" si="90"/>
        <v>0</v>
      </c>
      <c r="J321" s="257">
        <f t="shared" si="93"/>
        <v>0</v>
      </c>
      <c r="K321" s="23"/>
      <c r="L321" s="218"/>
      <c r="M321" s="218"/>
      <c r="N321" s="103">
        <v>45189.0</v>
      </c>
      <c r="O321" s="261"/>
      <c r="P321" s="261">
        <f>O196+O207+O182+O181+O208+O173</f>
        <v>4540000</v>
      </c>
      <c r="Q321" s="487"/>
      <c r="R321" s="263">
        <f>R205+R210+R201+R207+R208</f>
        <v>284012</v>
      </c>
      <c r="S321" s="264">
        <f t="shared" si="92"/>
        <v>4255988</v>
      </c>
      <c r="T321" s="488"/>
      <c r="U321" s="617"/>
      <c r="V321" s="618"/>
      <c r="W321" s="616"/>
      <c r="X321" s="266"/>
      <c r="Y321" s="218"/>
      <c r="Z321" s="219"/>
      <c r="AA321" s="592"/>
      <c r="AB321" s="592"/>
      <c r="AC321" s="592"/>
      <c r="AD321" s="556"/>
    </row>
    <row r="322" ht="22.5" customHeight="1">
      <c r="A322" s="218"/>
      <c r="B322" s="62"/>
      <c r="C322" s="285" t="s">
        <v>76</v>
      </c>
      <c r="D322" s="255">
        <f t="shared" si="88"/>
        <v>18</v>
      </c>
      <c r="E322" s="65"/>
      <c r="F322" s="269"/>
      <c r="G322" s="256">
        <f t="shared" si="89"/>
        <v>18</v>
      </c>
      <c r="H322" s="66">
        <v>90000.0</v>
      </c>
      <c r="I322" s="217">
        <f t="shared" si="90"/>
        <v>1620000</v>
      </c>
      <c r="J322" s="257">
        <f t="shared" si="93"/>
        <v>0</v>
      </c>
      <c r="K322" s="23"/>
      <c r="L322" s="218"/>
      <c r="M322" s="218"/>
      <c r="N322" s="103">
        <v>45189.0</v>
      </c>
      <c r="O322" s="261"/>
      <c r="P322" s="261">
        <f>O145+O134+O133+O131</f>
        <v>832952</v>
      </c>
      <c r="Q322" s="487"/>
      <c r="R322" s="263"/>
      <c r="S322" s="264">
        <f t="shared" si="92"/>
        <v>832952</v>
      </c>
      <c r="T322" s="483" t="s">
        <v>659</v>
      </c>
      <c r="U322" s="617"/>
      <c r="V322" s="618"/>
      <c r="W322" s="616"/>
      <c r="X322" s="266"/>
      <c r="Y322" s="218"/>
      <c r="Z322" s="219"/>
      <c r="AA322" s="592"/>
      <c r="AB322" s="592"/>
      <c r="AC322" s="592"/>
      <c r="AD322" s="556"/>
    </row>
    <row r="323" ht="22.5" customHeight="1">
      <c r="A323" s="218"/>
      <c r="B323" s="62"/>
      <c r="C323" s="285" t="s">
        <v>80</v>
      </c>
      <c r="D323" s="255">
        <f t="shared" si="88"/>
        <v>0</v>
      </c>
      <c r="E323" s="65"/>
      <c r="F323" s="269"/>
      <c r="G323" s="256">
        <f t="shared" si="89"/>
        <v>0</v>
      </c>
      <c r="H323" s="66">
        <v>85000.0</v>
      </c>
      <c r="I323" s="217">
        <f t="shared" si="90"/>
        <v>0</v>
      </c>
      <c r="J323" s="257">
        <f t="shared" si="93"/>
        <v>0</v>
      </c>
      <c r="K323" s="23"/>
      <c r="L323" s="218"/>
      <c r="M323" s="218"/>
      <c r="N323" s="103">
        <v>45190.0</v>
      </c>
      <c r="O323" s="261"/>
      <c r="P323" s="261">
        <f>1100000</f>
        <v>1100000</v>
      </c>
      <c r="Q323" s="487"/>
      <c r="R323" s="263"/>
      <c r="S323" s="264">
        <f t="shared" si="92"/>
        <v>1100000</v>
      </c>
      <c r="T323" s="483" t="s">
        <v>1297</v>
      </c>
      <c r="U323" s="617"/>
      <c r="V323" s="618"/>
      <c r="W323" s="616"/>
      <c r="X323" s="266"/>
      <c r="Y323" s="218"/>
      <c r="Z323" s="219"/>
      <c r="AA323" s="592"/>
      <c r="AB323" s="592"/>
      <c r="AC323" s="592"/>
      <c r="AD323" s="556"/>
    </row>
    <row r="324" ht="22.5" customHeight="1">
      <c r="A324" s="218"/>
      <c r="B324" s="62"/>
      <c r="C324" s="285" t="s">
        <v>81</v>
      </c>
      <c r="D324" s="255">
        <f t="shared" si="88"/>
        <v>0</v>
      </c>
      <c r="E324" s="65"/>
      <c r="F324" s="269"/>
      <c r="G324" s="256">
        <f t="shared" si="89"/>
        <v>0</v>
      </c>
      <c r="H324" s="66">
        <v>150000.0</v>
      </c>
      <c r="I324" s="217">
        <f t="shared" si="90"/>
        <v>0</v>
      </c>
      <c r="J324" s="257">
        <f t="shared" si="93"/>
        <v>0</v>
      </c>
      <c r="K324" s="23"/>
      <c r="L324" s="218"/>
      <c r="M324" s="218"/>
      <c r="N324" s="103">
        <v>45190.0</v>
      </c>
      <c r="O324" s="261"/>
      <c r="P324" s="261">
        <f>O146+O147+O160+O161</f>
        <v>1024099</v>
      </c>
      <c r="Q324" s="487"/>
      <c r="R324" s="263"/>
      <c r="S324" s="264">
        <f t="shared" si="92"/>
        <v>1024099</v>
      </c>
      <c r="T324" s="483" t="s">
        <v>659</v>
      </c>
      <c r="U324" s="617"/>
      <c r="V324" s="618"/>
      <c r="W324" s="616"/>
      <c r="X324" s="266"/>
      <c r="Y324" s="218"/>
      <c r="Z324" s="219"/>
      <c r="AA324" s="592"/>
      <c r="AB324" s="592"/>
      <c r="AC324" s="592"/>
      <c r="AD324" s="556"/>
    </row>
    <row r="325" ht="22.5" customHeight="1">
      <c r="A325" s="218"/>
      <c r="B325" s="62"/>
      <c r="C325" s="285" t="s">
        <v>85</v>
      </c>
      <c r="D325" s="255">
        <f t="shared" si="88"/>
        <v>0</v>
      </c>
      <c r="E325" s="65"/>
      <c r="F325" s="269"/>
      <c r="G325" s="256">
        <f t="shared" si="89"/>
        <v>0</v>
      </c>
      <c r="H325" s="66">
        <v>125000.0</v>
      </c>
      <c r="I325" s="217">
        <f t="shared" si="90"/>
        <v>0</v>
      </c>
      <c r="J325" s="257">
        <f t="shared" si="93"/>
        <v>0</v>
      </c>
      <c r="K325" s="23"/>
      <c r="L325" s="218"/>
      <c r="M325" s="218"/>
      <c r="N325" s="103">
        <v>45191.0</v>
      </c>
      <c r="O325" s="261"/>
      <c r="P325" s="261">
        <f>O205+O220+O218+O235+O201</f>
        <v>6620000</v>
      </c>
      <c r="Q325" s="487"/>
      <c r="R325" s="263">
        <f>R230+R232+R233+L234+R231+R221+R220+L235+R218</f>
        <v>520516</v>
      </c>
      <c r="S325" s="264">
        <f t="shared" si="92"/>
        <v>6099484</v>
      </c>
      <c r="T325" s="488"/>
      <c r="U325" s="617"/>
      <c r="V325" s="618"/>
      <c r="W325" s="622"/>
      <c r="X325" s="235"/>
      <c r="Y325" s="218"/>
      <c r="Z325" s="219"/>
      <c r="AA325" s="592"/>
      <c r="AB325" s="592"/>
      <c r="AC325" s="592"/>
      <c r="AD325" s="556"/>
    </row>
    <row r="326" ht="22.5" customHeight="1">
      <c r="A326" s="218"/>
      <c r="B326" s="62"/>
      <c r="C326" s="285" t="s">
        <v>89</v>
      </c>
      <c r="D326" s="255">
        <f t="shared" si="88"/>
        <v>0</v>
      </c>
      <c r="E326" s="65"/>
      <c r="F326" s="269"/>
      <c r="G326" s="256">
        <f t="shared" si="89"/>
        <v>0</v>
      </c>
      <c r="H326" s="66">
        <v>35000.0</v>
      </c>
      <c r="I326" s="217">
        <f t="shared" si="90"/>
        <v>0</v>
      </c>
      <c r="J326" s="257">
        <f t="shared" si="93"/>
        <v>0</v>
      </c>
      <c r="K326" s="23"/>
      <c r="L326" s="218"/>
      <c r="M326" s="218"/>
      <c r="N326" s="103">
        <v>45192.0</v>
      </c>
      <c r="O326" s="261"/>
      <c r="P326" s="261">
        <f>O164+O172</f>
        <v>836744</v>
      </c>
      <c r="Q326" s="487"/>
      <c r="R326" s="263"/>
      <c r="S326" s="264">
        <f t="shared" si="92"/>
        <v>836744</v>
      </c>
      <c r="T326" s="483" t="s">
        <v>659</v>
      </c>
      <c r="U326" s="617"/>
      <c r="V326" s="618"/>
      <c r="W326" s="616"/>
      <c r="X326" s="266"/>
      <c r="Y326" s="218"/>
      <c r="Z326" s="219"/>
      <c r="AA326" s="592"/>
      <c r="AB326" s="592"/>
      <c r="AC326" s="592"/>
      <c r="AD326" s="556"/>
    </row>
    <row r="327" ht="22.5" customHeight="1">
      <c r="A327" s="218"/>
      <c r="B327" s="62"/>
      <c r="C327" s="285" t="s">
        <v>93</v>
      </c>
      <c r="D327" s="255">
        <f t="shared" si="88"/>
        <v>3</v>
      </c>
      <c r="E327" s="65"/>
      <c r="F327" s="269"/>
      <c r="G327" s="256">
        <f t="shared" si="89"/>
        <v>3</v>
      </c>
      <c r="H327" s="66">
        <v>90000.0</v>
      </c>
      <c r="I327" s="217">
        <f t="shared" si="90"/>
        <v>270000</v>
      </c>
      <c r="J327" s="257">
        <f t="shared" si="93"/>
        <v>0</v>
      </c>
      <c r="K327" s="23"/>
      <c r="L327" s="218"/>
      <c r="M327" s="218"/>
      <c r="N327" s="103">
        <v>45194.0</v>
      </c>
      <c r="O327" s="261"/>
      <c r="P327" s="261">
        <f>O230+O210+O234+O238+O263+O239+O233+O231+O165+O232</f>
        <v>11520000</v>
      </c>
      <c r="Q327" s="487"/>
      <c r="R327" s="263">
        <f>L272+R269+R242+R252+R239+R268+R238+R263</f>
        <v>649606</v>
      </c>
      <c r="S327" s="264">
        <f t="shared" si="92"/>
        <v>10870394</v>
      </c>
      <c r="T327" s="488"/>
      <c r="U327" s="617"/>
      <c r="V327" s="618"/>
      <c r="W327" s="616"/>
      <c r="X327" s="266"/>
      <c r="Y327" s="218"/>
      <c r="Z327" s="219"/>
      <c r="AA327" s="592"/>
      <c r="AB327" s="592"/>
      <c r="AC327" s="592"/>
      <c r="AD327" s="556"/>
    </row>
    <row r="328" ht="22.5" customHeight="1">
      <c r="A328" s="218"/>
      <c r="B328" s="62"/>
      <c r="C328" s="285" t="s">
        <v>94</v>
      </c>
      <c r="D328" s="255">
        <f t="shared" si="88"/>
        <v>0</v>
      </c>
      <c r="E328" s="65"/>
      <c r="F328" s="269"/>
      <c r="G328" s="256">
        <f t="shared" si="89"/>
        <v>0</v>
      </c>
      <c r="H328" s="66">
        <v>140000.0</v>
      </c>
      <c r="I328" s="217">
        <f t="shared" si="90"/>
        <v>0</v>
      </c>
      <c r="J328" s="257">
        <f t="shared" si="93"/>
        <v>0</v>
      </c>
      <c r="K328" s="23"/>
      <c r="L328" s="218"/>
      <c r="M328" s="218"/>
      <c r="N328" s="103">
        <v>45194.0</v>
      </c>
      <c r="O328" s="261"/>
      <c r="P328" s="261">
        <f>O188+O185+O186+O162</f>
        <v>2071565</v>
      </c>
      <c r="Q328" s="487"/>
      <c r="R328" s="263"/>
      <c r="S328" s="264">
        <f t="shared" si="92"/>
        <v>2071565</v>
      </c>
      <c r="T328" s="483" t="s">
        <v>659</v>
      </c>
      <c r="U328" s="617"/>
      <c r="V328" s="618"/>
      <c r="W328" s="611"/>
      <c r="X328" s="266"/>
      <c r="Y328" s="218"/>
      <c r="Z328" s="219"/>
      <c r="AA328" s="592"/>
      <c r="AB328" s="592"/>
      <c r="AC328" s="592"/>
      <c r="AD328" s="556"/>
    </row>
    <row r="329" ht="22.5" customHeight="1">
      <c r="A329" s="218"/>
      <c r="B329" s="62"/>
      <c r="C329" s="285" t="s">
        <v>97</v>
      </c>
      <c r="D329" s="255">
        <f t="shared" si="88"/>
        <v>0</v>
      </c>
      <c r="E329" s="65"/>
      <c r="F329" s="269"/>
      <c r="G329" s="256">
        <f t="shared" si="89"/>
        <v>0</v>
      </c>
      <c r="H329" s="66">
        <v>95000.0</v>
      </c>
      <c r="I329" s="217">
        <f t="shared" si="90"/>
        <v>0</v>
      </c>
      <c r="J329" s="257">
        <f t="shared" si="93"/>
        <v>0</v>
      </c>
      <c r="K329" s="23"/>
      <c r="L329" s="218"/>
      <c r="M329" s="218"/>
      <c r="N329" s="620"/>
      <c r="O329" s="261"/>
      <c r="P329" s="261"/>
      <c r="Q329" s="487"/>
      <c r="R329" s="263"/>
      <c r="S329" s="264">
        <f t="shared" si="92"/>
        <v>0</v>
      </c>
      <c r="T329" s="488"/>
      <c r="U329" s="617"/>
      <c r="V329" s="618"/>
      <c r="W329" s="611"/>
      <c r="X329" s="266"/>
      <c r="Y329" s="218"/>
      <c r="Z329" s="219"/>
      <c r="AA329" s="592"/>
      <c r="AB329" s="592"/>
      <c r="AC329" s="592"/>
      <c r="AD329" s="556"/>
    </row>
    <row r="330" ht="22.5" customHeight="1">
      <c r="A330" s="218"/>
      <c r="B330" s="62"/>
      <c r="C330" s="285" t="s">
        <v>99</v>
      </c>
      <c r="D330" s="255">
        <f t="shared" si="88"/>
        <v>0</v>
      </c>
      <c r="E330" s="65"/>
      <c r="F330" s="269"/>
      <c r="G330" s="256">
        <f t="shared" si="89"/>
        <v>0</v>
      </c>
      <c r="H330" s="66">
        <v>140000.0</v>
      </c>
      <c r="I330" s="217">
        <f t="shared" si="90"/>
        <v>0</v>
      </c>
      <c r="J330" s="257">
        <f t="shared" si="93"/>
        <v>0</v>
      </c>
      <c r="K330" s="23"/>
      <c r="L330" s="218"/>
      <c r="M330" s="218"/>
      <c r="N330" s="621" t="s">
        <v>418</v>
      </c>
      <c r="O330" s="291">
        <f t="shared" ref="O330:S330" si="94">sum(O295:O329)</f>
        <v>15248704</v>
      </c>
      <c r="P330" s="291">
        <f t="shared" si="94"/>
        <v>94517597</v>
      </c>
      <c r="Q330" s="291">
        <f t="shared" si="94"/>
        <v>284193</v>
      </c>
      <c r="R330" s="291">
        <f t="shared" si="94"/>
        <v>4275543</v>
      </c>
      <c r="S330" s="291">
        <f t="shared" si="94"/>
        <v>105206565</v>
      </c>
      <c r="T330" s="291"/>
      <c r="U330" s="218"/>
      <c r="V330" s="618"/>
      <c r="W330" s="611"/>
      <c r="X330" s="266"/>
      <c r="Y330" s="218"/>
      <c r="Z330" s="219"/>
      <c r="AA330" s="592"/>
      <c r="AB330" s="592"/>
      <c r="AC330" s="592"/>
      <c r="AD330" s="556"/>
    </row>
    <row r="331" ht="22.5" customHeight="1">
      <c r="A331" s="218"/>
      <c r="B331" s="62"/>
      <c r="C331" s="285" t="s">
        <v>101</v>
      </c>
      <c r="D331" s="255">
        <f t="shared" si="88"/>
        <v>0</v>
      </c>
      <c r="E331" s="65"/>
      <c r="F331" s="269"/>
      <c r="G331" s="256">
        <f t="shared" si="89"/>
        <v>0</v>
      </c>
      <c r="H331" s="66">
        <v>150000.0</v>
      </c>
      <c r="I331" s="217">
        <f t="shared" si="90"/>
        <v>0</v>
      </c>
      <c r="J331" s="257">
        <f t="shared" si="93"/>
        <v>0</v>
      </c>
      <c r="K331" s="23"/>
      <c r="L331" s="218"/>
      <c r="M331" s="218"/>
      <c r="N331" s="218"/>
      <c r="O331" s="298"/>
      <c r="P331" s="299"/>
      <c r="Q331" s="299"/>
      <c r="R331" s="299"/>
      <c r="S331" s="299"/>
      <c r="T331" s="299"/>
      <c r="U331" s="218"/>
      <c r="V331" s="618"/>
      <c r="W331" s="611"/>
      <c r="X331" s="266"/>
      <c r="Y331" s="218"/>
      <c r="Z331" s="219"/>
      <c r="AA331" s="592"/>
      <c r="AB331" s="592"/>
      <c r="AC331" s="592"/>
      <c r="AD331" s="556"/>
    </row>
    <row r="332" ht="22.5" customHeight="1">
      <c r="A332" s="218"/>
      <c r="B332" s="62"/>
      <c r="C332" s="285" t="s">
        <v>109</v>
      </c>
      <c r="D332" s="255">
        <f t="shared" si="88"/>
        <v>0</v>
      </c>
      <c r="E332" s="65"/>
      <c r="F332" s="269"/>
      <c r="G332" s="256">
        <f t="shared" si="89"/>
        <v>0</v>
      </c>
      <c r="H332" s="66">
        <v>125000.0</v>
      </c>
      <c r="I332" s="217">
        <f t="shared" si="90"/>
        <v>0</v>
      </c>
      <c r="J332" s="257">
        <f t="shared" si="93"/>
        <v>0</v>
      </c>
      <c r="K332" s="23"/>
      <c r="L332" s="218"/>
      <c r="M332" s="218"/>
      <c r="N332" s="218"/>
      <c r="O332" s="298"/>
      <c r="P332" s="299"/>
      <c r="Q332" s="299"/>
      <c r="R332" s="299"/>
      <c r="S332" s="299"/>
      <c r="T332" s="299"/>
      <c r="U332" s="218"/>
      <c r="V332" s="618"/>
      <c r="W332" s="622"/>
      <c r="X332" s="235"/>
      <c r="Y332" s="218"/>
      <c r="Z332" s="219"/>
      <c r="AA332" s="592"/>
      <c r="AB332" s="592"/>
      <c r="AC332" s="592"/>
      <c r="AD332" s="556"/>
    </row>
    <row r="333" ht="22.5" customHeight="1">
      <c r="A333" s="218"/>
      <c r="B333" s="62"/>
      <c r="C333" s="285" t="s">
        <v>113</v>
      </c>
      <c r="D333" s="255">
        <f t="shared" si="88"/>
        <v>0</v>
      </c>
      <c r="E333" s="65"/>
      <c r="F333" s="269"/>
      <c r="G333" s="256">
        <f t="shared" si="89"/>
        <v>0</v>
      </c>
      <c r="H333" s="66">
        <v>75000.0</v>
      </c>
      <c r="I333" s="217">
        <f t="shared" si="90"/>
        <v>0</v>
      </c>
      <c r="J333" s="257">
        <f t="shared" si="93"/>
        <v>0</v>
      </c>
      <c r="K333" s="23"/>
      <c r="L333" s="218"/>
      <c r="M333" s="218"/>
      <c r="N333" s="218"/>
      <c r="O333" s="298"/>
      <c r="P333" s="299"/>
      <c r="Q333" s="299"/>
      <c r="R333" s="299"/>
      <c r="S333" s="299"/>
      <c r="T333" s="299"/>
      <c r="U333" s="218"/>
      <c r="V333" s="618"/>
      <c r="W333" s="622"/>
      <c r="X333" s="235"/>
      <c r="Y333" s="218"/>
      <c r="Z333" s="219"/>
      <c r="AA333" s="592"/>
      <c r="AB333" s="592"/>
      <c r="AC333" s="592"/>
      <c r="AD333" s="556"/>
    </row>
    <row r="334" ht="22.5" customHeight="1">
      <c r="A334" s="218"/>
      <c r="B334" s="62"/>
      <c r="C334" s="303" t="s">
        <v>62</v>
      </c>
      <c r="D334" s="255">
        <f t="shared" si="88"/>
        <v>5</v>
      </c>
      <c r="E334" s="65"/>
      <c r="F334" s="269"/>
      <c r="G334" s="256">
        <f t="shared" si="89"/>
        <v>5</v>
      </c>
      <c r="H334" s="304">
        <v>55000.0</v>
      </c>
      <c r="I334" s="217">
        <f t="shared" si="90"/>
        <v>275000</v>
      </c>
      <c r="J334" s="257">
        <f t="shared" si="93"/>
        <v>0</v>
      </c>
      <c r="K334" s="23"/>
      <c r="L334" s="218"/>
      <c r="M334" s="218"/>
      <c r="N334" s="218"/>
      <c r="O334" s="298"/>
      <c r="P334" s="299"/>
      <c r="Q334" s="299"/>
      <c r="R334" s="299"/>
      <c r="S334" s="299"/>
      <c r="T334" s="299"/>
      <c r="U334" s="218"/>
      <c r="V334" s="618"/>
      <c r="W334" s="622"/>
      <c r="X334" s="235"/>
      <c r="Y334" s="218"/>
      <c r="Z334" s="219"/>
      <c r="AA334" s="592"/>
      <c r="AB334" s="592"/>
      <c r="AC334" s="592"/>
      <c r="AD334" s="556"/>
    </row>
    <row r="335" ht="20.25" customHeight="1">
      <c r="A335" s="218"/>
      <c r="B335" s="67"/>
      <c r="C335" s="300" t="s">
        <v>116</v>
      </c>
      <c r="D335" s="301">
        <f t="shared" si="88"/>
        <v>0</v>
      </c>
      <c r="E335" s="146"/>
      <c r="F335" s="269"/>
      <c r="G335" s="256">
        <f t="shared" si="89"/>
        <v>0</v>
      </c>
      <c r="H335" s="302">
        <v>475000.0</v>
      </c>
      <c r="I335" s="217">
        <f t="shared" si="90"/>
        <v>0</v>
      </c>
      <c r="J335" s="257">
        <f t="shared" si="93"/>
        <v>0</v>
      </c>
      <c r="K335" s="23"/>
      <c r="L335" s="218"/>
      <c r="M335" s="218"/>
      <c r="N335" s="218"/>
      <c r="O335" s="298"/>
      <c r="P335" s="299"/>
      <c r="Q335" s="299"/>
      <c r="R335" s="299"/>
      <c r="S335" s="299"/>
      <c r="T335" s="299"/>
      <c r="U335" s="218"/>
      <c r="V335" s="618"/>
      <c r="W335" s="622"/>
      <c r="X335" s="235"/>
      <c r="Y335" s="218"/>
      <c r="Z335" s="219"/>
      <c r="AA335" s="592"/>
      <c r="AB335" s="592"/>
      <c r="AC335" s="592"/>
      <c r="AD335" s="556"/>
    </row>
    <row r="336" ht="22.5" customHeight="1">
      <c r="A336" s="218"/>
      <c r="B336" s="775" t="s">
        <v>419</v>
      </c>
      <c r="C336" s="16"/>
      <c r="D336" s="16"/>
      <c r="E336" s="16"/>
      <c r="F336" s="16"/>
      <c r="G336" s="16"/>
      <c r="H336" s="17"/>
      <c r="I336" s="776">
        <f>SUM(I295:I310)</f>
        <v>112710000</v>
      </c>
      <c r="J336" s="23"/>
      <c r="K336" s="23"/>
      <c r="L336" s="218"/>
      <c r="M336" s="218"/>
      <c r="N336" s="218"/>
      <c r="O336" s="298"/>
      <c r="P336" s="299"/>
      <c r="Q336" s="299"/>
      <c r="R336" s="299"/>
      <c r="S336" s="299"/>
      <c r="T336" s="299"/>
      <c r="U336" s="299"/>
      <c r="V336" s="618"/>
      <c r="W336" s="601"/>
      <c r="X336" s="235"/>
      <c r="Y336" s="218"/>
      <c r="Z336" s="219"/>
      <c r="AA336" s="592"/>
      <c r="AB336" s="592"/>
      <c r="AC336" s="592"/>
      <c r="AD336" s="556"/>
    </row>
    <row r="337" ht="22.5" customHeight="1">
      <c r="A337" s="218"/>
      <c r="B337" s="308" t="s">
        <v>385</v>
      </c>
      <c r="C337" s="16"/>
      <c r="D337" s="16"/>
      <c r="E337" s="16"/>
      <c r="F337" s="16"/>
      <c r="G337" s="16"/>
      <c r="H337" s="17"/>
      <c r="I337" s="309">
        <f>SUM(I311:I335)</f>
        <v>3665000</v>
      </c>
      <c r="J337" s="23"/>
      <c r="K337" s="310" t="s">
        <v>420</v>
      </c>
      <c r="L337" s="16"/>
      <c r="M337" s="17"/>
      <c r="N337" s="311"/>
      <c r="O337" s="298"/>
      <c r="P337" s="299"/>
      <c r="Q337" s="299"/>
      <c r="R337" s="299"/>
      <c r="S337" s="299"/>
      <c r="T337" s="299"/>
      <c r="U337" s="299"/>
      <c r="V337" s="618"/>
      <c r="W337" s="601"/>
      <c r="X337" s="235"/>
      <c r="Y337" s="218"/>
      <c r="Z337" s="219"/>
      <c r="AA337" s="592"/>
      <c r="AB337" s="592"/>
      <c r="AC337" s="592"/>
      <c r="AD337" s="556"/>
    </row>
    <row r="338" ht="22.5" customHeight="1">
      <c r="A338" s="218"/>
      <c r="B338" s="312" t="s">
        <v>421</v>
      </c>
      <c r="C338" s="16"/>
      <c r="D338" s="16"/>
      <c r="E338" s="16"/>
      <c r="F338" s="16"/>
      <c r="G338" s="16"/>
      <c r="H338" s="17"/>
      <c r="I338" s="313">
        <f>SUM(I336:I337)</f>
        <v>116375000</v>
      </c>
      <c r="J338" s="23"/>
      <c r="K338" s="314" t="s">
        <v>422</v>
      </c>
      <c r="L338" s="316">
        <f>15755000</f>
        <v>15755000</v>
      </c>
      <c r="M338" s="316"/>
      <c r="N338" s="218"/>
      <c r="O338" s="234"/>
      <c r="P338" s="218"/>
      <c r="Q338" s="218"/>
      <c r="R338" s="218"/>
      <c r="S338" s="218"/>
      <c r="T338" s="218"/>
      <c r="U338" s="218"/>
      <c r="V338" s="622"/>
      <c r="W338" s="601"/>
      <c r="X338" s="235"/>
      <c r="Y338" s="218"/>
      <c r="Z338" s="219"/>
      <c r="AA338" s="592"/>
      <c r="AB338" s="592"/>
      <c r="AC338" s="592"/>
      <c r="AD338" s="556"/>
    </row>
    <row r="339" ht="22.5" customHeight="1">
      <c r="A339" s="218"/>
      <c r="B339" s="317"/>
      <c r="C339" s="16"/>
      <c r="D339" s="17"/>
      <c r="E339" s="777" t="s">
        <v>423</v>
      </c>
      <c r="F339" s="16"/>
      <c r="G339" s="16"/>
      <c r="H339" s="17"/>
      <c r="I339" s="319">
        <f>O286</f>
        <v>116696002</v>
      </c>
      <c r="J339" s="23"/>
      <c r="K339" s="320" t="s">
        <v>424</v>
      </c>
      <c r="L339" s="316">
        <f>sumif(Q4:Q285,"Đã thu",K4:K285)</f>
        <v>96035000</v>
      </c>
      <c r="M339" s="316"/>
      <c r="N339" s="218"/>
      <c r="O339" s="234"/>
      <c r="P339" s="218"/>
      <c r="Q339" s="218"/>
      <c r="R339" s="218"/>
      <c r="S339" s="218"/>
      <c r="T339" s="218"/>
      <c r="U339" s="218"/>
      <c r="V339" s="622"/>
      <c r="W339" s="601"/>
      <c r="X339" s="235"/>
      <c r="Y339" s="218"/>
      <c r="Z339" s="219"/>
      <c r="AA339" s="592"/>
      <c r="AB339" s="592"/>
      <c r="AC339" s="592"/>
      <c r="AD339" s="556"/>
    </row>
    <row r="340" ht="22.5" customHeight="1">
      <c r="A340" s="218"/>
      <c r="B340" s="321" t="s">
        <v>425</v>
      </c>
      <c r="C340" s="16"/>
      <c r="D340" s="16"/>
      <c r="E340" s="16"/>
      <c r="F340" s="16"/>
      <c r="G340" s="16"/>
      <c r="H340" s="17"/>
      <c r="I340" s="322">
        <f>SUMIF(Q4:Q285,"Đã thu",O4:O285)</f>
        <v>94427597</v>
      </c>
      <c r="J340" s="23"/>
      <c r="K340" s="507" t="s">
        <v>415</v>
      </c>
      <c r="L340" s="315">
        <f>I337</f>
        <v>3665000</v>
      </c>
      <c r="M340" s="324"/>
      <c r="N340" s="235"/>
      <c r="O340" s="234"/>
      <c r="P340" s="218"/>
      <c r="Q340" s="218"/>
      <c r="R340" s="218"/>
      <c r="S340" s="218"/>
      <c r="T340" s="218"/>
      <c r="U340" s="218"/>
      <c r="V340" s="622"/>
      <c r="W340" s="601"/>
      <c r="X340" s="235"/>
      <c r="Y340" s="218"/>
      <c r="Z340" s="219"/>
      <c r="AA340" s="592"/>
      <c r="AB340" s="592"/>
      <c r="AC340" s="592"/>
      <c r="AD340" s="556"/>
    </row>
    <row r="341" ht="22.5" customHeight="1">
      <c r="A341" s="325"/>
      <c r="B341" s="326" t="s">
        <v>426</v>
      </c>
      <c r="C341" s="16"/>
      <c r="D341" s="16"/>
      <c r="E341" s="16"/>
      <c r="F341" s="16"/>
      <c r="G341" s="16"/>
      <c r="H341" s="17"/>
      <c r="I341" s="327">
        <f>I339-I340</f>
        <v>22268405</v>
      </c>
      <c r="J341" s="23"/>
      <c r="K341" s="328" t="s">
        <v>407</v>
      </c>
      <c r="L341" s="315">
        <f>sum(L338:L339)-L340</f>
        <v>108125000</v>
      </c>
      <c r="M341" s="324"/>
      <c r="N341" s="235"/>
      <c r="O341" s="234"/>
      <c r="P341" s="218"/>
      <c r="Q341" s="218"/>
      <c r="R341" s="218"/>
      <c r="S341" s="218"/>
      <c r="T341" s="218"/>
      <c r="U341" s="218"/>
      <c r="V341" s="622"/>
      <c r="W341" s="601"/>
      <c r="X341" s="235"/>
      <c r="Y341" s="218"/>
      <c r="Z341" s="219"/>
      <c r="AA341" s="592"/>
      <c r="AB341" s="592"/>
      <c r="AC341" s="592"/>
      <c r="AD341" s="556"/>
    </row>
    <row r="342" ht="22.5" customHeight="1">
      <c r="A342" s="325"/>
      <c r="B342" s="330" t="s">
        <v>427</v>
      </c>
      <c r="C342" s="16"/>
      <c r="D342" s="16"/>
      <c r="E342" s="16"/>
      <c r="F342" s="16"/>
      <c r="G342" s="16"/>
      <c r="H342" s="17"/>
      <c r="I342" s="331">
        <f>L286+R286</f>
        <v>4324545</v>
      </c>
      <c r="J342" s="23"/>
      <c r="K342" s="335"/>
      <c r="L342" s="299"/>
      <c r="M342" s="218"/>
      <c r="N342" s="218"/>
      <c r="O342" s="234"/>
      <c r="P342" s="218"/>
      <c r="Q342" s="218"/>
      <c r="R342" s="218"/>
      <c r="S342" s="218"/>
      <c r="T342" s="218"/>
      <c r="U342" s="218"/>
      <c r="V342" s="622"/>
      <c r="W342" s="601"/>
      <c r="X342" s="235"/>
      <c r="Y342" s="218"/>
      <c r="Z342" s="219"/>
      <c r="AA342" s="592"/>
      <c r="AB342" s="592"/>
      <c r="AC342" s="592"/>
      <c r="AD342" s="556"/>
    </row>
    <row r="343" ht="22.5" customHeight="1">
      <c r="A343" s="218"/>
      <c r="B343" s="321" t="s">
        <v>428</v>
      </c>
      <c r="C343" s="16"/>
      <c r="D343" s="16"/>
      <c r="E343" s="16"/>
      <c r="F343" s="16"/>
      <c r="G343" s="16"/>
      <c r="H343" s="17"/>
      <c r="I343" s="207">
        <f>SUMIF($T$4:$T$285,"x",R4:R285)+SUMIF($T$4:$T$285,"x",$L$4:$L$285)</f>
        <v>3892116</v>
      </c>
      <c r="J343" s="23"/>
      <c r="K343" s="335"/>
      <c r="L343" s="299"/>
      <c r="M343" s="299"/>
      <c r="N343" s="299"/>
      <c r="O343" s="234"/>
      <c r="P343" s="218"/>
      <c r="Q343" s="218"/>
      <c r="R343" s="218"/>
      <c r="S343" s="218"/>
      <c r="T343" s="218"/>
      <c r="U343" s="218"/>
      <c r="V343" s="622"/>
      <c r="W343" s="601"/>
      <c r="X343" s="235"/>
      <c r="Y343" s="218"/>
      <c r="Z343" s="219"/>
      <c r="AA343" s="592"/>
      <c r="AB343" s="592"/>
      <c r="AC343" s="592"/>
      <c r="AD343" s="556"/>
    </row>
    <row r="344" ht="22.5" customHeight="1">
      <c r="A344" s="218"/>
      <c r="B344" s="326" t="s">
        <v>429</v>
      </c>
      <c r="C344" s="16"/>
      <c r="D344" s="16"/>
      <c r="E344" s="16"/>
      <c r="F344" s="16"/>
      <c r="G344" s="16"/>
      <c r="H344" s="17"/>
      <c r="I344" s="327">
        <f>I342-I343</f>
        <v>432429</v>
      </c>
      <c r="J344" s="23"/>
      <c r="K344" s="335"/>
      <c r="L344" s="299"/>
      <c r="M344" s="218"/>
      <c r="N344" s="218"/>
      <c r="O344" s="234"/>
      <c r="P344" s="218"/>
      <c r="Q344" s="218"/>
      <c r="R344" s="218"/>
      <c r="S344" s="218"/>
      <c r="T344" s="218"/>
      <c r="U344" s="218"/>
      <c r="V344" s="622"/>
      <c r="W344" s="601"/>
      <c r="X344" s="235"/>
      <c r="Y344" s="218"/>
      <c r="Z344" s="219"/>
      <c r="AA344" s="592"/>
      <c r="AB344" s="592"/>
      <c r="AC344" s="592"/>
      <c r="AD344" s="556"/>
    </row>
    <row r="345" ht="15.75" customHeight="1">
      <c r="A345" s="218"/>
      <c r="B345" s="336"/>
      <c r="C345" s="336"/>
      <c r="D345" s="336"/>
      <c r="E345" s="345"/>
      <c r="F345" s="338"/>
      <c r="G345" s="218"/>
      <c r="H345" s="218"/>
      <c r="I345" s="218"/>
      <c r="J345" s="218"/>
      <c r="K345" s="23"/>
      <c r="L345" s="218"/>
      <c r="M345" s="218"/>
      <c r="N345" s="218"/>
      <c r="O345" s="234"/>
      <c r="P345" s="218"/>
      <c r="Q345" s="218"/>
      <c r="R345" s="218"/>
      <c r="S345" s="218"/>
      <c r="T345" s="218"/>
      <c r="U345" s="218"/>
      <c r="V345" s="622"/>
      <c r="W345" s="601"/>
      <c r="X345" s="235"/>
      <c r="Y345" s="218"/>
      <c r="Z345" s="219"/>
      <c r="AA345" s="592"/>
      <c r="AB345" s="592"/>
      <c r="AC345" s="592"/>
      <c r="AD345" s="556"/>
    </row>
    <row r="346" ht="15.75" customHeight="1">
      <c r="A346" s="339" t="s">
        <v>430</v>
      </c>
      <c r="E346" s="345"/>
      <c r="F346" s="338"/>
      <c r="G346" s="218"/>
      <c r="H346" s="218"/>
      <c r="I346" s="218"/>
      <c r="J346" s="218"/>
      <c r="K346" s="23"/>
      <c r="L346" s="218"/>
      <c r="M346" s="218"/>
      <c r="N346" s="218"/>
      <c r="O346" s="234"/>
      <c r="P346" s="218"/>
      <c r="Q346" s="218"/>
      <c r="R346" s="218"/>
      <c r="S346" s="218"/>
      <c r="T346" s="218"/>
      <c r="U346" s="218"/>
      <c r="V346" s="622"/>
      <c r="W346" s="601"/>
      <c r="X346" s="235"/>
      <c r="Y346" s="218"/>
      <c r="Z346" s="219"/>
      <c r="AA346" s="592"/>
      <c r="AB346" s="592"/>
      <c r="AC346" s="592"/>
      <c r="AD346" s="556"/>
    </row>
    <row r="347" ht="15.75" customHeight="1">
      <c r="A347" s="340"/>
      <c r="B347" s="341"/>
      <c r="C347" s="342"/>
      <c r="D347" s="341"/>
      <c r="E347" s="342"/>
      <c r="F347" s="341"/>
      <c r="G347" s="341"/>
      <c r="H347" s="341"/>
      <c r="I347" s="341"/>
      <c r="J347" s="341"/>
      <c r="K347" s="341"/>
      <c r="L347" s="341"/>
      <c r="M347" s="341"/>
      <c r="N347" s="341"/>
      <c r="O347" s="343"/>
      <c r="P347" s="344"/>
      <c r="Q347" s="344"/>
      <c r="R347" s="345"/>
      <c r="S347" s="345"/>
      <c r="T347" s="344"/>
      <c r="U347" s="344"/>
      <c r="V347" s="778"/>
      <c r="W347" s="662"/>
      <c r="X347" s="344"/>
      <c r="Y347" s="344"/>
      <c r="Z347" s="219"/>
      <c r="AA347" s="592"/>
      <c r="AB347" s="592"/>
      <c r="AC347" s="592"/>
      <c r="AD347" s="556"/>
    </row>
    <row r="348" ht="15.75" customHeight="1">
      <c r="A348" s="340"/>
      <c r="B348" s="346" t="s">
        <v>431</v>
      </c>
      <c r="C348" s="347" t="s">
        <v>432</v>
      </c>
      <c r="D348" s="348" t="s">
        <v>433</v>
      </c>
      <c r="E348" s="348" t="s">
        <v>434</v>
      </c>
      <c r="F348" s="349" t="s">
        <v>5</v>
      </c>
      <c r="G348" s="348" t="s">
        <v>435</v>
      </c>
      <c r="H348" s="348" t="s">
        <v>25</v>
      </c>
      <c r="I348" s="349" t="s">
        <v>26</v>
      </c>
      <c r="J348" s="349" t="s">
        <v>436</v>
      </c>
      <c r="K348" s="349" t="s">
        <v>437</v>
      </c>
      <c r="L348" s="349" t="s">
        <v>438</v>
      </c>
      <c r="M348" s="518" t="s">
        <v>9</v>
      </c>
      <c r="N348" s="351" t="s">
        <v>439</v>
      </c>
      <c r="O348" s="352"/>
      <c r="Q348" s="344"/>
      <c r="R348" s="340"/>
      <c r="S348" s="340"/>
      <c r="T348" s="340"/>
      <c r="U348" s="340"/>
      <c r="V348" s="779"/>
      <c r="W348" s="780"/>
      <c r="X348" s="340"/>
      <c r="Y348" s="299"/>
      <c r="Z348" s="353"/>
      <c r="AA348" s="592"/>
      <c r="AB348" s="592"/>
      <c r="AC348" s="592"/>
      <c r="AD348" s="556"/>
    </row>
    <row r="349" ht="36.75" customHeight="1">
      <c r="A349" s="354"/>
      <c r="B349" s="355">
        <v>7.0</v>
      </c>
      <c r="C349" s="781">
        <v>45149.0</v>
      </c>
      <c r="D349" s="69">
        <v>1.713781799821E12</v>
      </c>
      <c r="E349" s="68" t="s">
        <v>902</v>
      </c>
      <c r="F349" s="71" t="s">
        <v>441</v>
      </c>
      <c r="G349" s="68" t="s">
        <v>831</v>
      </c>
      <c r="H349" s="366" t="s">
        <v>516</v>
      </c>
      <c r="I349" s="355">
        <v>7.0</v>
      </c>
      <c r="J349" s="367">
        <v>220000.0</v>
      </c>
      <c r="K349" s="368">
        <f t="shared" ref="K349:K353" si="95">J349*I349</f>
        <v>1540000</v>
      </c>
      <c r="L349" s="355" t="s">
        <v>33</v>
      </c>
      <c r="M349" s="360">
        <f>71995+56000</f>
        <v>127995</v>
      </c>
      <c r="N349" s="782" t="s">
        <v>1298</v>
      </c>
      <c r="O349" s="362"/>
      <c r="Q349" s="344"/>
      <c r="R349" s="364"/>
      <c r="S349" s="364"/>
      <c r="T349" s="364"/>
      <c r="U349" s="364"/>
      <c r="V349" s="622"/>
      <c r="W349" s="622"/>
      <c r="X349" s="364"/>
      <c r="Y349" s="364"/>
      <c r="Z349" s="365"/>
      <c r="AA349" s="592"/>
      <c r="AB349" s="592"/>
      <c r="AC349" s="592"/>
      <c r="AD349" s="556"/>
    </row>
    <row r="350" ht="36.75" customHeight="1">
      <c r="A350" s="354"/>
      <c r="B350" s="355">
        <v>7.0</v>
      </c>
      <c r="C350" s="781">
        <v>45127.0</v>
      </c>
      <c r="D350" s="104" t="s">
        <v>1299</v>
      </c>
      <c r="E350" s="68" t="s">
        <v>50</v>
      </c>
      <c r="F350" s="71" t="s">
        <v>1300</v>
      </c>
      <c r="G350" s="68" t="s">
        <v>74</v>
      </c>
      <c r="H350" s="69" t="s">
        <v>30</v>
      </c>
      <c r="I350" s="69">
        <v>1.0</v>
      </c>
      <c r="J350" s="367">
        <v>220000.0</v>
      </c>
      <c r="K350" s="368">
        <f t="shared" si="95"/>
        <v>220000</v>
      </c>
      <c r="L350" s="355" t="s">
        <v>33</v>
      </c>
      <c r="M350" s="783"/>
      <c r="N350" s="782" t="s">
        <v>1301</v>
      </c>
      <c r="O350" s="362"/>
      <c r="P350" s="362"/>
      <c r="Q350" s="642"/>
      <c r="R350" s="784"/>
      <c r="S350" s="364"/>
      <c r="T350" s="364"/>
      <c r="U350" s="364"/>
      <c r="V350" s="622"/>
      <c r="W350" s="601"/>
      <c r="X350" s="370"/>
      <c r="Y350" s="364"/>
      <c r="Z350" s="365"/>
      <c r="AA350" s="592"/>
      <c r="AB350" s="592"/>
      <c r="AC350" s="592"/>
      <c r="AD350" s="556"/>
    </row>
    <row r="351" ht="36.75" customHeight="1">
      <c r="A351" s="354"/>
      <c r="B351" s="355">
        <v>8.0</v>
      </c>
      <c r="C351" s="781">
        <v>45169.0</v>
      </c>
      <c r="D351" s="785" t="s">
        <v>950</v>
      </c>
      <c r="E351" s="68" t="s">
        <v>273</v>
      </c>
      <c r="F351" s="71" t="s">
        <v>951</v>
      </c>
      <c r="G351" s="68" t="s">
        <v>74</v>
      </c>
      <c r="H351" s="69" t="s">
        <v>30</v>
      </c>
      <c r="I351" s="69">
        <v>2.0</v>
      </c>
      <c r="J351" s="367">
        <v>220000.0</v>
      </c>
      <c r="K351" s="368">
        <f t="shared" si="95"/>
        <v>440000</v>
      </c>
      <c r="L351" s="355" t="s">
        <v>33</v>
      </c>
      <c r="M351" s="783"/>
      <c r="N351" s="782" t="s">
        <v>875</v>
      </c>
      <c r="O351" s="362"/>
      <c r="Q351" s="642"/>
      <c r="R351" s="784"/>
      <c r="S351" s="364"/>
      <c r="T351" s="364"/>
      <c r="U351" s="364"/>
      <c r="V351" s="622"/>
      <c r="W351" s="601"/>
      <c r="X351" s="370"/>
      <c r="Y351" s="364"/>
      <c r="Z351" s="365"/>
      <c r="AA351" s="592"/>
      <c r="AB351" s="592"/>
      <c r="AC351" s="592"/>
      <c r="AD351" s="556"/>
    </row>
    <row r="352" ht="36.75" customHeight="1">
      <c r="A352" s="786"/>
      <c r="B352" s="634">
        <v>8.0</v>
      </c>
      <c r="C352" s="635">
        <v>45174.0</v>
      </c>
      <c r="D352" s="634" t="s">
        <v>1009</v>
      </c>
      <c r="E352" s="787" t="s">
        <v>50</v>
      </c>
      <c r="F352" s="788" t="s">
        <v>1010</v>
      </c>
      <c r="G352" s="787" t="s">
        <v>281</v>
      </c>
      <c r="H352" s="789" t="s">
        <v>30</v>
      </c>
      <c r="I352" s="790">
        <v>1.0</v>
      </c>
      <c r="J352" s="367">
        <v>220000.0</v>
      </c>
      <c r="K352" s="368">
        <f t="shared" si="95"/>
        <v>220000</v>
      </c>
      <c r="L352" s="634" t="s">
        <v>33</v>
      </c>
      <c r="M352" s="791"/>
      <c r="N352" s="637" t="s">
        <v>875</v>
      </c>
      <c r="O352" s="362"/>
      <c r="P352" s="362"/>
      <c r="Q352" s="642"/>
      <c r="R352" s="784"/>
      <c r="S352" s="364"/>
      <c r="T352" s="364"/>
      <c r="U352" s="364"/>
      <c r="V352" s="622"/>
      <c r="W352" s="601"/>
      <c r="X352" s="370"/>
      <c r="Y352" s="364"/>
      <c r="Z352" s="365"/>
      <c r="AA352" s="592"/>
      <c r="AB352" s="592"/>
      <c r="AC352" s="592"/>
      <c r="AD352" s="556"/>
    </row>
    <row r="353" ht="36.75" customHeight="1">
      <c r="A353" s="786"/>
      <c r="B353" s="67"/>
      <c r="C353" s="67"/>
      <c r="D353" s="67"/>
      <c r="E353" s="67"/>
      <c r="F353" s="67"/>
      <c r="G353" s="67"/>
      <c r="H353" s="69" t="s">
        <v>290</v>
      </c>
      <c r="I353" s="355">
        <v>1.0</v>
      </c>
      <c r="J353" s="367">
        <v>220000.0</v>
      </c>
      <c r="K353" s="368">
        <f t="shared" si="95"/>
        <v>220000</v>
      </c>
      <c r="L353" s="67"/>
      <c r="M353" s="154"/>
      <c r="N353" s="67"/>
      <c r="O353" s="362"/>
      <c r="P353" s="362"/>
      <c r="Q353" s="642"/>
      <c r="R353" s="784"/>
      <c r="S353" s="364"/>
      <c r="T353" s="364"/>
      <c r="U353" s="364"/>
      <c r="V353" s="622"/>
      <c r="W353" s="601"/>
      <c r="X353" s="370"/>
      <c r="Y353" s="364"/>
      <c r="Z353" s="365"/>
      <c r="AA353" s="592"/>
      <c r="AB353" s="592"/>
      <c r="AC353" s="592"/>
      <c r="AD353" s="556"/>
    </row>
    <row r="354" ht="31.5" customHeight="1">
      <c r="A354" s="354"/>
      <c r="B354" s="389" t="s">
        <v>421</v>
      </c>
      <c r="C354" s="16"/>
      <c r="D354" s="16"/>
      <c r="E354" s="16"/>
      <c r="F354" s="16"/>
      <c r="G354" s="16"/>
      <c r="H354" s="16"/>
      <c r="I354" s="16"/>
      <c r="J354" s="17"/>
      <c r="K354" s="390">
        <f>SUM(K349:K353)</f>
        <v>2640000</v>
      </c>
      <c r="L354" s="392"/>
      <c r="M354" s="542">
        <f>sum(M349:M353)</f>
        <v>127995</v>
      </c>
      <c r="N354" s="392">
        <f>SUM(N349:N353)</f>
        <v>0</v>
      </c>
      <c r="O354" s="393"/>
      <c r="Q354" s="344"/>
      <c r="R354" s="364"/>
      <c r="S354" s="364"/>
      <c r="T354" s="364"/>
      <c r="U354" s="364"/>
      <c r="V354" s="622"/>
      <c r="W354" s="601"/>
      <c r="X354" s="370"/>
      <c r="Y354" s="364"/>
      <c r="Z354" s="365"/>
      <c r="AA354" s="592"/>
      <c r="AB354" s="592"/>
      <c r="AC354" s="592"/>
      <c r="AD354" s="556"/>
    </row>
    <row r="355" ht="15.75" customHeight="1">
      <c r="A355" s="344"/>
      <c r="B355" s="345"/>
      <c r="C355" s="792"/>
      <c r="D355" s="395"/>
      <c r="E355" s="396"/>
      <c r="F355" s="395"/>
      <c r="G355" s="396"/>
      <c r="H355" s="345"/>
      <c r="I355" s="344"/>
      <c r="J355" s="344"/>
      <c r="K355" s="107"/>
      <c r="L355" s="344"/>
      <c r="M355" s="344"/>
      <c r="N355" s="344"/>
      <c r="O355" s="343"/>
      <c r="P355" s="344"/>
      <c r="Q355" s="344"/>
      <c r="R355" s="345"/>
      <c r="S355" s="345"/>
      <c r="T355" s="344"/>
      <c r="U355" s="344"/>
      <c r="V355" s="778"/>
      <c r="W355" s="662"/>
      <c r="X355" s="344"/>
      <c r="Y355" s="344"/>
      <c r="Z355" s="219"/>
      <c r="AA355" s="592"/>
      <c r="AB355" s="592"/>
      <c r="AC355" s="592"/>
      <c r="AD355" s="556"/>
    </row>
    <row r="356" ht="15.75" customHeight="1">
      <c r="A356" s="556"/>
      <c r="B356" s="596"/>
      <c r="C356" s="792"/>
      <c r="D356" s="395"/>
      <c r="E356" s="396"/>
      <c r="F356" s="395"/>
      <c r="G356" s="396"/>
      <c r="H356" s="597"/>
      <c r="I356" s="598"/>
      <c r="J356" s="598"/>
      <c r="K356" s="106"/>
      <c r="L356" s="556"/>
      <c r="M356" s="556"/>
      <c r="N356" s="556"/>
      <c r="O356" s="402"/>
      <c r="P356" s="556"/>
      <c r="Q356" s="556"/>
      <c r="R356" s="596"/>
      <c r="S356" s="596"/>
      <c r="T356" s="556"/>
      <c r="U356" s="556"/>
      <c r="V356" s="771"/>
      <c r="W356" s="599"/>
      <c r="X356" s="556"/>
      <c r="Y356" s="556"/>
      <c r="Z356" s="579"/>
      <c r="AA356" s="592"/>
      <c r="AB356" s="592"/>
      <c r="AC356" s="592"/>
      <c r="AD356" s="556"/>
    </row>
    <row r="357" ht="15.75" customHeight="1">
      <c r="A357" s="556"/>
      <c r="B357" s="596"/>
      <c r="C357" s="793"/>
      <c r="D357" s="556"/>
      <c r="E357" s="596"/>
      <c r="F357" s="595"/>
      <c r="G357" s="596"/>
      <c r="H357" s="597"/>
      <c r="I357" s="598"/>
      <c r="J357" s="598"/>
      <c r="K357" s="106"/>
      <c r="L357" s="556"/>
      <c r="M357" s="556"/>
      <c r="N357" s="556"/>
      <c r="O357" s="402"/>
      <c r="P357" s="556"/>
      <c r="Q357" s="556"/>
      <c r="R357" s="596"/>
      <c r="S357" s="596"/>
      <c r="T357" s="556"/>
      <c r="U357" s="556"/>
      <c r="V357" s="771"/>
      <c r="W357" s="599"/>
      <c r="X357" s="556"/>
      <c r="Y357" s="556"/>
      <c r="Z357" s="579"/>
      <c r="AA357" s="556"/>
      <c r="AB357" s="556"/>
      <c r="AC357" s="556"/>
      <c r="AD357" s="556"/>
    </row>
    <row r="358" ht="15.75" customHeight="1">
      <c r="A358" s="556"/>
      <c r="B358" s="794" t="s">
        <v>1302</v>
      </c>
      <c r="E358" s="596"/>
      <c r="F358" s="595"/>
      <c r="G358" s="596"/>
      <c r="H358" s="597"/>
      <c r="I358" s="598"/>
      <c r="J358" s="598"/>
      <c r="K358" s="106"/>
      <c r="L358" s="556"/>
      <c r="M358" s="556"/>
      <c r="N358" s="556"/>
      <c r="O358" s="402"/>
      <c r="P358" s="556"/>
      <c r="Q358" s="556"/>
      <c r="R358" s="596"/>
      <c r="S358" s="596"/>
      <c r="T358" s="556"/>
      <c r="U358" s="556"/>
      <c r="V358" s="771"/>
      <c r="W358" s="599"/>
      <c r="X358" s="556"/>
      <c r="Y358" s="556"/>
      <c r="Z358" s="579"/>
      <c r="AA358" s="556"/>
      <c r="AB358" s="556"/>
      <c r="AC358" s="556"/>
      <c r="AD358" s="556"/>
    </row>
    <row r="359" ht="15.75" customHeight="1">
      <c r="A359" s="556"/>
      <c r="B359" s="596"/>
      <c r="C359" s="793"/>
      <c r="D359" s="556"/>
      <c r="E359" s="596"/>
      <c r="F359" s="595"/>
      <c r="G359" s="596"/>
      <c r="H359" s="597"/>
      <c r="I359" s="598"/>
      <c r="J359" s="598"/>
      <c r="K359" s="106"/>
      <c r="L359" s="556"/>
      <c r="M359" s="556"/>
      <c r="N359" s="556"/>
      <c r="O359" s="402"/>
      <c r="P359" s="556"/>
      <c r="Q359" s="556"/>
      <c r="R359" s="596"/>
      <c r="S359" s="596"/>
      <c r="T359" s="556"/>
      <c r="U359" s="556"/>
      <c r="V359" s="771"/>
      <c r="W359" s="599"/>
      <c r="X359" s="556"/>
      <c r="Y359" s="556"/>
      <c r="Z359" s="579"/>
      <c r="AA359" s="556"/>
      <c r="AB359" s="556"/>
      <c r="AC359" s="556"/>
      <c r="AD359" s="556"/>
    </row>
    <row r="360" ht="27.75" customHeight="1">
      <c r="A360" s="556"/>
      <c r="B360" s="795" t="s">
        <v>431</v>
      </c>
      <c r="C360" s="796" t="s">
        <v>432</v>
      </c>
      <c r="D360" s="795" t="s">
        <v>433</v>
      </c>
      <c r="E360" s="795" t="s">
        <v>434</v>
      </c>
      <c r="F360" s="797" t="s">
        <v>435</v>
      </c>
      <c r="G360" s="795" t="s">
        <v>5</v>
      </c>
      <c r="H360" s="797" t="s">
        <v>26</v>
      </c>
      <c r="I360" s="798"/>
      <c r="J360" s="798"/>
      <c r="K360" s="799"/>
      <c r="L360" s="556"/>
      <c r="M360" s="556"/>
      <c r="N360" s="556"/>
      <c r="O360" s="402"/>
      <c r="P360" s="556"/>
      <c r="Q360" s="556"/>
      <c r="R360" s="596"/>
      <c r="S360" s="596"/>
      <c r="T360" s="556"/>
      <c r="U360" s="556"/>
      <c r="V360" s="771"/>
      <c r="W360" s="599"/>
      <c r="X360" s="556"/>
      <c r="Y360" s="556"/>
      <c r="Z360" s="579"/>
      <c r="AA360" s="556"/>
      <c r="AB360" s="556"/>
      <c r="AC360" s="556"/>
      <c r="AD360" s="556"/>
    </row>
    <row r="361" ht="25.5" customHeight="1">
      <c r="A361" s="106"/>
      <c r="B361" s="694">
        <v>9.0</v>
      </c>
      <c r="C361" s="103">
        <v>45190.0</v>
      </c>
      <c r="D361" s="694">
        <v>1.718535357811E12</v>
      </c>
      <c r="E361" s="694" t="s">
        <v>902</v>
      </c>
      <c r="F361" s="800" t="s">
        <v>442</v>
      </c>
      <c r="G361" s="105" t="s">
        <v>441</v>
      </c>
      <c r="H361" s="93">
        <v>1.0</v>
      </c>
      <c r="I361" s="107"/>
      <c r="J361" s="107"/>
      <c r="K361" s="106"/>
      <c r="L361" s="106"/>
      <c r="M361" s="106"/>
      <c r="N361" s="106"/>
      <c r="O361" s="801"/>
      <c r="P361" s="106"/>
      <c r="Q361" s="106"/>
      <c r="R361" s="589"/>
      <c r="S361" s="589"/>
      <c r="T361" s="106"/>
      <c r="U361" s="106"/>
      <c r="V361" s="802"/>
      <c r="W361" s="517"/>
      <c r="X361" s="106"/>
      <c r="Y361" s="106"/>
      <c r="Z361" s="427"/>
      <c r="AA361" s="106"/>
      <c r="AB361" s="106"/>
      <c r="AC361" s="106"/>
      <c r="AD361" s="106"/>
    </row>
    <row r="362" ht="15.75" customHeight="1">
      <c r="A362" s="556"/>
      <c r="B362" s="596"/>
      <c r="C362" s="793"/>
      <c r="D362" s="556"/>
      <c r="E362" s="596"/>
      <c r="F362" s="595"/>
      <c r="G362" s="596"/>
      <c r="H362" s="597"/>
      <c r="I362" s="598"/>
      <c r="J362" s="598"/>
      <c r="K362" s="106"/>
      <c r="L362" s="556"/>
      <c r="M362" s="556"/>
      <c r="N362" s="556"/>
      <c r="O362" s="402"/>
      <c r="P362" s="556"/>
      <c r="Q362" s="556"/>
      <c r="R362" s="596"/>
      <c r="S362" s="596"/>
      <c r="T362" s="556"/>
      <c r="U362" s="556"/>
      <c r="V362" s="771"/>
      <c r="W362" s="599"/>
      <c r="X362" s="556"/>
      <c r="Y362" s="556"/>
      <c r="Z362" s="579"/>
      <c r="AA362" s="556"/>
      <c r="AB362" s="556"/>
      <c r="AC362" s="556"/>
      <c r="AD362" s="556"/>
    </row>
    <row r="363" ht="15.75" customHeight="1">
      <c r="A363" s="556"/>
      <c r="B363" s="596"/>
      <c r="C363" s="793"/>
      <c r="D363" s="556"/>
      <c r="E363" s="596"/>
      <c r="F363" s="595"/>
      <c r="G363" s="596"/>
      <c r="H363" s="597"/>
      <c r="I363" s="598"/>
      <c r="J363" s="598"/>
      <c r="K363" s="106"/>
      <c r="L363" s="556"/>
      <c r="M363" s="556"/>
      <c r="N363" s="556"/>
      <c r="O363" s="402"/>
      <c r="P363" s="556"/>
      <c r="Q363" s="556"/>
      <c r="R363" s="596"/>
      <c r="S363" s="596"/>
      <c r="T363" s="556"/>
      <c r="U363" s="556"/>
      <c r="V363" s="771"/>
      <c r="W363" s="599"/>
      <c r="X363" s="556"/>
      <c r="Y363" s="556"/>
      <c r="Z363" s="579"/>
      <c r="AA363" s="556"/>
      <c r="AB363" s="556"/>
      <c r="AC363" s="556"/>
      <c r="AD363" s="556"/>
    </row>
    <row r="364" ht="21.0" customHeight="1">
      <c r="A364" s="556"/>
      <c r="B364" s="596"/>
      <c r="C364" s="793"/>
      <c r="D364" s="556"/>
      <c r="E364" s="596"/>
      <c r="F364" s="595"/>
      <c r="G364" s="596"/>
      <c r="H364" s="597"/>
      <c r="I364" s="598"/>
      <c r="J364" s="598"/>
      <c r="K364" s="106"/>
      <c r="L364" s="556"/>
      <c r="M364" s="556"/>
      <c r="N364" s="556"/>
      <c r="O364" s="402"/>
      <c r="P364" s="556"/>
      <c r="Q364" s="556"/>
      <c r="R364" s="596"/>
      <c r="S364" s="596"/>
      <c r="T364" s="556"/>
      <c r="U364" s="556"/>
      <c r="V364" s="771"/>
      <c r="W364" s="599"/>
      <c r="X364" s="556"/>
      <c r="Y364" s="556"/>
      <c r="Z364" s="579"/>
      <c r="AA364" s="556"/>
      <c r="AB364" s="556"/>
      <c r="AC364" s="556"/>
      <c r="AD364" s="556"/>
    </row>
    <row r="365" ht="28.5" customHeight="1">
      <c r="A365" s="556"/>
      <c r="B365" s="803" t="s">
        <v>1303</v>
      </c>
      <c r="E365" s="589"/>
      <c r="F365" s="595"/>
      <c r="G365" s="596"/>
      <c r="H365" s="597"/>
      <c r="I365" s="598"/>
      <c r="J365" s="598"/>
      <c r="K365" s="106"/>
      <c r="L365" s="556"/>
      <c r="M365" s="556"/>
      <c r="N365" s="556"/>
      <c r="O365" s="402"/>
      <c r="P365" s="556"/>
      <c r="Q365" s="556"/>
      <c r="R365" s="596"/>
      <c r="S365" s="596"/>
      <c r="T365" s="556"/>
      <c r="U365" s="556"/>
      <c r="V365" s="771"/>
      <c r="W365" s="599"/>
      <c r="X365" s="556"/>
      <c r="Y365" s="556"/>
      <c r="Z365" s="579"/>
      <c r="AA365" s="556"/>
      <c r="AB365" s="556"/>
      <c r="AC365" s="556"/>
      <c r="AD365" s="556"/>
    </row>
    <row r="366" ht="27.75" customHeight="1">
      <c r="A366" s="556"/>
      <c r="B366" s="795" t="s">
        <v>1304</v>
      </c>
      <c r="C366" s="796" t="s">
        <v>1305</v>
      </c>
      <c r="D366" s="795" t="s">
        <v>1306</v>
      </c>
      <c r="E366" s="795" t="s">
        <v>1307</v>
      </c>
      <c r="F366" s="797" t="s">
        <v>1308</v>
      </c>
      <c r="G366" s="596"/>
      <c r="H366" s="597"/>
      <c r="I366" s="598"/>
      <c r="J366" s="598"/>
      <c r="K366" s="106"/>
      <c r="L366" s="556"/>
      <c r="M366" s="556"/>
      <c r="N366" s="556"/>
      <c r="O366" s="402"/>
      <c r="P366" s="556"/>
      <c r="Q366" s="556"/>
      <c r="R366" s="596"/>
      <c r="S366" s="596"/>
      <c r="T366" s="556"/>
      <c r="U366" s="556"/>
      <c r="V366" s="771"/>
      <c r="W366" s="599"/>
      <c r="X366" s="556"/>
      <c r="Y366" s="556"/>
      <c r="Z366" s="579"/>
      <c r="AA366" s="556"/>
      <c r="AB366" s="556"/>
      <c r="AC366" s="556"/>
      <c r="AD366" s="556"/>
    </row>
    <row r="367" ht="24.75" customHeight="1">
      <c r="A367" s="556"/>
      <c r="B367" s="804">
        <v>45167.0</v>
      </c>
      <c r="C367" s="109">
        <f>220000+220000+220000+220000+220000+220000+220000+440000+440000+440000</f>
        <v>2860000</v>
      </c>
      <c r="D367" s="805">
        <f>2617760</f>
        <v>2617760</v>
      </c>
      <c r="E367" s="806">
        <f>7107+4400+22000+7437+4400+6987+4400+19500+6957+4400+21000+5400+4400+14142+8800+14376+8800</f>
        <v>164506</v>
      </c>
      <c r="F367" s="109">
        <f t="shared" ref="F367:F381" si="96">C367-D367-E367</f>
        <v>77734</v>
      </c>
      <c r="G367" s="556"/>
      <c r="H367" s="556"/>
      <c r="I367" s="556"/>
      <c r="J367" s="556"/>
      <c r="K367" s="556"/>
      <c r="L367" s="556"/>
      <c r="M367" s="556"/>
      <c r="N367" s="556"/>
      <c r="O367" s="556"/>
      <c r="P367" s="556"/>
      <c r="Q367" s="556"/>
      <c r="R367" s="596"/>
      <c r="S367" s="596"/>
      <c r="T367" s="556"/>
      <c r="U367" s="556"/>
      <c r="V367" s="807"/>
      <c r="W367" s="556"/>
      <c r="X367" s="556"/>
      <c r="Y367" s="556"/>
      <c r="Z367" s="579"/>
      <c r="AA367" s="556"/>
      <c r="AB367" s="556"/>
      <c r="AC367" s="556"/>
      <c r="AD367" s="556"/>
    </row>
    <row r="368" ht="24.75" customHeight="1">
      <c r="A368" s="556"/>
      <c r="B368" s="804">
        <v>45168.0</v>
      </c>
      <c r="C368" s="109">
        <f>220000+220000+220000+660000+220000</f>
        <v>1540000</v>
      </c>
      <c r="D368" s="805">
        <f>1461056</f>
        <v>1461056</v>
      </c>
      <c r="E368" s="805">
        <f>6600+4400+7107+4400+7107+4400+20223+13200+7107+4400</f>
        <v>78944</v>
      </c>
      <c r="F368" s="109">
        <f t="shared" si="96"/>
        <v>0</v>
      </c>
      <c r="G368" s="556"/>
      <c r="H368" s="556"/>
      <c r="I368" s="556"/>
      <c r="J368" s="556"/>
      <c r="K368" s="556"/>
      <c r="L368" s="556"/>
      <c r="M368" s="556"/>
      <c r="N368" s="556"/>
      <c r="O368" s="556"/>
      <c r="P368" s="556"/>
      <c r="Q368" s="556"/>
      <c r="R368" s="596"/>
      <c r="S368" s="596"/>
      <c r="T368" s="556"/>
      <c r="U368" s="556"/>
      <c r="V368" s="807"/>
      <c r="W368" s="556"/>
      <c r="X368" s="556"/>
      <c r="Y368" s="556"/>
      <c r="Z368" s="579"/>
      <c r="AA368" s="556"/>
      <c r="AB368" s="556"/>
      <c r="AC368" s="556"/>
      <c r="AD368" s="556"/>
    </row>
    <row r="369" ht="24.75" customHeight="1">
      <c r="A369" s="556"/>
      <c r="B369" s="804">
        <v>45173.0</v>
      </c>
      <c r="C369" s="109">
        <f>220000+220000+660000+220000+440000+220000+220000+220000+440000+660000+440000+220000+220000+220000+220000+220000</f>
        <v>5060000</v>
      </c>
      <c r="D369" s="109">
        <f>207263+185263+625497+208013+417991+208493+208823+208013+419200+627897+417700+208493+208493+209243+208493+186013</f>
        <v>4754888</v>
      </c>
      <c r="E369" s="805">
        <f>8337+4400+8337+44000+22000+21303+13200+7857+4400+13209+8800+7107+4400+6777+4400+7587+4400+12000+8800+18903+13200+13500+8800+7107+4400+7107+4400+6357+4400+7107+4400+7587+4400+22000</f>
        <v>344982</v>
      </c>
      <c r="F369" s="109">
        <f t="shared" si="96"/>
        <v>-39870</v>
      </c>
      <c r="G369" s="556"/>
      <c r="H369" s="556"/>
      <c r="I369" s="556"/>
      <c r="J369" s="556"/>
      <c r="K369" s="556"/>
      <c r="L369" s="556"/>
      <c r="M369" s="556"/>
      <c r="N369" s="556"/>
      <c r="O369" s="556"/>
      <c r="P369" s="556"/>
      <c r="Q369" s="556"/>
      <c r="R369" s="596"/>
      <c r="S369" s="596"/>
      <c r="T369" s="556"/>
      <c r="U369" s="556"/>
      <c r="V369" s="807"/>
      <c r="W369" s="556"/>
      <c r="X369" s="556"/>
      <c r="Y369" s="556"/>
      <c r="Z369" s="579"/>
      <c r="AA369" s="556"/>
      <c r="AB369" s="556"/>
      <c r="AC369" s="556"/>
      <c r="AD369" s="556"/>
    </row>
    <row r="370" ht="24.75" customHeight="1">
      <c r="A370" s="556"/>
      <c r="B370" s="804">
        <v>45174.0</v>
      </c>
      <c r="C370" s="109">
        <f>220000+220000+220000+220000</f>
        <v>880000</v>
      </c>
      <c r="D370" s="805">
        <f>835676</f>
        <v>835676</v>
      </c>
      <c r="E370" s="805">
        <f>M4+M5+M14+M19</f>
        <v>44324</v>
      </c>
      <c r="F370" s="109">
        <f t="shared" si="96"/>
        <v>0</v>
      </c>
      <c r="G370" s="556"/>
      <c r="H370" s="556"/>
      <c r="I370" s="556"/>
      <c r="J370" s="556"/>
      <c r="K370" s="556"/>
      <c r="L370" s="556"/>
      <c r="M370" s="556"/>
      <c r="N370" s="556"/>
      <c r="O370" s="556"/>
      <c r="P370" s="556"/>
      <c r="Q370" s="556"/>
      <c r="R370" s="596"/>
      <c r="S370" s="596"/>
      <c r="T370" s="556"/>
      <c r="U370" s="556"/>
      <c r="V370" s="807"/>
      <c r="W370" s="556"/>
      <c r="X370" s="556"/>
      <c r="Y370" s="556"/>
      <c r="Z370" s="579"/>
      <c r="AA370" s="556"/>
      <c r="AB370" s="556"/>
      <c r="AC370" s="556"/>
      <c r="AD370" s="556"/>
    </row>
    <row r="371" ht="24.75" customHeight="1">
      <c r="A371" s="556"/>
      <c r="B371" s="804">
        <v>45177.0</v>
      </c>
      <c r="C371" s="109">
        <f>220000+440000+440000+440000+220000+220000+220000+220000+220000+220000+220000</f>
        <v>3080000</v>
      </c>
      <c r="D371" s="805">
        <f>2917000</f>
        <v>2917000</v>
      </c>
      <c r="E371" s="805">
        <f>M15+M17+M27+M31+M34+M16+M26+M32+M33+M47+M48</f>
        <v>208000</v>
      </c>
      <c r="F371" s="109">
        <f t="shared" si="96"/>
        <v>-45000</v>
      </c>
      <c r="G371" s="556"/>
      <c r="H371" s="556"/>
      <c r="I371" s="556"/>
      <c r="J371" s="556"/>
      <c r="K371" s="556"/>
      <c r="L371" s="556"/>
      <c r="M371" s="556"/>
      <c r="N371" s="556"/>
      <c r="O371" s="556"/>
      <c r="P371" s="556"/>
      <c r="Q371" s="556"/>
      <c r="R371" s="596"/>
      <c r="S371" s="596"/>
      <c r="T371" s="556"/>
      <c r="U371" s="556"/>
      <c r="V371" s="807"/>
      <c r="W371" s="556"/>
      <c r="X371" s="556"/>
      <c r="Y371" s="556"/>
      <c r="Z371" s="579"/>
      <c r="AA371" s="556"/>
      <c r="AB371" s="556"/>
      <c r="AC371" s="556"/>
      <c r="AD371" s="556"/>
    </row>
    <row r="372" ht="24.75" customHeight="1">
      <c r="A372" s="556"/>
      <c r="B372" s="804">
        <v>45178.0</v>
      </c>
      <c r="C372" s="109">
        <f>440000+440000+220000+220000+220000+220000+220000</f>
        <v>1980000</v>
      </c>
      <c r="D372" s="805">
        <f>1875645</f>
        <v>1875645</v>
      </c>
      <c r="E372" s="805">
        <f>M25+M30+M44+M45+M49+M59+M61</f>
        <v>104355</v>
      </c>
      <c r="F372" s="109">
        <f t="shared" si="96"/>
        <v>0</v>
      </c>
      <c r="G372" s="556"/>
      <c r="H372" s="556"/>
      <c r="I372" s="556"/>
      <c r="J372" s="556"/>
      <c r="K372" s="556"/>
      <c r="L372" s="556"/>
      <c r="M372" s="556"/>
      <c r="N372" s="556"/>
      <c r="O372" s="556"/>
      <c r="P372" s="556"/>
      <c r="Q372" s="556"/>
      <c r="R372" s="596"/>
      <c r="S372" s="596"/>
      <c r="T372" s="556"/>
      <c r="U372" s="556"/>
      <c r="V372" s="807"/>
      <c r="W372" s="556"/>
      <c r="X372" s="556"/>
      <c r="Y372" s="556"/>
      <c r="Z372" s="579"/>
      <c r="AA372" s="556"/>
      <c r="AB372" s="556"/>
      <c r="AC372" s="556"/>
      <c r="AD372" s="556"/>
    </row>
    <row r="373" ht="24.75" customHeight="1">
      <c r="A373" s="556"/>
      <c r="B373" s="804">
        <v>45180.0</v>
      </c>
      <c r="C373" s="109">
        <f>220000</f>
        <v>220000</v>
      </c>
      <c r="D373" s="806">
        <v>207263.0</v>
      </c>
      <c r="E373" s="805">
        <f>M46</f>
        <v>12737</v>
      </c>
      <c r="F373" s="109">
        <f t="shared" si="96"/>
        <v>0</v>
      </c>
      <c r="G373" s="556"/>
      <c r="H373" s="556"/>
      <c r="I373" s="556"/>
      <c r="J373" s="556"/>
      <c r="K373" s="556"/>
      <c r="L373" s="556"/>
      <c r="M373" s="556"/>
      <c r="N373" s="556"/>
      <c r="O373" s="556"/>
      <c r="P373" s="556"/>
      <c r="Q373" s="556"/>
      <c r="R373" s="596"/>
      <c r="S373" s="596"/>
      <c r="T373" s="556"/>
      <c r="U373" s="556"/>
      <c r="V373" s="807"/>
      <c r="W373" s="556"/>
      <c r="X373" s="556"/>
      <c r="Y373" s="556"/>
      <c r="Z373" s="579"/>
      <c r="AA373" s="556"/>
      <c r="AB373" s="556"/>
      <c r="AC373" s="556"/>
      <c r="AD373" s="556"/>
    </row>
    <row r="374" ht="24.75" customHeight="1">
      <c r="A374" s="556"/>
      <c r="B374" s="804">
        <v>45182.0</v>
      </c>
      <c r="C374" s="805">
        <f>220000+1100000+880000+660000</f>
        <v>2860000</v>
      </c>
      <c r="D374" s="805">
        <f>2538366</f>
        <v>2538366</v>
      </c>
      <c r="E374" s="805">
        <f>M76+M77+M88+M89</f>
        <v>321634</v>
      </c>
      <c r="F374" s="109">
        <f t="shared" si="96"/>
        <v>0</v>
      </c>
      <c r="G374" s="556"/>
      <c r="H374" s="556"/>
      <c r="I374" s="556"/>
      <c r="J374" s="556"/>
      <c r="K374" s="556"/>
      <c r="L374" s="556"/>
      <c r="M374" s="556"/>
      <c r="N374" s="556"/>
      <c r="O374" s="556"/>
      <c r="P374" s="556"/>
      <c r="Q374" s="556"/>
      <c r="R374" s="596"/>
      <c r="S374" s="596"/>
      <c r="T374" s="556"/>
      <c r="U374" s="556"/>
      <c r="V374" s="807"/>
      <c r="W374" s="556"/>
      <c r="X374" s="556"/>
      <c r="Y374" s="556"/>
      <c r="Z374" s="579"/>
      <c r="AA374" s="556"/>
      <c r="AB374" s="556"/>
      <c r="AC374" s="556"/>
      <c r="AD374" s="556"/>
    </row>
    <row r="375" ht="24.75" customHeight="1">
      <c r="A375" s="556"/>
      <c r="B375" s="804">
        <v>45183.0</v>
      </c>
      <c r="C375" s="805">
        <f>220000+220000+440000+220000+220000+220000+440000+220000+440000+220000+440000+220000+880000+220000+220000+220000+440000</f>
        <v>5500000</v>
      </c>
      <c r="D375" s="805">
        <f>5191264</f>
        <v>5191264</v>
      </c>
      <c r="E375" s="805">
        <f>M71+M72+M73+M74+M75+M81+M82+M84+M86+M87+M90+M93+M95+M96+M97+M98+M101</f>
        <v>308736</v>
      </c>
      <c r="F375" s="109">
        <f t="shared" si="96"/>
        <v>0</v>
      </c>
      <c r="G375" s="556"/>
      <c r="H375" s="556"/>
      <c r="I375" s="556"/>
      <c r="J375" s="556"/>
      <c r="K375" s="556"/>
      <c r="L375" s="556"/>
      <c r="M375" s="556"/>
      <c r="N375" s="556"/>
      <c r="O375" s="556"/>
      <c r="P375" s="556"/>
      <c r="Q375" s="556"/>
      <c r="R375" s="596"/>
      <c r="S375" s="596"/>
      <c r="T375" s="556"/>
      <c r="U375" s="556"/>
      <c r="V375" s="807"/>
      <c r="W375" s="556"/>
      <c r="X375" s="556"/>
      <c r="Y375" s="556"/>
      <c r="Z375" s="579"/>
      <c r="AA375" s="556"/>
      <c r="AB375" s="556"/>
      <c r="AC375" s="556"/>
      <c r="AD375" s="556"/>
    </row>
    <row r="376" ht="24.75" customHeight="1">
      <c r="A376" s="556"/>
      <c r="B376" s="804">
        <v>45187.0</v>
      </c>
      <c r="C376" s="805">
        <f>220000+220000+220000+220000</f>
        <v>880000</v>
      </c>
      <c r="D376" s="805">
        <f>833259</f>
        <v>833259</v>
      </c>
      <c r="E376" s="805">
        <f>M94+M102+M110+M83</f>
        <v>46741</v>
      </c>
      <c r="F376" s="109">
        <f t="shared" si="96"/>
        <v>0</v>
      </c>
      <c r="G376" s="556"/>
      <c r="H376" s="556"/>
      <c r="I376" s="556"/>
      <c r="J376" s="556"/>
      <c r="K376" s="556"/>
      <c r="L376" s="556"/>
      <c r="M376" s="556"/>
      <c r="N376" s="556"/>
      <c r="O376" s="556"/>
      <c r="P376" s="556"/>
      <c r="Q376" s="556"/>
      <c r="R376" s="596"/>
      <c r="S376" s="596"/>
      <c r="T376" s="556"/>
      <c r="U376" s="556"/>
      <c r="V376" s="807"/>
      <c r="W376" s="556"/>
      <c r="X376" s="556"/>
      <c r="Y376" s="556"/>
      <c r="Z376" s="579"/>
      <c r="AA376" s="556"/>
      <c r="AB376" s="556"/>
      <c r="AC376" s="556"/>
      <c r="AD376" s="556"/>
    </row>
    <row r="377" ht="24.75" customHeight="1">
      <c r="A377" s="556"/>
      <c r="B377" s="804">
        <v>45188.0</v>
      </c>
      <c r="C377" s="805">
        <f>440000+220000+220000+220000+440000+440000+220000+660000+660000+135000+220000+440000+440000+220000+660000+90000+220000+220000+220000+220000</f>
        <v>6605000</v>
      </c>
      <c r="D377" s="805">
        <f>6117514</f>
        <v>6117514</v>
      </c>
      <c r="E377" s="805">
        <f>M103+M108+M109+M111+M112+M113+M114+M115+M116+M117+M118+M119+M120+M121+M122+M123+M128+M129+M130+M132</f>
        <v>487486</v>
      </c>
      <c r="F377" s="109">
        <f t="shared" si="96"/>
        <v>0</v>
      </c>
      <c r="G377" s="556"/>
      <c r="H377" s="556"/>
      <c r="I377" s="556"/>
      <c r="J377" s="556"/>
      <c r="K377" s="556"/>
      <c r="L377" s="556"/>
      <c r="M377" s="556"/>
      <c r="N377" s="556"/>
      <c r="O377" s="556"/>
      <c r="P377" s="556"/>
      <c r="Q377" s="556"/>
      <c r="R377" s="596"/>
      <c r="S377" s="596"/>
      <c r="T377" s="556"/>
      <c r="U377" s="556"/>
      <c r="V377" s="807"/>
      <c r="W377" s="556"/>
      <c r="X377" s="556"/>
      <c r="Y377" s="556"/>
      <c r="Z377" s="579"/>
      <c r="AA377" s="556"/>
      <c r="AB377" s="556"/>
      <c r="AC377" s="556"/>
      <c r="AD377" s="556"/>
    </row>
    <row r="378" ht="24.75" customHeight="1">
      <c r="A378" s="556"/>
      <c r="B378" s="808">
        <v>45189.0</v>
      </c>
      <c r="C378" s="805">
        <f>220000+220000+220000+220000</f>
        <v>880000</v>
      </c>
      <c r="D378" s="805">
        <f>832952</f>
        <v>832952</v>
      </c>
      <c r="E378" s="805">
        <f>M145+M134+M133+M131</f>
        <v>47048</v>
      </c>
      <c r="F378" s="109">
        <f t="shared" si="96"/>
        <v>0</v>
      </c>
      <c r="G378" s="556"/>
      <c r="H378" s="556"/>
      <c r="I378" s="556"/>
      <c r="J378" s="556"/>
      <c r="K378" s="556"/>
      <c r="L378" s="556"/>
      <c r="M378" s="556"/>
      <c r="N378" s="556"/>
      <c r="O378" s="556"/>
      <c r="P378" s="556"/>
      <c r="Q378" s="556"/>
      <c r="R378" s="596"/>
      <c r="S378" s="596"/>
      <c r="T378" s="556"/>
      <c r="U378" s="556"/>
      <c r="V378" s="807"/>
      <c r="W378" s="556"/>
      <c r="X378" s="556"/>
      <c r="Y378" s="556"/>
      <c r="Z378" s="579"/>
      <c r="AA378" s="556"/>
      <c r="AB378" s="556"/>
      <c r="AC378" s="556"/>
      <c r="AD378" s="556"/>
    </row>
    <row r="379" ht="24.75" customHeight="1">
      <c r="A379" s="556"/>
      <c r="B379" s="808">
        <v>45190.0</v>
      </c>
      <c r="C379" s="805">
        <f>220000+220000+220000+440000</f>
        <v>1100000</v>
      </c>
      <c r="D379" s="805">
        <f>1024099</f>
        <v>1024099</v>
      </c>
      <c r="E379" s="805">
        <f>M146+M147+M160+M161</f>
        <v>75901</v>
      </c>
      <c r="F379" s="109">
        <f t="shared" si="96"/>
        <v>0</v>
      </c>
      <c r="G379" s="556"/>
      <c r="H379" s="556"/>
      <c r="I379" s="556"/>
      <c r="J379" s="556"/>
      <c r="K379" s="556"/>
      <c r="L379" s="556"/>
      <c r="M379" s="556"/>
      <c r="N379" s="556"/>
      <c r="O379" s="556"/>
      <c r="P379" s="556"/>
      <c r="Q379" s="556"/>
      <c r="R379" s="596"/>
      <c r="S379" s="596"/>
      <c r="T379" s="556"/>
      <c r="U379" s="556"/>
      <c r="V379" s="807"/>
      <c r="W379" s="556"/>
      <c r="X379" s="556"/>
      <c r="Y379" s="556"/>
      <c r="Z379" s="579"/>
      <c r="AA379" s="556"/>
      <c r="AB379" s="556"/>
      <c r="AC379" s="556"/>
      <c r="AD379" s="556"/>
    </row>
    <row r="380" ht="24.75" customHeight="1">
      <c r="A380" s="556"/>
      <c r="B380" s="808">
        <v>45192.0</v>
      </c>
      <c r="C380" s="805">
        <f>440000+440000</f>
        <v>880000</v>
      </c>
      <c r="D380" s="805">
        <f>836744</f>
        <v>836744</v>
      </c>
      <c r="E380" s="805">
        <f>M164+M172</f>
        <v>43256</v>
      </c>
      <c r="F380" s="109">
        <f t="shared" si="96"/>
        <v>0</v>
      </c>
      <c r="G380" s="556"/>
      <c r="H380" s="556"/>
      <c r="I380" s="556"/>
      <c r="J380" s="556"/>
      <c r="K380" s="556"/>
      <c r="L380" s="556"/>
      <c r="M380" s="556"/>
      <c r="N380" s="556"/>
      <c r="O380" s="556"/>
      <c r="P380" s="556"/>
      <c r="Q380" s="556"/>
      <c r="R380" s="596"/>
      <c r="S380" s="596"/>
      <c r="T380" s="556"/>
      <c r="U380" s="556"/>
      <c r="V380" s="807"/>
      <c r="W380" s="556"/>
      <c r="X380" s="556"/>
      <c r="Y380" s="556"/>
      <c r="Z380" s="579"/>
      <c r="AA380" s="556"/>
      <c r="AB380" s="556"/>
      <c r="AC380" s="556"/>
      <c r="AD380" s="556"/>
    </row>
    <row r="381" ht="24.75" customHeight="1">
      <c r="A381" s="556"/>
      <c r="B381" s="808">
        <v>45194.0</v>
      </c>
      <c r="C381" s="805">
        <f>440000+440000+220000+1100000</f>
        <v>2200000</v>
      </c>
      <c r="D381" s="805">
        <f>2071565</f>
        <v>2071565</v>
      </c>
      <c r="E381" s="805">
        <f>M162+M185+M186+M188</f>
        <v>128435</v>
      </c>
      <c r="F381" s="109">
        <f t="shared" si="96"/>
        <v>0</v>
      </c>
      <c r="G381" s="556"/>
      <c r="H381" s="556"/>
      <c r="I381" s="556"/>
      <c r="J381" s="556"/>
      <c r="K381" s="556"/>
      <c r="L381" s="556"/>
      <c r="M381" s="556"/>
      <c r="N381" s="556"/>
      <c r="O381" s="556"/>
      <c r="P381" s="556"/>
      <c r="Q381" s="556"/>
      <c r="R381" s="596"/>
      <c r="S381" s="596"/>
      <c r="T381" s="556"/>
      <c r="U381" s="556"/>
      <c r="V381" s="807"/>
      <c r="W381" s="556"/>
      <c r="X381" s="556"/>
      <c r="Y381" s="556"/>
      <c r="Z381" s="579"/>
      <c r="AA381" s="556"/>
      <c r="AB381" s="556"/>
      <c r="AC381" s="556"/>
      <c r="AD381" s="556"/>
    </row>
    <row r="382" ht="24.75" customHeight="1">
      <c r="A382" s="556"/>
      <c r="B382" s="808"/>
      <c r="C382" s="805"/>
      <c r="D382" s="805"/>
      <c r="E382" s="805"/>
      <c r="F382" s="809">
        <f>sum(F367:F381)</f>
        <v>-7136</v>
      </c>
      <c r="G382" s="556"/>
      <c r="H382" s="556"/>
      <c r="I382" s="556"/>
      <c r="J382" s="556"/>
      <c r="K382" s="556"/>
      <c r="L382" s="556"/>
      <c r="M382" s="556"/>
      <c r="N382" s="556"/>
      <c r="O382" s="556"/>
      <c r="P382" s="556"/>
      <c r="Q382" s="556"/>
      <c r="R382" s="596"/>
      <c r="S382" s="596"/>
      <c r="T382" s="556"/>
      <c r="U382" s="556"/>
      <c r="V382" s="807"/>
      <c r="W382" s="556"/>
      <c r="X382" s="556"/>
      <c r="Y382" s="556"/>
      <c r="Z382" s="579"/>
      <c r="AA382" s="556"/>
      <c r="AB382" s="556"/>
      <c r="AC382" s="556"/>
      <c r="AD382" s="556"/>
    </row>
    <row r="383" ht="15.75" customHeight="1">
      <c r="A383" s="556"/>
      <c r="B383" s="556"/>
      <c r="C383" s="596"/>
      <c r="D383" s="556"/>
      <c r="E383" s="596"/>
      <c r="F383" s="556"/>
      <c r="G383" s="556"/>
      <c r="H383" s="556"/>
      <c r="I383" s="556"/>
      <c r="J383" s="556"/>
      <c r="K383" s="556"/>
      <c r="L383" s="556"/>
      <c r="M383" s="556"/>
      <c r="N383" s="556"/>
      <c r="O383" s="556"/>
      <c r="P383" s="556"/>
      <c r="Q383" s="556"/>
      <c r="R383" s="596"/>
      <c r="S383" s="596"/>
      <c r="T383" s="556"/>
      <c r="U383" s="556"/>
      <c r="V383" s="807"/>
      <c r="W383" s="556"/>
      <c r="X383" s="556"/>
      <c r="Y383" s="556"/>
      <c r="Z383" s="579"/>
      <c r="AA383" s="556"/>
      <c r="AB383" s="556"/>
      <c r="AC383" s="556"/>
      <c r="AD383" s="556"/>
    </row>
    <row r="384" ht="15.75" customHeight="1">
      <c r="A384" s="556"/>
      <c r="B384" s="556"/>
      <c r="C384" s="596"/>
      <c r="D384" s="556"/>
      <c r="E384" s="596"/>
      <c r="F384" s="556"/>
      <c r="G384" s="556"/>
      <c r="H384" s="556"/>
      <c r="I384" s="556"/>
      <c r="J384" s="556"/>
      <c r="K384" s="556"/>
      <c r="L384" s="556"/>
      <c r="M384" s="556"/>
      <c r="N384" s="556"/>
      <c r="O384" s="556"/>
      <c r="P384" s="556"/>
      <c r="Q384" s="556"/>
      <c r="R384" s="596"/>
      <c r="S384" s="596"/>
      <c r="T384" s="556"/>
      <c r="U384" s="556"/>
      <c r="V384" s="807"/>
      <c r="W384" s="556"/>
      <c r="X384" s="556"/>
      <c r="Y384" s="556"/>
      <c r="Z384" s="579"/>
      <c r="AA384" s="556"/>
      <c r="AB384" s="556"/>
      <c r="AC384" s="556"/>
      <c r="AD384" s="556"/>
    </row>
    <row r="385" ht="15.75" customHeight="1">
      <c r="A385" s="556"/>
      <c r="B385" s="556"/>
      <c r="C385" s="596"/>
      <c r="D385" s="556"/>
      <c r="E385" s="596"/>
      <c r="F385" s="556"/>
      <c r="G385" s="556"/>
      <c r="H385" s="556"/>
      <c r="I385" s="556"/>
      <c r="J385" s="556"/>
      <c r="K385" s="556"/>
      <c r="L385" s="556"/>
      <c r="M385" s="556"/>
      <c r="N385" s="556"/>
      <c r="O385" s="556"/>
      <c r="P385" s="556"/>
      <c r="Q385" s="556"/>
      <c r="R385" s="596"/>
      <c r="S385" s="596"/>
      <c r="T385" s="556"/>
      <c r="U385" s="556"/>
      <c r="V385" s="807"/>
      <c r="W385" s="556"/>
      <c r="X385" s="556"/>
      <c r="Y385" s="556"/>
      <c r="Z385" s="579"/>
      <c r="AA385" s="556"/>
      <c r="AB385" s="556"/>
      <c r="AC385" s="556"/>
      <c r="AD385" s="556"/>
    </row>
    <row r="386" ht="15.75" customHeight="1">
      <c r="A386" s="556"/>
      <c r="B386" s="556"/>
      <c r="C386" s="596"/>
      <c r="D386" s="556"/>
      <c r="E386" s="596"/>
      <c r="F386" s="556"/>
      <c r="G386" s="556"/>
      <c r="H386" s="556"/>
      <c r="I386" s="556"/>
      <c r="J386" s="556"/>
      <c r="K386" s="556"/>
      <c r="L386" s="556"/>
      <c r="M386" s="556"/>
      <c r="N386" s="556"/>
      <c r="O386" s="556"/>
      <c r="P386" s="556"/>
      <c r="Q386" s="556"/>
      <c r="R386" s="596"/>
      <c r="S386" s="596"/>
      <c r="T386" s="556"/>
      <c r="U386" s="556"/>
      <c r="V386" s="807"/>
      <c r="W386" s="556"/>
      <c r="X386" s="556"/>
      <c r="Y386" s="556"/>
      <c r="Z386" s="579"/>
      <c r="AA386" s="556"/>
      <c r="AB386" s="556"/>
      <c r="AC386" s="556"/>
      <c r="AD386" s="556"/>
    </row>
    <row r="387" ht="15.75" customHeight="1">
      <c r="A387" s="556"/>
      <c r="B387" s="556"/>
      <c r="C387" s="596"/>
      <c r="D387" s="556"/>
      <c r="E387" s="596"/>
      <c r="F387" s="556"/>
      <c r="G387" s="556"/>
      <c r="H387" s="556"/>
      <c r="I387" s="556"/>
      <c r="J387" s="556"/>
      <c r="K387" s="556"/>
      <c r="L387" s="556"/>
      <c r="M387" s="556"/>
      <c r="N387" s="556"/>
      <c r="O387" s="556"/>
      <c r="P387" s="556"/>
      <c r="Q387" s="556"/>
      <c r="R387" s="596"/>
      <c r="S387" s="596"/>
      <c r="T387" s="556"/>
      <c r="U387" s="556"/>
      <c r="V387" s="807"/>
      <c r="W387" s="556"/>
      <c r="X387" s="556"/>
      <c r="Y387" s="556"/>
      <c r="Z387" s="579"/>
      <c r="AA387" s="556"/>
      <c r="AB387" s="556"/>
      <c r="AC387" s="556"/>
      <c r="AD387" s="556"/>
    </row>
    <row r="388" ht="15.75" customHeight="1">
      <c r="A388" s="556"/>
      <c r="B388" s="556"/>
      <c r="C388" s="596"/>
      <c r="D388" s="556"/>
      <c r="E388" s="596"/>
      <c r="F388" s="556"/>
      <c r="G388" s="556"/>
      <c r="H388" s="556"/>
      <c r="I388" s="556"/>
      <c r="J388" s="556"/>
      <c r="K388" s="556"/>
      <c r="L388" s="556"/>
      <c r="M388" s="556"/>
      <c r="N388" s="556"/>
      <c r="O388" s="556"/>
      <c r="P388" s="556"/>
      <c r="Q388" s="556"/>
      <c r="R388" s="596"/>
      <c r="S388" s="596"/>
      <c r="T388" s="556"/>
      <c r="U388" s="556"/>
      <c r="V388" s="807"/>
      <c r="W388" s="556"/>
      <c r="X388" s="556"/>
      <c r="Y388" s="556"/>
      <c r="Z388" s="579"/>
      <c r="AA388" s="556"/>
      <c r="AB388" s="556"/>
      <c r="AC388" s="556"/>
      <c r="AD388" s="556"/>
    </row>
    <row r="389" ht="15.75" customHeight="1">
      <c r="A389" s="556"/>
      <c r="B389" s="556"/>
      <c r="C389" s="596"/>
      <c r="D389" s="556"/>
      <c r="E389" s="596"/>
      <c r="F389" s="556"/>
      <c r="G389" s="556"/>
      <c r="H389" s="556"/>
      <c r="I389" s="556"/>
      <c r="J389" s="556"/>
      <c r="K389" s="556"/>
      <c r="L389" s="556"/>
      <c r="M389" s="556"/>
      <c r="N389" s="556"/>
      <c r="O389" s="556"/>
      <c r="P389" s="556"/>
      <c r="Q389" s="556"/>
      <c r="R389" s="596"/>
      <c r="S389" s="596"/>
      <c r="T389" s="556"/>
      <c r="U389" s="556"/>
      <c r="V389" s="807"/>
      <c r="W389" s="556"/>
      <c r="X389" s="556"/>
      <c r="Y389" s="556"/>
      <c r="Z389" s="579"/>
      <c r="AA389" s="556"/>
      <c r="AB389" s="556"/>
      <c r="AC389" s="556"/>
      <c r="AD389" s="556"/>
    </row>
    <row r="390" ht="15.75" customHeight="1">
      <c r="A390" s="556"/>
      <c r="B390" s="556"/>
      <c r="C390" s="596"/>
      <c r="D390" s="556"/>
      <c r="E390" s="596"/>
      <c r="F390" s="556"/>
      <c r="G390" s="556"/>
      <c r="H390" s="556"/>
      <c r="I390" s="556"/>
      <c r="J390" s="556"/>
      <c r="K390" s="556"/>
      <c r="L390" s="556"/>
      <c r="M390" s="556"/>
      <c r="N390" s="556"/>
      <c r="O390" s="556"/>
      <c r="P390" s="556"/>
      <c r="Q390" s="556"/>
      <c r="R390" s="596"/>
      <c r="S390" s="596"/>
      <c r="T390" s="556"/>
      <c r="U390" s="556"/>
      <c r="V390" s="807"/>
      <c r="W390" s="556"/>
      <c r="X390" s="556"/>
      <c r="Y390" s="556"/>
      <c r="Z390" s="579"/>
      <c r="AA390" s="556"/>
      <c r="AB390" s="556"/>
      <c r="AC390" s="556"/>
      <c r="AD390" s="556"/>
    </row>
    <row r="391" ht="15.75" customHeight="1">
      <c r="A391" s="556"/>
      <c r="B391" s="556"/>
      <c r="C391" s="596"/>
      <c r="D391" s="556"/>
      <c r="E391" s="596"/>
      <c r="F391" s="556"/>
      <c r="G391" s="556"/>
      <c r="H391" s="556"/>
      <c r="I391" s="556"/>
      <c r="J391" s="556"/>
      <c r="K391" s="556"/>
      <c r="L391" s="556"/>
      <c r="M391" s="556"/>
      <c r="N391" s="556"/>
      <c r="O391" s="556"/>
      <c r="P391" s="556"/>
      <c r="Q391" s="556"/>
      <c r="R391" s="596"/>
      <c r="S391" s="596"/>
      <c r="T391" s="556"/>
      <c r="U391" s="556"/>
      <c r="V391" s="807"/>
      <c r="W391" s="556"/>
      <c r="X391" s="556"/>
      <c r="Y391" s="556"/>
      <c r="Z391" s="579"/>
      <c r="AA391" s="556"/>
      <c r="AB391" s="556"/>
      <c r="AC391" s="556"/>
      <c r="AD391" s="556"/>
    </row>
    <row r="392" ht="15.75" customHeight="1">
      <c r="A392" s="556"/>
      <c r="B392" s="556"/>
      <c r="C392" s="596"/>
      <c r="D392" s="556"/>
      <c r="E392" s="596"/>
      <c r="F392" s="556"/>
      <c r="G392" s="556"/>
      <c r="H392" s="556"/>
      <c r="I392" s="556"/>
      <c r="J392" s="556"/>
      <c r="K392" s="556"/>
      <c r="L392" s="556"/>
      <c r="M392" s="556"/>
      <c r="N392" s="556"/>
      <c r="O392" s="556"/>
      <c r="P392" s="556"/>
      <c r="Q392" s="556"/>
      <c r="R392" s="596"/>
      <c r="S392" s="596"/>
      <c r="T392" s="556"/>
      <c r="U392" s="556"/>
      <c r="V392" s="807"/>
      <c r="W392" s="556"/>
      <c r="X392" s="556"/>
      <c r="Y392" s="556"/>
      <c r="Z392" s="579"/>
      <c r="AA392" s="556"/>
      <c r="AB392" s="556"/>
      <c r="AC392" s="556"/>
      <c r="AD392" s="556"/>
    </row>
    <row r="393" ht="15.75" customHeight="1">
      <c r="A393" s="556"/>
      <c r="B393" s="556"/>
      <c r="C393" s="596"/>
      <c r="D393" s="556"/>
      <c r="E393" s="596"/>
      <c r="F393" s="556"/>
      <c r="G393" s="556"/>
      <c r="H393" s="556"/>
      <c r="I393" s="556"/>
      <c r="J393" s="556"/>
      <c r="K393" s="556"/>
      <c r="L393" s="556"/>
      <c r="M393" s="556"/>
      <c r="N393" s="556"/>
      <c r="O393" s="556"/>
      <c r="P393" s="556"/>
      <c r="Q393" s="556"/>
      <c r="R393" s="596"/>
      <c r="S393" s="596"/>
      <c r="T393" s="556"/>
      <c r="U393" s="556"/>
      <c r="V393" s="807"/>
      <c r="W393" s="556"/>
      <c r="X393" s="556"/>
      <c r="Y393" s="556"/>
      <c r="Z393" s="579"/>
      <c r="AA393" s="556"/>
      <c r="AB393" s="556"/>
      <c r="AC393" s="556"/>
      <c r="AD393" s="556"/>
    </row>
    <row r="394" ht="15.75" customHeight="1">
      <c r="A394" s="556"/>
      <c r="B394" s="556"/>
      <c r="C394" s="596"/>
      <c r="D394" s="556"/>
      <c r="E394" s="596"/>
      <c r="F394" s="556"/>
      <c r="G394" s="556"/>
      <c r="H394" s="556"/>
      <c r="I394" s="556"/>
      <c r="J394" s="556"/>
      <c r="K394" s="556"/>
      <c r="L394" s="556"/>
      <c r="M394" s="556"/>
      <c r="N394" s="556"/>
      <c r="O394" s="556"/>
      <c r="P394" s="556"/>
      <c r="Q394" s="556"/>
      <c r="R394" s="596"/>
      <c r="S394" s="596"/>
      <c r="T394" s="556"/>
      <c r="U394" s="556"/>
      <c r="V394" s="807"/>
      <c r="W394" s="556"/>
      <c r="X394" s="556"/>
      <c r="Y394" s="556"/>
      <c r="Z394" s="579"/>
      <c r="AA394" s="556"/>
      <c r="AB394" s="556"/>
      <c r="AC394" s="556"/>
      <c r="AD394" s="556"/>
    </row>
    <row r="395" ht="15.75" customHeight="1">
      <c r="A395" s="556"/>
      <c r="B395" s="556"/>
      <c r="C395" s="596"/>
      <c r="D395" s="556"/>
      <c r="E395" s="596"/>
      <c r="F395" s="556"/>
      <c r="G395" s="556"/>
      <c r="H395" s="556"/>
      <c r="I395" s="556"/>
      <c r="J395" s="556"/>
      <c r="K395" s="556"/>
      <c r="L395" s="556"/>
      <c r="M395" s="556"/>
      <c r="N395" s="556"/>
      <c r="O395" s="556"/>
      <c r="P395" s="556"/>
      <c r="Q395" s="556"/>
      <c r="R395" s="596"/>
      <c r="S395" s="596"/>
      <c r="T395" s="556"/>
      <c r="U395" s="556"/>
      <c r="V395" s="807"/>
      <c r="W395" s="556"/>
      <c r="X395" s="556"/>
      <c r="Y395" s="556"/>
      <c r="Z395" s="579"/>
      <c r="AA395" s="556"/>
      <c r="AB395" s="556"/>
      <c r="AC395" s="556"/>
      <c r="AD395" s="556"/>
    </row>
    <row r="396" ht="15.75" customHeight="1">
      <c r="A396" s="556"/>
      <c r="B396" s="556"/>
      <c r="C396" s="596"/>
      <c r="D396" s="556"/>
      <c r="E396" s="596"/>
      <c r="F396" s="556"/>
      <c r="G396" s="556"/>
      <c r="H396" s="556"/>
      <c r="I396" s="556"/>
      <c r="J396" s="556"/>
      <c r="K396" s="556"/>
      <c r="L396" s="556"/>
      <c r="M396" s="556"/>
      <c r="N396" s="556"/>
      <c r="O396" s="556"/>
      <c r="P396" s="556"/>
      <c r="Q396" s="556"/>
      <c r="R396" s="596"/>
      <c r="S396" s="596"/>
      <c r="T396" s="556"/>
      <c r="U396" s="556"/>
      <c r="V396" s="807"/>
      <c r="W396" s="556"/>
      <c r="X396" s="556"/>
      <c r="Y396" s="556"/>
      <c r="Z396" s="579"/>
      <c r="AA396" s="556"/>
      <c r="AB396" s="556"/>
      <c r="AC396" s="556"/>
      <c r="AD396" s="556"/>
    </row>
    <row r="397" ht="15.75" customHeight="1">
      <c r="A397" s="556"/>
      <c r="B397" s="556"/>
      <c r="C397" s="596"/>
      <c r="D397" s="556"/>
      <c r="E397" s="596"/>
      <c r="F397" s="556"/>
      <c r="G397" s="556"/>
      <c r="H397" s="556"/>
      <c r="I397" s="556"/>
      <c r="J397" s="556"/>
      <c r="K397" s="556"/>
      <c r="L397" s="556"/>
      <c r="M397" s="556"/>
      <c r="N397" s="556"/>
      <c r="O397" s="556"/>
      <c r="P397" s="556"/>
      <c r="Q397" s="556"/>
      <c r="R397" s="596"/>
      <c r="S397" s="596"/>
      <c r="T397" s="556"/>
      <c r="U397" s="556"/>
      <c r="V397" s="807"/>
      <c r="W397" s="556"/>
      <c r="X397" s="556"/>
      <c r="Y397" s="556"/>
      <c r="Z397" s="579"/>
      <c r="AA397" s="556"/>
      <c r="AB397" s="556"/>
      <c r="AC397" s="556"/>
      <c r="AD397" s="556"/>
    </row>
    <row r="398" ht="15.75" customHeight="1">
      <c r="A398" s="556"/>
      <c r="B398" s="556"/>
      <c r="C398" s="596"/>
      <c r="D398" s="556"/>
      <c r="E398" s="596"/>
      <c r="F398" s="556"/>
      <c r="G398" s="556"/>
      <c r="H398" s="556"/>
      <c r="I398" s="556"/>
      <c r="J398" s="556"/>
      <c r="K398" s="556"/>
      <c r="L398" s="556"/>
      <c r="M398" s="556"/>
      <c r="N398" s="556"/>
      <c r="O398" s="556"/>
      <c r="P398" s="556"/>
      <c r="Q398" s="556"/>
      <c r="R398" s="596"/>
      <c r="S398" s="596"/>
      <c r="T398" s="556"/>
      <c r="U398" s="556"/>
      <c r="V398" s="807"/>
      <c r="W398" s="556"/>
      <c r="X398" s="556"/>
      <c r="Y398" s="556"/>
      <c r="Z398" s="579"/>
      <c r="AA398" s="556"/>
      <c r="AB398" s="556"/>
      <c r="AC398" s="556"/>
      <c r="AD398" s="556"/>
    </row>
    <row r="399" ht="15.75" customHeight="1">
      <c r="A399" s="556"/>
      <c r="B399" s="556"/>
      <c r="C399" s="596"/>
      <c r="D399" s="556"/>
      <c r="E399" s="596"/>
      <c r="F399" s="556"/>
      <c r="G399" s="556"/>
      <c r="H399" s="556"/>
      <c r="I399" s="556"/>
      <c r="J399" s="556"/>
      <c r="K399" s="556"/>
      <c r="L399" s="556"/>
      <c r="M399" s="556"/>
      <c r="N399" s="556"/>
      <c r="O399" s="556"/>
      <c r="P399" s="556"/>
      <c r="Q399" s="556"/>
      <c r="R399" s="596"/>
      <c r="S399" s="596"/>
      <c r="T399" s="556"/>
      <c r="U399" s="556"/>
      <c r="V399" s="807"/>
      <c r="W399" s="556"/>
      <c r="X399" s="556"/>
      <c r="Y399" s="556"/>
      <c r="Z399" s="579"/>
      <c r="AA399" s="556"/>
      <c r="AB399" s="556"/>
      <c r="AC399" s="556"/>
      <c r="AD399" s="556"/>
    </row>
    <row r="400" ht="15.75" customHeight="1">
      <c r="A400" s="556"/>
      <c r="B400" s="556"/>
      <c r="C400" s="596"/>
      <c r="D400" s="556"/>
      <c r="E400" s="596"/>
      <c r="F400" s="556"/>
      <c r="G400" s="556"/>
      <c r="H400" s="556"/>
      <c r="I400" s="556"/>
      <c r="J400" s="556"/>
      <c r="K400" s="556"/>
      <c r="L400" s="556"/>
      <c r="M400" s="556"/>
      <c r="N400" s="556"/>
      <c r="O400" s="556"/>
      <c r="P400" s="556"/>
      <c r="Q400" s="556"/>
      <c r="R400" s="596"/>
      <c r="S400" s="596"/>
      <c r="T400" s="556"/>
      <c r="U400" s="556"/>
      <c r="V400" s="807"/>
      <c r="W400" s="556"/>
      <c r="X400" s="556"/>
      <c r="Y400" s="556"/>
      <c r="Z400" s="579"/>
      <c r="AA400" s="556"/>
      <c r="AB400" s="556"/>
      <c r="AC400" s="556"/>
      <c r="AD400" s="556"/>
    </row>
    <row r="401" ht="15.75" customHeight="1">
      <c r="A401" s="556"/>
      <c r="B401" s="556"/>
      <c r="C401" s="596"/>
      <c r="D401" s="556"/>
      <c r="E401" s="596"/>
      <c r="F401" s="556"/>
      <c r="G401" s="556"/>
      <c r="H401" s="556"/>
      <c r="I401" s="556"/>
      <c r="J401" s="556"/>
      <c r="K401" s="556"/>
      <c r="L401" s="556"/>
      <c r="M401" s="556"/>
      <c r="N401" s="556"/>
      <c r="O401" s="556"/>
      <c r="P401" s="556"/>
      <c r="Q401" s="556"/>
      <c r="R401" s="596"/>
      <c r="S401" s="596"/>
      <c r="T401" s="556"/>
      <c r="U401" s="556"/>
      <c r="V401" s="807"/>
      <c r="W401" s="556"/>
      <c r="X401" s="556"/>
      <c r="Y401" s="556"/>
      <c r="Z401" s="579"/>
      <c r="AA401" s="556"/>
      <c r="AB401" s="556"/>
      <c r="AC401" s="556"/>
      <c r="AD401" s="556"/>
    </row>
    <row r="402" ht="15.75" customHeight="1">
      <c r="A402" s="556"/>
      <c r="B402" s="556"/>
      <c r="C402" s="596"/>
      <c r="D402" s="556"/>
      <c r="E402" s="596"/>
      <c r="F402" s="556"/>
      <c r="G402" s="556"/>
      <c r="H402" s="556"/>
      <c r="I402" s="556"/>
      <c r="J402" s="556"/>
      <c r="K402" s="556"/>
      <c r="L402" s="556"/>
      <c r="M402" s="556"/>
      <c r="N402" s="556"/>
      <c r="O402" s="556"/>
      <c r="P402" s="556"/>
      <c r="Q402" s="556"/>
      <c r="R402" s="596"/>
      <c r="S402" s="596"/>
      <c r="T402" s="556"/>
      <c r="U402" s="556"/>
      <c r="V402" s="807"/>
      <c r="W402" s="556"/>
      <c r="X402" s="556"/>
      <c r="Y402" s="556"/>
      <c r="Z402" s="579"/>
      <c r="AA402" s="556"/>
      <c r="AB402" s="556"/>
      <c r="AC402" s="556"/>
      <c r="AD402" s="556"/>
    </row>
    <row r="403" ht="15.75" customHeight="1">
      <c r="A403" s="556"/>
      <c r="B403" s="556"/>
      <c r="C403" s="596"/>
      <c r="D403" s="556"/>
      <c r="E403" s="596"/>
      <c r="F403" s="556"/>
      <c r="G403" s="556"/>
      <c r="H403" s="556"/>
      <c r="I403" s="556"/>
      <c r="J403" s="556"/>
      <c r="K403" s="556"/>
      <c r="L403" s="556"/>
      <c r="M403" s="556"/>
      <c r="N403" s="556"/>
      <c r="O403" s="556"/>
      <c r="P403" s="556"/>
      <c r="Q403" s="556"/>
      <c r="R403" s="596"/>
      <c r="S403" s="596"/>
      <c r="T403" s="556"/>
      <c r="U403" s="556"/>
      <c r="V403" s="807"/>
      <c r="W403" s="556"/>
      <c r="X403" s="556"/>
      <c r="Y403" s="556"/>
      <c r="Z403" s="579"/>
      <c r="AA403" s="556"/>
      <c r="AB403" s="556"/>
      <c r="AC403" s="556"/>
      <c r="AD403" s="556"/>
    </row>
    <row r="404" ht="15.75" customHeight="1">
      <c r="A404" s="556"/>
      <c r="B404" s="556"/>
      <c r="C404" s="596"/>
      <c r="D404" s="556"/>
      <c r="E404" s="596"/>
      <c r="F404" s="556"/>
      <c r="G404" s="556"/>
      <c r="H404" s="556"/>
      <c r="I404" s="556"/>
      <c r="J404" s="556"/>
      <c r="K404" s="556"/>
      <c r="L404" s="556"/>
      <c r="M404" s="556"/>
      <c r="N404" s="556"/>
      <c r="O404" s="556"/>
      <c r="P404" s="556"/>
      <c r="Q404" s="556"/>
      <c r="R404" s="596"/>
      <c r="S404" s="596"/>
      <c r="T404" s="556"/>
      <c r="U404" s="556"/>
      <c r="V404" s="807"/>
      <c r="W404" s="556"/>
      <c r="X404" s="556"/>
      <c r="Y404" s="556"/>
      <c r="Z404" s="579"/>
      <c r="AA404" s="556"/>
      <c r="AB404" s="556"/>
      <c r="AC404" s="556"/>
      <c r="AD404" s="556"/>
    </row>
    <row r="405" ht="15.75" customHeight="1">
      <c r="A405" s="556"/>
      <c r="B405" s="556"/>
      <c r="C405" s="596"/>
      <c r="D405" s="556"/>
      <c r="E405" s="596"/>
      <c r="F405" s="556"/>
      <c r="G405" s="556"/>
      <c r="H405" s="556"/>
      <c r="I405" s="556"/>
      <c r="J405" s="556"/>
      <c r="K405" s="556"/>
      <c r="L405" s="556"/>
      <c r="M405" s="556"/>
      <c r="N405" s="556"/>
      <c r="O405" s="556"/>
      <c r="P405" s="556"/>
      <c r="Q405" s="556"/>
      <c r="R405" s="596"/>
      <c r="S405" s="596"/>
      <c r="T405" s="556"/>
      <c r="U405" s="556"/>
      <c r="V405" s="807"/>
      <c r="W405" s="556"/>
      <c r="X405" s="556"/>
      <c r="Y405" s="556"/>
      <c r="Z405" s="579"/>
      <c r="AA405" s="556"/>
      <c r="AB405" s="556"/>
      <c r="AC405" s="556"/>
      <c r="AD405" s="556"/>
    </row>
    <row r="406" ht="15.75" customHeight="1">
      <c r="A406" s="556"/>
      <c r="B406" s="556"/>
      <c r="C406" s="596"/>
      <c r="D406" s="556"/>
      <c r="E406" s="596"/>
      <c r="F406" s="556"/>
      <c r="G406" s="556"/>
      <c r="H406" s="556"/>
      <c r="I406" s="556"/>
      <c r="J406" s="556"/>
      <c r="K406" s="556"/>
      <c r="L406" s="556"/>
      <c r="M406" s="556"/>
      <c r="N406" s="556"/>
      <c r="O406" s="556"/>
      <c r="P406" s="556"/>
      <c r="Q406" s="556"/>
      <c r="R406" s="596"/>
      <c r="S406" s="596"/>
      <c r="T406" s="556"/>
      <c r="U406" s="556"/>
      <c r="V406" s="807"/>
      <c r="W406" s="556"/>
      <c r="X406" s="556"/>
      <c r="Y406" s="556"/>
      <c r="Z406" s="579"/>
      <c r="AA406" s="556"/>
      <c r="AB406" s="556"/>
      <c r="AC406" s="556"/>
      <c r="AD406" s="556"/>
    </row>
    <row r="407" ht="15.75" customHeight="1">
      <c r="A407" s="556"/>
      <c r="B407" s="556"/>
      <c r="C407" s="596"/>
      <c r="D407" s="556"/>
      <c r="E407" s="596"/>
      <c r="F407" s="556"/>
      <c r="G407" s="556"/>
      <c r="H407" s="556"/>
      <c r="I407" s="556"/>
      <c r="J407" s="556"/>
      <c r="K407" s="556"/>
      <c r="L407" s="556"/>
      <c r="M407" s="556"/>
      <c r="N407" s="556"/>
      <c r="O407" s="556"/>
      <c r="P407" s="556"/>
      <c r="Q407" s="556"/>
      <c r="R407" s="596"/>
      <c r="S407" s="596"/>
      <c r="T407" s="556"/>
      <c r="U407" s="556"/>
      <c r="V407" s="807"/>
      <c r="W407" s="556"/>
      <c r="X407" s="556"/>
      <c r="Y407" s="556"/>
      <c r="Z407" s="579"/>
      <c r="AA407" s="556"/>
      <c r="AB407" s="556"/>
      <c r="AC407" s="556"/>
      <c r="AD407" s="556"/>
    </row>
    <row r="408" ht="15.75" customHeight="1">
      <c r="A408" s="556"/>
      <c r="B408" s="556"/>
      <c r="C408" s="596"/>
      <c r="D408" s="556"/>
      <c r="E408" s="596"/>
      <c r="F408" s="556"/>
      <c r="G408" s="556"/>
      <c r="H408" s="556"/>
      <c r="I408" s="556"/>
      <c r="J408" s="810"/>
      <c r="K408" s="556"/>
      <c r="L408" s="556"/>
      <c r="M408" s="556"/>
      <c r="N408" s="556"/>
      <c r="O408" s="556"/>
      <c r="P408" s="556"/>
      <c r="Q408" s="556"/>
      <c r="R408" s="596"/>
      <c r="S408" s="596"/>
      <c r="T408" s="556"/>
      <c r="U408" s="556"/>
      <c r="V408" s="807"/>
      <c r="W408" s="556"/>
      <c r="X408" s="556"/>
      <c r="Y408" s="556"/>
      <c r="Z408" s="579"/>
      <c r="AA408" s="556"/>
      <c r="AB408" s="556"/>
      <c r="AC408" s="556"/>
      <c r="AD408" s="556"/>
    </row>
    <row r="409" ht="15.75" customHeight="1">
      <c r="A409" s="556"/>
      <c r="B409" s="556"/>
      <c r="C409" s="596"/>
      <c r="D409" s="556"/>
      <c r="E409" s="596"/>
      <c r="F409" s="556"/>
      <c r="G409" s="556"/>
      <c r="H409" s="556"/>
      <c r="I409" s="556"/>
      <c r="J409" s="556"/>
      <c r="K409" s="556"/>
      <c r="L409" s="556"/>
      <c r="M409" s="556"/>
      <c r="N409" s="556"/>
      <c r="O409" s="556"/>
      <c r="P409" s="556"/>
      <c r="Q409" s="556"/>
      <c r="R409" s="596"/>
      <c r="S409" s="596"/>
      <c r="T409" s="556"/>
      <c r="U409" s="556"/>
      <c r="V409" s="807"/>
      <c r="W409" s="556"/>
      <c r="X409" s="556"/>
      <c r="Y409" s="556"/>
      <c r="Z409" s="579"/>
      <c r="AA409" s="556"/>
      <c r="AB409" s="556"/>
      <c r="AC409" s="556"/>
      <c r="AD409" s="556"/>
    </row>
    <row r="410" ht="15.75" customHeight="1">
      <c r="A410" s="556"/>
      <c r="B410" s="556"/>
      <c r="C410" s="596"/>
      <c r="D410" s="556"/>
      <c r="E410" s="596"/>
      <c r="F410" s="556"/>
      <c r="G410" s="556"/>
      <c r="H410" s="556"/>
      <c r="I410" s="556"/>
      <c r="J410" s="556"/>
      <c r="K410" s="556"/>
      <c r="L410" s="556"/>
      <c r="M410" s="556"/>
      <c r="N410" s="556"/>
      <c r="O410" s="556"/>
      <c r="P410" s="556"/>
      <c r="Q410" s="556"/>
      <c r="R410" s="596"/>
      <c r="S410" s="596"/>
      <c r="T410" s="556"/>
      <c r="U410" s="556"/>
      <c r="V410" s="807"/>
      <c r="W410" s="556"/>
      <c r="X410" s="556"/>
      <c r="Y410" s="556"/>
      <c r="Z410" s="579"/>
      <c r="AA410" s="556"/>
      <c r="AB410" s="556"/>
      <c r="AC410" s="556"/>
      <c r="AD410" s="556"/>
    </row>
    <row r="411" ht="15.75" customHeight="1">
      <c r="A411" s="556"/>
      <c r="B411" s="556"/>
      <c r="C411" s="596"/>
      <c r="D411" s="556"/>
      <c r="E411" s="596"/>
      <c r="F411" s="556"/>
      <c r="G411" s="556"/>
      <c r="H411" s="556"/>
      <c r="I411" s="556"/>
      <c r="J411" s="556"/>
      <c r="K411" s="556"/>
      <c r="L411" s="556"/>
      <c r="M411" s="556"/>
      <c r="N411" s="556"/>
      <c r="O411" s="556"/>
      <c r="P411" s="556"/>
      <c r="Q411" s="556"/>
      <c r="R411" s="596"/>
      <c r="S411" s="596"/>
      <c r="T411" s="556"/>
      <c r="U411" s="556"/>
      <c r="V411" s="807"/>
      <c r="W411" s="556"/>
      <c r="X411" s="556"/>
      <c r="Y411" s="556"/>
      <c r="Z411" s="579"/>
      <c r="AA411" s="556"/>
      <c r="AB411" s="556"/>
      <c r="AC411" s="556"/>
      <c r="AD411" s="556"/>
    </row>
    <row r="412" ht="15.75" customHeight="1">
      <c r="A412" s="556"/>
      <c r="B412" s="556"/>
      <c r="C412" s="596"/>
      <c r="D412" s="556"/>
      <c r="E412" s="596"/>
      <c r="F412" s="556"/>
      <c r="G412" s="556"/>
      <c r="H412" s="556"/>
      <c r="I412" s="556"/>
      <c r="J412" s="556"/>
      <c r="K412" s="556"/>
      <c r="L412" s="556"/>
      <c r="M412" s="556"/>
      <c r="N412" s="556"/>
      <c r="O412" s="556"/>
      <c r="P412" s="556"/>
      <c r="Q412" s="556"/>
      <c r="R412" s="596"/>
      <c r="S412" s="596"/>
      <c r="T412" s="556"/>
      <c r="U412" s="556"/>
      <c r="V412" s="807"/>
      <c r="W412" s="556"/>
      <c r="X412" s="556"/>
      <c r="Y412" s="556"/>
      <c r="Z412" s="579"/>
      <c r="AA412" s="556"/>
      <c r="AB412" s="556"/>
      <c r="AC412" s="556"/>
      <c r="AD412" s="556"/>
    </row>
    <row r="413" ht="15.75" customHeight="1">
      <c r="A413" s="556"/>
      <c r="B413" s="556"/>
      <c r="C413" s="596"/>
      <c r="D413" s="556"/>
      <c r="E413" s="596"/>
      <c r="F413" s="556"/>
      <c r="G413" s="556"/>
      <c r="H413" s="556"/>
      <c r="I413" s="556"/>
      <c r="J413" s="556"/>
      <c r="K413" s="556"/>
      <c r="L413" s="556"/>
      <c r="M413" s="556"/>
      <c r="N413" s="556"/>
      <c r="O413" s="556"/>
      <c r="P413" s="556"/>
      <c r="Q413" s="556"/>
      <c r="R413" s="596"/>
      <c r="S413" s="596"/>
      <c r="T413" s="556"/>
      <c r="U413" s="556"/>
      <c r="V413" s="807"/>
      <c r="W413" s="556"/>
      <c r="X413" s="556"/>
      <c r="Y413" s="556"/>
      <c r="Z413" s="579"/>
      <c r="AA413" s="556"/>
      <c r="AB413" s="556"/>
      <c r="AC413" s="556"/>
      <c r="AD413" s="556"/>
    </row>
    <row r="414" ht="15.75" customHeight="1">
      <c r="A414" s="556"/>
      <c r="B414" s="556"/>
      <c r="C414" s="596"/>
      <c r="D414" s="556"/>
      <c r="E414" s="596"/>
      <c r="F414" s="556"/>
      <c r="G414" s="556"/>
      <c r="H414" s="556"/>
      <c r="I414" s="556"/>
      <c r="J414" s="556"/>
      <c r="K414" s="556"/>
      <c r="L414" s="556"/>
      <c r="M414" s="556"/>
      <c r="N414" s="556"/>
      <c r="O414" s="556"/>
      <c r="P414" s="556"/>
      <c r="Q414" s="556"/>
      <c r="R414" s="596"/>
      <c r="S414" s="596"/>
      <c r="T414" s="556"/>
      <c r="U414" s="556"/>
      <c r="V414" s="807"/>
      <c r="W414" s="556"/>
      <c r="X414" s="556"/>
      <c r="Y414" s="556"/>
      <c r="Z414" s="579"/>
      <c r="AA414" s="556"/>
      <c r="AB414" s="556"/>
      <c r="AC414" s="556"/>
      <c r="AD414" s="556"/>
    </row>
    <row r="415" ht="15.75" customHeight="1">
      <c r="A415" s="556"/>
      <c r="B415" s="556"/>
      <c r="C415" s="596"/>
      <c r="D415" s="556"/>
      <c r="E415" s="596"/>
      <c r="F415" s="556"/>
      <c r="G415" s="556"/>
      <c r="H415" s="556"/>
      <c r="I415" s="556"/>
      <c r="J415" s="556"/>
      <c r="K415" s="556"/>
      <c r="L415" s="556"/>
      <c r="M415" s="556"/>
      <c r="N415" s="556"/>
      <c r="O415" s="556"/>
      <c r="P415" s="556"/>
      <c r="Q415" s="556"/>
      <c r="R415" s="596"/>
      <c r="S415" s="596"/>
      <c r="T415" s="556"/>
      <c r="U415" s="556"/>
      <c r="V415" s="807"/>
      <c r="W415" s="556"/>
      <c r="X415" s="556"/>
      <c r="Y415" s="556"/>
      <c r="Z415" s="579"/>
      <c r="AA415" s="556"/>
      <c r="AB415" s="556"/>
      <c r="AC415" s="556"/>
      <c r="AD415" s="556"/>
    </row>
    <row r="416" ht="15.75" customHeight="1">
      <c r="A416" s="556"/>
      <c r="B416" s="556"/>
      <c r="C416" s="596"/>
      <c r="D416" s="556"/>
      <c r="E416" s="596"/>
      <c r="F416" s="556"/>
      <c r="G416" s="556"/>
      <c r="H416" s="556"/>
      <c r="I416" s="556"/>
      <c r="J416" s="556"/>
      <c r="K416" s="556"/>
      <c r="L416" s="556"/>
      <c r="M416" s="556"/>
      <c r="N416" s="556"/>
      <c r="O416" s="556"/>
      <c r="P416" s="556"/>
      <c r="Q416" s="556"/>
      <c r="R416" s="596"/>
      <c r="S416" s="596"/>
      <c r="T416" s="556"/>
      <c r="U416" s="556"/>
      <c r="V416" s="807"/>
      <c r="W416" s="556"/>
      <c r="X416" s="556"/>
      <c r="Y416" s="556"/>
      <c r="Z416" s="579"/>
      <c r="AA416" s="556"/>
      <c r="AB416" s="556"/>
      <c r="AC416" s="556"/>
      <c r="AD416" s="556"/>
    </row>
    <row r="417" ht="15.75" customHeight="1">
      <c r="A417" s="556"/>
      <c r="B417" s="556"/>
      <c r="C417" s="596"/>
      <c r="D417" s="556"/>
      <c r="E417" s="596"/>
      <c r="F417" s="556"/>
      <c r="G417" s="556"/>
      <c r="H417" s="556"/>
      <c r="I417" s="556"/>
      <c r="J417" s="556"/>
      <c r="K417" s="556"/>
      <c r="L417" s="556"/>
      <c r="M417" s="556"/>
      <c r="N417" s="556"/>
      <c r="O417" s="556"/>
      <c r="P417" s="556"/>
      <c r="Q417" s="556"/>
      <c r="R417" s="596"/>
      <c r="S417" s="596"/>
      <c r="T417" s="556"/>
      <c r="U417" s="556"/>
      <c r="V417" s="807"/>
      <c r="W417" s="556"/>
      <c r="X417" s="556"/>
      <c r="Y417" s="556"/>
      <c r="Z417" s="579"/>
      <c r="AA417" s="556"/>
      <c r="AB417" s="556"/>
      <c r="AC417" s="556"/>
      <c r="AD417" s="556"/>
    </row>
    <row r="418" ht="15.75" customHeight="1">
      <c r="A418" s="556"/>
      <c r="B418" s="556"/>
      <c r="C418" s="596"/>
      <c r="D418" s="556"/>
      <c r="E418" s="596"/>
      <c r="F418" s="556"/>
      <c r="G418" s="556"/>
      <c r="H418" s="556"/>
      <c r="I418" s="556"/>
      <c r="J418" s="556"/>
      <c r="K418" s="556"/>
      <c r="L418" s="556"/>
      <c r="M418" s="556"/>
      <c r="N418" s="556"/>
      <c r="O418" s="556"/>
      <c r="P418" s="556"/>
      <c r="Q418" s="556"/>
      <c r="R418" s="596"/>
      <c r="S418" s="596"/>
      <c r="T418" s="556"/>
      <c r="U418" s="556"/>
      <c r="V418" s="807"/>
      <c r="W418" s="556"/>
      <c r="X418" s="556"/>
      <c r="Y418" s="556"/>
      <c r="Z418" s="579"/>
      <c r="AA418" s="556"/>
      <c r="AB418" s="556"/>
      <c r="AC418" s="556"/>
      <c r="AD418" s="556"/>
    </row>
    <row r="419" ht="15.75" customHeight="1">
      <c r="A419" s="556"/>
      <c r="B419" s="556"/>
      <c r="C419" s="596"/>
      <c r="D419" s="556"/>
      <c r="E419" s="596"/>
      <c r="F419" s="556"/>
      <c r="G419" s="556"/>
      <c r="H419" s="556"/>
      <c r="I419" s="556"/>
      <c r="J419" s="556"/>
      <c r="K419" s="556"/>
      <c r="L419" s="556"/>
      <c r="M419" s="556"/>
      <c r="N419" s="556"/>
      <c r="O419" s="556"/>
      <c r="P419" s="556"/>
      <c r="Q419" s="556"/>
      <c r="R419" s="596"/>
      <c r="S419" s="596"/>
      <c r="T419" s="556"/>
      <c r="U419" s="556"/>
      <c r="V419" s="807"/>
      <c r="W419" s="556"/>
      <c r="X419" s="556"/>
      <c r="Y419" s="556"/>
      <c r="Z419" s="579"/>
      <c r="AA419" s="556"/>
      <c r="AB419" s="556"/>
      <c r="AC419" s="556"/>
      <c r="AD419" s="556"/>
    </row>
    <row r="420" ht="15.75" customHeight="1">
      <c r="A420" s="556"/>
      <c r="B420" s="556"/>
      <c r="C420" s="596"/>
      <c r="D420" s="556"/>
      <c r="E420" s="596"/>
      <c r="F420" s="556"/>
      <c r="G420" s="556"/>
      <c r="H420" s="556"/>
      <c r="I420" s="556"/>
      <c r="J420" s="556"/>
      <c r="K420" s="556"/>
      <c r="L420" s="556"/>
      <c r="M420" s="556"/>
      <c r="N420" s="556"/>
      <c r="O420" s="556"/>
      <c r="P420" s="556"/>
      <c r="Q420" s="556"/>
      <c r="R420" s="596"/>
      <c r="S420" s="596"/>
      <c r="T420" s="556"/>
      <c r="U420" s="556"/>
      <c r="V420" s="807"/>
      <c r="W420" s="556"/>
      <c r="X420" s="556"/>
      <c r="Y420" s="556"/>
      <c r="Z420" s="579"/>
      <c r="AA420" s="556"/>
      <c r="AB420" s="556"/>
      <c r="AC420" s="556"/>
      <c r="AD420" s="556"/>
    </row>
    <row r="421" ht="15.75" customHeight="1">
      <c r="A421" s="556"/>
      <c r="B421" s="556"/>
      <c r="C421" s="596"/>
      <c r="D421" s="556"/>
      <c r="E421" s="596"/>
      <c r="F421" s="556"/>
      <c r="G421" s="556"/>
      <c r="H421" s="556"/>
      <c r="I421" s="556"/>
      <c r="J421" s="556"/>
      <c r="K421" s="556"/>
      <c r="L421" s="556"/>
      <c r="M421" s="556"/>
      <c r="N421" s="556"/>
      <c r="O421" s="556"/>
      <c r="P421" s="556"/>
      <c r="Q421" s="556"/>
      <c r="R421" s="596"/>
      <c r="S421" s="596"/>
      <c r="T421" s="556"/>
      <c r="U421" s="556"/>
      <c r="V421" s="807"/>
      <c r="W421" s="556"/>
      <c r="X421" s="556"/>
      <c r="Y421" s="556"/>
      <c r="Z421" s="579"/>
      <c r="AA421" s="556"/>
      <c r="AB421" s="556"/>
      <c r="AC421" s="556"/>
      <c r="AD421" s="556"/>
    </row>
    <row r="422" ht="15.75" customHeight="1">
      <c r="A422" s="556"/>
      <c r="B422" s="556"/>
      <c r="C422" s="596"/>
      <c r="D422" s="556"/>
      <c r="E422" s="596"/>
      <c r="F422" s="556"/>
      <c r="G422" s="556"/>
      <c r="H422" s="556"/>
      <c r="I422" s="556"/>
      <c r="J422" s="556"/>
      <c r="K422" s="556"/>
      <c r="L422" s="556"/>
      <c r="M422" s="556"/>
      <c r="N422" s="556"/>
      <c r="O422" s="556"/>
      <c r="P422" s="556"/>
      <c r="Q422" s="556"/>
      <c r="R422" s="596"/>
      <c r="S422" s="596"/>
      <c r="T422" s="556"/>
      <c r="U422" s="556"/>
      <c r="V422" s="807"/>
      <c r="W422" s="556"/>
      <c r="X422" s="556"/>
      <c r="Y422" s="556"/>
      <c r="Z422" s="579"/>
      <c r="AA422" s="556"/>
      <c r="AB422" s="556"/>
      <c r="AC422" s="556"/>
      <c r="AD422" s="556"/>
    </row>
    <row r="423" ht="15.75" customHeight="1">
      <c r="A423" s="556"/>
      <c r="B423" s="556"/>
      <c r="C423" s="596"/>
      <c r="D423" s="556"/>
      <c r="E423" s="596"/>
      <c r="F423" s="556"/>
      <c r="G423" s="556"/>
      <c r="H423" s="556"/>
      <c r="I423" s="556"/>
      <c r="J423" s="556"/>
      <c r="K423" s="556"/>
      <c r="L423" s="556"/>
      <c r="M423" s="556"/>
      <c r="N423" s="556"/>
      <c r="O423" s="556"/>
      <c r="P423" s="556"/>
      <c r="Q423" s="556"/>
      <c r="R423" s="596"/>
      <c r="S423" s="596"/>
      <c r="T423" s="556"/>
      <c r="U423" s="556"/>
      <c r="V423" s="807"/>
      <c r="W423" s="556"/>
      <c r="X423" s="556"/>
      <c r="Y423" s="556"/>
      <c r="Z423" s="579"/>
      <c r="AA423" s="556"/>
      <c r="AB423" s="556"/>
      <c r="AC423" s="556"/>
      <c r="AD423" s="556"/>
    </row>
    <row r="424" ht="15.75" customHeight="1">
      <c r="A424" s="556"/>
      <c r="B424" s="556"/>
      <c r="C424" s="596"/>
      <c r="D424" s="556"/>
      <c r="E424" s="596"/>
      <c r="F424" s="556"/>
      <c r="G424" s="556"/>
      <c r="H424" s="556"/>
      <c r="I424" s="556"/>
      <c r="J424" s="556"/>
      <c r="K424" s="556"/>
      <c r="L424" s="556"/>
      <c r="M424" s="556"/>
      <c r="N424" s="556"/>
      <c r="O424" s="556"/>
      <c r="P424" s="556"/>
      <c r="Q424" s="556"/>
      <c r="R424" s="596"/>
      <c r="S424" s="596"/>
      <c r="T424" s="556"/>
      <c r="U424" s="556"/>
      <c r="V424" s="807"/>
      <c r="W424" s="556"/>
      <c r="X424" s="556"/>
      <c r="Y424" s="556"/>
      <c r="Z424" s="579"/>
      <c r="AA424" s="556"/>
      <c r="AB424" s="556"/>
      <c r="AC424" s="556"/>
      <c r="AD424" s="556"/>
    </row>
    <row r="425" ht="15.75" customHeight="1">
      <c r="A425" s="556"/>
      <c r="B425" s="556"/>
      <c r="C425" s="596"/>
      <c r="D425" s="556"/>
      <c r="E425" s="596"/>
      <c r="F425" s="556"/>
      <c r="G425" s="556"/>
      <c r="H425" s="556"/>
      <c r="I425" s="556"/>
      <c r="J425" s="556"/>
      <c r="K425" s="556"/>
      <c r="L425" s="556"/>
      <c r="M425" s="556"/>
      <c r="N425" s="556"/>
      <c r="O425" s="556"/>
      <c r="P425" s="556"/>
      <c r="Q425" s="556"/>
      <c r="R425" s="596"/>
      <c r="S425" s="596"/>
      <c r="T425" s="556"/>
      <c r="U425" s="556"/>
      <c r="V425" s="807"/>
      <c r="W425" s="556"/>
      <c r="X425" s="556"/>
      <c r="Y425" s="556"/>
      <c r="Z425" s="579"/>
      <c r="AA425" s="556"/>
      <c r="AB425" s="556"/>
      <c r="AC425" s="556"/>
      <c r="AD425" s="556"/>
    </row>
    <row r="426" ht="15.75" customHeight="1">
      <c r="A426" s="556"/>
      <c r="B426" s="556"/>
      <c r="C426" s="596"/>
      <c r="D426" s="556"/>
      <c r="E426" s="596"/>
      <c r="F426" s="556"/>
      <c r="G426" s="556"/>
      <c r="H426" s="556"/>
      <c r="I426" s="556"/>
      <c r="J426" s="556"/>
      <c r="K426" s="556"/>
      <c r="L426" s="556"/>
      <c r="M426" s="556"/>
      <c r="N426" s="556"/>
      <c r="O426" s="556"/>
      <c r="P426" s="556"/>
      <c r="Q426" s="556"/>
      <c r="R426" s="596"/>
      <c r="S426" s="596"/>
      <c r="T426" s="556"/>
      <c r="U426" s="556"/>
      <c r="V426" s="807"/>
      <c r="W426" s="556"/>
      <c r="X426" s="556"/>
      <c r="Y426" s="556"/>
      <c r="Z426" s="579"/>
      <c r="AA426" s="556"/>
      <c r="AB426" s="556"/>
      <c r="AC426" s="556"/>
      <c r="AD426" s="556"/>
    </row>
    <row r="427" ht="15.75" customHeight="1">
      <c r="A427" s="556"/>
      <c r="B427" s="556"/>
      <c r="C427" s="596"/>
      <c r="D427" s="556"/>
      <c r="E427" s="596"/>
      <c r="F427" s="556"/>
      <c r="G427" s="556"/>
      <c r="H427" s="556"/>
      <c r="I427" s="556"/>
      <c r="J427" s="556"/>
      <c r="K427" s="556"/>
      <c r="L427" s="556"/>
      <c r="M427" s="556"/>
      <c r="N427" s="556"/>
      <c r="O427" s="556"/>
      <c r="P427" s="556"/>
      <c r="Q427" s="556"/>
      <c r="R427" s="596"/>
      <c r="S427" s="596"/>
      <c r="T427" s="556"/>
      <c r="U427" s="556"/>
      <c r="V427" s="807"/>
      <c r="W427" s="556"/>
      <c r="X427" s="556"/>
      <c r="Y427" s="556"/>
      <c r="Z427" s="579"/>
      <c r="AA427" s="556"/>
      <c r="AB427" s="556"/>
      <c r="AC427" s="556"/>
      <c r="AD427" s="556"/>
    </row>
    <row r="428" ht="15.75" customHeight="1">
      <c r="A428" s="556"/>
      <c r="B428" s="556"/>
      <c r="C428" s="596"/>
      <c r="D428" s="556"/>
      <c r="E428" s="596"/>
      <c r="F428" s="556"/>
      <c r="G428" s="556"/>
      <c r="H428" s="556"/>
      <c r="I428" s="556"/>
      <c r="J428" s="556"/>
      <c r="K428" s="556"/>
      <c r="L428" s="556"/>
      <c r="M428" s="556"/>
      <c r="N428" s="556"/>
      <c r="O428" s="556"/>
      <c r="P428" s="556"/>
      <c r="Q428" s="556"/>
      <c r="R428" s="596"/>
      <c r="S428" s="596"/>
      <c r="T428" s="556"/>
      <c r="U428" s="556"/>
      <c r="V428" s="807"/>
      <c r="W428" s="556"/>
      <c r="X428" s="556"/>
      <c r="Y428" s="556"/>
      <c r="Z428" s="579"/>
      <c r="AA428" s="556"/>
      <c r="AB428" s="556"/>
      <c r="AC428" s="556"/>
      <c r="AD428" s="556"/>
    </row>
    <row r="429" ht="15.75" customHeight="1">
      <c r="A429" s="556"/>
      <c r="B429" s="556"/>
      <c r="C429" s="596"/>
      <c r="D429" s="556"/>
      <c r="E429" s="596"/>
      <c r="F429" s="556"/>
      <c r="G429" s="556"/>
      <c r="H429" s="556"/>
      <c r="I429" s="556"/>
      <c r="J429" s="556"/>
      <c r="K429" s="556"/>
      <c r="L429" s="556"/>
      <c r="M429" s="556"/>
      <c r="N429" s="556"/>
      <c r="O429" s="556"/>
      <c r="P429" s="556"/>
      <c r="Q429" s="556"/>
      <c r="R429" s="596"/>
      <c r="S429" s="596"/>
      <c r="T429" s="556"/>
      <c r="U429" s="556"/>
      <c r="V429" s="807"/>
      <c r="W429" s="556"/>
      <c r="X429" s="556"/>
      <c r="Y429" s="556"/>
      <c r="Z429" s="579"/>
      <c r="AA429" s="556"/>
      <c r="AB429" s="556"/>
      <c r="AC429" s="556"/>
      <c r="AD429" s="556"/>
    </row>
    <row r="430" ht="15.75" customHeight="1">
      <c r="A430" s="556"/>
      <c r="B430" s="556"/>
      <c r="C430" s="596"/>
      <c r="D430" s="556"/>
      <c r="E430" s="596"/>
      <c r="F430" s="556"/>
      <c r="G430" s="556"/>
      <c r="H430" s="556"/>
      <c r="I430" s="556"/>
      <c r="J430" s="556"/>
      <c r="K430" s="556"/>
      <c r="L430" s="556"/>
      <c r="M430" s="556"/>
      <c r="N430" s="556"/>
      <c r="O430" s="556"/>
      <c r="P430" s="556"/>
      <c r="Q430" s="556"/>
      <c r="R430" s="596"/>
      <c r="S430" s="596"/>
      <c r="T430" s="556"/>
      <c r="U430" s="556"/>
      <c r="V430" s="807"/>
      <c r="W430" s="556"/>
      <c r="X430" s="556"/>
      <c r="Y430" s="556"/>
      <c r="Z430" s="579"/>
      <c r="AA430" s="556"/>
      <c r="AB430" s="556"/>
      <c r="AC430" s="556"/>
      <c r="AD430" s="556"/>
    </row>
    <row r="431" ht="15.75" customHeight="1">
      <c r="A431" s="556"/>
      <c r="B431" s="556"/>
      <c r="C431" s="596"/>
      <c r="D431" s="556"/>
      <c r="E431" s="596"/>
      <c r="F431" s="556"/>
      <c r="G431" s="556"/>
      <c r="H431" s="556"/>
      <c r="I431" s="556"/>
      <c r="J431" s="556"/>
      <c r="K431" s="556"/>
      <c r="L431" s="556"/>
      <c r="M431" s="556"/>
      <c r="N431" s="556"/>
      <c r="O431" s="556"/>
      <c r="P431" s="556"/>
      <c r="Q431" s="556"/>
      <c r="R431" s="596"/>
      <c r="S431" s="596"/>
      <c r="T431" s="556"/>
      <c r="U431" s="556"/>
      <c r="V431" s="807"/>
      <c r="W431" s="556"/>
      <c r="X431" s="556"/>
      <c r="Y431" s="556"/>
      <c r="Z431" s="579"/>
      <c r="AA431" s="556"/>
      <c r="AB431" s="556"/>
      <c r="AC431" s="556"/>
      <c r="AD431" s="556"/>
    </row>
    <row r="432" ht="15.75" customHeight="1">
      <c r="A432" s="556"/>
      <c r="B432" s="556"/>
      <c r="C432" s="596"/>
      <c r="D432" s="556"/>
      <c r="E432" s="596"/>
      <c r="F432" s="556"/>
      <c r="G432" s="556"/>
      <c r="H432" s="556"/>
      <c r="I432" s="556"/>
      <c r="J432" s="556"/>
      <c r="K432" s="556"/>
      <c r="L432" s="556"/>
      <c r="M432" s="556"/>
      <c r="N432" s="556"/>
      <c r="O432" s="556"/>
      <c r="P432" s="556"/>
      <c r="Q432" s="556"/>
      <c r="R432" s="596"/>
      <c r="S432" s="596"/>
      <c r="T432" s="556"/>
      <c r="U432" s="556"/>
      <c r="V432" s="807"/>
      <c r="W432" s="556"/>
      <c r="X432" s="556"/>
      <c r="Y432" s="556"/>
      <c r="Z432" s="579"/>
      <c r="AA432" s="556"/>
      <c r="AB432" s="556"/>
      <c r="AC432" s="556"/>
      <c r="AD432" s="556"/>
    </row>
    <row r="433" ht="15.75" customHeight="1">
      <c r="A433" s="556"/>
      <c r="B433" s="556"/>
      <c r="C433" s="596"/>
      <c r="D433" s="556"/>
      <c r="E433" s="596"/>
      <c r="F433" s="556"/>
      <c r="G433" s="556"/>
      <c r="H433" s="556"/>
      <c r="I433" s="556"/>
      <c r="J433" s="556"/>
      <c r="K433" s="556"/>
      <c r="L433" s="556"/>
      <c r="M433" s="556"/>
      <c r="N433" s="556"/>
      <c r="O433" s="556"/>
      <c r="P433" s="556"/>
      <c r="Q433" s="556"/>
      <c r="R433" s="596"/>
      <c r="S433" s="596"/>
      <c r="T433" s="556"/>
      <c r="U433" s="556"/>
      <c r="V433" s="807"/>
      <c r="W433" s="556"/>
      <c r="X433" s="556"/>
      <c r="Y433" s="556"/>
      <c r="Z433" s="579"/>
      <c r="AA433" s="556"/>
      <c r="AB433" s="556"/>
      <c r="AC433" s="556"/>
      <c r="AD433" s="556"/>
    </row>
    <row r="434" ht="15.75" customHeight="1">
      <c r="A434" s="556"/>
      <c r="B434" s="556"/>
      <c r="C434" s="596"/>
      <c r="D434" s="556"/>
      <c r="E434" s="596"/>
      <c r="F434" s="556"/>
      <c r="G434" s="556"/>
      <c r="H434" s="556"/>
      <c r="I434" s="556"/>
      <c r="J434" s="556"/>
      <c r="K434" s="556"/>
      <c r="L434" s="556"/>
      <c r="M434" s="556"/>
      <c r="N434" s="556"/>
      <c r="O434" s="556"/>
      <c r="P434" s="556"/>
      <c r="Q434" s="556"/>
      <c r="R434" s="596"/>
      <c r="S434" s="596"/>
      <c r="T434" s="556"/>
      <c r="U434" s="556"/>
      <c r="V434" s="807"/>
      <c r="W434" s="556"/>
      <c r="X434" s="556"/>
      <c r="Y434" s="556"/>
      <c r="Z434" s="579"/>
      <c r="AA434" s="556"/>
      <c r="AB434" s="556"/>
      <c r="AC434" s="556"/>
      <c r="AD434" s="556"/>
    </row>
    <row r="435" ht="15.75" customHeight="1">
      <c r="A435" s="556"/>
      <c r="B435" s="556"/>
      <c r="C435" s="596"/>
      <c r="D435" s="556"/>
      <c r="E435" s="596"/>
      <c r="F435" s="556"/>
      <c r="G435" s="556"/>
      <c r="H435" s="556"/>
      <c r="I435" s="556"/>
      <c r="J435" s="556"/>
      <c r="K435" s="556"/>
      <c r="L435" s="556"/>
      <c r="M435" s="556"/>
      <c r="N435" s="556"/>
      <c r="O435" s="556"/>
      <c r="P435" s="556"/>
      <c r="Q435" s="556"/>
      <c r="R435" s="596"/>
      <c r="S435" s="596"/>
      <c r="T435" s="556"/>
      <c r="U435" s="556"/>
      <c r="V435" s="807"/>
      <c r="W435" s="556"/>
      <c r="X435" s="556"/>
      <c r="Y435" s="556"/>
      <c r="Z435" s="579"/>
      <c r="AA435" s="556"/>
      <c r="AB435" s="556"/>
      <c r="AC435" s="556"/>
      <c r="AD435" s="556"/>
    </row>
    <row r="436" ht="15.75" customHeight="1">
      <c r="A436" s="556"/>
      <c r="B436" s="556"/>
      <c r="C436" s="596"/>
      <c r="D436" s="556"/>
      <c r="E436" s="596"/>
      <c r="F436" s="556"/>
      <c r="G436" s="556"/>
      <c r="H436" s="556"/>
      <c r="I436" s="556"/>
      <c r="J436" s="556"/>
      <c r="K436" s="556"/>
      <c r="L436" s="556"/>
      <c r="M436" s="556"/>
      <c r="N436" s="556"/>
      <c r="O436" s="556"/>
      <c r="P436" s="556"/>
      <c r="Q436" s="556"/>
      <c r="R436" s="596"/>
      <c r="S436" s="596"/>
      <c r="T436" s="556"/>
      <c r="U436" s="556"/>
      <c r="V436" s="807"/>
      <c r="W436" s="556"/>
      <c r="X436" s="556"/>
      <c r="Y436" s="556"/>
      <c r="Z436" s="579"/>
      <c r="AA436" s="556"/>
      <c r="AB436" s="556"/>
      <c r="AC436" s="556"/>
      <c r="AD436" s="556"/>
    </row>
    <row r="437" ht="15.75" customHeight="1">
      <c r="A437" s="556"/>
      <c r="B437" s="556"/>
      <c r="C437" s="596"/>
      <c r="D437" s="556"/>
      <c r="E437" s="596"/>
      <c r="F437" s="556"/>
      <c r="G437" s="556"/>
      <c r="H437" s="556"/>
      <c r="I437" s="556"/>
      <c r="J437" s="556"/>
      <c r="K437" s="556"/>
      <c r="L437" s="556"/>
      <c r="M437" s="556"/>
      <c r="N437" s="556"/>
      <c r="O437" s="556"/>
      <c r="P437" s="556"/>
      <c r="Q437" s="556"/>
      <c r="R437" s="596"/>
      <c r="S437" s="596"/>
      <c r="T437" s="556"/>
      <c r="U437" s="556"/>
      <c r="V437" s="807"/>
      <c r="W437" s="556"/>
      <c r="X437" s="556"/>
      <c r="Y437" s="556"/>
      <c r="Z437" s="579"/>
      <c r="AA437" s="556"/>
      <c r="AB437" s="556"/>
      <c r="AC437" s="556"/>
      <c r="AD437" s="556"/>
    </row>
    <row r="438" ht="15.75" customHeight="1">
      <c r="A438" s="556"/>
      <c r="B438" s="556"/>
      <c r="C438" s="596"/>
      <c r="D438" s="556"/>
      <c r="E438" s="596"/>
      <c r="F438" s="556"/>
      <c r="G438" s="556"/>
      <c r="H438" s="556"/>
      <c r="I438" s="556"/>
      <c r="J438" s="556"/>
      <c r="K438" s="556"/>
      <c r="L438" s="556"/>
      <c r="M438" s="556"/>
      <c r="N438" s="556"/>
      <c r="O438" s="556"/>
      <c r="P438" s="556"/>
      <c r="Q438" s="556"/>
      <c r="R438" s="596"/>
      <c r="S438" s="596"/>
      <c r="T438" s="556"/>
      <c r="U438" s="556"/>
      <c r="V438" s="807"/>
      <c r="W438" s="556"/>
      <c r="X438" s="556"/>
      <c r="Y438" s="556"/>
      <c r="Z438" s="579"/>
      <c r="AA438" s="556"/>
      <c r="AB438" s="556"/>
      <c r="AC438" s="556"/>
      <c r="AD438" s="556"/>
    </row>
    <row r="439" ht="15.75" customHeight="1">
      <c r="A439" s="556"/>
      <c r="B439" s="556"/>
      <c r="C439" s="596"/>
      <c r="D439" s="556"/>
      <c r="E439" s="596"/>
      <c r="F439" s="556"/>
      <c r="G439" s="556"/>
      <c r="H439" s="556"/>
      <c r="I439" s="556"/>
      <c r="J439" s="556"/>
      <c r="K439" s="556"/>
      <c r="L439" s="556"/>
      <c r="M439" s="556"/>
      <c r="N439" s="556"/>
      <c r="O439" s="556"/>
      <c r="P439" s="556"/>
      <c r="Q439" s="556"/>
      <c r="R439" s="596"/>
      <c r="S439" s="596"/>
      <c r="T439" s="556"/>
      <c r="U439" s="556"/>
      <c r="V439" s="807"/>
      <c r="W439" s="556"/>
      <c r="X439" s="556"/>
      <c r="Y439" s="556"/>
      <c r="Z439" s="579"/>
      <c r="AA439" s="556"/>
      <c r="AB439" s="556"/>
      <c r="AC439" s="556"/>
      <c r="AD439" s="556"/>
    </row>
    <row r="440" ht="15.75" customHeight="1">
      <c r="A440" s="556"/>
      <c r="B440" s="556"/>
      <c r="C440" s="596"/>
      <c r="D440" s="556"/>
      <c r="E440" s="596"/>
      <c r="F440" s="556"/>
      <c r="G440" s="556"/>
      <c r="H440" s="556"/>
      <c r="I440" s="556"/>
      <c r="J440" s="556"/>
      <c r="K440" s="556"/>
      <c r="L440" s="556"/>
      <c r="M440" s="556"/>
      <c r="N440" s="556"/>
      <c r="O440" s="556"/>
      <c r="P440" s="556"/>
      <c r="Q440" s="556"/>
      <c r="R440" s="596"/>
      <c r="S440" s="596"/>
      <c r="T440" s="556"/>
      <c r="U440" s="556"/>
      <c r="V440" s="807"/>
      <c r="W440" s="556"/>
      <c r="X440" s="556"/>
      <c r="Y440" s="556"/>
      <c r="Z440" s="579"/>
      <c r="AA440" s="556"/>
      <c r="AB440" s="556"/>
      <c r="AC440" s="556"/>
      <c r="AD440" s="556"/>
    </row>
    <row r="441" ht="15.75" customHeight="1">
      <c r="A441" s="556"/>
      <c r="B441" s="556"/>
      <c r="C441" s="596"/>
      <c r="D441" s="556"/>
      <c r="E441" s="596"/>
      <c r="F441" s="556"/>
      <c r="G441" s="556"/>
      <c r="H441" s="556"/>
      <c r="I441" s="556"/>
      <c r="J441" s="556"/>
      <c r="K441" s="556"/>
      <c r="L441" s="556"/>
      <c r="M441" s="556"/>
      <c r="N441" s="556"/>
      <c r="O441" s="556"/>
      <c r="P441" s="556"/>
      <c r="Q441" s="556"/>
      <c r="R441" s="596"/>
      <c r="S441" s="596"/>
      <c r="T441" s="556"/>
      <c r="U441" s="556"/>
      <c r="V441" s="807"/>
      <c r="W441" s="556"/>
      <c r="X441" s="556"/>
      <c r="Y441" s="556"/>
      <c r="Z441" s="579"/>
      <c r="AA441" s="556"/>
      <c r="AB441" s="556"/>
      <c r="AC441" s="556"/>
      <c r="AD441" s="556"/>
    </row>
    <row r="442" ht="15.75" customHeight="1">
      <c r="A442" s="556"/>
      <c r="B442" s="556"/>
      <c r="C442" s="596"/>
      <c r="D442" s="556"/>
      <c r="E442" s="596"/>
      <c r="F442" s="556"/>
      <c r="G442" s="556"/>
      <c r="H442" s="556"/>
      <c r="I442" s="556"/>
      <c r="J442" s="556"/>
      <c r="K442" s="556"/>
      <c r="L442" s="556"/>
      <c r="M442" s="556"/>
      <c r="N442" s="556"/>
      <c r="O442" s="556"/>
      <c r="P442" s="556"/>
      <c r="Q442" s="556"/>
      <c r="R442" s="596"/>
      <c r="S442" s="596"/>
      <c r="T442" s="556"/>
      <c r="U442" s="556"/>
      <c r="V442" s="807"/>
      <c r="W442" s="556"/>
      <c r="X442" s="556"/>
      <c r="Y442" s="556"/>
      <c r="Z442" s="579"/>
      <c r="AA442" s="556"/>
      <c r="AB442" s="556"/>
      <c r="AC442" s="556"/>
      <c r="AD442" s="556"/>
    </row>
    <row r="443" ht="15.75" customHeight="1">
      <c r="A443" s="556"/>
      <c r="B443" s="556"/>
      <c r="C443" s="596"/>
      <c r="D443" s="556"/>
      <c r="E443" s="596"/>
      <c r="F443" s="556"/>
      <c r="G443" s="556"/>
      <c r="H443" s="556"/>
      <c r="I443" s="556"/>
      <c r="J443" s="556"/>
      <c r="K443" s="556"/>
      <c r="L443" s="556"/>
      <c r="M443" s="556"/>
      <c r="N443" s="556"/>
      <c r="O443" s="556"/>
      <c r="P443" s="556"/>
      <c r="Q443" s="556"/>
      <c r="R443" s="596"/>
      <c r="S443" s="596"/>
      <c r="T443" s="556"/>
      <c r="U443" s="556"/>
      <c r="V443" s="807"/>
      <c r="W443" s="556"/>
      <c r="X443" s="556"/>
      <c r="Y443" s="556"/>
      <c r="Z443" s="579"/>
      <c r="AA443" s="556"/>
      <c r="AB443" s="556"/>
      <c r="AC443" s="556"/>
      <c r="AD443" s="556"/>
    </row>
    <row r="444" ht="15.75" customHeight="1">
      <c r="A444" s="556"/>
      <c r="B444" s="556"/>
      <c r="C444" s="596"/>
      <c r="D444" s="556"/>
      <c r="E444" s="596"/>
      <c r="F444" s="556"/>
      <c r="G444" s="556"/>
      <c r="H444" s="556"/>
      <c r="I444" s="556"/>
      <c r="J444" s="556"/>
      <c r="K444" s="556"/>
      <c r="L444" s="556"/>
      <c r="M444" s="556"/>
      <c r="N444" s="556"/>
      <c r="O444" s="556"/>
      <c r="P444" s="556"/>
      <c r="Q444" s="556"/>
      <c r="R444" s="596"/>
      <c r="S444" s="596"/>
      <c r="T444" s="556"/>
      <c r="U444" s="556"/>
      <c r="V444" s="807"/>
      <c r="W444" s="556"/>
      <c r="X444" s="556"/>
      <c r="Y444" s="556"/>
      <c r="Z444" s="579"/>
      <c r="AA444" s="556"/>
      <c r="AB444" s="556"/>
      <c r="AC444" s="556"/>
      <c r="AD444" s="556"/>
    </row>
    <row r="445" ht="15.75" customHeight="1">
      <c r="A445" s="556"/>
      <c r="B445" s="556"/>
      <c r="C445" s="596"/>
      <c r="D445" s="556"/>
      <c r="E445" s="596"/>
      <c r="F445" s="556"/>
      <c r="G445" s="556"/>
      <c r="H445" s="556"/>
      <c r="I445" s="556"/>
      <c r="J445" s="556"/>
      <c r="K445" s="556"/>
      <c r="L445" s="556"/>
      <c r="M445" s="556"/>
      <c r="N445" s="556"/>
      <c r="O445" s="556"/>
      <c r="P445" s="556"/>
      <c r="Q445" s="556"/>
      <c r="R445" s="596"/>
      <c r="S445" s="596"/>
      <c r="T445" s="556"/>
      <c r="U445" s="556"/>
      <c r="V445" s="807"/>
      <c r="W445" s="556"/>
      <c r="X445" s="556"/>
      <c r="Y445" s="556"/>
      <c r="Z445" s="579"/>
      <c r="AA445" s="556"/>
      <c r="AB445" s="556"/>
      <c r="AC445" s="556"/>
      <c r="AD445" s="556"/>
    </row>
    <row r="446" ht="15.75" customHeight="1">
      <c r="A446" s="556"/>
      <c r="B446" s="556"/>
      <c r="C446" s="596"/>
      <c r="D446" s="556"/>
      <c r="E446" s="596"/>
      <c r="F446" s="556"/>
      <c r="G446" s="556"/>
      <c r="H446" s="556"/>
      <c r="I446" s="556"/>
      <c r="J446" s="556"/>
      <c r="K446" s="556"/>
      <c r="L446" s="556"/>
      <c r="M446" s="556"/>
      <c r="N446" s="556"/>
      <c r="O446" s="556"/>
      <c r="P446" s="556"/>
      <c r="Q446" s="556"/>
      <c r="R446" s="596"/>
      <c r="S446" s="596"/>
      <c r="T446" s="556"/>
      <c r="U446" s="556"/>
      <c r="V446" s="807"/>
      <c r="W446" s="556"/>
      <c r="X446" s="556"/>
      <c r="Y446" s="556"/>
      <c r="Z446" s="579"/>
      <c r="AA446" s="556"/>
      <c r="AB446" s="556"/>
      <c r="AC446" s="556"/>
      <c r="AD446" s="556"/>
    </row>
    <row r="447" ht="15.75" customHeight="1">
      <c r="A447" s="556"/>
      <c r="B447" s="556"/>
      <c r="C447" s="596"/>
      <c r="D447" s="556"/>
      <c r="E447" s="596"/>
      <c r="F447" s="556"/>
      <c r="G447" s="556"/>
      <c r="H447" s="556"/>
      <c r="I447" s="556"/>
      <c r="J447" s="556"/>
      <c r="K447" s="556"/>
      <c r="L447" s="556"/>
      <c r="M447" s="556"/>
      <c r="N447" s="556"/>
      <c r="O447" s="556"/>
      <c r="P447" s="556"/>
      <c r="Q447" s="556"/>
      <c r="R447" s="596"/>
      <c r="S447" s="596"/>
      <c r="T447" s="556"/>
      <c r="U447" s="556"/>
      <c r="V447" s="807"/>
      <c r="W447" s="556"/>
      <c r="X447" s="556"/>
      <c r="Y447" s="556"/>
      <c r="Z447" s="579"/>
      <c r="AA447" s="556"/>
      <c r="AB447" s="556"/>
      <c r="AC447" s="556"/>
      <c r="AD447" s="556"/>
    </row>
    <row r="448" ht="15.75" customHeight="1">
      <c r="A448" s="556"/>
      <c r="B448" s="556"/>
      <c r="C448" s="596"/>
      <c r="D448" s="556"/>
      <c r="E448" s="596"/>
      <c r="F448" s="556"/>
      <c r="G448" s="556"/>
      <c r="H448" s="556"/>
      <c r="I448" s="556"/>
      <c r="J448" s="556"/>
      <c r="K448" s="556"/>
      <c r="L448" s="556"/>
      <c r="M448" s="556"/>
      <c r="N448" s="556"/>
      <c r="O448" s="556"/>
      <c r="P448" s="556"/>
      <c r="Q448" s="556"/>
      <c r="R448" s="596"/>
      <c r="S448" s="596"/>
      <c r="T448" s="556"/>
      <c r="U448" s="556"/>
      <c r="V448" s="807"/>
      <c r="W448" s="556"/>
      <c r="X448" s="556"/>
      <c r="Y448" s="556"/>
      <c r="Z448" s="579"/>
      <c r="AA448" s="556"/>
      <c r="AB448" s="556"/>
      <c r="AC448" s="556"/>
      <c r="AD448" s="556"/>
    </row>
    <row r="449" ht="15.75" customHeight="1">
      <c r="A449" s="556"/>
      <c r="B449" s="556"/>
      <c r="C449" s="596"/>
      <c r="D449" s="556"/>
      <c r="E449" s="596"/>
      <c r="F449" s="556"/>
      <c r="G449" s="556"/>
      <c r="H449" s="556"/>
      <c r="I449" s="556"/>
      <c r="J449" s="556"/>
      <c r="K449" s="556"/>
      <c r="L449" s="556"/>
      <c r="M449" s="556"/>
      <c r="N449" s="556"/>
      <c r="O449" s="556"/>
      <c r="P449" s="556"/>
      <c r="Q449" s="556"/>
      <c r="R449" s="596"/>
      <c r="S449" s="596"/>
      <c r="T449" s="556"/>
      <c r="U449" s="556"/>
      <c r="V449" s="807"/>
      <c r="W449" s="556"/>
      <c r="X449" s="556"/>
      <c r="Y449" s="556"/>
      <c r="Z449" s="579"/>
      <c r="AA449" s="556"/>
      <c r="AB449" s="556"/>
      <c r="AC449" s="556"/>
      <c r="AD449" s="556"/>
    </row>
    <row r="450" ht="15.75" customHeight="1">
      <c r="A450" s="556"/>
      <c r="B450" s="556"/>
      <c r="C450" s="596"/>
      <c r="D450" s="556"/>
      <c r="E450" s="596"/>
      <c r="F450" s="556"/>
      <c r="G450" s="556"/>
      <c r="H450" s="556"/>
      <c r="I450" s="556"/>
      <c r="J450" s="556"/>
      <c r="K450" s="556"/>
      <c r="L450" s="556"/>
      <c r="M450" s="556"/>
      <c r="N450" s="556"/>
      <c r="O450" s="556"/>
      <c r="P450" s="556"/>
      <c r="Q450" s="556"/>
      <c r="R450" s="596"/>
      <c r="S450" s="596"/>
      <c r="T450" s="556"/>
      <c r="U450" s="556"/>
      <c r="V450" s="807"/>
      <c r="W450" s="556"/>
      <c r="X450" s="556"/>
      <c r="Y450" s="556"/>
      <c r="Z450" s="579"/>
      <c r="AA450" s="556"/>
      <c r="AB450" s="556"/>
      <c r="AC450" s="556"/>
      <c r="AD450" s="556"/>
    </row>
    <row r="451" ht="15.75" customHeight="1">
      <c r="A451" s="556"/>
      <c r="B451" s="556"/>
      <c r="C451" s="596"/>
      <c r="D451" s="556"/>
      <c r="E451" s="596"/>
      <c r="F451" s="556"/>
      <c r="G451" s="556"/>
      <c r="H451" s="556"/>
      <c r="I451" s="556"/>
      <c r="J451" s="556"/>
      <c r="K451" s="556"/>
      <c r="L451" s="556"/>
      <c r="M451" s="556"/>
      <c r="N451" s="556"/>
      <c r="O451" s="556"/>
      <c r="P451" s="556"/>
      <c r="Q451" s="556"/>
      <c r="R451" s="596"/>
      <c r="S451" s="596"/>
      <c r="T451" s="556"/>
      <c r="U451" s="556"/>
      <c r="V451" s="807"/>
      <c r="W451" s="556"/>
      <c r="X451" s="556"/>
      <c r="Y451" s="556"/>
      <c r="Z451" s="579"/>
      <c r="AA451" s="556"/>
      <c r="AB451" s="556"/>
      <c r="AC451" s="556"/>
      <c r="AD451" s="556"/>
    </row>
    <row r="452" ht="15.75" customHeight="1">
      <c r="A452" s="556"/>
      <c r="B452" s="556"/>
      <c r="C452" s="596"/>
      <c r="D452" s="556"/>
      <c r="E452" s="596"/>
      <c r="F452" s="556"/>
      <c r="G452" s="556"/>
      <c r="H452" s="556"/>
      <c r="I452" s="556"/>
      <c r="J452" s="556"/>
      <c r="K452" s="556"/>
      <c r="L452" s="556"/>
      <c r="M452" s="556"/>
      <c r="N452" s="556"/>
      <c r="O452" s="556"/>
      <c r="P452" s="556"/>
      <c r="Q452" s="556"/>
      <c r="R452" s="596"/>
      <c r="S452" s="596"/>
      <c r="T452" s="556"/>
      <c r="U452" s="556"/>
      <c r="V452" s="807"/>
      <c r="W452" s="556"/>
      <c r="X452" s="556"/>
      <c r="Y452" s="556"/>
      <c r="Z452" s="579"/>
      <c r="AA452" s="556"/>
      <c r="AB452" s="556"/>
      <c r="AC452" s="556"/>
      <c r="AD452" s="556"/>
    </row>
    <row r="453" ht="15.75" customHeight="1">
      <c r="A453" s="556"/>
      <c r="B453" s="556"/>
      <c r="C453" s="596"/>
      <c r="D453" s="556"/>
      <c r="E453" s="596"/>
      <c r="F453" s="556"/>
      <c r="G453" s="556"/>
      <c r="H453" s="556"/>
      <c r="I453" s="556"/>
      <c r="J453" s="556"/>
      <c r="K453" s="556"/>
      <c r="L453" s="556"/>
      <c r="M453" s="556"/>
      <c r="N453" s="556"/>
      <c r="O453" s="556"/>
      <c r="P453" s="556"/>
      <c r="Q453" s="556"/>
      <c r="R453" s="596"/>
      <c r="S453" s="596"/>
      <c r="T453" s="556"/>
      <c r="U453" s="556"/>
      <c r="V453" s="807"/>
      <c r="W453" s="556"/>
      <c r="X453" s="556"/>
      <c r="Y453" s="556"/>
      <c r="Z453" s="579"/>
      <c r="AA453" s="556"/>
      <c r="AB453" s="556"/>
      <c r="AC453" s="556"/>
      <c r="AD453" s="556"/>
    </row>
    <row r="454" ht="15.75" customHeight="1">
      <c r="A454" s="556"/>
      <c r="B454" s="556"/>
      <c r="C454" s="596"/>
      <c r="D454" s="556"/>
      <c r="E454" s="596"/>
      <c r="F454" s="556"/>
      <c r="G454" s="556"/>
      <c r="H454" s="556"/>
      <c r="I454" s="556"/>
      <c r="J454" s="556"/>
      <c r="K454" s="556"/>
      <c r="L454" s="556"/>
      <c r="M454" s="556"/>
      <c r="N454" s="556"/>
      <c r="O454" s="556"/>
      <c r="P454" s="556"/>
      <c r="Q454" s="556"/>
      <c r="R454" s="596"/>
      <c r="S454" s="596"/>
      <c r="T454" s="556"/>
      <c r="U454" s="556"/>
      <c r="V454" s="807"/>
      <c r="W454" s="556"/>
      <c r="X454" s="556"/>
      <c r="Y454" s="556"/>
      <c r="Z454" s="579"/>
      <c r="AA454" s="556"/>
      <c r="AB454" s="556"/>
      <c r="AC454" s="556"/>
      <c r="AD454" s="556"/>
    </row>
    <row r="455" ht="15.75" customHeight="1">
      <c r="A455" s="556"/>
      <c r="B455" s="556"/>
      <c r="C455" s="596"/>
      <c r="D455" s="556"/>
      <c r="E455" s="596"/>
      <c r="F455" s="556"/>
      <c r="G455" s="556"/>
      <c r="H455" s="556"/>
      <c r="I455" s="556"/>
      <c r="J455" s="556"/>
      <c r="K455" s="556"/>
      <c r="L455" s="556"/>
      <c r="M455" s="556"/>
      <c r="N455" s="556"/>
      <c r="O455" s="556"/>
      <c r="P455" s="556"/>
      <c r="Q455" s="556"/>
      <c r="R455" s="596"/>
      <c r="S455" s="596"/>
      <c r="T455" s="556"/>
      <c r="U455" s="556"/>
      <c r="V455" s="807"/>
      <c r="W455" s="556"/>
      <c r="X455" s="556"/>
      <c r="Y455" s="556"/>
      <c r="Z455" s="579"/>
      <c r="AA455" s="556"/>
      <c r="AB455" s="556"/>
      <c r="AC455" s="556"/>
      <c r="AD455" s="556"/>
    </row>
    <row r="456" ht="15.75" customHeight="1">
      <c r="A456" s="556"/>
      <c r="B456" s="556"/>
      <c r="C456" s="596"/>
      <c r="D456" s="556"/>
      <c r="E456" s="596"/>
      <c r="F456" s="556"/>
      <c r="G456" s="556"/>
      <c r="H456" s="556"/>
      <c r="I456" s="556"/>
      <c r="J456" s="556"/>
      <c r="K456" s="556"/>
      <c r="L456" s="556"/>
      <c r="M456" s="556"/>
      <c r="N456" s="556"/>
      <c r="O456" s="556"/>
      <c r="P456" s="556"/>
      <c r="Q456" s="556"/>
      <c r="R456" s="596"/>
      <c r="S456" s="596"/>
      <c r="T456" s="556"/>
      <c r="U456" s="556"/>
      <c r="V456" s="807"/>
      <c r="W456" s="556"/>
      <c r="X456" s="556"/>
      <c r="Y456" s="556"/>
      <c r="Z456" s="579"/>
      <c r="AA456" s="556"/>
      <c r="AB456" s="556"/>
      <c r="AC456" s="556"/>
      <c r="AD456" s="556"/>
    </row>
    <row r="457" ht="15.75" customHeight="1">
      <c r="A457" s="556"/>
      <c r="B457" s="556"/>
      <c r="C457" s="596"/>
      <c r="D457" s="556"/>
      <c r="E457" s="596"/>
      <c r="F457" s="556"/>
      <c r="G457" s="556"/>
      <c r="H457" s="556"/>
      <c r="I457" s="556"/>
      <c r="J457" s="556"/>
      <c r="K457" s="556"/>
      <c r="L457" s="556"/>
      <c r="M457" s="556"/>
      <c r="N457" s="556"/>
      <c r="O457" s="556"/>
      <c r="P457" s="556"/>
      <c r="Q457" s="556"/>
      <c r="R457" s="596"/>
      <c r="S457" s="596"/>
      <c r="T457" s="556"/>
      <c r="U457" s="556"/>
      <c r="V457" s="807"/>
      <c r="W457" s="556"/>
      <c r="X457" s="556"/>
      <c r="Y457" s="556"/>
      <c r="Z457" s="579"/>
      <c r="AA457" s="556"/>
      <c r="AB457" s="556"/>
      <c r="AC457" s="556"/>
      <c r="AD457" s="556"/>
    </row>
    <row r="458" ht="15.75" customHeight="1">
      <c r="A458" s="556"/>
      <c r="B458" s="556"/>
      <c r="C458" s="596"/>
      <c r="D458" s="556"/>
      <c r="E458" s="596"/>
      <c r="F458" s="556"/>
      <c r="G458" s="556"/>
      <c r="H458" s="556"/>
      <c r="I458" s="556"/>
      <c r="J458" s="556"/>
      <c r="K458" s="556"/>
      <c r="L458" s="556"/>
      <c r="M458" s="556"/>
      <c r="N458" s="556"/>
      <c r="O458" s="556"/>
      <c r="P458" s="556"/>
      <c r="Q458" s="556"/>
      <c r="R458" s="596"/>
      <c r="S458" s="596"/>
      <c r="T458" s="556"/>
      <c r="U458" s="556"/>
      <c r="V458" s="807"/>
      <c r="W458" s="556"/>
      <c r="X458" s="556"/>
      <c r="Y458" s="556"/>
      <c r="Z458" s="579"/>
      <c r="AA458" s="556"/>
      <c r="AB458" s="556"/>
      <c r="AC458" s="556"/>
      <c r="AD458" s="556"/>
    </row>
    <row r="459" ht="15.75" customHeight="1">
      <c r="A459" s="556"/>
      <c r="B459" s="556"/>
      <c r="C459" s="596"/>
      <c r="D459" s="556"/>
      <c r="E459" s="596"/>
      <c r="F459" s="556"/>
      <c r="G459" s="556"/>
      <c r="H459" s="556"/>
      <c r="I459" s="556"/>
      <c r="J459" s="556"/>
      <c r="K459" s="556"/>
      <c r="L459" s="556"/>
      <c r="M459" s="556"/>
      <c r="N459" s="556"/>
      <c r="O459" s="556"/>
      <c r="P459" s="556"/>
      <c r="Q459" s="556"/>
      <c r="R459" s="596"/>
      <c r="S459" s="596"/>
      <c r="T459" s="556"/>
      <c r="U459" s="556"/>
      <c r="V459" s="807"/>
      <c r="W459" s="556"/>
      <c r="X459" s="556"/>
      <c r="Y459" s="556"/>
      <c r="Z459" s="579"/>
      <c r="AA459" s="556"/>
      <c r="AB459" s="556"/>
      <c r="AC459" s="556"/>
      <c r="AD459" s="556"/>
    </row>
    <row r="460" ht="15.75" customHeight="1">
      <c r="A460" s="556"/>
      <c r="B460" s="556"/>
      <c r="C460" s="596"/>
      <c r="D460" s="556"/>
      <c r="E460" s="596"/>
      <c r="F460" s="556"/>
      <c r="G460" s="556"/>
      <c r="H460" s="556"/>
      <c r="I460" s="556"/>
      <c r="J460" s="556"/>
      <c r="K460" s="556"/>
      <c r="L460" s="556"/>
      <c r="M460" s="556"/>
      <c r="N460" s="556"/>
      <c r="O460" s="556"/>
      <c r="P460" s="556"/>
      <c r="Q460" s="556"/>
      <c r="R460" s="596"/>
      <c r="S460" s="596"/>
      <c r="T460" s="556"/>
      <c r="U460" s="556"/>
      <c r="V460" s="807"/>
      <c r="W460" s="556"/>
      <c r="X460" s="556"/>
      <c r="Y460" s="556"/>
      <c r="Z460" s="579"/>
      <c r="AA460" s="556"/>
      <c r="AB460" s="556"/>
      <c r="AC460" s="556"/>
      <c r="AD460" s="556"/>
    </row>
    <row r="461" ht="15.75" customHeight="1">
      <c r="A461" s="556"/>
      <c r="B461" s="556"/>
      <c r="C461" s="596"/>
      <c r="D461" s="556"/>
      <c r="E461" s="596"/>
      <c r="F461" s="556"/>
      <c r="G461" s="556"/>
      <c r="H461" s="556"/>
      <c r="I461" s="556"/>
      <c r="J461" s="556"/>
      <c r="K461" s="556"/>
      <c r="L461" s="556"/>
      <c r="M461" s="556"/>
      <c r="N461" s="556"/>
      <c r="O461" s="556"/>
      <c r="P461" s="556"/>
      <c r="Q461" s="556"/>
      <c r="R461" s="596"/>
      <c r="S461" s="596"/>
      <c r="T461" s="556"/>
      <c r="U461" s="556"/>
      <c r="V461" s="807"/>
      <c r="W461" s="556"/>
      <c r="X461" s="556"/>
      <c r="Y461" s="556"/>
      <c r="Z461" s="579"/>
      <c r="AA461" s="556"/>
      <c r="AB461" s="556"/>
      <c r="AC461" s="556"/>
      <c r="AD461" s="556"/>
    </row>
    <row r="462" ht="15.75" customHeight="1">
      <c r="A462" s="556"/>
      <c r="B462" s="556"/>
      <c r="C462" s="596"/>
      <c r="D462" s="556"/>
      <c r="E462" s="596"/>
      <c r="F462" s="556"/>
      <c r="G462" s="556"/>
      <c r="H462" s="556"/>
      <c r="I462" s="556"/>
      <c r="J462" s="556"/>
      <c r="K462" s="556"/>
      <c r="L462" s="556"/>
      <c r="M462" s="556"/>
      <c r="N462" s="556"/>
      <c r="O462" s="556"/>
      <c r="P462" s="556"/>
      <c r="Q462" s="556"/>
      <c r="R462" s="596"/>
      <c r="S462" s="596"/>
      <c r="T462" s="556"/>
      <c r="U462" s="556"/>
      <c r="V462" s="807"/>
      <c r="W462" s="556"/>
      <c r="X462" s="556"/>
      <c r="Y462" s="556"/>
      <c r="Z462" s="579"/>
      <c r="AA462" s="556"/>
      <c r="AB462" s="556"/>
      <c r="AC462" s="556"/>
      <c r="AD462" s="556"/>
    </row>
    <row r="463" ht="15.75" customHeight="1">
      <c r="A463" s="556"/>
      <c r="B463" s="556"/>
      <c r="C463" s="596"/>
      <c r="D463" s="556"/>
      <c r="E463" s="596"/>
      <c r="F463" s="556"/>
      <c r="G463" s="556"/>
      <c r="H463" s="556"/>
      <c r="I463" s="556"/>
      <c r="J463" s="556"/>
      <c r="K463" s="556"/>
      <c r="L463" s="556"/>
      <c r="M463" s="556"/>
      <c r="N463" s="556"/>
      <c r="O463" s="556"/>
      <c r="P463" s="556"/>
      <c r="Q463" s="556"/>
      <c r="R463" s="596"/>
      <c r="S463" s="596"/>
      <c r="T463" s="556"/>
      <c r="U463" s="556"/>
      <c r="V463" s="807"/>
      <c r="W463" s="556"/>
      <c r="X463" s="556"/>
      <c r="Y463" s="556"/>
      <c r="Z463" s="579"/>
      <c r="AA463" s="556"/>
      <c r="AB463" s="556"/>
      <c r="AC463" s="556"/>
      <c r="AD463" s="556"/>
    </row>
    <row r="464" ht="15.75" customHeight="1">
      <c r="A464" s="556"/>
      <c r="B464" s="556"/>
      <c r="C464" s="596"/>
      <c r="D464" s="556"/>
      <c r="E464" s="596"/>
      <c r="F464" s="556"/>
      <c r="G464" s="556"/>
      <c r="H464" s="556"/>
      <c r="I464" s="556"/>
      <c r="J464" s="556"/>
      <c r="K464" s="556"/>
      <c r="L464" s="556"/>
      <c r="M464" s="556"/>
      <c r="N464" s="556"/>
      <c r="O464" s="556"/>
      <c r="P464" s="556"/>
      <c r="Q464" s="556"/>
      <c r="R464" s="596"/>
      <c r="S464" s="596"/>
      <c r="T464" s="556"/>
      <c r="U464" s="556"/>
      <c r="V464" s="807"/>
      <c r="W464" s="556"/>
      <c r="X464" s="556"/>
      <c r="Y464" s="556"/>
      <c r="Z464" s="579"/>
      <c r="AA464" s="556"/>
      <c r="AB464" s="556"/>
      <c r="AC464" s="556"/>
      <c r="AD464" s="556"/>
    </row>
    <row r="465" ht="15.75" customHeight="1">
      <c r="A465" s="556"/>
      <c r="B465" s="556"/>
      <c r="C465" s="596"/>
      <c r="D465" s="556"/>
      <c r="E465" s="596"/>
      <c r="F465" s="556"/>
      <c r="G465" s="556"/>
      <c r="H465" s="556"/>
      <c r="I465" s="556"/>
      <c r="J465" s="556"/>
      <c r="K465" s="556"/>
      <c r="L465" s="556"/>
      <c r="M465" s="556"/>
      <c r="N465" s="556"/>
      <c r="O465" s="556"/>
      <c r="P465" s="556"/>
      <c r="Q465" s="556"/>
      <c r="R465" s="596"/>
      <c r="S465" s="596"/>
      <c r="T465" s="556"/>
      <c r="U465" s="556"/>
      <c r="V465" s="807"/>
      <c r="W465" s="556"/>
      <c r="X465" s="556"/>
      <c r="Y465" s="556"/>
      <c r="Z465" s="579"/>
      <c r="AA465" s="556"/>
      <c r="AB465" s="556"/>
      <c r="AC465" s="556"/>
      <c r="AD465" s="556"/>
    </row>
    <row r="466" ht="15.75" customHeight="1">
      <c r="A466" s="556"/>
      <c r="B466" s="556"/>
      <c r="C466" s="596"/>
      <c r="D466" s="556"/>
      <c r="E466" s="596"/>
      <c r="F466" s="556"/>
      <c r="G466" s="556"/>
      <c r="H466" s="556"/>
      <c r="I466" s="556"/>
      <c r="J466" s="556"/>
      <c r="K466" s="556"/>
      <c r="L466" s="556"/>
      <c r="M466" s="556"/>
      <c r="N466" s="556"/>
      <c r="O466" s="556"/>
      <c r="P466" s="556"/>
      <c r="Q466" s="556"/>
      <c r="R466" s="596"/>
      <c r="S466" s="596"/>
      <c r="T466" s="556"/>
      <c r="U466" s="556"/>
      <c r="V466" s="807"/>
      <c r="W466" s="556"/>
      <c r="X466" s="556"/>
      <c r="Y466" s="556"/>
      <c r="Z466" s="579"/>
      <c r="AA466" s="556"/>
      <c r="AB466" s="556"/>
      <c r="AC466" s="556"/>
      <c r="AD466" s="556"/>
    </row>
    <row r="467" ht="15.75" customHeight="1">
      <c r="A467" s="556"/>
      <c r="B467" s="556"/>
      <c r="C467" s="596"/>
      <c r="D467" s="556"/>
      <c r="E467" s="596"/>
      <c r="F467" s="556"/>
      <c r="G467" s="556"/>
      <c r="H467" s="556"/>
      <c r="I467" s="556"/>
      <c r="J467" s="556"/>
      <c r="K467" s="556"/>
      <c r="L467" s="556"/>
      <c r="M467" s="556"/>
      <c r="N467" s="556"/>
      <c r="O467" s="556"/>
      <c r="P467" s="556"/>
      <c r="Q467" s="556"/>
      <c r="R467" s="596"/>
      <c r="S467" s="596"/>
      <c r="T467" s="556"/>
      <c r="U467" s="556"/>
      <c r="V467" s="807"/>
      <c r="W467" s="556"/>
      <c r="X467" s="556"/>
      <c r="Y467" s="556"/>
      <c r="Z467" s="579"/>
      <c r="AA467" s="556"/>
      <c r="AB467" s="556"/>
      <c r="AC467" s="556"/>
      <c r="AD467" s="556"/>
    </row>
    <row r="468" ht="15.75" customHeight="1">
      <c r="A468" s="556"/>
      <c r="B468" s="556"/>
      <c r="C468" s="596"/>
      <c r="D468" s="556"/>
      <c r="E468" s="596"/>
      <c r="F468" s="556"/>
      <c r="G468" s="556"/>
      <c r="H468" s="556"/>
      <c r="I468" s="556"/>
      <c r="J468" s="556"/>
      <c r="K468" s="556"/>
      <c r="L468" s="556"/>
      <c r="M468" s="556"/>
      <c r="N468" s="556"/>
      <c r="O468" s="556"/>
      <c r="P468" s="556"/>
      <c r="Q468" s="556"/>
      <c r="R468" s="596"/>
      <c r="S468" s="596"/>
      <c r="T468" s="556"/>
      <c r="U468" s="556"/>
      <c r="V468" s="807"/>
      <c r="W468" s="556"/>
      <c r="X468" s="556"/>
      <c r="Y468" s="556"/>
      <c r="Z468" s="579"/>
      <c r="AA468" s="556"/>
      <c r="AB468" s="556"/>
      <c r="AC468" s="556"/>
      <c r="AD468" s="556"/>
    </row>
    <row r="469" ht="15.75" customHeight="1">
      <c r="A469" s="556"/>
      <c r="B469" s="556"/>
      <c r="C469" s="596"/>
      <c r="D469" s="556"/>
      <c r="E469" s="596"/>
      <c r="F469" s="556"/>
      <c r="G469" s="556"/>
      <c r="H469" s="556"/>
      <c r="I469" s="556"/>
      <c r="J469" s="556"/>
      <c r="K469" s="556"/>
      <c r="L469" s="556"/>
      <c r="M469" s="556"/>
      <c r="N469" s="556"/>
      <c r="O469" s="556"/>
      <c r="P469" s="556"/>
      <c r="Q469" s="556"/>
      <c r="R469" s="596"/>
      <c r="S469" s="596"/>
      <c r="T469" s="556"/>
      <c r="U469" s="556"/>
      <c r="V469" s="807"/>
      <c r="W469" s="556"/>
      <c r="X469" s="556"/>
      <c r="Y469" s="556"/>
      <c r="Z469" s="579"/>
      <c r="AA469" s="556"/>
      <c r="AB469" s="556"/>
      <c r="AC469" s="556"/>
      <c r="AD469" s="556"/>
    </row>
    <row r="470" ht="15.75" customHeight="1">
      <c r="A470" s="556"/>
      <c r="B470" s="556"/>
      <c r="C470" s="596"/>
      <c r="D470" s="556"/>
      <c r="E470" s="596"/>
      <c r="F470" s="556"/>
      <c r="G470" s="556"/>
      <c r="H470" s="556"/>
      <c r="I470" s="556"/>
      <c r="J470" s="556"/>
      <c r="K470" s="556"/>
      <c r="L470" s="556"/>
      <c r="M470" s="556"/>
      <c r="N470" s="556"/>
      <c r="O470" s="556"/>
      <c r="P470" s="556"/>
      <c r="Q470" s="556"/>
      <c r="R470" s="596"/>
      <c r="S470" s="596"/>
      <c r="T470" s="556"/>
      <c r="U470" s="556"/>
      <c r="V470" s="807"/>
      <c r="W470" s="556"/>
      <c r="X470" s="556"/>
      <c r="Y470" s="556"/>
      <c r="Z470" s="579"/>
      <c r="AA470" s="556"/>
      <c r="AB470" s="556"/>
      <c r="AC470" s="556"/>
      <c r="AD470" s="556"/>
    </row>
    <row r="471" ht="15.75" customHeight="1">
      <c r="A471" s="556"/>
      <c r="B471" s="556"/>
      <c r="C471" s="596"/>
      <c r="D471" s="556"/>
      <c r="E471" s="596"/>
      <c r="F471" s="556"/>
      <c r="G471" s="556"/>
      <c r="H471" s="556"/>
      <c r="I471" s="556"/>
      <c r="J471" s="556"/>
      <c r="K471" s="556"/>
      <c r="L471" s="556"/>
      <c r="M471" s="556"/>
      <c r="N471" s="556"/>
      <c r="O471" s="556"/>
      <c r="P471" s="556"/>
      <c r="Q471" s="556"/>
      <c r="R471" s="596"/>
      <c r="S471" s="596"/>
      <c r="T471" s="556"/>
      <c r="U471" s="556"/>
      <c r="V471" s="807"/>
      <c r="W471" s="556"/>
      <c r="X471" s="556"/>
      <c r="Y471" s="556"/>
      <c r="Z471" s="579"/>
      <c r="AA471" s="556"/>
      <c r="AB471" s="556"/>
      <c r="AC471" s="556"/>
      <c r="AD471" s="556"/>
    </row>
    <row r="472" ht="15.75" customHeight="1">
      <c r="A472" s="556"/>
      <c r="B472" s="556"/>
      <c r="C472" s="596"/>
      <c r="D472" s="556"/>
      <c r="E472" s="596"/>
      <c r="F472" s="556"/>
      <c r="G472" s="556"/>
      <c r="H472" s="556"/>
      <c r="I472" s="556"/>
      <c r="J472" s="556"/>
      <c r="K472" s="556"/>
      <c r="L472" s="556"/>
      <c r="M472" s="556"/>
      <c r="N472" s="556"/>
      <c r="O472" s="556"/>
      <c r="P472" s="556"/>
      <c r="Q472" s="556"/>
      <c r="R472" s="596"/>
      <c r="S472" s="596"/>
      <c r="T472" s="556"/>
      <c r="U472" s="556"/>
      <c r="V472" s="807"/>
      <c r="W472" s="556"/>
      <c r="X472" s="556"/>
      <c r="Y472" s="556"/>
      <c r="Z472" s="579"/>
      <c r="AA472" s="556"/>
      <c r="AB472" s="556"/>
      <c r="AC472" s="556"/>
      <c r="AD472" s="556"/>
    </row>
    <row r="473" ht="15.75" customHeight="1">
      <c r="A473" s="556"/>
      <c r="B473" s="556"/>
      <c r="C473" s="596"/>
      <c r="D473" s="556"/>
      <c r="E473" s="596"/>
      <c r="F473" s="556"/>
      <c r="G473" s="556"/>
      <c r="H473" s="556"/>
      <c r="I473" s="556"/>
      <c r="J473" s="556"/>
      <c r="K473" s="556"/>
      <c r="L473" s="556"/>
      <c r="M473" s="556"/>
      <c r="N473" s="556"/>
      <c r="O473" s="556"/>
      <c r="P473" s="556"/>
      <c r="Q473" s="556"/>
      <c r="R473" s="596"/>
      <c r="S473" s="596"/>
      <c r="T473" s="556"/>
      <c r="U473" s="556"/>
      <c r="V473" s="807"/>
      <c r="W473" s="556"/>
      <c r="X473" s="556"/>
      <c r="Y473" s="556"/>
      <c r="Z473" s="579"/>
      <c r="AA473" s="556"/>
      <c r="AB473" s="556"/>
      <c r="AC473" s="556"/>
      <c r="AD473" s="556"/>
    </row>
    <row r="474" ht="15.75" customHeight="1">
      <c r="A474" s="556"/>
      <c r="B474" s="556"/>
      <c r="C474" s="596"/>
      <c r="D474" s="556"/>
      <c r="E474" s="596"/>
      <c r="F474" s="556"/>
      <c r="G474" s="556"/>
      <c r="H474" s="556"/>
      <c r="I474" s="556"/>
      <c r="J474" s="556"/>
      <c r="K474" s="556"/>
      <c r="L474" s="556"/>
      <c r="M474" s="556"/>
      <c r="N474" s="556"/>
      <c r="O474" s="556"/>
      <c r="P474" s="556"/>
      <c r="Q474" s="556"/>
      <c r="R474" s="596"/>
      <c r="S474" s="596"/>
      <c r="T474" s="556"/>
      <c r="U474" s="556"/>
      <c r="V474" s="807"/>
      <c r="W474" s="556"/>
      <c r="X474" s="556"/>
      <c r="Y474" s="556"/>
      <c r="Z474" s="579"/>
      <c r="AA474" s="556"/>
      <c r="AB474" s="556"/>
      <c r="AC474" s="556"/>
      <c r="AD474" s="556"/>
    </row>
    <row r="475" ht="15.75" customHeight="1">
      <c r="A475" s="556"/>
      <c r="B475" s="556"/>
      <c r="C475" s="596"/>
      <c r="D475" s="556"/>
      <c r="E475" s="596"/>
      <c r="F475" s="556"/>
      <c r="G475" s="556"/>
      <c r="H475" s="556"/>
      <c r="I475" s="556"/>
      <c r="J475" s="556"/>
      <c r="K475" s="556"/>
      <c r="L475" s="556"/>
      <c r="M475" s="556"/>
      <c r="N475" s="556"/>
      <c r="O475" s="556"/>
      <c r="P475" s="556"/>
      <c r="Q475" s="556"/>
      <c r="R475" s="596"/>
      <c r="S475" s="596"/>
      <c r="T475" s="556"/>
      <c r="U475" s="556"/>
      <c r="V475" s="807"/>
      <c r="W475" s="556"/>
      <c r="X475" s="556"/>
      <c r="Y475" s="556"/>
      <c r="Z475" s="579"/>
      <c r="AA475" s="556"/>
      <c r="AB475" s="556"/>
      <c r="AC475" s="556"/>
      <c r="AD475" s="556"/>
    </row>
    <row r="476" ht="15.75" customHeight="1">
      <c r="A476" s="556"/>
      <c r="B476" s="556"/>
      <c r="C476" s="596"/>
      <c r="D476" s="556"/>
      <c r="E476" s="596"/>
      <c r="F476" s="556"/>
      <c r="G476" s="556"/>
      <c r="H476" s="556"/>
      <c r="I476" s="556"/>
      <c r="J476" s="556"/>
      <c r="K476" s="556"/>
      <c r="L476" s="556"/>
      <c r="M476" s="556"/>
      <c r="N476" s="556"/>
      <c r="O476" s="556"/>
      <c r="P476" s="556"/>
      <c r="Q476" s="556"/>
      <c r="R476" s="596"/>
      <c r="S476" s="596"/>
      <c r="T476" s="556"/>
      <c r="U476" s="556"/>
      <c r="V476" s="807"/>
      <c r="W476" s="556"/>
      <c r="X476" s="556"/>
      <c r="Y476" s="556"/>
      <c r="Z476" s="579"/>
      <c r="AA476" s="556"/>
      <c r="AB476" s="556"/>
      <c r="AC476" s="556"/>
      <c r="AD476" s="556"/>
    </row>
    <row r="477" ht="15.75" customHeight="1">
      <c r="A477" s="556"/>
      <c r="B477" s="556"/>
      <c r="C477" s="596"/>
      <c r="D477" s="556"/>
      <c r="E477" s="596"/>
      <c r="F477" s="556"/>
      <c r="G477" s="556"/>
      <c r="H477" s="556"/>
      <c r="I477" s="556"/>
      <c r="J477" s="556"/>
      <c r="K477" s="556"/>
      <c r="L477" s="556"/>
      <c r="M477" s="556"/>
      <c r="N477" s="556"/>
      <c r="O477" s="556"/>
      <c r="P477" s="556"/>
      <c r="Q477" s="556"/>
      <c r="R477" s="596"/>
      <c r="S477" s="596"/>
      <c r="T477" s="556"/>
      <c r="U477" s="556"/>
      <c r="V477" s="807"/>
      <c r="W477" s="556"/>
      <c r="X477" s="556"/>
      <c r="Y477" s="556"/>
      <c r="Z477" s="579"/>
      <c r="AA477" s="556"/>
      <c r="AB477" s="556"/>
      <c r="AC477" s="556"/>
      <c r="AD477" s="556"/>
    </row>
    <row r="478" ht="15.75" customHeight="1">
      <c r="A478" s="556"/>
      <c r="B478" s="556"/>
      <c r="C478" s="596"/>
      <c r="D478" s="556"/>
      <c r="E478" s="596"/>
      <c r="F478" s="556"/>
      <c r="G478" s="556"/>
      <c r="H478" s="556"/>
      <c r="I478" s="556"/>
      <c r="J478" s="556"/>
      <c r="K478" s="556"/>
      <c r="L478" s="556"/>
      <c r="M478" s="556"/>
      <c r="N478" s="556"/>
      <c r="O478" s="556"/>
      <c r="P478" s="556"/>
      <c r="Q478" s="556"/>
      <c r="R478" s="596"/>
      <c r="S478" s="596"/>
      <c r="T478" s="556"/>
      <c r="U478" s="556"/>
      <c r="V478" s="807"/>
      <c r="W478" s="556"/>
      <c r="X478" s="556"/>
      <c r="Y478" s="556"/>
      <c r="Z478" s="579"/>
      <c r="AA478" s="556"/>
      <c r="AB478" s="556"/>
      <c r="AC478" s="556"/>
      <c r="AD478" s="556"/>
    </row>
    <row r="479" ht="15.75" customHeight="1">
      <c r="A479" s="556"/>
      <c r="B479" s="556"/>
      <c r="C479" s="596"/>
      <c r="D479" s="556"/>
      <c r="E479" s="596"/>
      <c r="F479" s="556"/>
      <c r="G479" s="556"/>
      <c r="H479" s="556"/>
      <c r="I479" s="556"/>
      <c r="J479" s="556"/>
      <c r="K479" s="556"/>
      <c r="L479" s="556"/>
      <c r="M479" s="556"/>
      <c r="N479" s="556"/>
      <c r="O479" s="556"/>
      <c r="P479" s="556"/>
      <c r="Q479" s="556"/>
      <c r="R479" s="596"/>
      <c r="S479" s="596"/>
      <c r="T479" s="556"/>
      <c r="U479" s="556"/>
      <c r="V479" s="807"/>
      <c r="W479" s="556"/>
      <c r="X479" s="556"/>
      <c r="Y479" s="556"/>
      <c r="Z479" s="579"/>
      <c r="AA479" s="556"/>
      <c r="AB479" s="556"/>
      <c r="AC479" s="556"/>
      <c r="AD479" s="556"/>
    </row>
    <row r="480" ht="15.75" customHeight="1">
      <c r="A480" s="556"/>
      <c r="B480" s="556"/>
      <c r="C480" s="596"/>
      <c r="D480" s="556"/>
      <c r="E480" s="596"/>
      <c r="F480" s="556"/>
      <c r="G480" s="556"/>
      <c r="H480" s="556"/>
      <c r="I480" s="556"/>
      <c r="J480" s="556"/>
      <c r="K480" s="556"/>
      <c r="L480" s="556"/>
      <c r="M480" s="556"/>
      <c r="N480" s="556"/>
      <c r="O480" s="556"/>
      <c r="P480" s="556"/>
      <c r="Q480" s="556"/>
      <c r="R480" s="596"/>
      <c r="S480" s="596"/>
      <c r="T480" s="556"/>
      <c r="U480" s="556"/>
      <c r="V480" s="807"/>
      <c r="W480" s="556"/>
      <c r="X480" s="556"/>
      <c r="Y480" s="556"/>
      <c r="Z480" s="579"/>
      <c r="AA480" s="556"/>
      <c r="AB480" s="556"/>
      <c r="AC480" s="556"/>
      <c r="AD480" s="556"/>
    </row>
    <row r="481" ht="15.75" customHeight="1">
      <c r="A481" s="556"/>
      <c r="B481" s="556"/>
      <c r="C481" s="596"/>
      <c r="D481" s="556"/>
      <c r="E481" s="596"/>
      <c r="F481" s="556"/>
      <c r="G481" s="556"/>
      <c r="H481" s="556"/>
      <c r="I481" s="556"/>
      <c r="J481" s="556"/>
      <c r="K481" s="556"/>
      <c r="L481" s="556"/>
      <c r="M481" s="556"/>
      <c r="N481" s="556"/>
      <c r="O481" s="556"/>
      <c r="P481" s="556"/>
      <c r="Q481" s="556"/>
      <c r="R481" s="596"/>
      <c r="S481" s="596"/>
      <c r="T481" s="556"/>
      <c r="U481" s="556"/>
      <c r="V481" s="807"/>
      <c r="W481" s="556"/>
      <c r="X481" s="556"/>
      <c r="Y481" s="556"/>
      <c r="Z481" s="579"/>
      <c r="AA481" s="556"/>
      <c r="AB481" s="556"/>
      <c r="AC481" s="556"/>
      <c r="AD481" s="556"/>
    </row>
    <row r="482" ht="15.75" customHeight="1">
      <c r="A482" s="556"/>
      <c r="B482" s="556"/>
      <c r="C482" s="596"/>
      <c r="D482" s="556"/>
      <c r="E482" s="596"/>
      <c r="F482" s="556"/>
      <c r="G482" s="556"/>
      <c r="H482" s="556"/>
      <c r="I482" s="556"/>
      <c r="J482" s="556"/>
      <c r="K482" s="556"/>
      <c r="L482" s="556"/>
      <c r="M482" s="556"/>
      <c r="N482" s="556"/>
      <c r="O482" s="556"/>
      <c r="P482" s="556"/>
      <c r="Q482" s="556"/>
      <c r="R482" s="596"/>
      <c r="S482" s="596"/>
      <c r="T482" s="556"/>
      <c r="U482" s="556"/>
      <c r="V482" s="807"/>
      <c r="W482" s="556"/>
      <c r="X482" s="556"/>
      <c r="Y482" s="556"/>
      <c r="Z482" s="579"/>
      <c r="AA482" s="556"/>
      <c r="AB482" s="556"/>
      <c r="AC482" s="556"/>
      <c r="AD482" s="556"/>
    </row>
    <row r="483" ht="15.75" customHeight="1">
      <c r="A483" s="556"/>
      <c r="B483" s="556"/>
      <c r="C483" s="596"/>
      <c r="D483" s="556"/>
      <c r="E483" s="596"/>
      <c r="F483" s="556"/>
      <c r="G483" s="556"/>
      <c r="H483" s="556"/>
      <c r="I483" s="556"/>
      <c r="J483" s="556"/>
      <c r="K483" s="556"/>
      <c r="L483" s="556"/>
      <c r="M483" s="556"/>
      <c r="N483" s="556"/>
      <c r="O483" s="556"/>
      <c r="P483" s="556"/>
      <c r="Q483" s="556"/>
      <c r="R483" s="596"/>
      <c r="S483" s="596"/>
      <c r="T483" s="556"/>
      <c r="U483" s="556"/>
      <c r="V483" s="807"/>
      <c r="W483" s="556"/>
      <c r="X483" s="556"/>
      <c r="Y483" s="556"/>
      <c r="Z483" s="579"/>
      <c r="AA483" s="556"/>
      <c r="AB483" s="556"/>
      <c r="AC483" s="556"/>
      <c r="AD483" s="556"/>
    </row>
    <row r="484" ht="15.75" customHeight="1">
      <c r="A484" s="556"/>
      <c r="B484" s="556"/>
      <c r="C484" s="596"/>
      <c r="D484" s="556"/>
      <c r="E484" s="596"/>
      <c r="F484" s="556"/>
      <c r="G484" s="556"/>
      <c r="H484" s="556"/>
      <c r="I484" s="556"/>
      <c r="J484" s="556"/>
      <c r="K484" s="556"/>
      <c r="L484" s="556"/>
      <c r="M484" s="556"/>
      <c r="N484" s="556"/>
      <c r="O484" s="556"/>
      <c r="P484" s="556"/>
      <c r="Q484" s="556"/>
      <c r="R484" s="596"/>
      <c r="S484" s="596"/>
      <c r="T484" s="556"/>
      <c r="U484" s="556"/>
      <c r="V484" s="807"/>
      <c r="W484" s="556"/>
      <c r="X484" s="556"/>
      <c r="Y484" s="556"/>
      <c r="Z484" s="579"/>
      <c r="AA484" s="556"/>
      <c r="AB484" s="556"/>
      <c r="AC484" s="556"/>
      <c r="AD484" s="556"/>
    </row>
    <row r="485" ht="15.75" customHeight="1">
      <c r="A485" s="556"/>
      <c r="B485" s="556"/>
      <c r="C485" s="596"/>
      <c r="D485" s="556"/>
      <c r="E485" s="596"/>
      <c r="F485" s="556"/>
      <c r="G485" s="556"/>
      <c r="H485" s="556"/>
      <c r="I485" s="556"/>
      <c r="J485" s="556"/>
      <c r="K485" s="556"/>
      <c r="L485" s="556"/>
      <c r="M485" s="556"/>
      <c r="N485" s="556"/>
      <c r="O485" s="556"/>
      <c r="P485" s="556"/>
      <c r="Q485" s="556"/>
      <c r="R485" s="596"/>
      <c r="S485" s="596"/>
      <c r="T485" s="556"/>
      <c r="U485" s="556"/>
      <c r="V485" s="807"/>
      <c r="W485" s="556"/>
      <c r="X485" s="556"/>
      <c r="Y485" s="556"/>
      <c r="Z485" s="579"/>
      <c r="AA485" s="556"/>
      <c r="AB485" s="556"/>
      <c r="AC485" s="556"/>
      <c r="AD485" s="556"/>
    </row>
    <row r="486" ht="15.75" customHeight="1">
      <c r="A486" s="556"/>
      <c r="B486" s="556"/>
      <c r="C486" s="596"/>
      <c r="D486" s="556"/>
      <c r="E486" s="596"/>
      <c r="F486" s="556"/>
      <c r="G486" s="556"/>
      <c r="H486" s="556"/>
      <c r="I486" s="556"/>
      <c r="J486" s="556"/>
      <c r="K486" s="556"/>
      <c r="L486" s="556"/>
      <c r="M486" s="556"/>
      <c r="N486" s="556"/>
      <c r="O486" s="556"/>
      <c r="P486" s="556"/>
      <c r="Q486" s="556"/>
      <c r="R486" s="596"/>
      <c r="S486" s="596"/>
      <c r="T486" s="556"/>
      <c r="U486" s="556"/>
      <c r="V486" s="807"/>
      <c r="W486" s="556"/>
      <c r="X486" s="556"/>
      <c r="Y486" s="556"/>
      <c r="Z486" s="579"/>
      <c r="AA486" s="556"/>
      <c r="AB486" s="556"/>
      <c r="AC486" s="556"/>
      <c r="AD486" s="556"/>
    </row>
    <row r="487" ht="15.75" customHeight="1">
      <c r="A487" s="556"/>
      <c r="B487" s="556"/>
      <c r="C487" s="596"/>
      <c r="D487" s="556"/>
      <c r="E487" s="596"/>
      <c r="F487" s="556"/>
      <c r="G487" s="556"/>
      <c r="H487" s="556"/>
      <c r="I487" s="556"/>
      <c r="J487" s="556"/>
      <c r="K487" s="556"/>
      <c r="L487" s="556"/>
      <c r="M487" s="556"/>
      <c r="N487" s="556"/>
      <c r="O487" s="556"/>
      <c r="P487" s="556"/>
      <c r="Q487" s="556"/>
      <c r="R487" s="596"/>
      <c r="S487" s="596"/>
      <c r="T487" s="556"/>
      <c r="U487" s="556"/>
      <c r="V487" s="807"/>
      <c r="W487" s="556"/>
      <c r="X487" s="556"/>
      <c r="Y487" s="556"/>
      <c r="Z487" s="579"/>
      <c r="AA487" s="556"/>
      <c r="AB487" s="556"/>
      <c r="AC487" s="556"/>
      <c r="AD487" s="556"/>
    </row>
    <row r="488" ht="15.75" customHeight="1">
      <c r="A488" s="556"/>
      <c r="B488" s="556"/>
      <c r="C488" s="596"/>
      <c r="D488" s="556"/>
      <c r="E488" s="596"/>
      <c r="F488" s="556"/>
      <c r="G488" s="556"/>
      <c r="H488" s="556"/>
      <c r="I488" s="556"/>
      <c r="J488" s="556"/>
      <c r="K488" s="556"/>
      <c r="L488" s="556"/>
      <c r="M488" s="556"/>
      <c r="N488" s="556"/>
      <c r="O488" s="556"/>
      <c r="P488" s="556"/>
      <c r="Q488" s="556"/>
      <c r="R488" s="596"/>
      <c r="S488" s="596"/>
      <c r="T488" s="556"/>
      <c r="U488" s="556"/>
      <c r="V488" s="807"/>
      <c r="W488" s="556"/>
      <c r="X488" s="556"/>
      <c r="Y488" s="556"/>
      <c r="Z488" s="579"/>
      <c r="AA488" s="556"/>
      <c r="AB488" s="556"/>
      <c r="AC488" s="556"/>
      <c r="AD488" s="556"/>
    </row>
    <row r="489" ht="15.75" customHeight="1">
      <c r="A489" s="556"/>
      <c r="B489" s="556"/>
      <c r="C489" s="596"/>
      <c r="D489" s="556"/>
      <c r="E489" s="596"/>
      <c r="F489" s="556"/>
      <c r="G489" s="556"/>
      <c r="H489" s="556"/>
      <c r="I489" s="556"/>
      <c r="J489" s="556"/>
      <c r="K489" s="556"/>
      <c r="L489" s="556"/>
      <c r="M489" s="556"/>
      <c r="N489" s="556"/>
      <c r="O489" s="556"/>
      <c r="P489" s="556"/>
      <c r="Q489" s="556"/>
      <c r="R489" s="596"/>
      <c r="S489" s="596"/>
      <c r="T489" s="556"/>
      <c r="U489" s="556"/>
      <c r="V489" s="807"/>
      <c r="W489" s="556"/>
      <c r="X489" s="556"/>
      <c r="Y489" s="556"/>
      <c r="Z489" s="579"/>
      <c r="AA489" s="556"/>
      <c r="AB489" s="556"/>
      <c r="AC489" s="556"/>
      <c r="AD489" s="556"/>
    </row>
    <row r="490" ht="15.75" customHeight="1">
      <c r="A490" s="556"/>
      <c r="B490" s="556"/>
      <c r="C490" s="596"/>
      <c r="D490" s="556"/>
      <c r="E490" s="596"/>
      <c r="F490" s="556"/>
      <c r="G490" s="556"/>
      <c r="H490" s="556"/>
      <c r="I490" s="556"/>
      <c r="J490" s="556"/>
      <c r="K490" s="556"/>
      <c r="L490" s="556"/>
      <c r="M490" s="556"/>
      <c r="N490" s="556"/>
      <c r="O490" s="556"/>
      <c r="P490" s="556"/>
      <c r="Q490" s="556"/>
      <c r="R490" s="596"/>
      <c r="S490" s="596"/>
      <c r="T490" s="556"/>
      <c r="U490" s="556"/>
      <c r="V490" s="807"/>
      <c r="W490" s="556"/>
      <c r="X490" s="556"/>
      <c r="Y490" s="556"/>
      <c r="Z490" s="579"/>
      <c r="AA490" s="556"/>
      <c r="AB490" s="556"/>
      <c r="AC490" s="556"/>
      <c r="AD490" s="556"/>
    </row>
    <row r="491" ht="15.75" customHeight="1">
      <c r="A491" s="556"/>
      <c r="B491" s="556"/>
      <c r="C491" s="596"/>
      <c r="D491" s="556"/>
      <c r="E491" s="596"/>
      <c r="F491" s="556"/>
      <c r="G491" s="556"/>
      <c r="H491" s="556"/>
      <c r="I491" s="556"/>
      <c r="J491" s="556"/>
      <c r="K491" s="556"/>
      <c r="L491" s="556"/>
      <c r="M491" s="556"/>
      <c r="N491" s="556"/>
      <c r="O491" s="556"/>
      <c r="P491" s="556"/>
      <c r="Q491" s="556"/>
      <c r="R491" s="596"/>
      <c r="S491" s="596"/>
      <c r="T491" s="556"/>
      <c r="U491" s="556"/>
      <c r="V491" s="807"/>
      <c r="W491" s="556"/>
      <c r="X491" s="556"/>
      <c r="Y491" s="556"/>
      <c r="Z491" s="579"/>
      <c r="AA491" s="556"/>
      <c r="AB491" s="556"/>
      <c r="AC491" s="556"/>
      <c r="AD491" s="556"/>
    </row>
    <row r="492" ht="15.75" customHeight="1">
      <c r="A492" s="556"/>
      <c r="B492" s="556"/>
      <c r="C492" s="596"/>
      <c r="D492" s="556"/>
      <c r="E492" s="596"/>
      <c r="F492" s="556"/>
      <c r="G492" s="556"/>
      <c r="H492" s="556"/>
      <c r="I492" s="556"/>
      <c r="J492" s="556"/>
      <c r="K492" s="556"/>
      <c r="L492" s="556"/>
      <c r="M492" s="556"/>
      <c r="N492" s="556"/>
      <c r="O492" s="556"/>
      <c r="P492" s="556"/>
      <c r="Q492" s="556"/>
      <c r="R492" s="596"/>
      <c r="S492" s="596"/>
      <c r="T492" s="556"/>
      <c r="U492" s="556"/>
      <c r="V492" s="807"/>
      <c r="W492" s="556"/>
      <c r="X492" s="556"/>
      <c r="Y492" s="556"/>
      <c r="Z492" s="579"/>
      <c r="AA492" s="556"/>
      <c r="AB492" s="556"/>
      <c r="AC492" s="556"/>
      <c r="AD492" s="556"/>
    </row>
    <row r="493" ht="15.75" customHeight="1">
      <c r="A493" s="556"/>
      <c r="B493" s="556"/>
      <c r="C493" s="596"/>
      <c r="D493" s="556"/>
      <c r="E493" s="596"/>
      <c r="F493" s="556"/>
      <c r="G493" s="556"/>
      <c r="H493" s="556"/>
      <c r="I493" s="556"/>
      <c r="J493" s="556"/>
      <c r="K493" s="556"/>
      <c r="L493" s="556"/>
      <c r="M493" s="556"/>
      <c r="N493" s="556"/>
      <c r="O493" s="556"/>
      <c r="P493" s="556"/>
      <c r="Q493" s="556"/>
      <c r="R493" s="596"/>
      <c r="S493" s="596"/>
      <c r="T493" s="556"/>
      <c r="U493" s="556"/>
      <c r="V493" s="807"/>
      <c r="W493" s="556"/>
      <c r="X493" s="556"/>
      <c r="Y493" s="556"/>
      <c r="Z493" s="579"/>
      <c r="AA493" s="556"/>
      <c r="AB493" s="556"/>
      <c r="AC493" s="556"/>
      <c r="AD493" s="556"/>
    </row>
    <row r="494" ht="15.75" customHeight="1">
      <c r="A494" s="556"/>
      <c r="B494" s="556"/>
      <c r="C494" s="596"/>
      <c r="D494" s="556"/>
      <c r="E494" s="596"/>
      <c r="F494" s="556"/>
      <c r="G494" s="556"/>
      <c r="H494" s="556"/>
      <c r="I494" s="556"/>
      <c r="J494" s="556"/>
      <c r="K494" s="556"/>
      <c r="L494" s="556"/>
      <c r="M494" s="556"/>
      <c r="N494" s="556"/>
      <c r="O494" s="556"/>
      <c r="P494" s="556"/>
      <c r="Q494" s="556"/>
      <c r="R494" s="596"/>
      <c r="S494" s="596"/>
      <c r="T494" s="556"/>
      <c r="U494" s="556"/>
      <c r="V494" s="807"/>
      <c r="W494" s="556"/>
      <c r="X494" s="556"/>
      <c r="Y494" s="556"/>
      <c r="Z494" s="579"/>
      <c r="AA494" s="556"/>
      <c r="AB494" s="556"/>
      <c r="AC494" s="556"/>
      <c r="AD494" s="556"/>
    </row>
    <row r="495" ht="15.75" customHeight="1">
      <c r="A495" s="556"/>
      <c r="B495" s="556"/>
      <c r="C495" s="596"/>
      <c r="D495" s="556"/>
      <c r="E495" s="596"/>
      <c r="F495" s="556"/>
      <c r="G495" s="556"/>
      <c r="H495" s="556"/>
      <c r="I495" s="556"/>
      <c r="J495" s="556"/>
      <c r="K495" s="556"/>
      <c r="L495" s="556"/>
      <c r="M495" s="556"/>
      <c r="N495" s="556"/>
      <c r="O495" s="556"/>
      <c r="P495" s="556"/>
      <c r="Q495" s="556"/>
      <c r="R495" s="596"/>
      <c r="S495" s="596"/>
      <c r="T495" s="556"/>
      <c r="U495" s="556"/>
      <c r="V495" s="807"/>
      <c r="W495" s="556"/>
      <c r="X495" s="556"/>
      <c r="Y495" s="556"/>
      <c r="Z495" s="579"/>
      <c r="AA495" s="556"/>
      <c r="AB495" s="556"/>
      <c r="AC495" s="556"/>
      <c r="AD495" s="556"/>
    </row>
    <row r="496" ht="15.75" customHeight="1">
      <c r="A496" s="556"/>
      <c r="B496" s="556"/>
      <c r="C496" s="596"/>
      <c r="D496" s="556"/>
      <c r="E496" s="596"/>
      <c r="F496" s="556"/>
      <c r="G496" s="556"/>
      <c r="H496" s="556"/>
      <c r="I496" s="556"/>
      <c r="J496" s="556"/>
      <c r="K496" s="556"/>
      <c r="L496" s="556"/>
      <c r="M496" s="556"/>
      <c r="N496" s="556"/>
      <c r="O496" s="556"/>
      <c r="P496" s="556"/>
      <c r="Q496" s="556"/>
      <c r="R496" s="596"/>
      <c r="S496" s="596"/>
      <c r="T496" s="556"/>
      <c r="U496" s="556"/>
      <c r="V496" s="807"/>
      <c r="W496" s="556"/>
      <c r="X496" s="556"/>
      <c r="Y496" s="556"/>
      <c r="Z496" s="579"/>
      <c r="AA496" s="556"/>
      <c r="AB496" s="556"/>
      <c r="AC496" s="556"/>
      <c r="AD496" s="556"/>
    </row>
    <row r="497" ht="15.75" customHeight="1">
      <c r="A497" s="556"/>
      <c r="B497" s="556"/>
      <c r="C497" s="596"/>
      <c r="D497" s="556"/>
      <c r="E497" s="596"/>
      <c r="F497" s="556"/>
      <c r="G497" s="556"/>
      <c r="H497" s="556"/>
      <c r="I497" s="556"/>
      <c r="J497" s="556"/>
      <c r="K497" s="556"/>
      <c r="L497" s="556"/>
      <c r="M497" s="556"/>
      <c r="N497" s="556"/>
      <c r="O497" s="556"/>
      <c r="P497" s="556"/>
      <c r="Q497" s="556"/>
      <c r="R497" s="596"/>
      <c r="S497" s="596"/>
      <c r="T497" s="556"/>
      <c r="U497" s="556"/>
      <c r="V497" s="807"/>
      <c r="W497" s="556"/>
      <c r="X497" s="556"/>
      <c r="Y497" s="556"/>
      <c r="Z497" s="579"/>
      <c r="AA497" s="556"/>
      <c r="AB497" s="556"/>
      <c r="AC497" s="556"/>
      <c r="AD497" s="556"/>
    </row>
    <row r="498" ht="15.75" customHeight="1">
      <c r="A498" s="556"/>
      <c r="B498" s="556"/>
      <c r="C498" s="596"/>
      <c r="D498" s="556"/>
      <c r="E498" s="596"/>
      <c r="F498" s="556"/>
      <c r="G498" s="556"/>
      <c r="H498" s="556"/>
      <c r="I498" s="556"/>
      <c r="J498" s="556"/>
      <c r="K498" s="556"/>
      <c r="L498" s="556"/>
      <c r="M498" s="556"/>
      <c r="N498" s="556"/>
      <c r="O498" s="556"/>
      <c r="P498" s="556"/>
      <c r="Q498" s="556"/>
      <c r="R498" s="596"/>
      <c r="S498" s="596"/>
      <c r="T498" s="556"/>
      <c r="U498" s="556"/>
      <c r="V498" s="807"/>
      <c r="W498" s="556"/>
      <c r="X498" s="556"/>
      <c r="Y498" s="556"/>
      <c r="Z498" s="579"/>
      <c r="AA498" s="556"/>
      <c r="AB498" s="556"/>
      <c r="AC498" s="556"/>
      <c r="AD498" s="556"/>
    </row>
    <row r="499" ht="15.75" customHeight="1">
      <c r="A499" s="556"/>
      <c r="B499" s="556"/>
      <c r="C499" s="596"/>
      <c r="D499" s="556"/>
      <c r="E499" s="596"/>
      <c r="F499" s="556"/>
      <c r="G499" s="556"/>
      <c r="H499" s="556"/>
      <c r="I499" s="556"/>
      <c r="J499" s="556"/>
      <c r="K499" s="556"/>
      <c r="L499" s="556"/>
      <c r="M499" s="556"/>
      <c r="N499" s="556"/>
      <c r="O499" s="556"/>
      <c r="P499" s="556"/>
      <c r="Q499" s="556"/>
      <c r="R499" s="596"/>
      <c r="S499" s="596"/>
      <c r="T499" s="556"/>
      <c r="U499" s="556"/>
      <c r="V499" s="807"/>
      <c r="W499" s="556"/>
      <c r="X499" s="556"/>
      <c r="Y499" s="556"/>
      <c r="Z499" s="579"/>
      <c r="AA499" s="556"/>
      <c r="AB499" s="556"/>
      <c r="AC499" s="556"/>
      <c r="AD499" s="556"/>
    </row>
    <row r="500" ht="15.75" customHeight="1">
      <c r="A500" s="556"/>
      <c r="B500" s="556"/>
      <c r="C500" s="596"/>
      <c r="D500" s="556"/>
      <c r="E500" s="596"/>
      <c r="F500" s="556"/>
      <c r="G500" s="556"/>
      <c r="H500" s="556"/>
      <c r="I500" s="556"/>
      <c r="J500" s="556"/>
      <c r="K500" s="556"/>
      <c r="L500" s="556"/>
      <c r="M500" s="556"/>
      <c r="N500" s="556"/>
      <c r="O500" s="556"/>
      <c r="P500" s="556"/>
      <c r="Q500" s="556"/>
      <c r="R500" s="596"/>
      <c r="S500" s="596"/>
      <c r="T500" s="556"/>
      <c r="U500" s="556"/>
      <c r="V500" s="807"/>
      <c r="W500" s="556"/>
      <c r="X500" s="556"/>
      <c r="Y500" s="556"/>
      <c r="Z500" s="579"/>
      <c r="AA500" s="556"/>
      <c r="AB500" s="556"/>
      <c r="AC500" s="556"/>
      <c r="AD500" s="556"/>
    </row>
    <row r="501" ht="15.75" customHeight="1">
      <c r="A501" s="556"/>
      <c r="B501" s="556"/>
      <c r="C501" s="596"/>
      <c r="D501" s="556"/>
      <c r="E501" s="596"/>
      <c r="F501" s="556"/>
      <c r="G501" s="556"/>
      <c r="H501" s="556"/>
      <c r="I501" s="556"/>
      <c r="J501" s="556"/>
      <c r="K501" s="556"/>
      <c r="L501" s="556"/>
      <c r="M501" s="556"/>
      <c r="N501" s="556"/>
      <c r="O501" s="556"/>
      <c r="P501" s="556"/>
      <c r="Q501" s="556"/>
      <c r="R501" s="596"/>
      <c r="S501" s="596"/>
      <c r="T501" s="556"/>
      <c r="U501" s="556"/>
      <c r="V501" s="807"/>
      <c r="W501" s="556"/>
      <c r="X501" s="556"/>
      <c r="Y501" s="556"/>
      <c r="Z501" s="579"/>
      <c r="AA501" s="556"/>
      <c r="AB501" s="556"/>
      <c r="AC501" s="556"/>
      <c r="AD501" s="556"/>
    </row>
    <row r="502" ht="15.75" customHeight="1">
      <c r="A502" s="556"/>
      <c r="B502" s="556"/>
      <c r="C502" s="596"/>
      <c r="D502" s="556"/>
      <c r="E502" s="596"/>
      <c r="F502" s="556"/>
      <c r="G502" s="556"/>
      <c r="H502" s="556"/>
      <c r="I502" s="556"/>
      <c r="J502" s="556"/>
      <c r="K502" s="556"/>
      <c r="L502" s="556"/>
      <c r="M502" s="556"/>
      <c r="N502" s="556"/>
      <c r="O502" s="556"/>
      <c r="P502" s="556"/>
      <c r="Q502" s="556"/>
      <c r="R502" s="596"/>
      <c r="S502" s="596"/>
      <c r="T502" s="556"/>
      <c r="U502" s="556"/>
      <c r="V502" s="807"/>
      <c r="W502" s="556"/>
      <c r="X502" s="556"/>
      <c r="Y502" s="556"/>
      <c r="Z502" s="579"/>
      <c r="AA502" s="556"/>
      <c r="AB502" s="556"/>
      <c r="AC502" s="556"/>
      <c r="AD502" s="556"/>
    </row>
    <row r="503" ht="15.75" customHeight="1">
      <c r="A503" s="556"/>
      <c r="B503" s="556"/>
      <c r="C503" s="596"/>
      <c r="D503" s="556"/>
      <c r="E503" s="596"/>
      <c r="F503" s="556"/>
      <c r="G503" s="556"/>
      <c r="H503" s="556"/>
      <c r="I503" s="556"/>
      <c r="J503" s="556"/>
      <c r="K503" s="556"/>
      <c r="L503" s="556"/>
      <c r="M503" s="556"/>
      <c r="N503" s="556"/>
      <c r="O503" s="556"/>
      <c r="P503" s="556"/>
      <c r="Q503" s="556"/>
      <c r="R503" s="596"/>
      <c r="S503" s="596"/>
      <c r="T503" s="556"/>
      <c r="U503" s="556"/>
      <c r="V503" s="807"/>
      <c r="W503" s="556"/>
      <c r="X503" s="556"/>
      <c r="Y503" s="556"/>
      <c r="Z503" s="579"/>
      <c r="AA503" s="556"/>
      <c r="AB503" s="556"/>
      <c r="AC503" s="556"/>
      <c r="AD503" s="556"/>
    </row>
    <row r="504" ht="15.75" customHeight="1">
      <c r="A504" s="556"/>
      <c r="B504" s="556"/>
      <c r="C504" s="596"/>
      <c r="D504" s="556"/>
      <c r="E504" s="596"/>
      <c r="F504" s="556"/>
      <c r="G504" s="556"/>
      <c r="H504" s="556"/>
      <c r="I504" s="556"/>
      <c r="J504" s="556"/>
      <c r="K504" s="556"/>
      <c r="L504" s="556"/>
      <c r="M504" s="556"/>
      <c r="N504" s="556"/>
      <c r="O504" s="556"/>
      <c r="P504" s="556"/>
      <c r="Q504" s="556"/>
      <c r="R504" s="596"/>
      <c r="S504" s="596"/>
      <c r="T504" s="556"/>
      <c r="U504" s="556"/>
      <c r="V504" s="807"/>
      <c r="W504" s="556"/>
      <c r="X504" s="556"/>
      <c r="Y504" s="556"/>
      <c r="Z504" s="579"/>
      <c r="AA504" s="556"/>
      <c r="AB504" s="556"/>
      <c r="AC504" s="556"/>
      <c r="AD504" s="556"/>
    </row>
    <row r="505" ht="15.75" customHeight="1">
      <c r="A505" s="556"/>
      <c r="B505" s="556"/>
      <c r="C505" s="596"/>
      <c r="D505" s="556"/>
      <c r="E505" s="596"/>
      <c r="F505" s="556"/>
      <c r="G505" s="556"/>
      <c r="H505" s="556"/>
      <c r="I505" s="556"/>
      <c r="J505" s="556"/>
      <c r="K505" s="556"/>
      <c r="L505" s="556"/>
      <c r="M505" s="556"/>
      <c r="N505" s="556"/>
      <c r="O505" s="556"/>
      <c r="P505" s="556"/>
      <c r="Q505" s="556"/>
      <c r="R505" s="596"/>
      <c r="S505" s="596"/>
      <c r="T505" s="556"/>
      <c r="U505" s="556"/>
      <c r="V505" s="807"/>
      <c r="W505" s="556"/>
      <c r="X505" s="556"/>
      <c r="Y505" s="556"/>
      <c r="Z505" s="579"/>
      <c r="AA505" s="556"/>
      <c r="AB505" s="556"/>
      <c r="AC505" s="556"/>
      <c r="AD505" s="556"/>
    </row>
    <row r="506" ht="15.75" customHeight="1">
      <c r="A506" s="556"/>
      <c r="B506" s="556"/>
      <c r="C506" s="596"/>
      <c r="D506" s="556"/>
      <c r="E506" s="596"/>
      <c r="F506" s="556"/>
      <c r="G506" s="556"/>
      <c r="H506" s="556"/>
      <c r="I506" s="556"/>
      <c r="J506" s="556"/>
      <c r="K506" s="556"/>
      <c r="L506" s="556"/>
      <c r="M506" s="556"/>
      <c r="N506" s="556"/>
      <c r="O506" s="556"/>
      <c r="P506" s="556"/>
      <c r="Q506" s="556"/>
      <c r="R506" s="596"/>
      <c r="S506" s="596"/>
      <c r="T506" s="556"/>
      <c r="U506" s="556"/>
      <c r="V506" s="807"/>
      <c r="W506" s="556"/>
      <c r="X506" s="556"/>
      <c r="Y506" s="556"/>
      <c r="Z506" s="579"/>
      <c r="AA506" s="556"/>
      <c r="AB506" s="556"/>
      <c r="AC506" s="556"/>
      <c r="AD506" s="556"/>
    </row>
    <row r="507" ht="15.75" customHeight="1">
      <c r="A507" s="556"/>
      <c r="B507" s="556"/>
      <c r="C507" s="596"/>
      <c r="D507" s="556"/>
      <c r="E507" s="596"/>
      <c r="F507" s="556"/>
      <c r="G507" s="556"/>
      <c r="H507" s="556"/>
      <c r="I507" s="556"/>
      <c r="J507" s="556"/>
      <c r="K507" s="556"/>
      <c r="L507" s="556"/>
      <c r="M507" s="556"/>
      <c r="N507" s="556"/>
      <c r="O507" s="556"/>
      <c r="P507" s="556"/>
      <c r="Q507" s="556"/>
      <c r="R507" s="596"/>
      <c r="S507" s="596"/>
      <c r="T507" s="556"/>
      <c r="U507" s="556"/>
      <c r="V507" s="807"/>
      <c r="W507" s="556"/>
      <c r="X507" s="556"/>
      <c r="Y507" s="556"/>
      <c r="Z507" s="579"/>
      <c r="AA507" s="556"/>
      <c r="AB507" s="556"/>
      <c r="AC507" s="556"/>
      <c r="AD507" s="556"/>
    </row>
    <row r="508" ht="15.75" customHeight="1">
      <c r="A508" s="556"/>
      <c r="B508" s="556"/>
      <c r="C508" s="596"/>
      <c r="D508" s="556"/>
      <c r="E508" s="596"/>
      <c r="F508" s="556"/>
      <c r="G508" s="556"/>
      <c r="H508" s="556"/>
      <c r="I508" s="556"/>
      <c r="J508" s="556"/>
      <c r="K508" s="556"/>
      <c r="L508" s="556"/>
      <c r="M508" s="556"/>
      <c r="N508" s="556"/>
      <c r="O508" s="556"/>
      <c r="P508" s="556"/>
      <c r="Q508" s="556"/>
      <c r="R508" s="596"/>
      <c r="S508" s="596"/>
      <c r="T508" s="556"/>
      <c r="U508" s="556"/>
      <c r="V508" s="807"/>
      <c r="W508" s="556"/>
      <c r="X508" s="556"/>
      <c r="Y508" s="556"/>
      <c r="Z508" s="579"/>
      <c r="AA508" s="556"/>
      <c r="AB508" s="556"/>
      <c r="AC508" s="556"/>
      <c r="AD508" s="556"/>
    </row>
    <row r="509" ht="15.75" customHeight="1">
      <c r="A509" s="556"/>
      <c r="B509" s="556"/>
      <c r="C509" s="596"/>
      <c r="D509" s="556"/>
      <c r="E509" s="596"/>
      <c r="F509" s="556"/>
      <c r="G509" s="556"/>
      <c r="H509" s="556"/>
      <c r="I509" s="556"/>
      <c r="J509" s="556"/>
      <c r="K509" s="556"/>
      <c r="L509" s="556"/>
      <c r="M509" s="556"/>
      <c r="N509" s="556"/>
      <c r="O509" s="556"/>
      <c r="P509" s="556"/>
      <c r="Q509" s="556"/>
      <c r="R509" s="596"/>
      <c r="S509" s="596"/>
      <c r="T509" s="556"/>
      <c r="U509" s="556"/>
      <c r="V509" s="807"/>
      <c r="W509" s="556"/>
      <c r="X509" s="556"/>
      <c r="Y509" s="556"/>
      <c r="Z509" s="579"/>
      <c r="AA509" s="556"/>
      <c r="AB509" s="556"/>
      <c r="AC509" s="556"/>
      <c r="AD509" s="556"/>
    </row>
    <row r="510" ht="15.75" customHeight="1">
      <c r="A510" s="556"/>
      <c r="B510" s="556"/>
      <c r="C510" s="596"/>
      <c r="D510" s="556"/>
      <c r="E510" s="596"/>
      <c r="F510" s="556"/>
      <c r="G510" s="556"/>
      <c r="H510" s="556"/>
      <c r="I510" s="556"/>
      <c r="J510" s="556"/>
      <c r="K510" s="556"/>
      <c r="L510" s="556"/>
      <c r="M510" s="556"/>
      <c r="N510" s="556"/>
      <c r="O510" s="556"/>
      <c r="P510" s="556"/>
      <c r="Q510" s="556"/>
      <c r="R510" s="596"/>
      <c r="S510" s="596"/>
      <c r="T510" s="556"/>
      <c r="U510" s="556"/>
      <c r="V510" s="807"/>
      <c r="W510" s="556"/>
      <c r="X510" s="556"/>
      <c r="Y510" s="556"/>
      <c r="Z510" s="579"/>
      <c r="AA510" s="556"/>
      <c r="AB510" s="556"/>
      <c r="AC510" s="556"/>
      <c r="AD510" s="556"/>
    </row>
    <row r="511" ht="15.75" customHeight="1">
      <c r="A511" s="556"/>
      <c r="B511" s="556"/>
      <c r="C511" s="596"/>
      <c r="D511" s="556"/>
      <c r="E511" s="596"/>
      <c r="F511" s="556"/>
      <c r="G511" s="556"/>
      <c r="H511" s="556"/>
      <c r="I511" s="556"/>
      <c r="J511" s="556"/>
      <c r="K511" s="556"/>
      <c r="L511" s="556"/>
      <c r="M511" s="556"/>
      <c r="N511" s="556"/>
      <c r="O511" s="556"/>
      <c r="P511" s="556"/>
      <c r="Q511" s="556"/>
      <c r="R511" s="596"/>
      <c r="S511" s="596"/>
      <c r="T511" s="556"/>
      <c r="U511" s="556"/>
      <c r="V511" s="807"/>
      <c r="W511" s="556"/>
      <c r="X511" s="556"/>
      <c r="Y511" s="556"/>
      <c r="Z511" s="579"/>
      <c r="AA511" s="556"/>
      <c r="AB511" s="556"/>
      <c r="AC511" s="556"/>
      <c r="AD511" s="556"/>
    </row>
    <row r="512" ht="15.75" customHeight="1">
      <c r="A512" s="556"/>
      <c r="B512" s="556"/>
      <c r="C512" s="596"/>
      <c r="D512" s="556"/>
      <c r="E512" s="596"/>
      <c r="F512" s="556"/>
      <c r="G512" s="556"/>
      <c r="H512" s="556"/>
      <c r="I512" s="556"/>
      <c r="J512" s="556"/>
      <c r="K512" s="556"/>
      <c r="L512" s="556"/>
      <c r="M512" s="556"/>
      <c r="N512" s="556"/>
      <c r="O512" s="556"/>
      <c r="P512" s="556"/>
      <c r="Q512" s="556"/>
      <c r="R512" s="596"/>
      <c r="S512" s="596"/>
      <c r="T512" s="556"/>
      <c r="U512" s="556"/>
      <c r="V512" s="807"/>
      <c r="W512" s="556"/>
      <c r="X512" s="556"/>
      <c r="Y512" s="556"/>
      <c r="Z512" s="579"/>
      <c r="AA512" s="556"/>
      <c r="AB512" s="556"/>
      <c r="AC512" s="556"/>
      <c r="AD512" s="556"/>
    </row>
    <row r="513" ht="15.75" customHeight="1">
      <c r="A513" s="556"/>
      <c r="B513" s="556"/>
      <c r="C513" s="596"/>
      <c r="D513" s="556"/>
      <c r="E513" s="596"/>
      <c r="F513" s="556"/>
      <c r="G513" s="556"/>
      <c r="H513" s="556"/>
      <c r="I513" s="556"/>
      <c r="J513" s="556"/>
      <c r="K513" s="556"/>
      <c r="L513" s="556"/>
      <c r="M513" s="556"/>
      <c r="N513" s="556"/>
      <c r="O513" s="556"/>
      <c r="P513" s="556"/>
      <c r="Q513" s="556"/>
      <c r="R513" s="596"/>
      <c r="S513" s="596"/>
      <c r="T513" s="556"/>
      <c r="U513" s="556"/>
      <c r="V513" s="807"/>
      <c r="W513" s="556"/>
      <c r="X513" s="556"/>
      <c r="Y513" s="556"/>
      <c r="Z513" s="579"/>
      <c r="AA513" s="556"/>
      <c r="AB513" s="556"/>
      <c r="AC513" s="556"/>
      <c r="AD513" s="556"/>
    </row>
    <row r="514" ht="15.75" customHeight="1">
      <c r="A514" s="556"/>
      <c r="B514" s="556"/>
      <c r="C514" s="596"/>
      <c r="D514" s="556"/>
      <c r="E514" s="596"/>
      <c r="F514" s="556"/>
      <c r="G514" s="556"/>
      <c r="H514" s="556"/>
      <c r="I514" s="556"/>
      <c r="J514" s="556"/>
      <c r="K514" s="556"/>
      <c r="L514" s="556"/>
      <c r="M514" s="556"/>
      <c r="N514" s="556"/>
      <c r="O514" s="556"/>
      <c r="P514" s="556"/>
      <c r="Q514" s="556"/>
      <c r="R514" s="596"/>
      <c r="S514" s="596"/>
      <c r="T514" s="556"/>
      <c r="U514" s="556"/>
      <c r="V514" s="807"/>
      <c r="W514" s="556"/>
      <c r="X514" s="556"/>
      <c r="Y514" s="556"/>
      <c r="Z514" s="579"/>
      <c r="AA514" s="556"/>
      <c r="AB514" s="556"/>
      <c r="AC514" s="556"/>
      <c r="AD514" s="556"/>
    </row>
    <row r="515" ht="15.75" customHeight="1">
      <c r="A515" s="556"/>
      <c r="B515" s="556"/>
      <c r="C515" s="596"/>
      <c r="D515" s="556"/>
      <c r="E515" s="596"/>
      <c r="F515" s="556"/>
      <c r="G515" s="556"/>
      <c r="H515" s="556"/>
      <c r="I515" s="556"/>
      <c r="J515" s="556"/>
      <c r="K515" s="556"/>
      <c r="L515" s="556"/>
      <c r="M515" s="556"/>
      <c r="N515" s="556"/>
      <c r="O515" s="556"/>
      <c r="P515" s="556"/>
      <c r="Q515" s="556"/>
      <c r="R515" s="596"/>
      <c r="S515" s="596"/>
      <c r="T515" s="556"/>
      <c r="U515" s="556"/>
      <c r="V515" s="807"/>
      <c r="W515" s="556"/>
      <c r="X515" s="556"/>
      <c r="Y515" s="556"/>
      <c r="Z515" s="579"/>
      <c r="AA515" s="556"/>
      <c r="AB515" s="556"/>
      <c r="AC515" s="556"/>
      <c r="AD515" s="556"/>
    </row>
    <row r="516" ht="15.75" customHeight="1">
      <c r="A516" s="556"/>
      <c r="B516" s="556"/>
      <c r="C516" s="596"/>
      <c r="D516" s="556"/>
      <c r="E516" s="596"/>
      <c r="F516" s="556"/>
      <c r="G516" s="556"/>
      <c r="H516" s="556"/>
      <c r="I516" s="556"/>
      <c r="J516" s="556"/>
      <c r="K516" s="556"/>
      <c r="L516" s="556"/>
      <c r="M516" s="556"/>
      <c r="N516" s="556"/>
      <c r="O516" s="556"/>
      <c r="P516" s="556"/>
      <c r="Q516" s="556"/>
      <c r="R516" s="596"/>
      <c r="S516" s="596"/>
      <c r="T516" s="556"/>
      <c r="U516" s="556"/>
      <c r="V516" s="807"/>
      <c r="W516" s="556"/>
      <c r="X516" s="556"/>
      <c r="Y516" s="556"/>
      <c r="Z516" s="579"/>
      <c r="AA516" s="556"/>
      <c r="AB516" s="556"/>
      <c r="AC516" s="556"/>
      <c r="AD516" s="556"/>
    </row>
    <row r="517" ht="15.75" customHeight="1">
      <c r="A517" s="556"/>
      <c r="B517" s="556"/>
      <c r="C517" s="596"/>
      <c r="D517" s="556"/>
      <c r="E517" s="596"/>
      <c r="F517" s="556"/>
      <c r="G517" s="556"/>
      <c r="H517" s="556"/>
      <c r="I517" s="556"/>
      <c r="J517" s="556"/>
      <c r="K517" s="556"/>
      <c r="L517" s="556"/>
      <c r="M517" s="556"/>
      <c r="N517" s="556"/>
      <c r="O517" s="556"/>
      <c r="P517" s="556"/>
      <c r="Q517" s="556"/>
      <c r="R517" s="596"/>
      <c r="S517" s="596"/>
      <c r="T517" s="556"/>
      <c r="U517" s="556"/>
      <c r="V517" s="807"/>
      <c r="W517" s="556"/>
      <c r="X517" s="556"/>
      <c r="Y517" s="556"/>
      <c r="Z517" s="579"/>
      <c r="AA517" s="556"/>
      <c r="AB517" s="556"/>
      <c r="AC517" s="556"/>
      <c r="AD517" s="556"/>
    </row>
    <row r="518" ht="15.75" customHeight="1">
      <c r="A518" s="556"/>
      <c r="B518" s="556"/>
      <c r="C518" s="596"/>
      <c r="D518" s="556"/>
      <c r="E518" s="596"/>
      <c r="F518" s="556"/>
      <c r="G518" s="556"/>
      <c r="H518" s="556"/>
      <c r="I518" s="556"/>
      <c r="J518" s="556"/>
      <c r="K518" s="556"/>
      <c r="L518" s="556"/>
      <c r="M518" s="556"/>
      <c r="N518" s="556"/>
      <c r="O518" s="556"/>
      <c r="P518" s="556"/>
      <c r="Q518" s="556"/>
      <c r="R518" s="596"/>
      <c r="S518" s="596"/>
      <c r="T518" s="556"/>
      <c r="U518" s="556"/>
      <c r="V518" s="807"/>
      <c r="W518" s="556"/>
      <c r="X518" s="556"/>
      <c r="Y518" s="556"/>
      <c r="Z518" s="579"/>
      <c r="AA518" s="556"/>
      <c r="AB518" s="556"/>
      <c r="AC518" s="556"/>
      <c r="AD518" s="556"/>
    </row>
    <row r="519" ht="15.75" customHeight="1">
      <c r="A519" s="556"/>
      <c r="B519" s="556"/>
      <c r="C519" s="596"/>
      <c r="D519" s="556"/>
      <c r="E519" s="596"/>
      <c r="F519" s="556"/>
      <c r="G519" s="556"/>
      <c r="H519" s="556"/>
      <c r="I519" s="556"/>
      <c r="J519" s="556"/>
      <c r="K519" s="556"/>
      <c r="L519" s="556"/>
      <c r="M519" s="556"/>
      <c r="N519" s="556"/>
      <c r="O519" s="556"/>
      <c r="P519" s="556"/>
      <c r="Q519" s="556"/>
      <c r="R519" s="596"/>
      <c r="S519" s="596"/>
      <c r="T519" s="556"/>
      <c r="U519" s="556"/>
      <c r="V519" s="807"/>
      <c r="W519" s="556"/>
      <c r="X519" s="556"/>
      <c r="Y519" s="556"/>
      <c r="Z519" s="579"/>
      <c r="AA519" s="556"/>
      <c r="AB519" s="556"/>
      <c r="AC519" s="556"/>
      <c r="AD519" s="556"/>
    </row>
    <row r="520" ht="15.75" customHeight="1">
      <c r="A520" s="556"/>
      <c r="B520" s="556"/>
      <c r="C520" s="596"/>
      <c r="D520" s="556"/>
      <c r="E520" s="596"/>
      <c r="F520" s="556"/>
      <c r="G520" s="556"/>
      <c r="H520" s="556"/>
      <c r="I520" s="556"/>
      <c r="J520" s="556"/>
      <c r="K520" s="556"/>
      <c r="L520" s="556"/>
      <c r="M520" s="556"/>
      <c r="N520" s="556"/>
      <c r="O520" s="556"/>
      <c r="P520" s="556"/>
      <c r="Q520" s="556"/>
      <c r="R520" s="596"/>
      <c r="S520" s="596"/>
      <c r="T520" s="556"/>
      <c r="U520" s="556"/>
      <c r="V520" s="807"/>
      <c r="W520" s="556"/>
      <c r="X520" s="556"/>
      <c r="Y520" s="556"/>
      <c r="Z520" s="579"/>
      <c r="AA520" s="556"/>
      <c r="AB520" s="556"/>
      <c r="AC520" s="556"/>
      <c r="AD520" s="556"/>
    </row>
    <row r="521" ht="15.75" customHeight="1">
      <c r="A521" s="556"/>
      <c r="B521" s="556"/>
      <c r="C521" s="596"/>
      <c r="D521" s="556"/>
      <c r="E521" s="596"/>
      <c r="F521" s="556"/>
      <c r="G521" s="556"/>
      <c r="H521" s="556"/>
      <c r="I521" s="556"/>
      <c r="J521" s="556"/>
      <c r="K521" s="556"/>
      <c r="L521" s="556"/>
      <c r="M521" s="556"/>
      <c r="N521" s="556"/>
      <c r="O521" s="556"/>
      <c r="P521" s="556"/>
      <c r="Q521" s="556"/>
      <c r="R521" s="596"/>
      <c r="S521" s="596"/>
      <c r="T521" s="556"/>
      <c r="U521" s="556"/>
      <c r="V521" s="807"/>
      <c r="W521" s="556"/>
      <c r="X521" s="556"/>
      <c r="Y521" s="556"/>
      <c r="Z521" s="579"/>
      <c r="AA521" s="556"/>
      <c r="AB521" s="556"/>
      <c r="AC521" s="556"/>
      <c r="AD521" s="556"/>
    </row>
    <row r="522" ht="15.75" customHeight="1">
      <c r="A522" s="556"/>
      <c r="B522" s="556"/>
      <c r="C522" s="596"/>
      <c r="D522" s="556"/>
      <c r="E522" s="596"/>
      <c r="F522" s="556"/>
      <c r="G522" s="556"/>
      <c r="H522" s="556"/>
      <c r="I522" s="556"/>
      <c r="J522" s="556"/>
      <c r="K522" s="556"/>
      <c r="L522" s="556"/>
      <c r="M522" s="556"/>
      <c r="N522" s="556"/>
      <c r="O522" s="556"/>
      <c r="P522" s="556"/>
      <c r="Q522" s="556"/>
      <c r="R522" s="596"/>
      <c r="S522" s="596"/>
      <c r="T522" s="556"/>
      <c r="U522" s="556"/>
      <c r="V522" s="807"/>
      <c r="W522" s="556"/>
      <c r="X522" s="556"/>
      <c r="Y522" s="556"/>
      <c r="Z522" s="579"/>
      <c r="AA522" s="556"/>
      <c r="AB522" s="556"/>
      <c r="AC522" s="556"/>
      <c r="AD522" s="556"/>
    </row>
    <row r="523" ht="15.75" customHeight="1">
      <c r="A523" s="556"/>
      <c r="B523" s="556"/>
      <c r="C523" s="596"/>
      <c r="D523" s="556"/>
      <c r="E523" s="596"/>
      <c r="F523" s="556"/>
      <c r="G523" s="556"/>
      <c r="H523" s="556"/>
      <c r="I523" s="556"/>
      <c r="J523" s="556"/>
      <c r="K523" s="556"/>
      <c r="L523" s="556"/>
      <c r="M523" s="556"/>
      <c r="N523" s="556"/>
      <c r="O523" s="556"/>
      <c r="P523" s="556"/>
      <c r="Q523" s="556"/>
      <c r="R523" s="596"/>
      <c r="S523" s="596"/>
      <c r="T523" s="556"/>
      <c r="U523" s="556"/>
      <c r="V523" s="807"/>
      <c r="W523" s="556"/>
      <c r="X523" s="556"/>
      <c r="Y523" s="556"/>
      <c r="Z523" s="579"/>
      <c r="AA523" s="556"/>
      <c r="AB523" s="556"/>
      <c r="AC523" s="556"/>
      <c r="AD523" s="556"/>
    </row>
    <row r="524" ht="15.75" customHeight="1">
      <c r="A524" s="556"/>
      <c r="B524" s="556"/>
      <c r="C524" s="596"/>
      <c r="D524" s="556"/>
      <c r="E524" s="596"/>
      <c r="F524" s="556"/>
      <c r="G524" s="556"/>
      <c r="H524" s="556"/>
      <c r="I524" s="556"/>
      <c r="J524" s="556"/>
      <c r="K524" s="556"/>
      <c r="L524" s="556"/>
      <c r="M524" s="556"/>
      <c r="N524" s="556"/>
      <c r="O524" s="556"/>
      <c r="P524" s="556"/>
      <c r="Q524" s="556"/>
      <c r="R524" s="596"/>
      <c r="S524" s="596"/>
      <c r="T524" s="556"/>
      <c r="U524" s="556"/>
      <c r="V524" s="807"/>
      <c r="W524" s="556"/>
      <c r="X524" s="556"/>
      <c r="Y524" s="556"/>
      <c r="Z524" s="579"/>
      <c r="AA524" s="556"/>
      <c r="AB524" s="556"/>
      <c r="AC524" s="556"/>
      <c r="AD524" s="556"/>
    </row>
    <row r="525" ht="15.75" customHeight="1">
      <c r="A525" s="556"/>
      <c r="B525" s="556"/>
      <c r="C525" s="596"/>
      <c r="D525" s="556"/>
      <c r="E525" s="596"/>
      <c r="F525" s="556"/>
      <c r="G525" s="556"/>
      <c r="H525" s="556"/>
      <c r="I525" s="556"/>
      <c r="J525" s="556"/>
      <c r="K525" s="556"/>
      <c r="L525" s="556"/>
      <c r="M525" s="556"/>
      <c r="N525" s="556"/>
      <c r="O525" s="556"/>
      <c r="P525" s="556"/>
      <c r="Q525" s="556"/>
      <c r="R525" s="596"/>
      <c r="S525" s="596"/>
      <c r="T525" s="556"/>
      <c r="U525" s="556"/>
      <c r="V525" s="807"/>
      <c r="W525" s="556"/>
      <c r="X525" s="556"/>
      <c r="Y525" s="556"/>
      <c r="Z525" s="579"/>
      <c r="AA525" s="556"/>
      <c r="AB525" s="556"/>
      <c r="AC525" s="556"/>
      <c r="AD525" s="556"/>
    </row>
    <row r="526" ht="15.75" customHeight="1">
      <c r="A526" s="556"/>
      <c r="B526" s="556"/>
      <c r="C526" s="596"/>
      <c r="D526" s="556"/>
      <c r="E526" s="596"/>
      <c r="F526" s="556"/>
      <c r="G526" s="556"/>
      <c r="H526" s="556"/>
      <c r="I526" s="556"/>
      <c r="J526" s="556"/>
      <c r="K526" s="556"/>
      <c r="L526" s="556"/>
      <c r="M526" s="556"/>
      <c r="N526" s="556"/>
      <c r="O526" s="556"/>
      <c r="P526" s="556"/>
      <c r="Q526" s="556"/>
      <c r="R526" s="596"/>
      <c r="S526" s="596"/>
      <c r="T526" s="556"/>
      <c r="U526" s="556"/>
      <c r="V526" s="807"/>
      <c r="W526" s="556"/>
      <c r="X526" s="556"/>
      <c r="Y526" s="556"/>
      <c r="Z526" s="579"/>
      <c r="AA526" s="556"/>
      <c r="AB526" s="556"/>
      <c r="AC526" s="556"/>
      <c r="AD526" s="556"/>
    </row>
    <row r="527" ht="15.75" customHeight="1">
      <c r="A527" s="556"/>
      <c r="B527" s="556"/>
      <c r="C527" s="596"/>
      <c r="D527" s="556"/>
      <c r="E527" s="596"/>
      <c r="F527" s="556"/>
      <c r="G527" s="556"/>
      <c r="H527" s="556"/>
      <c r="I527" s="556"/>
      <c r="J527" s="556"/>
      <c r="K527" s="556"/>
      <c r="L527" s="556"/>
      <c r="M527" s="556"/>
      <c r="N527" s="556"/>
      <c r="O527" s="556"/>
      <c r="P527" s="556"/>
      <c r="Q527" s="556"/>
      <c r="R527" s="596"/>
      <c r="S527" s="596"/>
      <c r="T527" s="556"/>
      <c r="U527" s="556"/>
      <c r="V527" s="807"/>
      <c r="W527" s="556"/>
      <c r="X527" s="556"/>
      <c r="Y527" s="556"/>
      <c r="Z527" s="579"/>
      <c r="AA527" s="556"/>
      <c r="AB527" s="556"/>
      <c r="AC527" s="556"/>
      <c r="AD527" s="556"/>
    </row>
    <row r="528" ht="15.75" customHeight="1">
      <c r="A528" s="556"/>
      <c r="B528" s="556"/>
      <c r="C528" s="596"/>
      <c r="D528" s="556"/>
      <c r="E528" s="596"/>
      <c r="F528" s="556"/>
      <c r="G528" s="556"/>
      <c r="H528" s="556"/>
      <c r="I528" s="556"/>
      <c r="J528" s="556"/>
      <c r="K528" s="556"/>
      <c r="L528" s="556"/>
      <c r="M528" s="556"/>
      <c r="N528" s="556"/>
      <c r="O528" s="556"/>
      <c r="P528" s="556"/>
      <c r="Q528" s="556"/>
      <c r="R528" s="596"/>
      <c r="S528" s="596"/>
      <c r="T528" s="556"/>
      <c r="U528" s="556"/>
      <c r="V528" s="807"/>
      <c r="W528" s="556"/>
      <c r="X528" s="556"/>
      <c r="Y528" s="556"/>
      <c r="Z528" s="579"/>
      <c r="AA528" s="556"/>
      <c r="AB528" s="556"/>
      <c r="AC528" s="556"/>
      <c r="AD528" s="556"/>
    </row>
    <row r="529" ht="15.75" customHeight="1">
      <c r="A529" s="556"/>
      <c r="B529" s="556"/>
      <c r="C529" s="596"/>
      <c r="D529" s="556"/>
      <c r="E529" s="596"/>
      <c r="F529" s="556"/>
      <c r="G529" s="556"/>
      <c r="H529" s="556"/>
      <c r="I529" s="556"/>
      <c r="J529" s="556"/>
      <c r="K529" s="556"/>
      <c r="L529" s="556"/>
      <c r="M529" s="556"/>
      <c r="N529" s="556"/>
      <c r="O529" s="556"/>
      <c r="P529" s="556"/>
      <c r="Q529" s="556"/>
      <c r="R529" s="596"/>
      <c r="S529" s="596"/>
      <c r="T529" s="556"/>
      <c r="U529" s="556"/>
      <c r="V529" s="807"/>
      <c r="W529" s="556"/>
      <c r="X529" s="556"/>
      <c r="Y529" s="556"/>
      <c r="Z529" s="579"/>
      <c r="AA529" s="556"/>
      <c r="AB529" s="556"/>
      <c r="AC529" s="556"/>
      <c r="AD529" s="556"/>
    </row>
    <row r="530" ht="15.75" customHeight="1">
      <c r="A530" s="556"/>
      <c r="B530" s="556"/>
      <c r="C530" s="596"/>
      <c r="D530" s="556"/>
      <c r="E530" s="596"/>
      <c r="F530" s="556"/>
      <c r="G530" s="556"/>
      <c r="H530" s="556"/>
      <c r="I530" s="556"/>
      <c r="J530" s="556"/>
      <c r="K530" s="556"/>
      <c r="L530" s="556"/>
      <c r="M530" s="556"/>
      <c r="N530" s="556"/>
      <c r="O530" s="556"/>
      <c r="P530" s="556"/>
      <c r="Q530" s="556"/>
      <c r="R530" s="596"/>
      <c r="S530" s="596"/>
      <c r="T530" s="556"/>
      <c r="U530" s="556"/>
      <c r="V530" s="807"/>
      <c r="W530" s="556"/>
      <c r="X530" s="556"/>
      <c r="Y530" s="556"/>
      <c r="Z530" s="579"/>
      <c r="AA530" s="556"/>
      <c r="AB530" s="556"/>
      <c r="AC530" s="556"/>
      <c r="AD530" s="556"/>
    </row>
    <row r="531" ht="15.75" customHeight="1">
      <c r="A531" s="556"/>
      <c r="B531" s="556"/>
      <c r="C531" s="596"/>
      <c r="D531" s="556"/>
      <c r="E531" s="596"/>
      <c r="F531" s="556"/>
      <c r="G531" s="556"/>
      <c r="H531" s="556"/>
      <c r="I531" s="556"/>
      <c r="J531" s="556"/>
      <c r="K531" s="556"/>
      <c r="L531" s="556"/>
      <c r="M531" s="556"/>
      <c r="N531" s="556"/>
      <c r="O531" s="556"/>
      <c r="P531" s="556"/>
      <c r="Q531" s="556"/>
      <c r="R531" s="596"/>
      <c r="S531" s="596"/>
      <c r="T531" s="556"/>
      <c r="U531" s="556"/>
      <c r="V531" s="807"/>
      <c r="W531" s="556"/>
      <c r="X531" s="556"/>
      <c r="Y531" s="556"/>
      <c r="Z531" s="579"/>
      <c r="AA531" s="556"/>
      <c r="AB531" s="556"/>
      <c r="AC531" s="556"/>
      <c r="AD531" s="556"/>
    </row>
    <row r="532" ht="15.75" customHeight="1">
      <c r="A532" s="556"/>
      <c r="B532" s="556"/>
      <c r="C532" s="596"/>
      <c r="D532" s="556"/>
      <c r="E532" s="596"/>
      <c r="F532" s="556"/>
      <c r="G532" s="556"/>
      <c r="H532" s="556"/>
      <c r="I532" s="556"/>
      <c r="J532" s="556"/>
      <c r="K532" s="556"/>
      <c r="L532" s="556"/>
      <c r="M532" s="556"/>
      <c r="N532" s="556"/>
      <c r="O532" s="556"/>
      <c r="P532" s="556"/>
      <c r="Q532" s="556"/>
      <c r="R532" s="596"/>
      <c r="S532" s="596"/>
      <c r="T532" s="556"/>
      <c r="U532" s="556"/>
      <c r="V532" s="807"/>
      <c r="W532" s="556"/>
      <c r="X532" s="556"/>
      <c r="Y532" s="556"/>
      <c r="Z532" s="579"/>
      <c r="AA532" s="556"/>
      <c r="AB532" s="556"/>
      <c r="AC532" s="556"/>
      <c r="AD532" s="556"/>
    </row>
    <row r="533" ht="15.75" customHeight="1">
      <c r="A533" s="556"/>
      <c r="B533" s="556"/>
      <c r="C533" s="596"/>
      <c r="D533" s="556"/>
      <c r="E533" s="596"/>
      <c r="F533" s="556"/>
      <c r="G533" s="556"/>
      <c r="H533" s="556"/>
      <c r="I533" s="556"/>
      <c r="J533" s="556"/>
      <c r="K533" s="556"/>
      <c r="L533" s="556"/>
      <c r="M533" s="556"/>
      <c r="N533" s="556"/>
      <c r="O533" s="556"/>
      <c r="P533" s="556"/>
      <c r="Q533" s="556"/>
      <c r="R533" s="596"/>
      <c r="S533" s="596"/>
      <c r="T533" s="556"/>
      <c r="U533" s="556"/>
      <c r="V533" s="807"/>
      <c r="W533" s="556"/>
      <c r="X533" s="556"/>
      <c r="Y533" s="556"/>
      <c r="Z533" s="579"/>
      <c r="AA533" s="556"/>
      <c r="AB533" s="556"/>
      <c r="AC533" s="556"/>
      <c r="AD533" s="556"/>
    </row>
    <row r="534" ht="15.75" customHeight="1">
      <c r="A534" s="556"/>
      <c r="B534" s="556"/>
      <c r="C534" s="596"/>
      <c r="D534" s="556"/>
      <c r="E534" s="596"/>
      <c r="F534" s="556"/>
      <c r="G534" s="556"/>
      <c r="H534" s="556"/>
      <c r="I534" s="556"/>
      <c r="J534" s="556"/>
      <c r="K534" s="556"/>
      <c r="L534" s="556"/>
      <c r="M534" s="556"/>
      <c r="N534" s="556"/>
      <c r="O534" s="556"/>
      <c r="P534" s="556"/>
      <c r="Q534" s="556"/>
      <c r="R534" s="596"/>
      <c r="S534" s="596"/>
      <c r="T534" s="556"/>
      <c r="U534" s="556"/>
      <c r="V534" s="807"/>
      <c r="W534" s="556"/>
      <c r="X534" s="556"/>
      <c r="Y534" s="556"/>
      <c r="Z534" s="579"/>
      <c r="AA534" s="556"/>
      <c r="AB534" s="556"/>
      <c r="AC534" s="556"/>
      <c r="AD534" s="556"/>
    </row>
    <row r="535" ht="15.75" customHeight="1">
      <c r="A535" s="556"/>
      <c r="B535" s="556"/>
      <c r="C535" s="596"/>
      <c r="D535" s="556"/>
      <c r="E535" s="596"/>
      <c r="F535" s="556"/>
      <c r="G535" s="556"/>
      <c r="H535" s="556"/>
      <c r="I535" s="556"/>
      <c r="J535" s="556"/>
      <c r="K535" s="556"/>
      <c r="L535" s="556"/>
      <c r="M535" s="556"/>
      <c r="N535" s="556"/>
      <c r="O535" s="556"/>
      <c r="P535" s="556"/>
      <c r="Q535" s="556"/>
      <c r="R535" s="596"/>
      <c r="S535" s="596"/>
      <c r="T535" s="556"/>
      <c r="U535" s="556"/>
      <c r="V535" s="807"/>
      <c r="W535" s="556"/>
      <c r="X535" s="556"/>
      <c r="Y535" s="556"/>
      <c r="Z535" s="579"/>
      <c r="AA535" s="556"/>
      <c r="AB535" s="556"/>
      <c r="AC535" s="556"/>
      <c r="AD535" s="556"/>
    </row>
    <row r="536" ht="15.75" customHeight="1">
      <c r="A536" s="556"/>
      <c r="B536" s="556"/>
      <c r="C536" s="596"/>
      <c r="D536" s="556"/>
      <c r="E536" s="596"/>
      <c r="F536" s="556"/>
      <c r="G536" s="556"/>
      <c r="H536" s="556"/>
      <c r="I536" s="556"/>
      <c r="J536" s="556"/>
      <c r="K536" s="556"/>
      <c r="L536" s="556"/>
      <c r="M536" s="556"/>
      <c r="N536" s="556"/>
      <c r="O536" s="556"/>
      <c r="P536" s="556"/>
      <c r="Q536" s="556"/>
      <c r="R536" s="596"/>
      <c r="S536" s="596"/>
      <c r="T536" s="556"/>
      <c r="U536" s="556"/>
      <c r="V536" s="807"/>
      <c r="W536" s="556"/>
      <c r="X536" s="556"/>
      <c r="Y536" s="556"/>
      <c r="Z536" s="579"/>
      <c r="AA536" s="556"/>
      <c r="AB536" s="556"/>
      <c r="AC536" s="556"/>
      <c r="AD536" s="556"/>
    </row>
    <row r="537" ht="15.75" customHeight="1">
      <c r="A537" s="556"/>
      <c r="B537" s="556"/>
      <c r="C537" s="596"/>
      <c r="D537" s="556"/>
      <c r="E537" s="596"/>
      <c r="F537" s="556"/>
      <c r="G537" s="556"/>
      <c r="H537" s="556"/>
      <c r="I537" s="556"/>
      <c r="J537" s="556"/>
      <c r="K537" s="556"/>
      <c r="L537" s="556"/>
      <c r="M537" s="556"/>
      <c r="N537" s="556"/>
      <c r="O537" s="556"/>
      <c r="P537" s="556"/>
      <c r="Q537" s="556"/>
      <c r="R537" s="596"/>
      <c r="S537" s="596"/>
      <c r="T537" s="556"/>
      <c r="U537" s="556"/>
      <c r="V537" s="807"/>
      <c r="W537" s="556"/>
      <c r="X537" s="556"/>
      <c r="Y537" s="556"/>
      <c r="Z537" s="579"/>
      <c r="AA537" s="556"/>
      <c r="AB537" s="556"/>
      <c r="AC537" s="556"/>
      <c r="AD537" s="556"/>
    </row>
    <row r="538" ht="15.75" customHeight="1">
      <c r="A538" s="556"/>
      <c r="B538" s="556"/>
      <c r="C538" s="596"/>
      <c r="D538" s="556"/>
      <c r="E538" s="596"/>
      <c r="F538" s="556"/>
      <c r="G538" s="556"/>
      <c r="H538" s="556"/>
      <c r="I538" s="556"/>
      <c r="J538" s="556"/>
      <c r="K538" s="556"/>
      <c r="L538" s="556"/>
      <c r="M538" s="556"/>
      <c r="N538" s="556"/>
      <c r="O538" s="556"/>
      <c r="P538" s="556"/>
      <c r="Q538" s="556"/>
      <c r="R538" s="596"/>
      <c r="S538" s="596"/>
      <c r="T538" s="556"/>
      <c r="U538" s="556"/>
      <c r="V538" s="807"/>
      <c r="W538" s="556"/>
      <c r="X538" s="556"/>
      <c r="Y538" s="556"/>
      <c r="Z538" s="579"/>
      <c r="AA538" s="556"/>
      <c r="AB538" s="556"/>
      <c r="AC538" s="556"/>
      <c r="AD538" s="556"/>
    </row>
    <row r="539" ht="15.75" customHeight="1">
      <c r="A539" s="556"/>
      <c r="B539" s="556"/>
      <c r="C539" s="596"/>
      <c r="D539" s="556"/>
      <c r="E539" s="596"/>
      <c r="F539" s="556"/>
      <c r="G539" s="556"/>
      <c r="H539" s="556"/>
      <c r="I539" s="556"/>
      <c r="J539" s="556"/>
      <c r="K539" s="556"/>
      <c r="L539" s="556"/>
      <c r="M539" s="556"/>
      <c r="N539" s="556"/>
      <c r="O539" s="556"/>
      <c r="P539" s="556"/>
      <c r="Q539" s="556"/>
      <c r="R539" s="596"/>
      <c r="S539" s="596"/>
      <c r="T539" s="556"/>
      <c r="U539" s="556"/>
      <c r="V539" s="807"/>
      <c r="W539" s="556"/>
      <c r="X539" s="556"/>
      <c r="Y539" s="556"/>
      <c r="Z539" s="579"/>
      <c r="AA539" s="556"/>
      <c r="AB539" s="556"/>
      <c r="AC539" s="556"/>
      <c r="AD539" s="556"/>
    </row>
    <row r="540" ht="15.75" customHeight="1">
      <c r="A540" s="556"/>
      <c r="B540" s="556"/>
      <c r="C540" s="596"/>
      <c r="D540" s="556"/>
      <c r="E540" s="596"/>
      <c r="F540" s="556"/>
      <c r="G540" s="556"/>
      <c r="H540" s="556"/>
      <c r="I540" s="556"/>
      <c r="J540" s="556"/>
      <c r="K540" s="556"/>
      <c r="L540" s="556"/>
      <c r="M540" s="556"/>
      <c r="N540" s="556"/>
      <c r="O540" s="556"/>
      <c r="P540" s="556"/>
      <c r="Q540" s="556"/>
      <c r="R540" s="596"/>
      <c r="S540" s="596"/>
      <c r="T540" s="556"/>
      <c r="U540" s="556"/>
      <c r="V540" s="807"/>
      <c r="W540" s="556"/>
      <c r="X540" s="556"/>
      <c r="Y540" s="556"/>
      <c r="Z540" s="579"/>
      <c r="AA540" s="556"/>
      <c r="AB540" s="556"/>
      <c r="AC540" s="556"/>
      <c r="AD540" s="556"/>
    </row>
    <row r="541" ht="15.75" customHeight="1">
      <c r="A541" s="556"/>
      <c r="B541" s="556"/>
      <c r="C541" s="596"/>
      <c r="D541" s="556"/>
      <c r="E541" s="596"/>
      <c r="F541" s="556"/>
      <c r="G541" s="556"/>
      <c r="H541" s="556"/>
      <c r="I541" s="556"/>
      <c r="J541" s="556"/>
      <c r="K541" s="556"/>
      <c r="L541" s="556"/>
      <c r="M541" s="556"/>
      <c r="N541" s="556"/>
      <c r="O541" s="556"/>
      <c r="P541" s="556"/>
      <c r="Q541" s="556"/>
      <c r="R541" s="596"/>
      <c r="S541" s="596"/>
      <c r="T541" s="556"/>
      <c r="U541" s="556"/>
      <c r="V541" s="807"/>
      <c r="W541" s="556"/>
      <c r="X541" s="556"/>
      <c r="Y541" s="556"/>
      <c r="Z541" s="579"/>
      <c r="AA541" s="556"/>
      <c r="AB541" s="556"/>
      <c r="AC541" s="556"/>
      <c r="AD541" s="556"/>
    </row>
    <row r="542" ht="15.75" customHeight="1">
      <c r="A542" s="556"/>
      <c r="B542" s="556"/>
      <c r="C542" s="596"/>
      <c r="D542" s="556"/>
      <c r="E542" s="596"/>
      <c r="F542" s="556"/>
      <c r="G542" s="556"/>
      <c r="H542" s="556"/>
      <c r="I542" s="556"/>
      <c r="J542" s="556"/>
      <c r="K542" s="556"/>
      <c r="L542" s="556"/>
      <c r="M542" s="556"/>
      <c r="N542" s="556"/>
      <c r="O542" s="556"/>
      <c r="P542" s="556"/>
      <c r="Q542" s="556"/>
      <c r="R542" s="596"/>
      <c r="S542" s="596"/>
      <c r="T542" s="556"/>
      <c r="U542" s="556"/>
      <c r="V542" s="807"/>
      <c r="W542" s="556"/>
      <c r="X542" s="556"/>
      <c r="Y542" s="556"/>
      <c r="Z542" s="579"/>
      <c r="AA542" s="556"/>
      <c r="AB542" s="556"/>
      <c r="AC542" s="556"/>
      <c r="AD542" s="556"/>
    </row>
    <row r="543" ht="15.75" customHeight="1">
      <c r="A543" s="556"/>
      <c r="B543" s="556"/>
      <c r="C543" s="596"/>
      <c r="D543" s="556"/>
      <c r="E543" s="596"/>
      <c r="F543" s="556"/>
      <c r="G543" s="556"/>
      <c r="H543" s="556"/>
      <c r="I543" s="556"/>
      <c r="J543" s="556"/>
      <c r="K543" s="556"/>
      <c r="L543" s="556"/>
      <c r="M543" s="556"/>
      <c r="N543" s="556"/>
      <c r="O543" s="556"/>
      <c r="P543" s="556"/>
      <c r="Q543" s="556"/>
      <c r="R543" s="596"/>
      <c r="S543" s="596"/>
      <c r="T543" s="556"/>
      <c r="U543" s="556"/>
      <c r="V543" s="807"/>
      <c r="W543" s="556"/>
      <c r="X543" s="556"/>
      <c r="Y543" s="556"/>
      <c r="Z543" s="579"/>
      <c r="AA543" s="556"/>
      <c r="AB543" s="556"/>
      <c r="AC543" s="556"/>
      <c r="AD543" s="556"/>
    </row>
    <row r="544" ht="15.75" customHeight="1">
      <c r="A544" s="556"/>
      <c r="B544" s="556"/>
      <c r="C544" s="596"/>
      <c r="D544" s="556"/>
      <c r="E544" s="596"/>
      <c r="F544" s="556"/>
      <c r="G544" s="556"/>
      <c r="H544" s="556"/>
      <c r="I544" s="556"/>
      <c r="J544" s="556"/>
      <c r="K544" s="556"/>
      <c r="L544" s="556"/>
      <c r="M544" s="556"/>
      <c r="N544" s="556"/>
      <c r="O544" s="556"/>
      <c r="P544" s="556"/>
      <c r="Q544" s="556"/>
      <c r="R544" s="596"/>
      <c r="S544" s="596"/>
      <c r="T544" s="556"/>
      <c r="U544" s="556"/>
      <c r="V544" s="807"/>
      <c r="W544" s="556"/>
      <c r="X544" s="556"/>
      <c r="Y544" s="556"/>
      <c r="Z544" s="579"/>
      <c r="AA544" s="556"/>
      <c r="AB544" s="556"/>
      <c r="AC544" s="556"/>
      <c r="AD544" s="556"/>
    </row>
    <row r="545" ht="15.75" customHeight="1">
      <c r="A545" s="556"/>
      <c r="B545" s="556"/>
      <c r="C545" s="596"/>
      <c r="D545" s="556"/>
      <c r="E545" s="596"/>
      <c r="F545" s="556"/>
      <c r="G545" s="556"/>
      <c r="H545" s="556"/>
      <c r="I545" s="556"/>
      <c r="J545" s="556"/>
      <c r="K545" s="556"/>
      <c r="L545" s="556"/>
      <c r="M545" s="556"/>
      <c r="N545" s="556"/>
      <c r="O545" s="556"/>
      <c r="P545" s="556"/>
      <c r="Q545" s="556"/>
      <c r="R545" s="596"/>
      <c r="S545" s="596"/>
      <c r="T545" s="556"/>
      <c r="U545" s="556"/>
      <c r="V545" s="807"/>
      <c r="W545" s="556"/>
      <c r="X545" s="556"/>
      <c r="Y545" s="556"/>
      <c r="Z545" s="579"/>
      <c r="AA545" s="556"/>
      <c r="AB545" s="556"/>
      <c r="AC545" s="556"/>
      <c r="AD545" s="556"/>
    </row>
    <row r="546" ht="15.75" customHeight="1">
      <c r="A546" s="556"/>
      <c r="B546" s="556"/>
      <c r="C546" s="596"/>
      <c r="D546" s="556"/>
      <c r="E546" s="596"/>
      <c r="F546" s="556"/>
      <c r="G546" s="556"/>
      <c r="H546" s="556"/>
      <c r="I546" s="556"/>
      <c r="J546" s="556"/>
      <c r="K546" s="556"/>
      <c r="L546" s="556"/>
      <c r="M546" s="556"/>
      <c r="N546" s="556"/>
      <c r="O546" s="556"/>
      <c r="P546" s="556"/>
      <c r="Q546" s="556"/>
      <c r="R546" s="596"/>
      <c r="S546" s="596"/>
      <c r="T546" s="556"/>
      <c r="U546" s="556"/>
      <c r="V546" s="807"/>
      <c r="W546" s="556"/>
      <c r="X546" s="556"/>
      <c r="Y546" s="556"/>
      <c r="Z546" s="579"/>
      <c r="AA546" s="556"/>
      <c r="AB546" s="556"/>
      <c r="AC546" s="556"/>
      <c r="AD546" s="556"/>
    </row>
    <row r="547" ht="15.75" customHeight="1">
      <c r="A547" s="556"/>
      <c r="B547" s="556"/>
      <c r="C547" s="596"/>
      <c r="D547" s="556"/>
      <c r="E547" s="596"/>
      <c r="F547" s="556"/>
      <c r="G547" s="556"/>
      <c r="H547" s="556"/>
      <c r="I547" s="556"/>
      <c r="J547" s="556"/>
      <c r="K547" s="556"/>
      <c r="L547" s="556"/>
      <c r="M547" s="556"/>
      <c r="N547" s="556"/>
      <c r="O547" s="556"/>
      <c r="P547" s="556"/>
      <c r="Q547" s="556"/>
      <c r="R547" s="596"/>
      <c r="S547" s="596"/>
      <c r="T547" s="556"/>
      <c r="U547" s="556"/>
      <c r="V547" s="807"/>
      <c r="W547" s="556"/>
      <c r="X547" s="556"/>
      <c r="Y547" s="556"/>
      <c r="Z547" s="579"/>
      <c r="AA547" s="556"/>
      <c r="AB547" s="556"/>
      <c r="AC547" s="556"/>
      <c r="AD547" s="556"/>
    </row>
    <row r="548" ht="15.75" customHeight="1">
      <c r="A548" s="556"/>
      <c r="B548" s="556"/>
      <c r="C548" s="596"/>
      <c r="D548" s="556"/>
      <c r="E548" s="596"/>
      <c r="F548" s="556"/>
      <c r="G548" s="556"/>
      <c r="H548" s="556"/>
      <c r="I548" s="556"/>
      <c r="J548" s="556"/>
      <c r="K548" s="556"/>
      <c r="L548" s="556"/>
      <c r="M548" s="556"/>
      <c r="N548" s="556"/>
      <c r="O548" s="556"/>
      <c r="P548" s="556"/>
      <c r="Q548" s="556"/>
      <c r="R548" s="596"/>
      <c r="S548" s="596"/>
      <c r="T548" s="556"/>
      <c r="U548" s="556"/>
      <c r="V548" s="807"/>
      <c r="W548" s="556"/>
      <c r="X548" s="556"/>
      <c r="Y548" s="556"/>
      <c r="Z548" s="579"/>
      <c r="AA548" s="556"/>
      <c r="AB548" s="556"/>
      <c r="AC548" s="556"/>
      <c r="AD548" s="556"/>
    </row>
    <row r="549" ht="15.75" customHeight="1">
      <c r="A549" s="556"/>
      <c r="B549" s="556"/>
      <c r="C549" s="596"/>
      <c r="D549" s="556"/>
      <c r="E549" s="596"/>
      <c r="F549" s="556"/>
      <c r="G549" s="556"/>
      <c r="H549" s="556"/>
      <c r="I549" s="556"/>
      <c r="J549" s="556"/>
      <c r="K549" s="556"/>
      <c r="L549" s="556"/>
      <c r="M549" s="556"/>
      <c r="N549" s="556"/>
      <c r="O549" s="556"/>
      <c r="P549" s="556"/>
      <c r="Q549" s="556"/>
      <c r="R549" s="596"/>
      <c r="S549" s="596"/>
      <c r="T549" s="556"/>
      <c r="U549" s="556"/>
      <c r="V549" s="807"/>
      <c r="W549" s="556"/>
      <c r="X549" s="556"/>
      <c r="Y549" s="556"/>
      <c r="Z549" s="579"/>
      <c r="AA549" s="556"/>
      <c r="AB549" s="556"/>
      <c r="AC549" s="556"/>
      <c r="AD549" s="556"/>
    </row>
    <row r="550" ht="15.75" customHeight="1">
      <c r="A550" s="556"/>
      <c r="B550" s="556"/>
      <c r="C550" s="596"/>
      <c r="D550" s="556"/>
      <c r="E550" s="596"/>
      <c r="F550" s="556"/>
      <c r="G550" s="556"/>
      <c r="H550" s="556"/>
      <c r="I550" s="556"/>
      <c r="J550" s="556"/>
      <c r="K550" s="556"/>
      <c r="L550" s="556"/>
      <c r="M550" s="556"/>
      <c r="N550" s="556"/>
      <c r="O550" s="556"/>
      <c r="P550" s="556"/>
      <c r="Q550" s="556"/>
      <c r="R550" s="596"/>
      <c r="S550" s="596"/>
      <c r="T550" s="556"/>
      <c r="U550" s="556"/>
      <c r="V550" s="807"/>
      <c r="W550" s="556"/>
      <c r="X550" s="556"/>
      <c r="Y550" s="556"/>
      <c r="Z550" s="579"/>
      <c r="AA550" s="556"/>
      <c r="AB550" s="556"/>
      <c r="AC550" s="556"/>
      <c r="AD550" s="556"/>
    </row>
    <row r="551" ht="15.75" customHeight="1">
      <c r="A551" s="556"/>
      <c r="B551" s="556"/>
      <c r="C551" s="596"/>
      <c r="D551" s="556"/>
      <c r="E551" s="596"/>
      <c r="F551" s="556"/>
      <c r="G551" s="556"/>
      <c r="H551" s="556"/>
      <c r="I551" s="556"/>
      <c r="J551" s="556"/>
      <c r="K551" s="556"/>
      <c r="L551" s="556"/>
      <c r="M551" s="556"/>
      <c r="N551" s="556"/>
      <c r="O551" s="556"/>
      <c r="P551" s="556"/>
      <c r="Q551" s="556"/>
      <c r="R551" s="596"/>
      <c r="S551" s="596"/>
      <c r="T551" s="556"/>
      <c r="U551" s="556"/>
      <c r="V551" s="807"/>
      <c r="W551" s="556"/>
      <c r="X551" s="556"/>
      <c r="Y551" s="556"/>
      <c r="Z551" s="579"/>
      <c r="AA551" s="556"/>
      <c r="AB551" s="556"/>
      <c r="AC551" s="556"/>
      <c r="AD551" s="556"/>
    </row>
    <row r="552" ht="15.75" customHeight="1">
      <c r="A552" s="556"/>
      <c r="B552" s="556"/>
      <c r="C552" s="596"/>
      <c r="D552" s="556"/>
      <c r="E552" s="596"/>
      <c r="F552" s="556"/>
      <c r="G552" s="556"/>
      <c r="H552" s="556"/>
      <c r="I552" s="556"/>
      <c r="J552" s="556"/>
      <c r="K552" s="556"/>
      <c r="L552" s="556"/>
      <c r="M552" s="556"/>
      <c r="N552" s="556"/>
      <c r="O552" s="556"/>
      <c r="P552" s="556"/>
      <c r="Q552" s="556"/>
      <c r="R552" s="596"/>
      <c r="S552" s="596"/>
      <c r="T552" s="556"/>
      <c r="U552" s="556"/>
      <c r="V552" s="807"/>
      <c r="W552" s="556"/>
      <c r="X552" s="556"/>
      <c r="Y552" s="556"/>
      <c r="Z552" s="579"/>
      <c r="AA552" s="556"/>
      <c r="AB552" s="556"/>
      <c r="AC552" s="556"/>
      <c r="AD552" s="556"/>
    </row>
    <row r="553" ht="15.75" customHeight="1">
      <c r="A553" s="556"/>
      <c r="B553" s="556"/>
      <c r="C553" s="596"/>
      <c r="D553" s="556"/>
      <c r="E553" s="596"/>
      <c r="F553" s="556"/>
      <c r="G553" s="556"/>
      <c r="H553" s="556"/>
      <c r="I553" s="556"/>
      <c r="J553" s="556"/>
      <c r="K553" s="556"/>
      <c r="L553" s="556"/>
      <c r="M553" s="556"/>
      <c r="N553" s="556"/>
      <c r="O553" s="556"/>
      <c r="P553" s="556"/>
      <c r="Q553" s="556"/>
      <c r="R553" s="596"/>
      <c r="S553" s="596"/>
      <c r="T553" s="556"/>
      <c r="U553" s="556"/>
      <c r="V553" s="807"/>
      <c r="W553" s="556"/>
      <c r="X553" s="556"/>
      <c r="Y553" s="556"/>
      <c r="Z553" s="579"/>
      <c r="AA553" s="556"/>
      <c r="AB553" s="556"/>
      <c r="AC553" s="556"/>
      <c r="AD553" s="556"/>
    </row>
    <row r="554" ht="15.75" customHeight="1">
      <c r="A554" s="556"/>
      <c r="B554" s="556"/>
      <c r="C554" s="596"/>
      <c r="D554" s="556"/>
      <c r="E554" s="596"/>
      <c r="F554" s="556"/>
      <c r="G554" s="556"/>
      <c r="H554" s="556"/>
      <c r="I554" s="556"/>
      <c r="J554" s="556"/>
      <c r="K554" s="556"/>
      <c r="L554" s="556"/>
      <c r="M554" s="556"/>
      <c r="N554" s="556"/>
      <c r="O554" s="556"/>
      <c r="P554" s="556"/>
      <c r="Q554" s="556"/>
      <c r="R554" s="596"/>
      <c r="S554" s="596"/>
      <c r="T554" s="556"/>
      <c r="U554" s="556"/>
      <c r="V554" s="807"/>
      <c r="W554" s="556"/>
      <c r="X554" s="556"/>
      <c r="Y554" s="556"/>
      <c r="Z554" s="579"/>
      <c r="AA554" s="556"/>
      <c r="AB554" s="556"/>
      <c r="AC554" s="556"/>
      <c r="AD554" s="556"/>
    </row>
    <row r="555" ht="15.75" customHeight="1">
      <c r="A555" s="556"/>
      <c r="B555" s="556"/>
      <c r="C555" s="596"/>
      <c r="D555" s="556"/>
      <c r="E555" s="596"/>
      <c r="F555" s="556"/>
      <c r="G555" s="556"/>
      <c r="H555" s="556"/>
      <c r="I555" s="556"/>
      <c r="J555" s="556"/>
      <c r="K555" s="556"/>
      <c r="L555" s="556"/>
      <c r="M555" s="556"/>
      <c r="N555" s="556"/>
      <c r="O555" s="556"/>
      <c r="P555" s="556"/>
      <c r="Q555" s="556"/>
      <c r="R555" s="596"/>
      <c r="S555" s="596"/>
      <c r="T555" s="556"/>
      <c r="U555" s="556"/>
      <c r="V555" s="807"/>
      <c r="W555" s="556"/>
      <c r="X555" s="556"/>
      <c r="Y555" s="556"/>
      <c r="Z555" s="579"/>
      <c r="AA555" s="556"/>
      <c r="AB555" s="556"/>
      <c r="AC555" s="556"/>
      <c r="AD555" s="556"/>
    </row>
    <row r="556" ht="15.75" customHeight="1">
      <c r="A556" s="556"/>
      <c r="B556" s="556"/>
      <c r="C556" s="596"/>
      <c r="D556" s="556"/>
      <c r="E556" s="596"/>
      <c r="F556" s="556"/>
      <c r="G556" s="556"/>
      <c r="H556" s="556"/>
      <c r="I556" s="556"/>
      <c r="J556" s="556"/>
      <c r="K556" s="556"/>
      <c r="L556" s="556"/>
      <c r="M556" s="556"/>
      <c r="N556" s="556"/>
      <c r="O556" s="556"/>
      <c r="P556" s="556"/>
      <c r="Q556" s="556"/>
      <c r="R556" s="596"/>
      <c r="S556" s="596"/>
      <c r="T556" s="556"/>
      <c r="U556" s="556"/>
      <c r="V556" s="807"/>
      <c r="W556" s="556"/>
      <c r="X556" s="556"/>
      <c r="Y556" s="556"/>
      <c r="Z556" s="579"/>
      <c r="AA556" s="556"/>
      <c r="AB556" s="556"/>
      <c r="AC556" s="556"/>
      <c r="AD556" s="556"/>
    </row>
    <row r="557" ht="15.75" customHeight="1">
      <c r="A557" s="556"/>
      <c r="B557" s="556"/>
      <c r="C557" s="596"/>
      <c r="D557" s="556"/>
      <c r="E557" s="596"/>
      <c r="F557" s="556"/>
      <c r="G557" s="556"/>
      <c r="H557" s="556"/>
      <c r="I557" s="556"/>
      <c r="J557" s="556"/>
      <c r="K557" s="556"/>
      <c r="L557" s="556"/>
      <c r="M557" s="556"/>
      <c r="N557" s="556"/>
      <c r="O557" s="556"/>
      <c r="P557" s="556"/>
      <c r="Q557" s="556"/>
      <c r="R557" s="596"/>
      <c r="S557" s="596"/>
      <c r="T557" s="556"/>
      <c r="U557" s="556"/>
      <c r="V557" s="807"/>
      <c r="W557" s="556"/>
      <c r="X557" s="556"/>
      <c r="Y557" s="556"/>
      <c r="Z557" s="579"/>
      <c r="AA557" s="556"/>
      <c r="AB557" s="556"/>
      <c r="AC557" s="556"/>
      <c r="AD557" s="556"/>
    </row>
    <row r="558" ht="15.75" customHeight="1">
      <c r="A558" s="556"/>
      <c r="B558" s="556"/>
      <c r="C558" s="596"/>
      <c r="D558" s="556"/>
      <c r="E558" s="596"/>
      <c r="F558" s="556"/>
      <c r="G558" s="556"/>
      <c r="H558" s="556"/>
      <c r="I558" s="556"/>
      <c r="J558" s="556"/>
      <c r="K558" s="556"/>
      <c r="L558" s="556"/>
      <c r="M558" s="556"/>
      <c r="N558" s="556"/>
      <c r="O558" s="556"/>
      <c r="P558" s="556"/>
      <c r="Q558" s="556"/>
      <c r="R558" s="596"/>
      <c r="S558" s="596"/>
      <c r="T558" s="556"/>
      <c r="U558" s="556"/>
      <c r="V558" s="807"/>
      <c r="W558" s="556"/>
      <c r="X558" s="556"/>
      <c r="Y558" s="556"/>
      <c r="Z558" s="579"/>
      <c r="AA558" s="556"/>
      <c r="AB558" s="556"/>
      <c r="AC558" s="556"/>
      <c r="AD558" s="556"/>
    </row>
    <row r="559" ht="15.75" customHeight="1">
      <c r="A559" s="556"/>
      <c r="B559" s="556"/>
      <c r="C559" s="596"/>
      <c r="D559" s="556"/>
      <c r="E559" s="596"/>
      <c r="F559" s="556"/>
      <c r="G559" s="556"/>
      <c r="H559" s="556"/>
      <c r="I559" s="556"/>
      <c r="J559" s="556"/>
      <c r="K559" s="556"/>
      <c r="L559" s="556"/>
      <c r="M559" s="556"/>
      <c r="N559" s="556"/>
      <c r="O559" s="556"/>
      <c r="P559" s="556"/>
      <c r="Q559" s="556"/>
      <c r="R559" s="596"/>
      <c r="S559" s="596"/>
      <c r="T559" s="556"/>
      <c r="U559" s="556"/>
      <c r="V559" s="807"/>
      <c r="W559" s="556"/>
      <c r="X559" s="556"/>
      <c r="Y559" s="556"/>
      <c r="Z559" s="579"/>
      <c r="AA559" s="556"/>
      <c r="AB559" s="556"/>
      <c r="AC559" s="556"/>
      <c r="AD559" s="556"/>
    </row>
    <row r="560" ht="15.75" customHeight="1">
      <c r="A560" s="556"/>
      <c r="B560" s="556"/>
      <c r="C560" s="596"/>
      <c r="D560" s="556"/>
      <c r="E560" s="596"/>
      <c r="F560" s="556"/>
      <c r="G560" s="556"/>
      <c r="H560" s="556"/>
      <c r="I560" s="556"/>
      <c r="J560" s="556"/>
      <c r="K560" s="556"/>
      <c r="L560" s="556"/>
      <c r="M560" s="556"/>
      <c r="N560" s="556"/>
      <c r="O560" s="556"/>
      <c r="P560" s="556"/>
      <c r="Q560" s="556"/>
      <c r="R560" s="596"/>
      <c r="S560" s="596"/>
      <c r="T560" s="556"/>
      <c r="U560" s="556"/>
      <c r="V560" s="807"/>
      <c r="W560" s="556"/>
      <c r="X560" s="556"/>
      <c r="Y560" s="556"/>
      <c r="Z560" s="579"/>
      <c r="AA560" s="556"/>
      <c r="AB560" s="556"/>
      <c r="AC560" s="556"/>
      <c r="AD560" s="556"/>
    </row>
    <row r="561" ht="15.75" customHeight="1">
      <c r="A561" s="556"/>
      <c r="B561" s="556"/>
      <c r="C561" s="596"/>
      <c r="D561" s="556"/>
      <c r="E561" s="596"/>
      <c r="F561" s="556"/>
      <c r="G561" s="556"/>
      <c r="H561" s="556"/>
      <c r="I561" s="556"/>
      <c r="J561" s="556"/>
      <c r="K561" s="556"/>
      <c r="L561" s="556"/>
      <c r="M561" s="556"/>
      <c r="N561" s="556"/>
      <c r="O561" s="556"/>
      <c r="P561" s="556"/>
      <c r="Q561" s="556"/>
      <c r="R561" s="596"/>
      <c r="S561" s="596"/>
      <c r="T561" s="556"/>
      <c r="U561" s="556"/>
      <c r="V561" s="807"/>
      <c r="W561" s="556"/>
      <c r="X561" s="556"/>
      <c r="Y561" s="556"/>
      <c r="Z561" s="579"/>
      <c r="AA561" s="556"/>
      <c r="AB561" s="556"/>
      <c r="AC561" s="556"/>
      <c r="AD561" s="556"/>
    </row>
    <row r="562" ht="15.75" customHeight="1">
      <c r="A562" s="556"/>
      <c r="B562" s="556"/>
      <c r="C562" s="596"/>
      <c r="D562" s="556"/>
      <c r="E562" s="596"/>
      <c r="F562" s="556"/>
      <c r="G562" s="556"/>
      <c r="H562" s="556"/>
      <c r="I562" s="556"/>
      <c r="J562" s="556"/>
      <c r="K562" s="556"/>
      <c r="L562" s="556"/>
      <c r="M562" s="556"/>
      <c r="N562" s="556"/>
      <c r="O562" s="556"/>
      <c r="P562" s="556"/>
      <c r="Q562" s="556"/>
      <c r="R562" s="596"/>
      <c r="S562" s="596"/>
      <c r="T562" s="556"/>
      <c r="U562" s="556"/>
      <c r="V562" s="807"/>
      <c r="W562" s="556"/>
      <c r="X562" s="556"/>
      <c r="Y562" s="556"/>
      <c r="Z562" s="579"/>
      <c r="AA562" s="556"/>
      <c r="AB562" s="556"/>
      <c r="AC562" s="556"/>
      <c r="AD562" s="556"/>
    </row>
    <row r="563" ht="15.75" customHeight="1">
      <c r="A563" s="556"/>
      <c r="B563" s="556"/>
      <c r="C563" s="596"/>
      <c r="D563" s="556"/>
      <c r="E563" s="596"/>
      <c r="F563" s="556"/>
      <c r="G563" s="556"/>
      <c r="H563" s="556"/>
      <c r="I563" s="556"/>
      <c r="J563" s="556"/>
      <c r="K563" s="556"/>
      <c r="L563" s="556"/>
      <c r="M563" s="556"/>
      <c r="N563" s="556"/>
      <c r="O563" s="556"/>
      <c r="P563" s="556"/>
      <c r="Q563" s="556"/>
      <c r="R563" s="596"/>
      <c r="S563" s="596"/>
      <c r="T563" s="556"/>
      <c r="U563" s="556"/>
      <c r="V563" s="807"/>
      <c r="W563" s="556"/>
      <c r="X563" s="556"/>
      <c r="Y563" s="556"/>
      <c r="Z563" s="579"/>
      <c r="AA563" s="556"/>
      <c r="AB563" s="556"/>
      <c r="AC563" s="556"/>
      <c r="AD563" s="556"/>
    </row>
    <row r="564" ht="15.75" customHeight="1">
      <c r="A564" s="556"/>
      <c r="B564" s="556"/>
      <c r="C564" s="596"/>
      <c r="D564" s="556"/>
      <c r="E564" s="596"/>
      <c r="F564" s="556"/>
      <c r="G564" s="556"/>
      <c r="H564" s="556"/>
      <c r="I564" s="556"/>
      <c r="J564" s="556"/>
      <c r="K564" s="556"/>
      <c r="L564" s="556"/>
      <c r="M564" s="556"/>
      <c r="N564" s="556"/>
      <c r="O564" s="556"/>
      <c r="P564" s="556"/>
      <c r="Q564" s="556"/>
      <c r="R564" s="596"/>
      <c r="S564" s="596"/>
      <c r="T564" s="556"/>
      <c r="U564" s="556"/>
      <c r="V564" s="807"/>
      <c r="W564" s="556"/>
      <c r="X564" s="556"/>
      <c r="Y564" s="556"/>
      <c r="Z564" s="579"/>
      <c r="AA564" s="556"/>
      <c r="AB564" s="556"/>
      <c r="AC564" s="556"/>
      <c r="AD564" s="556"/>
    </row>
    <row r="565" ht="15.75" customHeight="1">
      <c r="A565" s="556"/>
      <c r="B565" s="556"/>
      <c r="C565" s="596"/>
      <c r="D565" s="556"/>
      <c r="E565" s="596"/>
      <c r="F565" s="556"/>
      <c r="G565" s="556"/>
      <c r="H565" s="556"/>
      <c r="I565" s="556"/>
      <c r="J565" s="556"/>
      <c r="K565" s="556"/>
      <c r="L565" s="556"/>
      <c r="M565" s="556"/>
      <c r="N565" s="556"/>
      <c r="O565" s="556"/>
      <c r="P565" s="556"/>
      <c r="Q565" s="556"/>
      <c r="R565" s="596"/>
      <c r="S565" s="596"/>
      <c r="T565" s="556"/>
      <c r="U565" s="556"/>
      <c r="V565" s="807"/>
      <c r="W565" s="556"/>
      <c r="X565" s="556"/>
      <c r="Y565" s="556"/>
      <c r="Z565" s="579"/>
      <c r="AA565" s="556"/>
      <c r="AB565" s="556"/>
      <c r="AC565" s="556"/>
      <c r="AD565" s="556"/>
    </row>
    <row r="566" ht="15.75" customHeight="1">
      <c r="A566" s="556"/>
      <c r="B566" s="556"/>
      <c r="C566" s="596"/>
      <c r="D566" s="556"/>
      <c r="E566" s="596"/>
      <c r="F566" s="556"/>
      <c r="G566" s="556"/>
      <c r="H566" s="556"/>
      <c r="I566" s="556"/>
      <c r="J566" s="556"/>
      <c r="K566" s="556"/>
      <c r="L566" s="556"/>
      <c r="M566" s="556"/>
      <c r="N566" s="556"/>
      <c r="O566" s="556"/>
      <c r="P566" s="556"/>
      <c r="Q566" s="556"/>
      <c r="R566" s="596"/>
      <c r="S566" s="596"/>
      <c r="T566" s="556"/>
      <c r="U566" s="556"/>
      <c r="V566" s="807"/>
      <c r="W566" s="556"/>
      <c r="X566" s="556"/>
      <c r="Y566" s="556"/>
      <c r="Z566" s="579"/>
      <c r="AA566" s="556"/>
      <c r="AB566" s="556"/>
      <c r="AC566" s="556"/>
      <c r="AD566" s="556"/>
    </row>
    <row r="567" ht="15.75" customHeight="1">
      <c r="A567" s="556"/>
      <c r="B567" s="556"/>
      <c r="C567" s="596"/>
      <c r="D567" s="556"/>
      <c r="E567" s="596"/>
      <c r="F567" s="556"/>
      <c r="G567" s="556"/>
      <c r="H567" s="556"/>
      <c r="I567" s="556"/>
      <c r="J567" s="556"/>
      <c r="K567" s="556"/>
      <c r="L567" s="556"/>
      <c r="M567" s="556"/>
      <c r="N567" s="556"/>
      <c r="O567" s="556"/>
      <c r="P567" s="556"/>
      <c r="Q567" s="556"/>
      <c r="R567" s="596"/>
      <c r="S567" s="596"/>
      <c r="T567" s="556"/>
      <c r="U567" s="556"/>
      <c r="V567" s="807"/>
      <c r="W567" s="556"/>
      <c r="X567" s="556"/>
      <c r="Y567" s="556"/>
      <c r="Z567" s="579"/>
      <c r="AA567" s="556"/>
      <c r="AB567" s="556"/>
      <c r="AC567" s="556"/>
      <c r="AD567" s="556"/>
    </row>
    <row r="568" ht="15.75" customHeight="1">
      <c r="A568" s="556"/>
      <c r="B568" s="556"/>
      <c r="C568" s="596"/>
      <c r="D568" s="556"/>
      <c r="E568" s="596"/>
      <c r="F568" s="556"/>
      <c r="G568" s="556"/>
      <c r="H568" s="556"/>
      <c r="I568" s="556"/>
      <c r="J568" s="556"/>
      <c r="K568" s="556"/>
      <c r="L568" s="556"/>
      <c r="M568" s="556"/>
      <c r="N568" s="556"/>
      <c r="O568" s="556"/>
      <c r="P568" s="556"/>
      <c r="Q568" s="556"/>
      <c r="R568" s="596"/>
      <c r="S568" s="596"/>
      <c r="T568" s="556"/>
      <c r="U568" s="556"/>
      <c r="V568" s="807"/>
      <c r="W568" s="556"/>
      <c r="X568" s="556"/>
      <c r="Y568" s="556"/>
      <c r="Z568" s="579"/>
      <c r="AA568" s="556"/>
      <c r="AB568" s="556"/>
      <c r="AC568" s="556"/>
      <c r="AD568" s="556"/>
    </row>
    <row r="569" ht="15.75" customHeight="1">
      <c r="A569" s="556"/>
      <c r="B569" s="556"/>
      <c r="C569" s="596"/>
      <c r="D569" s="556"/>
      <c r="E569" s="596"/>
      <c r="F569" s="556"/>
      <c r="G569" s="556"/>
      <c r="H569" s="556"/>
      <c r="I569" s="556"/>
      <c r="J569" s="556"/>
      <c r="K569" s="556"/>
      <c r="L569" s="556"/>
      <c r="M569" s="556"/>
      <c r="N569" s="556"/>
      <c r="O569" s="556"/>
      <c r="P569" s="556"/>
      <c r="Q569" s="556"/>
      <c r="R569" s="596"/>
      <c r="S569" s="596"/>
      <c r="T569" s="556"/>
      <c r="U569" s="556"/>
      <c r="V569" s="807"/>
      <c r="W569" s="556"/>
      <c r="X569" s="556"/>
      <c r="Y569" s="556"/>
      <c r="Z569" s="579"/>
      <c r="AA569" s="556"/>
      <c r="AB569" s="556"/>
      <c r="AC569" s="556"/>
      <c r="AD569" s="556"/>
    </row>
    <row r="570" ht="15.75" customHeight="1">
      <c r="A570" s="556"/>
      <c r="B570" s="556"/>
      <c r="C570" s="596"/>
      <c r="D570" s="556"/>
      <c r="E570" s="596"/>
      <c r="F570" s="556"/>
      <c r="G570" s="556"/>
      <c r="H570" s="556"/>
      <c r="I570" s="556"/>
      <c r="J570" s="556"/>
      <c r="K570" s="556"/>
      <c r="L570" s="556"/>
      <c r="M570" s="556"/>
      <c r="N570" s="556"/>
      <c r="O570" s="556"/>
      <c r="P570" s="556"/>
      <c r="Q570" s="556"/>
      <c r="R570" s="596"/>
      <c r="S570" s="596"/>
      <c r="T570" s="556"/>
      <c r="U570" s="556"/>
      <c r="V570" s="807"/>
      <c r="W570" s="556"/>
      <c r="X570" s="556"/>
      <c r="Y570" s="556"/>
      <c r="Z570" s="579"/>
      <c r="AA570" s="556"/>
      <c r="AB570" s="556"/>
      <c r="AC570" s="556"/>
      <c r="AD570" s="556"/>
    </row>
    <row r="571" ht="15.75" customHeight="1">
      <c r="A571" s="556"/>
      <c r="B571" s="556"/>
      <c r="C571" s="596"/>
      <c r="D571" s="556"/>
      <c r="E571" s="596"/>
      <c r="F571" s="556"/>
      <c r="G571" s="556"/>
      <c r="H571" s="556"/>
      <c r="I571" s="556"/>
      <c r="J571" s="556"/>
      <c r="K571" s="556"/>
      <c r="L571" s="556"/>
      <c r="M571" s="556"/>
      <c r="N571" s="556"/>
      <c r="O571" s="556"/>
      <c r="P571" s="556"/>
      <c r="Q571" s="556"/>
      <c r="R571" s="596"/>
      <c r="S571" s="596"/>
      <c r="T571" s="556"/>
      <c r="U571" s="556"/>
      <c r="V571" s="807"/>
      <c r="W571" s="556"/>
      <c r="X571" s="556"/>
      <c r="Y571" s="556"/>
      <c r="Z571" s="579"/>
      <c r="AA571" s="556"/>
      <c r="AB571" s="556"/>
      <c r="AC571" s="556"/>
      <c r="AD571" s="556"/>
    </row>
    <row r="572" ht="15.75" customHeight="1">
      <c r="A572" s="556"/>
      <c r="B572" s="556"/>
      <c r="C572" s="596"/>
      <c r="D572" s="556"/>
      <c r="E572" s="596"/>
      <c r="F572" s="556"/>
      <c r="G572" s="556"/>
      <c r="H572" s="556"/>
      <c r="I572" s="556"/>
      <c r="J572" s="556"/>
      <c r="K572" s="556"/>
      <c r="L572" s="556"/>
      <c r="M572" s="556"/>
      <c r="N572" s="556"/>
      <c r="O572" s="556"/>
      <c r="P572" s="556"/>
      <c r="Q572" s="556"/>
      <c r="R572" s="596"/>
      <c r="S572" s="596"/>
      <c r="T572" s="556"/>
      <c r="U572" s="556"/>
      <c r="V572" s="807"/>
      <c r="W572" s="556"/>
      <c r="X572" s="556"/>
      <c r="Y572" s="556"/>
      <c r="Z572" s="579"/>
      <c r="AA572" s="556"/>
      <c r="AB572" s="556"/>
      <c r="AC572" s="556"/>
      <c r="AD572" s="556"/>
    </row>
    <row r="573" ht="15.75" customHeight="1">
      <c r="A573" s="556"/>
      <c r="B573" s="556"/>
      <c r="C573" s="596"/>
      <c r="D573" s="556"/>
      <c r="E573" s="596"/>
      <c r="F573" s="556"/>
      <c r="G573" s="556"/>
      <c r="H573" s="556"/>
      <c r="I573" s="556"/>
      <c r="J573" s="556"/>
      <c r="K573" s="556"/>
      <c r="L573" s="556"/>
      <c r="M573" s="556"/>
      <c r="N573" s="556"/>
      <c r="O573" s="556"/>
      <c r="P573" s="556"/>
      <c r="Q573" s="556"/>
      <c r="R573" s="596"/>
      <c r="S573" s="596"/>
      <c r="T573" s="556"/>
      <c r="U573" s="556"/>
      <c r="V573" s="807"/>
      <c r="W573" s="556"/>
      <c r="X573" s="556"/>
      <c r="Y573" s="556"/>
      <c r="Z573" s="579"/>
      <c r="AA573" s="556"/>
      <c r="AB573" s="556"/>
      <c r="AC573" s="556"/>
      <c r="AD573" s="556"/>
    </row>
    <row r="574" ht="15.75" customHeight="1">
      <c r="A574" s="556"/>
      <c r="B574" s="556"/>
      <c r="C574" s="596"/>
      <c r="D574" s="556"/>
      <c r="E574" s="596"/>
      <c r="F574" s="556"/>
      <c r="G574" s="556"/>
      <c r="H574" s="556"/>
      <c r="I574" s="556"/>
      <c r="J574" s="556"/>
      <c r="K574" s="556"/>
      <c r="L574" s="556"/>
      <c r="M574" s="556"/>
      <c r="N574" s="556"/>
      <c r="O574" s="556"/>
      <c r="P574" s="556"/>
      <c r="Q574" s="556"/>
      <c r="R574" s="596"/>
      <c r="S574" s="596"/>
      <c r="T574" s="556"/>
      <c r="U574" s="556"/>
      <c r="V574" s="807"/>
      <c r="W574" s="556"/>
      <c r="X574" s="556"/>
      <c r="Y574" s="556"/>
      <c r="Z574" s="579"/>
      <c r="AA574" s="556"/>
      <c r="AB574" s="556"/>
      <c r="AC574" s="556"/>
      <c r="AD574" s="556"/>
    </row>
    <row r="575" ht="15.75" customHeight="1">
      <c r="A575" s="556"/>
      <c r="B575" s="556"/>
      <c r="C575" s="596"/>
      <c r="D575" s="556"/>
      <c r="E575" s="596"/>
      <c r="F575" s="556"/>
      <c r="G575" s="556"/>
      <c r="H575" s="556"/>
      <c r="I575" s="556"/>
      <c r="J575" s="556"/>
      <c r="K575" s="556"/>
      <c r="L575" s="556"/>
      <c r="M575" s="556"/>
      <c r="N575" s="556"/>
      <c r="O575" s="556"/>
      <c r="P575" s="556"/>
      <c r="Q575" s="556"/>
      <c r="R575" s="596"/>
      <c r="S575" s="596"/>
      <c r="T575" s="556"/>
      <c r="U575" s="556"/>
      <c r="V575" s="807"/>
      <c r="W575" s="556"/>
      <c r="X575" s="556"/>
      <c r="Y575" s="556"/>
      <c r="Z575" s="579"/>
      <c r="AA575" s="556"/>
      <c r="AB575" s="556"/>
      <c r="AC575" s="556"/>
      <c r="AD575" s="556"/>
    </row>
    <row r="576" ht="15.75" customHeight="1">
      <c r="A576" s="556"/>
      <c r="B576" s="556"/>
      <c r="C576" s="596"/>
      <c r="D576" s="556"/>
      <c r="E576" s="596"/>
      <c r="F576" s="556"/>
      <c r="G576" s="556"/>
      <c r="H576" s="556"/>
      <c r="I576" s="556"/>
      <c r="J576" s="556"/>
      <c r="K576" s="556"/>
      <c r="L576" s="556"/>
      <c r="M576" s="556"/>
      <c r="N576" s="556"/>
      <c r="O576" s="556"/>
      <c r="P576" s="556"/>
      <c r="Q576" s="556"/>
      <c r="R576" s="596"/>
      <c r="S576" s="596"/>
      <c r="T576" s="556"/>
      <c r="U576" s="556"/>
      <c r="V576" s="807"/>
      <c r="W576" s="556"/>
      <c r="X576" s="556"/>
      <c r="Y576" s="556"/>
      <c r="Z576" s="579"/>
      <c r="AA576" s="556"/>
      <c r="AB576" s="556"/>
      <c r="AC576" s="556"/>
      <c r="AD576" s="556"/>
    </row>
    <row r="577" ht="15.75" customHeight="1">
      <c r="A577" s="556"/>
      <c r="B577" s="556"/>
      <c r="C577" s="596"/>
      <c r="D577" s="556"/>
      <c r="E577" s="596"/>
      <c r="F577" s="556"/>
      <c r="G577" s="556"/>
      <c r="H577" s="556"/>
      <c r="I577" s="556"/>
      <c r="J577" s="556"/>
      <c r="K577" s="556"/>
      <c r="L577" s="556"/>
      <c r="M577" s="556"/>
      <c r="N577" s="556"/>
      <c r="O577" s="556"/>
      <c r="P577" s="556"/>
      <c r="Q577" s="556"/>
      <c r="R577" s="596"/>
      <c r="S577" s="596"/>
      <c r="T577" s="556"/>
      <c r="U577" s="556"/>
      <c r="V577" s="807"/>
      <c r="W577" s="556"/>
      <c r="X577" s="556"/>
      <c r="Y577" s="556"/>
      <c r="Z577" s="579"/>
      <c r="AA577" s="556"/>
      <c r="AB577" s="556"/>
      <c r="AC577" s="556"/>
      <c r="AD577" s="556"/>
    </row>
    <row r="578" ht="15.75" customHeight="1">
      <c r="A578" s="556"/>
      <c r="B578" s="556"/>
      <c r="C578" s="596"/>
      <c r="D578" s="556"/>
      <c r="E578" s="596"/>
      <c r="F578" s="556"/>
      <c r="G578" s="556"/>
      <c r="H578" s="556"/>
      <c r="I578" s="556"/>
      <c r="J578" s="556"/>
      <c r="K578" s="556"/>
      <c r="L578" s="556"/>
      <c r="M578" s="556"/>
      <c r="N578" s="556"/>
      <c r="O578" s="556"/>
      <c r="P578" s="556"/>
      <c r="Q578" s="556"/>
      <c r="R578" s="596"/>
      <c r="S578" s="596"/>
      <c r="T578" s="556"/>
      <c r="U578" s="556"/>
      <c r="V578" s="807"/>
      <c r="W578" s="556"/>
      <c r="X578" s="556"/>
      <c r="Y578" s="556"/>
      <c r="Z578" s="579"/>
      <c r="AA578" s="556"/>
      <c r="AB578" s="556"/>
      <c r="AC578" s="556"/>
      <c r="AD578" s="556"/>
    </row>
    <row r="579" ht="15.75" customHeight="1">
      <c r="A579" s="556"/>
      <c r="B579" s="556"/>
      <c r="C579" s="596"/>
      <c r="D579" s="556"/>
      <c r="E579" s="596"/>
      <c r="F579" s="556"/>
      <c r="G579" s="556"/>
      <c r="H579" s="556"/>
      <c r="I579" s="556"/>
      <c r="J579" s="556"/>
      <c r="K579" s="556"/>
      <c r="L579" s="556"/>
      <c r="M579" s="556"/>
      <c r="N579" s="556"/>
      <c r="O579" s="556"/>
      <c r="P579" s="556"/>
      <c r="Q579" s="556"/>
      <c r="R579" s="596"/>
      <c r="S579" s="596"/>
      <c r="T579" s="556"/>
      <c r="U579" s="556"/>
      <c r="V579" s="807"/>
      <c r="W579" s="556"/>
      <c r="X579" s="556"/>
      <c r="Y579" s="556"/>
      <c r="Z579" s="579"/>
      <c r="AA579" s="556"/>
      <c r="AB579" s="556"/>
      <c r="AC579" s="556"/>
      <c r="AD579" s="556"/>
    </row>
    <row r="580" ht="15.75" customHeight="1">
      <c r="A580" s="556"/>
      <c r="B580" s="556"/>
      <c r="C580" s="596"/>
      <c r="D580" s="556"/>
      <c r="E580" s="596"/>
      <c r="F580" s="556"/>
      <c r="G580" s="556"/>
      <c r="H580" s="556"/>
      <c r="I580" s="556"/>
      <c r="J580" s="556"/>
      <c r="K580" s="556"/>
      <c r="L580" s="556"/>
      <c r="M580" s="556"/>
      <c r="N580" s="556"/>
      <c r="O580" s="556"/>
      <c r="P580" s="556"/>
      <c r="Q580" s="556"/>
      <c r="R580" s="596"/>
      <c r="S580" s="596"/>
      <c r="T580" s="556"/>
      <c r="U580" s="556"/>
      <c r="V580" s="807"/>
      <c r="W580" s="556"/>
      <c r="X580" s="556"/>
      <c r="Y580" s="556"/>
      <c r="Z580" s="579"/>
      <c r="AA580" s="556"/>
      <c r="AB580" s="556"/>
      <c r="AC580" s="556"/>
      <c r="AD580" s="556"/>
    </row>
    <row r="581" ht="15.75" customHeight="1">
      <c r="A581" s="556"/>
      <c r="B581" s="556"/>
      <c r="C581" s="596"/>
      <c r="D581" s="556"/>
      <c r="E581" s="596"/>
      <c r="F581" s="556"/>
      <c r="G581" s="556"/>
      <c r="H581" s="556"/>
      <c r="I581" s="556"/>
      <c r="J581" s="556"/>
      <c r="K581" s="556"/>
      <c r="L581" s="556"/>
      <c r="M581" s="556"/>
      <c r="N581" s="556"/>
      <c r="O581" s="556"/>
      <c r="P581" s="556"/>
      <c r="Q581" s="556"/>
      <c r="R581" s="596"/>
      <c r="S581" s="596"/>
      <c r="T581" s="556"/>
      <c r="U581" s="556"/>
      <c r="V581" s="807"/>
      <c r="W581" s="556"/>
      <c r="X581" s="556"/>
      <c r="Y581" s="556"/>
      <c r="Z581" s="579"/>
      <c r="AA581" s="556"/>
      <c r="AB581" s="556"/>
      <c r="AC581" s="556"/>
      <c r="AD581" s="556"/>
    </row>
    <row r="582" ht="15.75" customHeight="1">
      <c r="A582" s="556"/>
      <c r="B582" s="556"/>
      <c r="C582" s="596"/>
      <c r="D582" s="556"/>
      <c r="E582" s="596"/>
      <c r="F582" s="556"/>
      <c r="G582" s="556"/>
      <c r="H582" s="556"/>
      <c r="I582" s="556"/>
      <c r="J582" s="556"/>
      <c r="K582" s="556"/>
      <c r="L582" s="556"/>
      <c r="M582" s="556"/>
      <c r="N582" s="556"/>
      <c r="O582" s="556"/>
      <c r="P582" s="556"/>
      <c r="Q582" s="556"/>
      <c r="R582" s="596"/>
      <c r="S582" s="596"/>
      <c r="T582" s="556"/>
      <c r="U582" s="556"/>
      <c r="V582" s="807"/>
      <c r="W582" s="556"/>
      <c r="X582" s="556"/>
      <c r="Y582" s="556"/>
      <c r="Z582" s="579"/>
      <c r="AA582" s="556"/>
      <c r="AB582" s="556"/>
      <c r="AC582" s="556"/>
      <c r="AD582" s="556"/>
    </row>
    <row r="583" ht="15.75" customHeight="1">
      <c r="A583" s="556"/>
      <c r="B583" s="556"/>
      <c r="C583" s="596"/>
      <c r="D583" s="556"/>
      <c r="E583" s="596"/>
      <c r="F583" s="556"/>
      <c r="G583" s="556"/>
      <c r="H583" s="556"/>
      <c r="I583" s="556"/>
      <c r="J583" s="556"/>
      <c r="K583" s="556"/>
      <c r="L583" s="556"/>
      <c r="M583" s="556"/>
      <c r="N583" s="556"/>
      <c r="O583" s="556"/>
      <c r="P583" s="556"/>
      <c r="Q583" s="556"/>
      <c r="R583" s="596"/>
      <c r="S583" s="596"/>
      <c r="T583" s="556"/>
      <c r="U583" s="556"/>
      <c r="V583" s="807"/>
      <c r="W583" s="556"/>
      <c r="X583" s="556"/>
      <c r="Y583" s="556"/>
      <c r="Z583" s="579"/>
      <c r="AA583" s="556"/>
      <c r="AB583" s="556"/>
      <c r="AC583" s="556"/>
      <c r="AD583" s="556"/>
    </row>
    <row r="584" ht="15.75" customHeight="1">
      <c r="A584" s="556"/>
      <c r="B584" s="556"/>
      <c r="C584" s="596"/>
      <c r="D584" s="556"/>
      <c r="E584" s="596"/>
      <c r="F584" s="556"/>
      <c r="G584" s="556"/>
      <c r="H584" s="556"/>
      <c r="I584" s="556"/>
      <c r="J584" s="556"/>
      <c r="K584" s="556"/>
      <c r="L584" s="556"/>
      <c r="M584" s="556"/>
      <c r="N584" s="556"/>
      <c r="O584" s="556"/>
      <c r="P584" s="556"/>
      <c r="Q584" s="556"/>
      <c r="R584" s="596"/>
      <c r="S584" s="596"/>
      <c r="T584" s="556"/>
      <c r="U584" s="556"/>
      <c r="V584" s="807"/>
      <c r="W584" s="556"/>
      <c r="X584" s="556"/>
      <c r="Y584" s="556"/>
      <c r="Z584" s="579"/>
      <c r="AA584" s="556"/>
      <c r="AB584" s="556"/>
      <c r="AC584" s="556"/>
      <c r="AD584" s="556"/>
    </row>
    <row r="585" ht="15.75" customHeight="1">
      <c r="A585" s="556"/>
      <c r="B585" s="556"/>
      <c r="C585" s="596"/>
      <c r="D585" s="556"/>
      <c r="E585" s="596"/>
      <c r="F585" s="556"/>
      <c r="G585" s="556"/>
      <c r="H585" s="556"/>
      <c r="I585" s="556"/>
      <c r="J585" s="556"/>
      <c r="K585" s="556"/>
      <c r="L585" s="556"/>
      <c r="M585" s="556"/>
      <c r="N585" s="556"/>
      <c r="O585" s="556"/>
      <c r="P585" s="556"/>
      <c r="Q585" s="556"/>
      <c r="R585" s="596"/>
      <c r="S585" s="596"/>
      <c r="T585" s="556"/>
      <c r="U585" s="556"/>
      <c r="V585" s="807"/>
      <c r="W585" s="556"/>
      <c r="X585" s="556"/>
      <c r="Y585" s="556"/>
      <c r="Z585" s="579"/>
      <c r="AA585" s="556"/>
      <c r="AB585" s="556"/>
      <c r="AC585" s="556"/>
      <c r="AD585" s="556"/>
    </row>
    <row r="586" ht="15.75" customHeight="1">
      <c r="A586" s="556"/>
      <c r="B586" s="556"/>
      <c r="C586" s="596"/>
      <c r="D586" s="556"/>
      <c r="E586" s="596"/>
      <c r="F586" s="556"/>
      <c r="G586" s="556"/>
      <c r="H586" s="556"/>
      <c r="I586" s="556"/>
      <c r="J586" s="556"/>
      <c r="K586" s="556"/>
      <c r="L586" s="556"/>
      <c r="M586" s="556"/>
      <c r="N586" s="556"/>
      <c r="O586" s="556"/>
      <c r="P586" s="556"/>
      <c r="Q586" s="556"/>
      <c r="R586" s="596"/>
      <c r="S586" s="596"/>
      <c r="T586" s="556"/>
      <c r="U586" s="556"/>
      <c r="V586" s="807"/>
      <c r="W586" s="556"/>
      <c r="X586" s="556"/>
      <c r="Y586" s="556"/>
      <c r="Z586" s="579"/>
      <c r="AA586" s="556"/>
      <c r="AB586" s="556"/>
      <c r="AC586" s="556"/>
      <c r="AD586" s="556"/>
    </row>
    <row r="587" ht="15.75" customHeight="1">
      <c r="A587" s="556"/>
      <c r="B587" s="556"/>
      <c r="C587" s="596"/>
      <c r="D587" s="556"/>
      <c r="E587" s="596"/>
      <c r="F587" s="556"/>
      <c r="G587" s="556"/>
      <c r="H587" s="556"/>
      <c r="I587" s="556"/>
      <c r="J587" s="556"/>
      <c r="K587" s="556"/>
      <c r="L587" s="556"/>
      <c r="M587" s="556"/>
      <c r="N587" s="556"/>
      <c r="O587" s="556"/>
      <c r="P587" s="556"/>
      <c r="Q587" s="556"/>
      <c r="R587" s="596"/>
      <c r="S587" s="596"/>
      <c r="T587" s="556"/>
      <c r="U587" s="556"/>
      <c r="V587" s="807"/>
      <c r="W587" s="556"/>
      <c r="X587" s="556"/>
      <c r="Y587" s="556"/>
      <c r="Z587" s="579"/>
      <c r="AA587" s="556"/>
      <c r="AB587" s="556"/>
      <c r="AC587" s="556"/>
      <c r="AD587" s="556"/>
    </row>
    <row r="588" ht="15.75" customHeight="1">
      <c r="A588" s="556"/>
      <c r="B588" s="556"/>
      <c r="C588" s="596"/>
      <c r="D588" s="556"/>
      <c r="E588" s="596"/>
      <c r="F588" s="556"/>
      <c r="G588" s="556"/>
      <c r="H588" s="556"/>
      <c r="I588" s="556"/>
      <c r="J588" s="556"/>
      <c r="K588" s="556"/>
      <c r="L588" s="556"/>
      <c r="M588" s="556"/>
      <c r="N588" s="556"/>
      <c r="O588" s="556"/>
      <c r="P588" s="556"/>
      <c r="Q588" s="556"/>
      <c r="R588" s="596"/>
      <c r="S588" s="596"/>
      <c r="T588" s="556"/>
      <c r="U588" s="556"/>
      <c r="V588" s="807"/>
      <c r="W588" s="556"/>
      <c r="X588" s="556"/>
      <c r="Y588" s="556"/>
      <c r="Z588" s="579"/>
      <c r="AA588" s="556"/>
      <c r="AB588" s="556"/>
      <c r="AC588" s="556"/>
      <c r="AD588" s="556"/>
    </row>
    <row r="589" ht="15.75" customHeight="1">
      <c r="A589" s="556"/>
      <c r="B589" s="556"/>
      <c r="C589" s="596"/>
      <c r="D589" s="556"/>
      <c r="E589" s="596"/>
      <c r="F589" s="556"/>
      <c r="G589" s="556"/>
      <c r="H589" s="556"/>
      <c r="I589" s="556"/>
      <c r="J589" s="556"/>
      <c r="K589" s="556"/>
      <c r="L589" s="556"/>
      <c r="M589" s="556"/>
      <c r="N589" s="556"/>
      <c r="O589" s="556"/>
      <c r="P589" s="556"/>
      <c r="Q589" s="556"/>
      <c r="R589" s="596"/>
      <c r="S589" s="596"/>
      <c r="T589" s="556"/>
      <c r="U589" s="556"/>
      <c r="V589" s="807"/>
      <c r="W589" s="556"/>
      <c r="X589" s="556"/>
      <c r="Y589" s="556"/>
      <c r="Z589" s="579"/>
      <c r="AA589" s="556"/>
      <c r="AB589" s="556"/>
      <c r="AC589" s="556"/>
      <c r="AD589" s="556"/>
    </row>
    <row r="590" ht="15.75" customHeight="1">
      <c r="A590" s="556"/>
      <c r="B590" s="556"/>
      <c r="C590" s="596"/>
      <c r="D590" s="556"/>
      <c r="E590" s="596"/>
      <c r="F590" s="556"/>
      <c r="G590" s="556"/>
      <c r="H590" s="556"/>
      <c r="I590" s="556"/>
      <c r="J590" s="556"/>
      <c r="K590" s="556"/>
      <c r="L590" s="556"/>
      <c r="M590" s="556"/>
      <c r="N590" s="556"/>
      <c r="O590" s="556"/>
      <c r="P590" s="556"/>
      <c r="Q590" s="556"/>
      <c r="R590" s="596"/>
      <c r="S590" s="596"/>
      <c r="T590" s="556"/>
      <c r="U590" s="556"/>
      <c r="V590" s="807"/>
      <c r="W590" s="556"/>
      <c r="X590" s="556"/>
      <c r="Y590" s="556"/>
      <c r="Z590" s="579"/>
      <c r="AA590" s="556"/>
      <c r="AB590" s="556"/>
      <c r="AC590" s="556"/>
      <c r="AD590" s="556"/>
    </row>
    <row r="591" ht="15.75" customHeight="1">
      <c r="A591" s="556"/>
      <c r="B591" s="556"/>
      <c r="C591" s="596"/>
      <c r="D591" s="556"/>
      <c r="E591" s="596"/>
      <c r="F591" s="556"/>
      <c r="G591" s="556"/>
      <c r="H591" s="556"/>
      <c r="I591" s="556"/>
      <c r="J591" s="556"/>
      <c r="K591" s="556"/>
      <c r="L591" s="556"/>
      <c r="M591" s="556"/>
      <c r="N591" s="556"/>
      <c r="O591" s="556"/>
      <c r="P591" s="556"/>
      <c r="Q591" s="556"/>
      <c r="R591" s="596"/>
      <c r="S591" s="596"/>
      <c r="T591" s="556"/>
      <c r="U591" s="556"/>
      <c r="V591" s="807"/>
      <c r="W591" s="556"/>
      <c r="X591" s="556"/>
      <c r="Y591" s="556"/>
      <c r="Z591" s="579"/>
      <c r="AA591" s="556"/>
      <c r="AB591" s="556"/>
      <c r="AC591" s="556"/>
      <c r="AD591" s="556"/>
    </row>
    <row r="592" ht="15.75" customHeight="1">
      <c r="A592" s="556"/>
      <c r="B592" s="556"/>
      <c r="C592" s="596"/>
      <c r="D592" s="556"/>
      <c r="E592" s="596"/>
      <c r="F592" s="556"/>
      <c r="G592" s="556"/>
      <c r="H592" s="556"/>
      <c r="I592" s="556"/>
      <c r="J592" s="556"/>
      <c r="K592" s="556"/>
      <c r="L592" s="556"/>
      <c r="M592" s="556"/>
      <c r="N592" s="556"/>
      <c r="O592" s="556"/>
      <c r="P592" s="556"/>
      <c r="Q592" s="556"/>
      <c r="R592" s="596"/>
      <c r="S592" s="596"/>
      <c r="T592" s="556"/>
      <c r="U592" s="556"/>
      <c r="V592" s="807"/>
      <c r="W592" s="556"/>
      <c r="X592" s="556"/>
      <c r="Y592" s="556"/>
      <c r="Z592" s="579"/>
      <c r="AA592" s="556"/>
      <c r="AB592" s="556"/>
      <c r="AC592" s="556"/>
      <c r="AD592" s="556"/>
    </row>
    <row r="593" ht="15.75" customHeight="1">
      <c r="A593" s="556"/>
      <c r="B593" s="556"/>
      <c r="C593" s="596"/>
      <c r="D593" s="556"/>
      <c r="E593" s="596"/>
      <c r="F593" s="556"/>
      <c r="G593" s="556"/>
      <c r="H593" s="556"/>
      <c r="I593" s="556"/>
      <c r="J593" s="556"/>
      <c r="K593" s="556"/>
      <c r="L593" s="556"/>
      <c r="M593" s="556"/>
      <c r="N593" s="556"/>
      <c r="O593" s="556"/>
      <c r="P593" s="556"/>
      <c r="Q593" s="556"/>
      <c r="R593" s="596"/>
      <c r="S593" s="596"/>
      <c r="T593" s="556"/>
      <c r="U593" s="556"/>
      <c r="V593" s="807"/>
      <c r="W593" s="556"/>
      <c r="X593" s="556"/>
      <c r="Y593" s="556"/>
      <c r="Z593" s="579"/>
      <c r="AA593" s="556"/>
      <c r="AB593" s="556"/>
      <c r="AC593" s="556"/>
      <c r="AD593" s="556"/>
    </row>
    <row r="594" ht="15.75" customHeight="1">
      <c r="A594" s="556"/>
      <c r="B594" s="556"/>
      <c r="C594" s="596"/>
      <c r="D594" s="556"/>
      <c r="E594" s="596"/>
      <c r="F594" s="556"/>
      <c r="G594" s="556"/>
      <c r="H594" s="556"/>
      <c r="I594" s="556"/>
      <c r="J594" s="556"/>
      <c r="K594" s="556"/>
      <c r="L594" s="556"/>
      <c r="M594" s="556"/>
      <c r="N594" s="556"/>
      <c r="O594" s="556"/>
      <c r="P594" s="556"/>
      <c r="Q594" s="556"/>
      <c r="R594" s="596"/>
      <c r="S594" s="596"/>
      <c r="T594" s="556"/>
      <c r="U594" s="556"/>
      <c r="V594" s="807"/>
      <c r="W594" s="556"/>
      <c r="X594" s="556"/>
      <c r="Y594" s="556"/>
      <c r="Z594" s="579"/>
      <c r="AA594" s="556"/>
      <c r="AB594" s="556"/>
      <c r="AC594" s="556"/>
      <c r="AD594" s="556"/>
    </row>
    <row r="595" ht="15.75" customHeight="1">
      <c r="A595" s="556"/>
      <c r="B595" s="556"/>
      <c r="C595" s="596"/>
      <c r="D595" s="556"/>
      <c r="E595" s="596"/>
      <c r="F595" s="556"/>
      <c r="G595" s="556"/>
      <c r="H595" s="556"/>
      <c r="I595" s="556"/>
      <c r="J595" s="556"/>
      <c r="K595" s="556"/>
      <c r="L595" s="556"/>
      <c r="M595" s="556"/>
      <c r="N595" s="556"/>
      <c r="O595" s="556"/>
      <c r="P595" s="556"/>
      <c r="Q595" s="556"/>
      <c r="R595" s="596"/>
      <c r="S595" s="596"/>
      <c r="T595" s="556"/>
      <c r="U595" s="556"/>
      <c r="V595" s="807"/>
      <c r="W595" s="556"/>
      <c r="X595" s="556"/>
      <c r="Y595" s="556"/>
      <c r="Z595" s="579"/>
      <c r="AA595" s="556"/>
      <c r="AB595" s="556"/>
      <c r="AC595" s="556"/>
      <c r="AD595" s="556"/>
    </row>
    <row r="596" ht="15.75" customHeight="1">
      <c r="A596" s="556"/>
      <c r="B596" s="556"/>
      <c r="C596" s="596"/>
      <c r="D596" s="556"/>
      <c r="E596" s="596"/>
      <c r="F596" s="556"/>
      <c r="G596" s="556"/>
      <c r="H596" s="556"/>
      <c r="I596" s="556"/>
      <c r="J596" s="556"/>
      <c r="K596" s="556"/>
      <c r="L596" s="556"/>
      <c r="M596" s="556"/>
      <c r="N596" s="556"/>
      <c r="O596" s="556"/>
      <c r="P596" s="556"/>
      <c r="Q596" s="556"/>
      <c r="R596" s="596"/>
      <c r="S596" s="596"/>
      <c r="T596" s="556"/>
      <c r="U596" s="556"/>
      <c r="V596" s="807"/>
      <c r="W596" s="556"/>
      <c r="X596" s="556"/>
      <c r="Y596" s="556"/>
      <c r="Z596" s="579"/>
      <c r="AA596" s="556"/>
      <c r="AB596" s="556"/>
      <c r="AC596" s="556"/>
      <c r="AD596" s="556"/>
    </row>
    <row r="597" ht="15.75" customHeight="1">
      <c r="A597" s="556"/>
      <c r="B597" s="556"/>
      <c r="C597" s="596"/>
      <c r="D597" s="556"/>
      <c r="E597" s="596"/>
      <c r="F597" s="556"/>
      <c r="G597" s="556"/>
      <c r="H597" s="556"/>
      <c r="I597" s="556"/>
      <c r="J597" s="556"/>
      <c r="K597" s="556"/>
      <c r="L597" s="556"/>
      <c r="M597" s="556"/>
      <c r="N597" s="556"/>
      <c r="O597" s="556"/>
      <c r="P597" s="556"/>
      <c r="Q597" s="556"/>
      <c r="R597" s="596"/>
      <c r="S597" s="596"/>
      <c r="T597" s="556"/>
      <c r="U597" s="556"/>
      <c r="V597" s="807"/>
      <c r="W597" s="556"/>
      <c r="X597" s="556"/>
      <c r="Y597" s="556"/>
      <c r="Z597" s="579"/>
      <c r="AA597" s="556"/>
      <c r="AB597" s="556"/>
      <c r="AC597" s="556"/>
      <c r="AD597" s="556"/>
    </row>
    <row r="598" ht="15.75" customHeight="1">
      <c r="A598" s="556"/>
      <c r="B598" s="556"/>
      <c r="C598" s="596"/>
      <c r="D598" s="556"/>
      <c r="E598" s="596"/>
      <c r="F598" s="556"/>
      <c r="G598" s="556"/>
      <c r="H598" s="556"/>
      <c r="I598" s="556"/>
      <c r="J598" s="556"/>
      <c r="K598" s="556"/>
      <c r="L598" s="556"/>
      <c r="M598" s="556"/>
      <c r="N598" s="556"/>
      <c r="O598" s="556"/>
      <c r="P598" s="556"/>
      <c r="Q598" s="556"/>
      <c r="R598" s="596"/>
      <c r="S598" s="596"/>
      <c r="T598" s="556"/>
      <c r="U598" s="556"/>
      <c r="V598" s="807"/>
      <c r="W598" s="556"/>
      <c r="X598" s="556"/>
      <c r="Y598" s="556"/>
      <c r="Z598" s="579"/>
      <c r="AA598" s="556"/>
      <c r="AB598" s="556"/>
      <c r="AC598" s="556"/>
      <c r="AD598" s="556"/>
    </row>
    <row r="599" ht="15.75" customHeight="1">
      <c r="A599" s="556"/>
      <c r="B599" s="556"/>
      <c r="C599" s="596"/>
      <c r="D599" s="556"/>
      <c r="E599" s="596"/>
      <c r="F599" s="556"/>
      <c r="G599" s="556"/>
      <c r="H599" s="556"/>
      <c r="I599" s="556"/>
      <c r="J599" s="556"/>
      <c r="K599" s="556"/>
      <c r="L599" s="556"/>
      <c r="M599" s="556"/>
      <c r="N599" s="556"/>
      <c r="O599" s="556"/>
      <c r="P599" s="556"/>
      <c r="Q599" s="556"/>
      <c r="R599" s="596"/>
      <c r="S599" s="596"/>
      <c r="T599" s="556"/>
      <c r="U599" s="556"/>
      <c r="V599" s="807"/>
      <c r="W599" s="556"/>
      <c r="X599" s="556"/>
      <c r="Y599" s="556"/>
      <c r="Z599" s="579"/>
      <c r="AA599" s="556"/>
      <c r="AB599" s="556"/>
      <c r="AC599" s="556"/>
      <c r="AD599" s="556"/>
    </row>
    <row r="600" ht="15.75" customHeight="1">
      <c r="A600" s="556"/>
      <c r="B600" s="556"/>
      <c r="C600" s="596"/>
      <c r="D600" s="556"/>
      <c r="E600" s="596"/>
      <c r="F600" s="556"/>
      <c r="G600" s="556"/>
      <c r="H600" s="556"/>
      <c r="I600" s="556"/>
      <c r="J600" s="556"/>
      <c r="K600" s="556"/>
      <c r="L600" s="556"/>
      <c r="M600" s="556"/>
      <c r="N600" s="556"/>
      <c r="O600" s="556"/>
      <c r="P600" s="556"/>
      <c r="Q600" s="556"/>
      <c r="R600" s="596"/>
      <c r="S600" s="596"/>
      <c r="T600" s="556"/>
      <c r="U600" s="556"/>
      <c r="V600" s="807"/>
      <c r="W600" s="556"/>
      <c r="X600" s="556"/>
      <c r="Y600" s="556"/>
      <c r="Z600" s="579"/>
      <c r="AA600" s="556"/>
      <c r="AB600" s="556"/>
      <c r="AC600" s="556"/>
      <c r="AD600" s="556"/>
    </row>
    <row r="601" ht="15.75" customHeight="1">
      <c r="A601" s="556"/>
      <c r="B601" s="556"/>
      <c r="C601" s="596"/>
      <c r="D601" s="556"/>
      <c r="E601" s="596"/>
      <c r="F601" s="556"/>
      <c r="G601" s="556"/>
      <c r="H601" s="556"/>
      <c r="I601" s="556"/>
      <c r="J601" s="556"/>
      <c r="K601" s="556"/>
      <c r="L601" s="556"/>
      <c r="M601" s="556"/>
      <c r="N601" s="556"/>
      <c r="O601" s="556"/>
      <c r="P601" s="556"/>
      <c r="Q601" s="556"/>
      <c r="R601" s="596"/>
      <c r="S601" s="596"/>
      <c r="T601" s="556"/>
      <c r="U601" s="556"/>
      <c r="V601" s="807"/>
      <c r="W601" s="556"/>
      <c r="X601" s="556"/>
      <c r="Y601" s="556"/>
      <c r="Z601" s="579"/>
      <c r="AA601" s="556"/>
      <c r="AB601" s="556"/>
      <c r="AC601" s="556"/>
      <c r="AD601" s="556"/>
    </row>
    <row r="602" ht="15.75" customHeight="1">
      <c r="A602" s="556"/>
      <c r="B602" s="556"/>
      <c r="C602" s="596"/>
      <c r="D602" s="556"/>
      <c r="E602" s="596"/>
      <c r="F602" s="556"/>
      <c r="G602" s="556"/>
      <c r="H602" s="556"/>
      <c r="I602" s="556"/>
      <c r="J602" s="556"/>
      <c r="K602" s="556"/>
      <c r="L602" s="556"/>
      <c r="M602" s="556"/>
      <c r="N602" s="556"/>
      <c r="O602" s="556"/>
      <c r="P602" s="556"/>
      <c r="Q602" s="556"/>
      <c r="R602" s="596"/>
      <c r="S602" s="596"/>
      <c r="T602" s="556"/>
      <c r="U602" s="556"/>
      <c r="V602" s="807"/>
      <c r="W602" s="556"/>
      <c r="X602" s="556"/>
      <c r="Y602" s="556"/>
      <c r="Z602" s="579"/>
      <c r="AA602" s="556"/>
      <c r="AB602" s="556"/>
      <c r="AC602" s="556"/>
      <c r="AD602" s="556"/>
    </row>
    <row r="603" ht="15.75" customHeight="1">
      <c r="A603" s="556"/>
      <c r="B603" s="556"/>
      <c r="C603" s="596"/>
      <c r="D603" s="556"/>
      <c r="E603" s="596"/>
      <c r="F603" s="556"/>
      <c r="G603" s="556"/>
      <c r="H603" s="556"/>
      <c r="I603" s="556"/>
      <c r="J603" s="556"/>
      <c r="K603" s="556"/>
      <c r="L603" s="556"/>
      <c r="M603" s="556"/>
      <c r="N603" s="556"/>
      <c r="O603" s="556"/>
      <c r="P603" s="556"/>
      <c r="Q603" s="556"/>
      <c r="R603" s="596"/>
      <c r="S603" s="596"/>
      <c r="T603" s="556"/>
      <c r="U603" s="556"/>
      <c r="V603" s="807"/>
      <c r="W603" s="556"/>
      <c r="X603" s="556"/>
      <c r="Y603" s="556"/>
      <c r="Z603" s="579"/>
      <c r="AA603" s="556"/>
      <c r="AB603" s="556"/>
      <c r="AC603" s="556"/>
      <c r="AD603" s="556"/>
    </row>
    <row r="604" ht="15.75" customHeight="1">
      <c r="A604" s="556"/>
      <c r="B604" s="556"/>
      <c r="C604" s="596"/>
      <c r="D604" s="556"/>
      <c r="E604" s="596"/>
      <c r="F604" s="556"/>
      <c r="G604" s="556"/>
      <c r="H604" s="556"/>
      <c r="I604" s="556"/>
      <c r="J604" s="556"/>
      <c r="K604" s="556"/>
      <c r="L604" s="556"/>
      <c r="M604" s="556"/>
      <c r="N604" s="556"/>
      <c r="O604" s="556"/>
      <c r="P604" s="556"/>
      <c r="Q604" s="556"/>
      <c r="R604" s="596"/>
      <c r="S604" s="596"/>
      <c r="T604" s="556"/>
      <c r="U604" s="556"/>
      <c r="V604" s="807"/>
      <c r="W604" s="556"/>
      <c r="X604" s="556"/>
      <c r="Y604" s="556"/>
      <c r="Z604" s="579"/>
      <c r="AA604" s="556"/>
      <c r="AB604" s="556"/>
      <c r="AC604" s="556"/>
      <c r="AD604" s="556"/>
    </row>
    <row r="605" ht="15.75" customHeight="1">
      <c r="A605" s="556"/>
      <c r="B605" s="556"/>
      <c r="C605" s="596"/>
      <c r="D605" s="556"/>
      <c r="E605" s="596"/>
      <c r="F605" s="556"/>
      <c r="G605" s="556"/>
      <c r="H605" s="556"/>
      <c r="I605" s="556"/>
      <c r="J605" s="556"/>
      <c r="K605" s="556"/>
      <c r="L605" s="556"/>
      <c r="M605" s="556"/>
      <c r="N605" s="556"/>
      <c r="O605" s="556"/>
      <c r="P605" s="556"/>
      <c r="Q605" s="556"/>
      <c r="R605" s="596"/>
      <c r="S605" s="596"/>
      <c r="T605" s="556"/>
      <c r="U605" s="556"/>
      <c r="V605" s="807"/>
      <c r="W605" s="556"/>
      <c r="X605" s="556"/>
      <c r="Y605" s="556"/>
      <c r="Z605" s="579"/>
      <c r="AA605" s="556"/>
      <c r="AB605" s="556"/>
      <c r="AC605" s="556"/>
      <c r="AD605" s="556"/>
    </row>
    <row r="606" ht="15.75" customHeight="1">
      <c r="A606" s="556"/>
      <c r="B606" s="556"/>
      <c r="C606" s="596"/>
      <c r="D606" s="556"/>
      <c r="E606" s="596"/>
      <c r="F606" s="556"/>
      <c r="G606" s="556"/>
      <c r="H606" s="556"/>
      <c r="I606" s="556"/>
      <c r="J606" s="556"/>
      <c r="K606" s="556"/>
      <c r="L606" s="556"/>
      <c r="M606" s="556"/>
      <c r="N606" s="556"/>
      <c r="O606" s="556"/>
      <c r="P606" s="556"/>
      <c r="Q606" s="556"/>
      <c r="R606" s="596"/>
      <c r="S606" s="596"/>
      <c r="T606" s="556"/>
      <c r="U606" s="556"/>
      <c r="V606" s="807"/>
      <c r="W606" s="556"/>
      <c r="X606" s="556"/>
      <c r="Y606" s="556"/>
      <c r="Z606" s="579"/>
      <c r="AA606" s="556"/>
      <c r="AB606" s="556"/>
      <c r="AC606" s="556"/>
      <c r="AD606" s="556"/>
    </row>
    <row r="607" ht="15.75" customHeight="1">
      <c r="A607" s="556"/>
      <c r="B607" s="556"/>
      <c r="C607" s="596"/>
      <c r="D607" s="556"/>
      <c r="E607" s="596"/>
      <c r="F607" s="556"/>
      <c r="G607" s="556"/>
      <c r="H607" s="556"/>
      <c r="I607" s="556"/>
      <c r="J607" s="556"/>
      <c r="K607" s="556"/>
      <c r="L607" s="556"/>
      <c r="M607" s="556"/>
      <c r="N607" s="556"/>
      <c r="O607" s="556"/>
      <c r="P607" s="556"/>
      <c r="Q607" s="556"/>
      <c r="R607" s="596"/>
      <c r="S607" s="596"/>
      <c r="T607" s="556"/>
      <c r="U607" s="556"/>
      <c r="V607" s="807"/>
      <c r="W607" s="556"/>
      <c r="X607" s="556"/>
      <c r="Y607" s="556"/>
      <c r="Z607" s="579"/>
      <c r="AA607" s="556"/>
      <c r="AB607" s="556"/>
      <c r="AC607" s="556"/>
      <c r="AD607" s="556"/>
    </row>
    <row r="608" ht="15.75" customHeight="1">
      <c r="A608" s="556"/>
      <c r="B608" s="556"/>
      <c r="C608" s="596"/>
      <c r="D608" s="556"/>
      <c r="E608" s="596"/>
      <c r="F608" s="556"/>
      <c r="G608" s="556"/>
      <c r="H608" s="556"/>
      <c r="I608" s="556"/>
      <c r="J608" s="556"/>
      <c r="K608" s="556"/>
      <c r="L608" s="556"/>
      <c r="M608" s="556"/>
      <c r="N608" s="556"/>
      <c r="O608" s="556"/>
      <c r="P608" s="556"/>
      <c r="Q608" s="556"/>
      <c r="R608" s="596"/>
      <c r="S608" s="596"/>
      <c r="T608" s="556"/>
      <c r="U608" s="556"/>
      <c r="V608" s="807"/>
      <c r="W608" s="556"/>
      <c r="X608" s="556"/>
      <c r="Y608" s="556"/>
      <c r="Z608" s="579"/>
      <c r="AA608" s="556"/>
      <c r="AB608" s="556"/>
      <c r="AC608" s="556"/>
      <c r="AD608" s="556"/>
    </row>
    <row r="609" ht="15.75" customHeight="1">
      <c r="A609" s="556"/>
      <c r="B609" s="556"/>
      <c r="C609" s="596"/>
      <c r="D609" s="556"/>
      <c r="E609" s="596"/>
      <c r="F609" s="556"/>
      <c r="G609" s="556"/>
      <c r="H609" s="556"/>
      <c r="I609" s="556"/>
      <c r="J609" s="556"/>
      <c r="K609" s="556"/>
      <c r="L609" s="556"/>
      <c r="M609" s="556"/>
      <c r="N609" s="556"/>
      <c r="O609" s="556"/>
      <c r="P609" s="556"/>
      <c r="Q609" s="556"/>
      <c r="R609" s="596"/>
      <c r="S609" s="596"/>
      <c r="T609" s="556"/>
      <c r="U609" s="556"/>
      <c r="V609" s="807"/>
      <c r="W609" s="556"/>
      <c r="X609" s="556"/>
      <c r="Y609" s="556"/>
      <c r="Z609" s="579"/>
      <c r="AA609" s="556"/>
      <c r="AB609" s="556"/>
      <c r="AC609" s="556"/>
      <c r="AD609" s="556"/>
    </row>
    <row r="610" ht="15.75" customHeight="1">
      <c r="A610" s="556"/>
      <c r="B610" s="556"/>
      <c r="C610" s="596"/>
      <c r="D610" s="556"/>
      <c r="E610" s="596"/>
      <c r="F610" s="556"/>
      <c r="G610" s="556"/>
      <c r="H610" s="556"/>
      <c r="I610" s="556"/>
      <c r="J610" s="556"/>
      <c r="K610" s="556"/>
      <c r="L610" s="556"/>
      <c r="M610" s="556"/>
      <c r="N610" s="556"/>
      <c r="O610" s="556"/>
      <c r="P610" s="556"/>
      <c r="Q610" s="556"/>
      <c r="R610" s="596"/>
      <c r="S610" s="596"/>
      <c r="T610" s="556"/>
      <c r="U610" s="556"/>
      <c r="V610" s="807"/>
      <c r="W610" s="556"/>
      <c r="X610" s="556"/>
      <c r="Y610" s="556"/>
      <c r="Z610" s="579"/>
      <c r="AA610" s="556"/>
      <c r="AB610" s="556"/>
      <c r="AC610" s="556"/>
      <c r="AD610" s="556"/>
    </row>
    <row r="611" ht="15.75" customHeight="1">
      <c r="A611" s="556"/>
      <c r="B611" s="556"/>
      <c r="C611" s="596"/>
      <c r="D611" s="556"/>
      <c r="E611" s="596"/>
      <c r="F611" s="556"/>
      <c r="G611" s="556"/>
      <c r="H611" s="556"/>
      <c r="I611" s="556"/>
      <c r="J611" s="556"/>
      <c r="K611" s="556"/>
      <c r="L611" s="556"/>
      <c r="M611" s="556"/>
      <c r="N611" s="556"/>
      <c r="O611" s="556"/>
      <c r="P611" s="556"/>
      <c r="Q611" s="556"/>
      <c r="R611" s="596"/>
      <c r="S611" s="596"/>
      <c r="T611" s="556"/>
      <c r="U611" s="556"/>
      <c r="V611" s="807"/>
      <c r="W611" s="556"/>
      <c r="X611" s="556"/>
      <c r="Y611" s="556"/>
      <c r="Z611" s="579"/>
      <c r="AA611" s="556"/>
      <c r="AB611" s="556"/>
      <c r="AC611" s="556"/>
      <c r="AD611" s="556"/>
    </row>
    <row r="612" ht="15.75" customHeight="1">
      <c r="A612" s="556"/>
      <c r="B612" s="556"/>
      <c r="C612" s="596"/>
      <c r="D612" s="556"/>
      <c r="E612" s="596"/>
      <c r="F612" s="556"/>
      <c r="G612" s="556"/>
      <c r="H612" s="556"/>
      <c r="I612" s="556"/>
      <c r="J612" s="556"/>
      <c r="K612" s="556"/>
      <c r="L612" s="556"/>
      <c r="M612" s="556"/>
      <c r="N612" s="556"/>
      <c r="O612" s="556"/>
      <c r="P612" s="556"/>
      <c r="Q612" s="556"/>
      <c r="R612" s="596"/>
      <c r="S612" s="596"/>
      <c r="T612" s="556"/>
      <c r="U612" s="556"/>
      <c r="V612" s="807"/>
      <c r="W612" s="556"/>
      <c r="X612" s="556"/>
      <c r="Y612" s="556"/>
      <c r="Z612" s="579"/>
      <c r="AA612" s="556"/>
      <c r="AB612" s="556"/>
      <c r="AC612" s="556"/>
      <c r="AD612" s="556"/>
    </row>
    <row r="613" ht="15.75" customHeight="1">
      <c r="A613" s="556"/>
      <c r="B613" s="556"/>
      <c r="C613" s="596"/>
      <c r="D613" s="556"/>
      <c r="E613" s="596"/>
      <c r="F613" s="556"/>
      <c r="G613" s="556"/>
      <c r="H613" s="556"/>
      <c r="I613" s="556"/>
      <c r="J613" s="556"/>
      <c r="K613" s="556"/>
      <c r="L613" s="556"/>
      <c r="M613" s="556"/>
      <c r="N613" s="556"/>
      <c r="O613" s="556"/>
      <c r="P613" s="556"/>
      <c r="Q613" s="556"/>
      <c r="R613" s="596"/>
      <c r="S613" s="596"/>
      <c r="T613" s="556"/>
      <c r="U613" s="556"/>
      <c r="V613" s="807"/>
      <c r="W613" s="556"/>
      <c r="X613" s="556"/>
      <c r="Y613" s="556"/>
      <c r="Z613" s="579"/>
      <c r="AA613" s="556"/>
      <c r="AB613" s="556"/>
      <c r="AC613" s="556"/>
      <c r="AD613" s="556"/>
    </row>
    <row r="614" ht="15.75" customHeight="1">
      <c r="A614" s="556"/>
      <c r="B614" s="556"/>
      <c r="C614" s="596"/>
      <c r="D614" s="556"/>
      <c r="E614" s="596"/>
      <c r="F614" s="556"/>
      <c r="G614" s="556"/>
      <c r="H614" s="556"/>
      <c r="I614" s="556"/>
      <c r="J614" s="556"/>
      <c r="K614" s="556"/>
      <c r="L614" s="556"/>
      <c r="M614" s="556"/>
      <c r="N614" s="556"/>
      <c r="O614" s="556"/>
      <c r="P614" s="556"/>
      <c r="Q614" s="556"/>
      <c r="R614" s="596"/>
      <c r="S614" s="596"/>
      <c r="T614" s="556"/>
      <c r="U614" s="556"/>
      <c r="V614" s="807"/>
      <c r="W614" s="556"/>
      <c r="X614" s="556"/>
      <c r="Y614" s="556"/>
      <c r="Z614" s="579"/>
      <c r="AA614" s="556"/>
      <c r="AB614" s="556"/>
      <c r="AC614" s="556"/>
      <c r="AD614" s="556"/>
    </row>
    <row r="615" ht="15.75" customHeight="1">
      <c r="A615" s="556"/>
      <c r="B615" s="556"/>
      <c r="C615" s="596"/>
      <c r="D615" s="556"/>
      <c r="E615" s="596"/>
      <c r="F615" s="556"/>
      <c r="G615" s="556"/>
      <c r="H615" s="556"/>
      <c r="I615" s="556"/>
      <c r="J615" s="556"/>
      <c r="K615" s="556"/>
      <c r="L615" s="556"/>
      <c r="M615" s="556"/>
      <c r="N615" s="556"/>
      <c r="O615" s="556"/>
      <c r="P615" s="556"/>
      <c r="Q615" s="556"/>
      <c r="R615" s="596"/>
      <c r="S615" s="596"/>
      <c r="T615" s="556"/>
      <c r="U615" s="556"/>
      <c r="V615" s="807"/>
      <c r="W615" s="556"/>
      <c r="X615" s="556"/>
      <c r="Y615" s="556"/>
      <c r="Z615" s="579"/>
      <c r="AA615" s="556"/>
      <c r="AB615" s="556"/>
      <c r="AC615" s="556"/>
      <c r="AD615" s="556"/>
    </row>
    <row r="616" ht="15.75" customHeight="1">
      <c r="A616" s="556"/>
      <c r="B616" s="556"/>
      <c r="C616" s="596"/>
      <c r="D616" s="556"/>
      <c r="E616" s="596"/>
      <c r="F616" s="556"/>
      <c r="G616" s="556"/>
      <c r="H616" s="556"/>
      <c r="I616" s="556"/>
      <c r="J616" s="556"/>
      <c r="K616" s="556"/>
      <c r="L616" s="556"/>
      <c r="M616" s="556"/>
      <c r="N616" s="556"/>
      <c r="O616" s="556"/>
      <c r="P616" s="556"/>
      <c r="Q616" s="556"/>
      <c r="R616" s="596"/>
      <c r="S616" s="596"/>
      <c r="T616" s="556"/>
      <c r="U616" s="556"/>
      <c r="V616" s="807"/>
      <c r="W616" s="556"/>
      <c r="X616" s="556"/>
      <c r="Y616" s="556"/>
      <c r="Z616" s="579"/>
      <c r="AA616" s="556"/>
      <c r="AB616" s="556"/>
      <c r="AC616" s="556"/>
      <c r="AD616" s="556"/>
    </row>
    <row r="617" ht="15.75" customHeight="1">
      <c r="A617" s="556"/>
      <c r="B617" s="556"/>
      <c r="C617" s="596"/>
      <c r="D617" s="556"/>
      <c r="E617" s="596"/>
      <c r="F617" s="556"/>
      <c r="G617" s="556"/>
      <c r="H617" s="556"/>
      <c r="I617" s="556"/>
      <c r="J617" s="556"/>
      <c r="K617" s="556"/>
      <c r="L617" s="556"/>
      <c r="M617" s="556"/>
      <c r="N617" s="556"/>
      <c r="O617" s="556"/>
      <c r="P617" s="556"/>
      <c r="Q617" s="556"/>
      <c r="R617" s="596"/>
      <c r="S617" s="596"/>
      <c r="T617" s="556"/>
      <c r="U617" s="556"/>
      <c r="V617" s="807"/>
      <c r="W617" s="556"/>
      <c r="X617" s="556"/>
      <c r="Y617" s="556"/>
      <c r="Z617" s="579"/>
      <c r="AA617" s="556"/>
      <c r="AB617" s="556"/>
      <c r="AC617" s="556"/>
      <c r="AD617" s="556"/>
    </row>
    <row r="618" ht="15.75" customHeight="1">
      <c r="A618" s="556"/>
      <c r="B618" s="556"/>
      <c r="C618" s="596"/>
      <c r="D618" s="556"/>
      <c r="E618" s="596"/>
      <c r="F618" s="556"/>
      <c r="G618" s="556"/>
      <c r="H618" s="556"/>
      <c r="I618" s="556"/>
      <c r="J618" s="556"/>
      <c r="K618" s="556"/>
      <c r="L618" s="556"/>
      <c r="M618" s="556"/>
      <c r="N618" s="556"/>
      <c r="O618" s="556"/>
      <c r="P618" s="556"/>
      <c r="Q618" s="556"/>
      <c r="R618" s="596"/>
      <c r="S618" s="596"/>
      <c r="T618" s="556"/>
      <c r="U618" s="556"/>
      <c r="V618" s="807"/>
      <c r="W618" s="556"/>
      <c r="X618" s="556"/>
      <c r="Y618" s="556"/>
      <c r="Z618" s="579"/>
      <c r="AA618" s="556"/>
      <c r="AB618" s="556"/>
      <c r="AC618" s="556"/>
      <c r="AD618" s="556"/>
    </row>
    <row r="619" ht="15.75" customHeight="1">
      <c r="A619" s="556"/>
      <c r="B619" s="556"/>
      <c r="C619" s="596"/>
      <c r="D619" s="556"/>
      <c r="E619" s="596"/>
      <c r="F619" s="556"/>
      <c r="G619" s="556"/>
      <c r="H619" s="556"/>
      <c r="I619" s="556"/>
      <c r="J619" s="556"/>
      <c r="K619" s="556"/>
      <c r="L619" s="556"/>
      <c r="M619" s="556"/>
      <c r="N619" s="556"/>
      <c r="O619" s="556"/>
      <c r="P619" s="556"/>
      <c r="Q619" s="556"/>
      <c r="R619" s="596"/>
      <c r="S619" s="596"/>
      <c r="T619" s="556"/>
      <c r="U619" s="556"/>
      <c r="V619" s="807"/>
      <c r="W619" s="556"/>
      <c r="X619" s="556"/>
      <c r="Y619" s="556"/>
      <c r="Z619" s="579"/>
      <c r="AA619" s="556"/>
      <c r="AB619" s="556"/>
      <c r="AC619" s="556"/>
      <c r="AD619" s="556"/>
    </row>
    <row r="620" ht="15.75" customHeight="1">
      <c r="A620" s="556"/>
      <c r="B620" s="556"/>
      <c r="C620" s="596"/>
      <c r="D620" s="556"/>
      <c r="E620" s="596"/>
      <c r="F620" s="556"/>
      <c r="G620" s="556"/>
      <c r="H620" s="556"/>
      <c r="I620" s="556"/>
      <c r="J620" s="556"/>
      <c r="K620" s="556"/>
      <c r="L620" s="556"/>
      <c r="M620" s="556"/>
      <c r="N620" s="556"/>
      <c r="O620" s="556"/>
      <c r="P620" s="556"/>
      <c r="Q620" s="556"/>
      <c r="R620" s="596"/>
      <c r="S620" s="596"/>
      <c r="T620" s="556"/>
      <c r="U620" s="556"/>
      <c r="V620" s="807"/>
      <c r="W620" s="556"/>
      <c r="X620" s="556"/>
      <c r="Y620" s="556"/>
      <c r="Z620" s="579"/>
      <c r="AA620" s="556"/>
      <c r="AB620" s="556"/>
      <c r="AC620" s="556"/>
      <c r="AD620" s="556"/>
    </row>
    <row r="621" ht="15.75" customHeight="1">
      <c r="A621" s="556"/>
      <c r="B621" s="556"/>
      <c r="C621" s="596"/>
      <c r="D621" s="556"/>
      <c r="E621" s="596"/>
      <c r="F621" s="556"/>
      <c r="G621" s="556"/>
      <c r="H621" s="556"/>
      <c r="I621" s="556"/>
      <c r="J621" s="556"/>
      <c r="K621" s="556"/>
      <c r="L621" s="556"/>
      <c r="M621" s="556"/>
      <c r="N621" s="556"/>
      <c r="O621" s="556"/>
      <c r="P621" s="556"/>
      <c r="Q621" s="556"/>
      <c r="R621" s="596"/>
      <c r="S621" s="596"/>
      <c r="T621" s="556"/>
      <c r="U621" s="556"/>
      <c r="V621" s="807"/>
      <c r="W621" s="556"/>
      <c r="X621" s="556"/>
      <c r="Y621" s="556"/>
      <c r="Z621" s="579"/>
      <c r="AA621" s="556"/>
      <c r="AB621" s="556"/>
      <c r="AC621" s="556"/>
      <c r="AD621" s="556"/>
    </row>
    <row r="622" ht="15.75" customHeight="1">
      <c r="A622" s="556"/>
      <c r="B622" s="556"/>
      <c r="C622" s="596"/>
      <c r="D622" s="556"/>
      <c r="E622" s="596"/>
      <c r="F622" s="556"/>
      <c r="G622" s="556"/>
      <c r="H622" s="556"/>
      <c r="I622" s="556"/>
      <c r="J622" s="556"/>
      <c r="K622" s="556"/>
      <c r="L622" s="556"/>
      <c r="M622" s="556"/>
      <c r="N622" s="556"/>
      <c r="O622" s="556"/>
      <c r="P622" s="556"/>
      <c r="Q622" s="556"/>
      <c r="R622" s="596"/>
      <c r="S622" s="596"/>
      <c r="T622" s="556"/>
      <c r="U622" s="556"/>
      <c r="V622" s="807"/>
      <c r="W622" s="556"/>
      <c r="X622" s="556"/>
      <c r="Y622" s="556"/>
      <c r="Z622" s="579"/>
      <c r="AA622" s="556"/>
      <c r="AB622" s="556"/>
      <c r="AC622" s="556"/>
      <c r="AD622" s="556"/>
    </row>
    <row r="623" ht="15.75" customHeight="1">
      <c r="A623" s="556"/>
      <c r="B623" s="556"/>
      <c r="C623" s="596"/>
      <c r="D623" s="556"/>
      <c r="E623" s="596"/>
      <c r="F623" s="556"/>
      <c r="G623" s="556"/>
      <c r="H623" s="556"/>
      <c r="I623" s="556"/>
      <c r="J623" s="556"/>
      <c r="K623" s="556"/>
      <c r="L623" s="556"/>
      <c r="M623" s="556"/>
      <c r="N623" s="556"/>
      <c r="O623" s="556"/>
      <c r="P623" s="556"/>
      <c r="Q623" s="556"/>
      <c r="R623" s="596"/>
      <c r="S623" s="596"/>
      <c r="T623" s="556"/>
      <c r="U623" s="556"/>
      <c r="V623" s="807"/>
      <c r="W623" s="556"/>
      <c r="X623" s="556"/>
      <c r="Y623" s="556"/>
      <c r="Z623" s="579"/>
      <c r="AA623" s="556"/>
      <c r="AB623" s="556"/>
      <c r="AC623" s="556"/>
      <c r="AD623" s="556"/>
    </row>
    <row r="624" ht="15.75" customHeight="1">
      <c r="A624" s="556"/>
      <c r="B624" s="556"/>
      <c r="C624" s="596"/>
      <c r="D624" s="556"/>
      <c r="E624" s="596"/>
      <c r="F624" s="556"/>
      <c r="G624" s="556"/>
      <c r="H624" s="556"/>
      <c r="I624" s="556"/>
      <c r="J624" s="556"/>
      <c r="K624" s="556"/>
      <c r="L624" s="556"/>
      <c r="M624" s="556"/>
      <c r="N624" s="556"/>
      <c r="O624" s="556"/>
      <c r="P624" s="556"/>
      <c r="Q624" s="556"/>
      <c r="R624" s="596"/>
      <c r="S624" s="596"/>
      <c r="T624" s="556"/>
      <c r="U624" s="556"/>
      <c r="V624" s="807"/>
      <c r="W624" s="556"/>
      <c r="X624" s="556"/>
      <c r="Y624" s="556"/>
      <c r="Z624" s="579"/>
      <c r="AA624" s="556"/>
      <c r="AB624" s="556"/>
      <c r="AC624" s="556"/>
      <c r="AD624" s="556"/>
    </row>
    <row r="625" ht="15.75" customHeight="1">
      <c r="A625" s="556"/>
      <c r="B625" s="556"/>
      <c r="C625" s="596"/>
      <c r="D625" s="556"/>
      <c r="E625" s="596"/>
      <c r="F625" s="556"/>
      <c r="G625" s="556"/>
      <c r="H625" s="556"/>
      <c r="I625" s="556"/>
      <c r="J625" s="556"/>
      <c r="K625" s="556"/>
      <c r="L625" s="556"/>
      <c r="M625" s="556"/>
      <c r="N625" s="556"/>
      <c r="O625" s="556"/>
      <c r="P625" s="556"/>
      <c r="Q625" s="556"/>
      <c r="R625" s="596"/>
      <c r="S625" s="596"/>
      <c r="T625" s="556"/>
      <c r="U625" s="556"/>
      <c r="V625" s="807"/>
      <c r="W625" s="556"/>
      <c r="X625" s="556"/>
      <c r="Y625" s="556"/>
      <c r="Z625" s="579"/>
      <c r="AA625" s="556"/>
      <c r="AB625" s="556"/>
      <c r="AC625" s="556"/>
      <c r="AD625" s="556"/>
    </row>
    <row r="626" ht="15.75" customHeight="1">
      <c r="A626" s="556"/>
      <c r="B626" s="556"/>
      <c r="C626" s="596"/>
      <c r="D626" s="556"/>
      <c r="E626" s="596"/>
      <c r="F626" s="556"/>
      <c r="G626" s="556"/>
      <c r="H626" s="556"/>
      <c r="I626" s="556"/>
      <c r="J626" s="556"/>
      <c r="K626" s="556"/>
      <c r="L626" s="556"/>
      <c r="M626" s="556"/>
      <c r="N626" s="556"/>
      <c r="O626" s="556"/>
      <c r="P626" s="556"/>
      <c r="Q626" s="556"/>
      <c r="R626" s="596"/>
      <c r="S626" s="596"/>
      <c r="T626" s="556"/>
      <c r="U626" s="556"/>
      <c r="V626" s="807"/>
      <c r="W626" s="556"/>
      <c r="X626" s="556"/>
      <c r="Y626" s="556"/>
      <c r="Z626" s="579"/>
      <c r="AA626" s="556"/>
      <c r="AB626" s="556"/>
      <c r="AC626" s="556"/>
      <c r="AD626" s="556"/>
    </row>
    <row r="627" ht="15.75" customHeight="1">
      <c r="A627" s="556"/>
      <c r="B627" s="556"/>
      <c r="C627" s="596"/>
      <c r="D627" s="556"/>
      <c r="E627" s="596"/>
      <c r="F627" s="556"/>
      <c r="G627" s="556"/>
      <c r="H627" s="556"/>
      <c r="I627" s="556"/>
      <c r="J627" s="556"/>
      <c r="K627" s="556"/>
      <c r="L627" s="556"/>
      <c r="M627" s="556"/>
      <c r="N627" s="556"/>
      <c r="O627" s="556"/>
      <c r="P627" s="556"/>
      <c r="Q627" s="556"/>
      <c r="R627" s="596"/>
      <c r="S627" s="596"/>
      <c r="T627" s="556"/>
      <c r="U627" s="556"/>
      <c r="V627" s="807"/>
      <c r="W627" s="556"/>
      <c r="X627" s="556"/>
      <c r="Y627" s="556"/>
      <c r="Z627" s="579"/>
      <c r="AA627" s="556"/>
      <c r="AB627" s="556"/>
      <c r="AC627" s="556"/>
      <c r="AD627" s="556"/>
    </row>
    <row r="628" ht="15.75" customHeight="1">
      <c r="A628" s="556"/>
      <c r="B628" s="556"/>
      <c r="C628" s="596"/>
      <c r="D628" s="556"/>
      <c r="E628" s="596"/>
      <c r="F628" s="556"/>
      <c r="G628" s="556"/>
      <c r="H628" s="556"/>
      <c r="I628" s="556"/>
      <c r="J628" s="556"/>
      <c r="K628" s="556"/>
      <c r="L628" s="556"/>
      <c r="M628" s="556"/>
      <c r="N628" s="556"/>
      <c r="O628" s="556"/>
      <c r="P628" s="556"/>
      <c r="Q628" s="556"/>
      <c r="R628" s="596"/>
      <c r="S628" s="596"/>
      <c r="T628" s="556"/>
      <c r="U628" s="556"/>
      <c r="V628" s="807"/>
      <c r="W628" s="556"/>
      <c r="X628" s="556"/>
      <c r="Y628" s="556"/>
      <c r="Z628" s="579"/>
      <c r="AA628" s="556"/>
      <c r="AB628" s="556"/>
      <c r="AC628" s="556"/>
      <c r="AD628" s="556"/>
    </row>
    <row r="629" ht="15.75" customHeight="1">
      <c r="A629" s="556"/>
      <c r="B629" s="556"/>
      <c r="C629" s="596"/>
      <c r="D629" s="556"/>
      <c r="E629" s="596"/>
      <c r="F629" s="556"/>
      <c r="G629" s="556"/>
      <c r="H629" s="556"/>
      <c r="I629" s="556"/>
      <c r="J629" s="556"/>
      <c r="K629" s="556"/>
      <c r="L629" s="556"/>
      <c r="M629" s="556"/>
      <c r="N629" s="556"/>
      <c r="O629" s="556"/>
      <c r="P629" s="556"/>
      <c r="Q629" s="556"/>
      <c r="R629" s="596"/>
      <c r="S629" s="596"/>
      <c r="T629" s="556"/>
      <c r="U629" s="556"/>
      <c r="V629" s="807"/>
      <c r="W629" s="556"/>
      <c r="X629" s="556"/>
      <c r="Y629" s="556"/>
      <c r="Z629" s="579"/>
      <c r="AA629" s="556"/>
      <c r="AB629" s="556"/>
      <c r="AC629" s="556"/>
      <c r="AD629" s="556"/>
    </row>
    <row r="630" ht="15.75" customHeight="1">
      <c r="A630" s="556"/>
      <c r="B630" s="556"/>
      <c r="C630" s="596"/>
      <c r="D630" s="556"/>
      <c r="E630" s="596"/>
      <c r="F630" s="556"/>
      <c r="G630" s="556"/>
      <c r="H630" s="556"/>
      <c r="I630" s="556"/>
      <c r="J630" s="556"/>
      <c r="K630" s="556"/>
      <c r="L630" s="556"/>
      <c r="M630" s="556"/>
      <c r="N630" s="556"/>
      <c r="O630" s="556"/>
      <c r="P630" s="556"/>
      <c r="Q630" s="556"/>
      <c r="R630" s="596"/>
      <c r="S630" s="596"/>
      <c r="T630" s="556"/>
      <c r="U630" s="556"/>
      <c r="V630" s="807"/>
      <c r="W630" s="556"/>
      <c r="X630" s="556"/>
      <c r="Y630" s="556"/>
      <c r="Z630" s="579"/>
      <c r="AA630" s="556"/>
      <c r="AB630" s="556"/>
      <c r="AC630" s="556"/>
      <c r="AD630" s="556"/>
    </row>
    <row r="631" ht="15.75" customHeight="1">
      <c r="A631" s="556"/>
      <c r="B631" s="556"/>
      <c r="C631" s="596"/>
      <c r="D631" s="556"/>
      <c r="E631" s="596"/>
      <c r="F631" s="556"/>
      <c r="G631" s="556"/>
      <c r="H631" s="556"/>
      <c r="I631" s="556"/>
      <c r="J631" s="556"/>
      <c r="K631" s="556"/>
      <c r="L631" s="556"/>
      <c r="M631" s="556"/>
      <c r="N631" s="556"/>
      <c r="O631" s="556"/>
      <c r="P631" s="556"/>
      <c r="Q631" s="556"/>
      <c r="R631" s="596"/>
      <c r="S631" s="596"/>
      <c r="T631" s="556"/>
      <c r="U631" s="556"/>
      <c r="V631" s="807"/>
      <c r="W631" s="556"/>
      <c r="X631" s="556"/>
      <c r="Y631" s="556"/>
      <c r="Z631" s="579"/>
      <c r="AA631" s="556"/>
      <c r="AB631" s="556"/>
      <c r="AC631" s="556"/>
      <c r="AD631" s="556"/>
    </row>
    <row r="632" ht="15.75" customHeight="1">
      <c r="A632" s="556"/>
      <c r="B632" s="556"/>
      <c r="C632" s="596"/>
      <c r="D632" s="556"/>
      <c r="E632" s="596"/>
      <c r="F632" s="556"/>
      <c r="G632" s="556"/>
      <c r="H632" s="556"/>
      <c r="I632" s="556"/>
      <c r="J632" s="556"/>
      <c r="K632" s="556"/>
      <c r="L632" s="556"/>
      <c r="M632" s="556"/>
      <c r="N632" s="556"/>
      <c r="O632" s="556"/>
      <c r="P632" s="556"/>
      <c r="Q632" s="556"/>
      <c r="R632" s="596"/>
      <c r="S632" s="596"/>
      <c r="T632" s="556"/>
      <c r="U632" s="556"/>
      <c r="V632" s="807"/>
      <c r="W632" s="556"/>
      <c r="X632" s="556"/>
      <c r="Y632" s="556"/>
      <c r="Z632" s="579"/>
      <c r="AA632" s="556"/>
      <c r="AB632" s="556"/>
      <c r="AC632" s="556"/>
      <c r="AD632" s="556"/>
    </row>
    <row r="633" ht="15.75" customHeight="1">
      <c r="A633" s="556"/>
      <c r="B633" s="556"/>
      <c r="C633" s="596"/>
      <c r="D633" s="556"/>
      <c r="E633" s="596"/>
      <c r="F633" s="556"/>
      <c r="G633" s="556"/>
      <c r="H633" s="556"/>
      <c r="I633" s="556"/>
      <c r="J633" s="556"/>
      <c r="K633" s="556"/>
      <c r="L633" s="556"/>
      <c r="M633" s="556"/>
      <c r="N633" s="556"/>
      <c r="O633" s="556"/>
      <c r="P633" s="556"/>
      <c r="Q633" s="556"/>
      <c r="R633" s="596"/>
      <c r="S633" s="596"/>
      <c r="T633" s="556"/>
      <c r="U633" s="556"/>
      <c r="V633" s="807"/>
      <c r="W633" s="556"/>
      <c r="X633" s="556"/>
      <c r="Y633" s="556"/>
      <c r="Z633" s="579"/>
      <c r="AA633" s="556"/>
      <c r="AB633" s="556"/>
      <c r="AC633" s="556"/>
      <c r="AD633" s="556"/>
    </row>
    <row r="634" ht="15.75" customHeight="1">
      <c r="A634" s="556"/>
      <c r="B634" s="556"/>
      <c r="C634" s="596"/>
      <c r="D634" s="556"/>
      <c r="E634" s="596"/>
      <c r="F634" s="556"/>
      <c r="G634" s="556"/>
      <c r="H634" s="556"/>
      <c r="I634" s="556"/>
      <c r="J634" s="556"/>
      <c r="K634" s="556"/>
      <c r="L634" s="556"/>
      <c r="M634" s="556"/>
      <c r="N634" s="556"/>
      <c r="O634" s="556"/>
      <c r="P634" s="556"/>
      <c r="Q634" s="556"/>
      <c r="R634" s="596"/>
      <c r="S634" s="596"/>
      <c r="T634" s="556"/>
      <c r="U634" s="556"/>
      <c r="V634" s="807"/>
      <c r="W634" s="556"/>
      <c r="X634" s="556"/>
      <c r="Y634" s="556"/>
      <c r="Z634" s="579"/>
      <c r="AA634" s="556"/>
      <c r="AB634" s="556"/>
      <c r="AC634" s="556"/>
      <c r="AD634" s="556"/>
    </row>
    <row r="635" ht="15.75" customHeight="1">
      <c r="A635" s="556"/>
      <c r="B635" s="556"/>
      <c r="C635" s="596"/>
      <c r="D635" s="556"/>
      <c r="E635" s="596"/>
      <c r="F635" s="556"/>
      <c r="G635" s="556"/>
      <c r="H635" s="556"/>
      <c r="I635" s="556"/>
      <c r="J635" s="556"/>
      <c r="K635" s="556"/>
      <c r="L635" s="556"/>
      <c r="M635" s="556"/>
      <c r="N635" s="556"/>
      <c r="O635" s="556"/>
      <c r="P635" s="556"/>
      <c r="Q635" s="556"/>
      <c r="R635" s="596"/>
      <c r="S635" s="596"/>
      <c r="T635" s="556"/>
      <c r="U635" s="556"/>
      <c r="V635" s="807"/>
      <c r="W635" s="556"/>
      <c r="X635" s="556"/>
      <c r="Y635" s="556"/>
      <c r="Z635" s="579"/>
      <c r="AA635" s="556"/>
      <c r="AB635" s="556"/>
      <c r="AC635" s="556"/>
      <c r="AD635" s="556"/>
    </row>
    <row r="636" ht="15.75" customHeight="1">
      <c r="A636" s="556"/>
      <c r="B636" s="556"/>
      <c r="C636" s="596"/>
      <c r="D636" s="556"/>
      <c r="E636" s="596"/>
      <c r="F636" s="556"/>
      <c r="G636" s="556"/>
      <c r="H636" s="556"/>
      <c r="I636" s="556"/>
      <c r="J636" s="556"/>
      <c r="K636" s="556"/>
      <c r="L636" s="556"/>
      <c r="M636" s="556"/>
      <c r="N636" s="556"/>
      <c r="O636" s="556"/>
      <c r="P636" s="556"/>
      <c r="Q636" s="556"/>
      <c r="R636" s="596"/>
      <c r="S636" s="596"/>
      <c r="T636" s="556"/>
      <c r="U636" s="556"/>
      <c r="V636" s="807"/>
      <c r="W636" s="556"/>
      <c r="X636" s="556"/>
      <c r="Y636" s="556"/>
      <c r="Z636" s="579"/>
      <c r="AA636" s="556"/>
      <c r="AB636" s="556"/>
      <c r="AC636" s="556"/>
      <c r="AD636" s="556"/>
    </row>
    <row r="637" ht="15.75" customHeight="1">
      <c r="A637" s="556"/>
      <c r="B637" s="556"/>
      <c r="C637" s="596"/>
      <c r="D637" s="556"/>
      <c r="E637" s="596"/>
      <c r="F637" s="556"/>
      <c r="G637" s="556"/>
      <c r="H637" s="556"/>
      <c r="I637" s="556"/>
      <c r="J637" s="556"/>
      <c r="K637" s="556"/>
      <c r="L637" s="556"/>
      <c r="M637" s="556"/>
      <c r="N637" s="556"/>
      <c r="O637" s="556"/>
      <c r="P637" s="556"/>
      <c r="Q637" s="556"/>
      <c r="R637" s="596"/>
      <c r="S637" s="596"/>
      <c r="T637" s="556"/>
      <c r="U637" s="556"/>
      <c r="V637" s="807"/>
      <c r="W637" s="556"/>
      <c r="X637" s="556"/>
      <c r="Y637" s="556"/>
      <c r="Z637" s="579"/>
      <c r="AA637" s="556"/>
      <c r="AB637" s="556"/>
      <c r="AC637" s="556"/>
      <c r="AD637" s="556"/>
    </row>
    <row r="638" ht="15.75" customHeight="1">
      <c r="A638" s="556"/>
      <c r="B638" s="556"/>
      <c r="C638" s="596"/>
      <c r="D638" s="556"/>
      <c r="E638" s="596"/>
      <c r="F638" s="556"/>
      <c r="G638" s="556"/>
      <c r="H638" s="556"/>
      <c r="I638" s="556"/>
      <c r="J638" s="556"/>
      <c r="K638" s="556"/>
      <c r="L638" s="556"/>
      <c r="M638" s="556"/>
      <c r="N638" s="556"/>
      <c r="O638" s="556"/>
      <c r="P638" s="556"/>
      <c r="Q638" s="556"/>
      <c r="R638" s="596"/>
      <c r="S638" s="596"/>
      <c r="T638" s="556"/>
      <c r="U638" s="556"/>
      <c r="V638" s="807"/>
      <c r="W638" s="556"/>
      <c r="X638" s="556"/>
      <c r="Y638" s="556"/>
      <c r="Z638" s="579"/>
      <c r="AA638" s="556"/>
      <c r="AB638" s="556"/>
      <c r="AC638" s="556"/>
      <c r="AD638" s="556"/>
    </row>
    <row r="639" ht="15.75" customHeight="1">
      <c r="A639" s="556"/>
      <c r="B639" s="556"/>
      <c r="C639" s="596"/>
      <c r="D639" s="556"/>
      <c r="E639" s="596"/>
      <c r="F639" s="556"/>
      <c r="G639" s="556"/>
      <c r="H639" s="556"/>
      <c r="I639" s="556"/>
      <c r="J639" s="556"/>
      <c r="K639" s="556"/>
      <c r="L639" s="556"/>
      <c r="M639" s="556"/>
      <c r="N639" s="556"/>
      <c r="O639" s="556"/>
      <c r="P639" s="556"/>
      <c r="Q639" s="556"/>
      <c r="R639" s="596"/>
      <c r="S639" s="596"/>
      <c r="T639" s="556"/>
      <c r="U639" s="556"/>
      <c r="V639" s="807"/>
      <c r="W639" s="556"/>
      <c r="X639" s="556"/>
      <c r="Y639" s="556"/>
      <c r="Z639" s="579"/>
      <c r="AA639" s="556"/>
      <c r="AB639" s="556"/>
      <c r="AC639" s="556"/>
      <c r="AD639" s="556"/>
    </row>
    <row r="640" ht="15.75" customHeight="1">
      <c r="A640" s="556"/>
      <c r="B640" s="556"/>
      <c r="C640" s="596"/>
      <c r="D640" s="556"/>
      <c r="E640" s="596"/>
      <c r="F640" s="556"/>
      <c r="G640" s="556"/>
      <c r="H640" s="556"/>
      <c r="I640" s="556"/>
      <c r="J640" s="556"/>
      <c r="K640" s="556"/>
      <c r="L640" s="556"/>
      <c r="M640" s="556"/>
      <c r="N640" s="556"/>
      <c r="O640" s="556"/>
      <c r="P640" s="556"/>
      <c r="Q640" s="556"/>
      <c r="R640" s="596"/>
      <c r="S640" s="596"/>
      <c r="T640" s="556"/>
      <c r="U640" s="556"/>
      <c r="V640" s="807"/>
      <c r="W640" s="556"/>
      <c r="X640" s="556"/>
      <c r="Y640" s="556"/>
      <c r="Z640" s="579"/>
      <c r="AA640" s="556"/>
      <c r="AB640" s="556"/>
      <c r="AC640" s="556"/>
      <c r="AD640" s="556"/>
    </row>
    <row r="641" ht="15.75" customHeight="1">
      <c r="A641" s="556"/>
      <c r="B641" s="556"/>
      <c r="C641" s="596"/>
      <c r="D641" s="556"/>
      <c r="E641" s="596"/>
      <c r="F641" s="556"/>
      <c r="G641" s="556"/>
      <c r="H641" s="556"/>
      <c r="I641" s="556"/>
      <c r="J641" s="556"/>
      <c r="K641" s="556"/>
      <c r="L641" s="556"/>
      <c r="M641" s="556"/>
      <c r="N641" s="556"/>
      <c r="O641" s="556"/>
      <c r="P641" s="556"/>
      <c r="Q641" s="556"/>
      <c r="R641" s="596"/>
      <c r="S641" s="596"/>
      <c r="T641" s="556"/>
      <c r="U641" s="556"/>
      <c r="V641" s="807"/>
      <c r="W641" s="556"/>
      <c r="X641" s="556"/>
      <c r="Y641" s="556"/>
      <c r="Z641" s="579"/>
      <c r="AA641" s="556"/>
      <c r="AB641" s="556"/>
      <c r="AC641" s="556"/>
      <c r="AD641" s="556"/>
    </row>
    <row r="642" ht="15.75" customHeight="1">
      <c r="A642" s="556"/>
      <c r="B642" s="556"/>
      <c r="C642" s="596"/>
      <c r="D642" s="556"/>
      <c r="E642" s="596"/>
      <c r="F642" s="556"/>
      <c r="G642" s="556"/>
      <c r="H642" s="556"/>
      <c r="I642" s="556"/>
      <c r="J642" s="556"/>
      <c r="K642" s="556"/>
      <c r="L642" s="556"/>
      <c r="M642" s="556"/>
      <c r="N642" s="556"/>
      <c r="O642" s="556"/>
      <c r="P642" s="556"/>
      <c r="Q642" s="556"/>
      <c r="R642" s="596"/>
      <c r="S642" s="596"/>
      <c r="T642" s="556"/>
      <c r="U642" s="556"/>
      <c r="V642" s="807"/>
      <c r="W642" s="556"/>
      <c r="X642" s="556"/>
      <c r="Y642" s="556"/>
      <c r="Z642" s="579"/>
      <c r="AA642" s="556"/>
      <c r="AB642" s="556"/>
      <c r="AC642" s="556"/>
      <c r="AD642" s="556"/>
    </row>
    <row r="643" ht="15.75" customHeight="1">
      <c r="A643" s="556"/>
      <c r="B643" s="556"/>
      <c r="C643" s="596"/>
      <c r="D643" s="556"/>
      <c r="E643" s="596"/>
      <c r="F643" s="556"/>
      <c r="G643" s="556"/>
      <c r="H643" s="556"/>
      <c r="I643" s="556"/>
      <c r="J643" s="556"/>
      <c r="K643" s="556"/>
      <c r="L643" s="556"/>
      <c r="M643" s="556"/>
      <c r="N643" s="556"/>
      <c r="O643" s="556"/>
      <c r="P643" s="556"/>
      <c r="Q643" s="556"/>
      <c r="R643" s="596"/>
      <c r="S643" s="596"/>
      <c r="T643" s="556"/>
      <c r="U643" s="556"/>
      <c r="V643" s="807"/>
      <c r="W643" s="556"/>
      <c r="X643" s="556"/>
      <c r="Y643" s="556"/>
      <c r="Z643" s="579"/>
      <c r="AA643" s="556"/>
      <c r="AB643" s="556"/>
      <c r="AC643" s="556"/>
      <c r="AD643" s="556"/>
    </row>
    <row r="644" ht="15.75" customHeight="1">
      <c r="A644" s="556"/>
      <c r="B644" s="556"/>
      <c r="C644" s="596"/>
      <c r="D644" s="556"/>
      <c r="E644" s="596"/>
      <c r="F644" s="556"/>
      <c r="G644" s="556"/>
      <c r="H644" s="556"/>
      <c r="I644" s="556"/>
      <c r="J644" s="556"/>
      <c r="K644" s="556"/>
      <c r="L644" s="556"/>
      <c r="M644" s="556"/>
      <c r="N644" s="556"/>
      <c r="O644" s="556"/>
      <c r="P644" s="556"/>
      <c r="Q644" s="556"/>
      <c r="R644" s="596"/>
      <c r="S644" s="596"/>
      <c r="T644" s="556"/>
      <c r="U644" s="556"/>
      <c r="V644" s="807"/>
      <c r="W644" s="556"/>
      <c r="X644" s="556"/>
      <c r="Y644" s="556"/>
      <c r="Z644" s="579"/>
      <c r="AA644" s="556"/>
      <c r="AB644" s="556"/>
      <c r="AC644" s="556"/>
      <c r="AD644" s="556"/>
    </row>
    <row r="645" ht="15.75" customHeight="1">
      <c r="A645" s="556"/>
      <c r="B645" s="556"/>
      <c r="C645" s="596"/>
      <c r="D645" s="556"/>
      <c r="E645" s="596"/>
      <c r="F645" s="556"/>
      <c r="G645" s="556"/>
      <c r="H645" s="556"/>
      <c r="I645" s="556"/>
      <c r="J645" s="556"/>
      <c r="K645" s="556"/>
      <c r="L645" s="556"/>
      <c r="M645" s="556"/>
      <c r="N645" s="556"/>
      <c r="O645" s="556"/>
      <c r="P645" s="556"/>
      <c r="Q645" s="556"/>
      <c r="R645" s="596"/>
      <c r="S645" s="596"/>
      <c r="T645" s="556"/>
      <c r="U645" s="556"/>
      <c r="V645" s="807"/>
      <c r="W645" s="556"/>
      <c r="X645" s="556"/>
      <c r="Y645" s="556"/>
      <c r="Z645" s="579"/>
      <c r="AA645" s="556"/>
      <c r="AB645" s="556"/>
      <c r="AC645" s="556"/>
      <c r="AD645" s="556"/>
    </row>
    <row r="646" ht="15.75" customHeight="1">
      <c r="A646" s="556"/>
      <c r="B646" s="556"/>
      <c r="C646" s="596"/>
      <c r="D646" s="556"/>
      <c r="E646" s="596"/>
      <c r="F646" s="556"/>
      <c r="G646" s="556"/>
      <c r="H646" s="556"/>
      <c r="I646" s="556"/>
      <c r="J646" s="556"/>
      <c r="K646" s="556"/>
      <c r="L646" s="556"/>
      <c r="M646" s="556"/>
      <c r="N646" s="556"/>
      <c r="O646" s="556"/>
      <c r="P646" s="556"/>
      <c r="Q646" s="556"/>
      <c r="R646" s="596"/>
      <c r="S646" s="596"/>
      <c r="T646" s="556"/>
      <c r="U646" s="556"/>
      <c r="V646" s="807"/>
      <c r="W646" s="556"/>
      <c r="X646" s="556"/>
      <c r="Y646" s="556"/>
      <c r="Z646" s="579"/>
      <c r="AA646" s="556"/>
      <c r="AB646" s="556"/>
      <c r="AC646" s="556"/>
      <c r="AD646" s="556"/>
    </row>
    <row r="647" ht="15.75" customHeight="1">
      <c r="A647" s="556"/>
      <c r="B647" s="556"/>
      <c r="C647" s="596"/>
      <c r="D647" s="556"/>
      <c r="E647" s="596"/>
      <c r="F647" s="556"/>
      <c r="G647" s="556"/>
      <c r="H647" s="556"/>
      <c r="I647" s="556"/>
      <c r="J647" s="556"/>
      <c r="K647" s="556"/>
      <c r="L647" s="556"/>
      <c r="M647" s="556"/>
      <c r="N647" s="556"/>
      <c r="O647" s="556"/>
      <c r="P647" s="556"/>
      <c r="Q647" s="556"/>
      <c r="R647" s="596"/>
      <c r="S647" s="596"/>
      <c r="T647" s="556"/>
      <c r="U647" s="556"/>
      <c r="V647" s="807"/>
      <c r="W647" s="556"/>
      <c r="X647" s="556"/>
      <c r="Y647" s="556"/>
      <c r="Z647" s="579"/>
      <c r="AA647" s="556"/>
      <c r="AB647" s="556"/>
      <c r="AC647" s="556"/>
      <c r="AD647" s="556"/>
    </row>
    <row r="648" ht="15.75" customHeight="1">
      <c r="A648" s="556"/>
      <c r="B648" s="556"/>
      <c r="C648" s="596"/>
      <c r="D648" s="556"/>
      <c r="E648" s="596"/>
      <c r="F648" s="556"/>
      <c r="G648" s="556"/>
      <c r="H648" s="556"/>
      <c r="I648" s="556"/>
      <c r="J648" s="556"/>
      <c r="K648" s="556"/>
      <c r="L648" s="556"/>
      <c r="M648" s="556"/>
      <c r="N648" s="556"/>
      <c r="O648" s="556"/>
      <c r="P648" s="556"/>
      <c r="Q648" s="556"/>
      <c r="R648" s="596"/>
      <c r="S648" s="596"/>
      <c r="T648" s="556"/>
      <c r="U648" s="556"/>
      <c r="V648" s="807"/>
      <c r="W648" s="556"/>
      <c r="X648" s="556"/>
      <c r="Y648" s="556"/>
      <c r="Z648" s="579"/>
      <c r="AA648" s="556"/>
      <c r="AB648" s="556"/>
      <c r="AC648" s="556"/>
      <c r="AD648" s="556"/>
    </row>
    <row r="649" ht="15.75" customHeight="1">
      <c r="A649" s="556"/>
      <c r="B649" s="556"/>
      <c r="C649" s="596"/>
      <c r="D649" s="556"/>
      <c r="E649" s="596"/>
      <c r="F649" s="556"/>
      <c r="G649" s="556"/>
      <c r="H649" s="556"/>
      <c r="I649" s="556"/>
      <c r="J649" s="556"/>
      <c r="K649" s="556"/>
      <c r="L649" s="556"/>
      <c r="M649" s="556"/>
      <c r="N649" s="556"/>
      <c r="O649" s="556"/>
      <c r="P649" s="556"/>
      <c r="Q649" s="556"/>
      <c r="R649" s="596"/>
      <c r="S649" s="596"/>
      <c r="T649" s="556"/>
      <c r="U649" s="556"/>
      <c r="V649" s="807"/>
      <c r="W649" s="556"/>
      <c r="X649" s="556"/>
      <c r="Y649" s="556"/>
      <c r="Z649" s="579"/>
      <c r="AA649" s="556"/>
      <c r="AB649" s="556"/>
      <c r="AC649" s="556"/>
      <c r="AD649" s="556"/>
    </row>
    <row r="650" ht="15.75" customHeight="1">
      <c r="A650" s="556"/>
      <c r="B650" s="556"/>
      <c r="C650" s="596"/>
      <c r="D650" s="556"/>
      <c r="E650" s="596"/>
      <c r="F650" s="556"/>
      <c r="G650" s="556"/>
      <c r="H650" s="556"/>
      <c r="I650" s="556"/>
      <c r="J650" s="556"/>
      <c r="K650" s="556"/>
      <c r="L650" s="556"/>
      <c r="M650" s="556"/>
      <c r="N650" s="556"/>
      <c r="O650" s="556"/>
      <c r="P650" s="556"/>
      <c r="Q650" s="556"/>
      <c r="R650" s="596"/>
      <c r="S650" s="596"/>
      <c r="T650" s="556"/>
      <c r="U650" s="556"/>
      <c r="V650" s="807"/>
      <c r="W650" s="556"/>
      <c r="X650" s="556"/>
      <c r="Y650" s="556"/>
      <c r="Z650" s="579"/>
      <c r="AA650" s="556"/>
      <c r="AB650" s="556"/>
      <c r="AC650" s="556"/>
      <c r="AD650" s="556"/>
    </row>
    <row r="651" ht="15.75" customHeight="1">
      <c r="A651" s="556"/>
      <c r="B651" s="556"/>
      <c r="C651" s="596"/>
      <c r="D651" s="556"/>
      <c r="E651" s="596"/>
      <c r="F651" s="556"/>
      <c r="G651" s="556"/>
      <c r="H651" s="556"/>
      <c r="I651" s="556"/>
      <c r="J651" s="556"/>
      <c r="K651" s="556"/>
      <c r="L651" s="556"/>
      <c r="M651" s="556"/>
      <c r="N651" s="556"/>
      <c r="O651" s="556"/>
      <c r="P651" s="556"/>
      <c r="Q651" s="556"/>
      <c r="R651" s="596"/>
      <c r="S651" s="596"/>
      <c r="T651" s="556"/>
      <c r="U651" s="556"/>
      <c r="V651" s="807"/>
      <c r="W651" s="556"/>
      <c r="X651" s="556"/>
      <c r="Y651" s="556"/>
      <c r="Z651" s="579"/>
      <c r="AA651" s="556"/>
      <c r="AB651" s="556"/>
      <c r="AC651" s="556"/>
      <c r="AD651" s="556"/>
    </row>
    <row r="652" ht="15.75" customHeight="1">
      <c r="A652" s="556"/>
      <c r="B652" s="556"/>
      <c r="C652" s="596"/>
      <c r="D652" s="556"/>
      <c r="E652" s="596"/>
      <c r="F652" s="556"/>
      <c r="G652" s="556"/>
      <c r="H652" s="556"/>
      <c r="I652" s="556"/>
      <c r="J652" s="556"/>
      <c r="K652" s="556"/>
      <c r="L652" s="556"/>
      <c r="M652" s="556"/>
      <c r="N652" s="556"/>
      <c r="O652" s="556"/>
      <c r="P652" s="556"/>
      <c r="Q652" s="556"/>
      <c r="R652" s="596"/>
      <c r="S652" s="596"/>
      <c r="T652" s="556"/>
      <c r="U652" s="556"/>
      <c r="V652" s="807"/>
      <c r="W652" s="556"/>
      <c r="X652" s="556"/>
      <c r="Y652" s="556"/>
      <c r="Z652" s="579"/>
      <c r="AA652" s="556"/>
      <c r="AB652" s="556"/>
      <c r="AC652" s="556"/>
      <c r="AD652" s="556"/>
    </row>
    <row r="653" ht="15.75" customHeight="1">
      <c r="A653" s="556"/>
      <c r="B653" s="556"/>
      <c r="C653" s="596"/>
      <c r="D653" s="556"/>
      <c r="E653" s="596"/>
      <c r="F653" s="556"/>
      <c r="G653" s="556"/>
      <c r="H653" s="556"/>
      <c r="I653" s="556"/>
      <c r="J653" s="556"/>
      <c r="K653" s="556"/>
      <c r="L653" s="556"/>
      <c r="M653" s="556"/>
      <c r="N653" s="556"/>
      <c r="O653" s="556"/>
      <c r="P653" s="556"/>
      <c r="Q653" s="556"/>
      <c r="R653" s="596"/>
      <c r="S653" s="596"/>
      <c r="T653" s="556"/>
      <c r="U653" s="556"/>
      <c r="V653" s="807"/>
      <c r="W653" s="556"/>
      <c r="X653" s="556"/>
      <c r="Y653" s="556"/>
      <c r="Z653" s="579"/>
      <c r="AA653" s="556"/>
      <c r="AB653" s="556"/>
      <c r="AC653" s="556"/>
      <c r="AD653" s="556"/>
    </row>
    <row r="654" ht="15.75" customHeight="1">
      <c r="A654" s="556"/>
      <c r="B654" s="556"/>
      <c r="C654" s="596"/>
      <c r="D654" s="556"/>
      <c r="E654" s="596"/>
      <c r="F654" s="556"/>
      <c r="G654" s="556"/>
      <c r="H654" s="556"/>
      <c r="I654" s="556"/>
      <c r="J654" s="556"/>
      <c r="K654" s="556"/>
      <c r="L654" s="556"/>
      <c r="M654" s="556"/>
      <c r="N654" s="556"/>
      <c r="O654" s="556"/>
      <c r="P654" s="556"/>
      <c r="Q654" s="556"/>
      <c r="R654" s="596"/>
      <c r="S654" s="596"/>
      <c r="T654" s="556"/>
      <c r="U654" s="556"/>
      <c r="V654" s="807"/>
      <c r="W654" s="556"/>
      <c r="X654" s="556"/>
      <c r="Y654" s="556"/>
      <c r="Z654" s="579"/>
      <c r="AA654" s="556"/>
      <c r="AB654" s="556"/>
      <c r="AC654" s="556"/>
      <c r="AD654" s="556"/>
    </row>
    <row r="655" ht="15.75" customHeight="1">
      <c r="A655" s="556"/>
      <c r="B655" s="556"/>
      <c r="C655" s="596"/>
      <c r="D655" s="556"/>
      <c r="E655" s="596"/>
      <c r="F655" s="556"/>
      <c r="G655" s="556"/>
      <c r="H655" s="556"/>
      <c r="I655" s="556"/>
      <c r="J655" s="556"/>
      <c r="K655" s="556"/>
      <c r="L655" s="556"/>
      <c r="M655" s="556"/>
      <c r="N655" s="556"/>
      <c r="O655" s="556"/>
      <c r="P655" s="556"/>
      <c r="Q655" s="556"/>
      <c r="R655" s="596"/>
      <c r="S655" s="596"/>
      <c r="T655" s="556"/>
      <c r="U655" s="556"/>
      <c r="V655" s="807"/>
      <c r="W655" s="556"/>
      <c r="X655" s="556"/>
      <c r="Y655" s="556"/>
      <c r="Z655" s="579"/>
      <c r="AA655" s="556"/>
      <c r="AB655" s="556"/>
      <c r="AC655" s="556"/>
      <c r="AD655" s="556"/>
    </row>
    <row r="656" ht="15.75" customHeight="1">
      <c r="A656" s="556"/>
      <c r="B656" s="556"/>
      <c r="C656" s="596"/>
      <c r="D656" s="556"/>
      <c r="E656" s="596"/>
      <c r="F656" s="556"/>
      <c r="G656" s="556"/>
      <c r="H656" s="556"/>
      <c r="I656" s="556"/>
      <c r="J656" s="556"/>
      <c r="K656" s="556"/>
      <c r="L656" s="556"/>
      <c r="M656" s="556"/>
      <c r="N656" s="556"/>
      <c r="O656" s="556"/>
      <c r="P656" s="556"/>
      <c r="Q656" s="556"/>
      <c r="R656" s="596"/>
      <c r="S656" s="596"/>
      <c r="T656" s="556"/>
      <c r="U656" s="556"/>
      <c r="V656" s="807"/>
      <c r="W656" s="556"/>
      <c r="X656" s="556"/>
      <c r="Y656" s="556"/>
      <c r="Z656" s="579"/>
      <c r="AA656" s="556"/>
      <c r="AB656" s="556"/>
      <c r="AC656" s="556"/>
      <c r="AD656" s="556"/>
    </row>
    <row r="657" ht="15.75" customHeight="1">
      <c r="A657" s="556"/>
      <c r="B657" s="556"/>
      <c r="C657" s="596"/>
      <c r="D657" s="556"/>
      <c r="E657" s="596"/>
      <c r="F657" s="556"/>
      <c r="G657" s="556"/>
      <c r="H657" s="556"/>
      <c r="I657" s="556"/>
      <c r="J657" s="556"/>
      <c r="K657" s="556"/>
      <c r="L657" s="556"/>
      <c r="M657" s="556"/>
      <c r="N657" s="556"/>
      <c r="O657" s="556"/>
      <c r="P657" s="556"/>
      <c r="Q657" s="556"/>
      <c r="R657" s="596"/>
      <c r="S657" s="596"/>
      <c r="T657" s="556"/>
      <c r="U657" s="556"/>
      <c r="V657" s="807"/>
      <c r="W657" s="556"/>
      <c r="X657" s="556"/>
      <c r="Y657" s="556"/>
      <c r="Z657" s="579"/>
      <c r="AA657" s="556"/>
      <c r="AB657" s="556"/>
      <c r="AC657" s="556"/>
      <c r="AD657" s="556"/>
    </row>
    <row r="658" ht="15.75" customHeight="1">
      <c r="A658" s="556"/>
      <c r="B658" s="556"/>
      <c r="C658" s="596"/>
      <c r="D658" s="556"/>
      <c r="E658" s="596"/>
      <c r="F658" s="556"/>
      <c r="G658" s="556"/>
      <c r="H658" s="556"/>
      <c r="I658" s="556"/>
      <c r="J658" s="556"/>
      <c r="K658" s="556"/>
      <c r="L658" s="556"/>
      <c r="M658" s="556"/>
      <c r="N658" s="556"/>
      <c r="O658" s="556"/>
      <c r="P658" s="556"/>
      <c r="Q658" s="556"/>
      <c r="R658" s="596"/>
      <c r="S658" s="596"/>
      <c r="T658" s="556"/>
      <c r="U658" s="556"/>
      <c r="V658" s="807"/>
      <c r="W658" s="556"/>
      <c r="X658" s="556"/>
      <c r="Y658" s="556"/>
      <c r="Z658" s="579"/>
      <c r="AA658" s="556"/>
      <c r="AB658" s="556"/>
      <c r="AC658" s="556"/>
      <c r="AD658" s="556"/>
    </row>
    <row r="659" ht="15.75" customHeight="1">
      <c r="A659" s="556"/>
      <c r="B659" s="556"/>
      <c r="C659" s="596"/>
      <c r="D659" s="556"/>
      <c r="E659" s="596"/>
      <c r="F659" s="556"/>
      <c r="G659" s="556"/>
      <c r="H659" s="556"/>
      <c r="I659" s="556"/>
      <c r="J659" s="556"/>
      <c r="K659" s="556"/>
      <c r="L659" s="556"/>
      <c r="M659" s="556"/>
      <c r="N659" s="556"/>
      <c r="O659" s="556"/>
      <c r="P659" s="556"/>
      <c r="Q659" s="556"/>
      <c r="R659" s="596"/>
      <c r="S659" s="596"/>
      <c r="T659" s="556"/>
      <c r="U659" s="556"/>
      <c r="V659" s="807"/>
      <c r="W659" s="556"/>
      <c r="X659" s="556"/>
      <c r="Y659" s="556"/>
      <c r="Z659" s="579"/>
      <c r="AA659" s="556"/>
      <c r="AB659" s="556"/>
      <c r="AC659" s="556"/>
      <c r="AD659" s="556"/>
    </row>
    <row r="660" ht="15.75" customHeight="1">
      <c r="A660" s="556"/>
      <c r="B660" s="556"/>
      <c r="C660" s="596"/>
      <c r="D660" s="556"/>
      <c r="E660" s="596"/>
      <c r="F660" s="556"/>
      <c r="G660" s="556"/>
      <c r="H660" s="556"/>
      <c r="I660" s="556"/>
      <c r="J660" s="556"/>
      <c r="K660" s="556"/>
      <c r="L660" s="556"/>
      <c r="M660" s="556"/>
      <c r="N660" s="556"/>
      <c r="O660" s="556"/>
      <c r="P660" s="556"/>
      <c r="Q660" s="556"/>
      <c r="R660" s="596"/>
      <c r="S660" s="596"/>
      <c r="T660" s="556"/>
      <c r="U660" s="556"/>
      <c r="V660" s="807"/>
      <c r="W660" s="556"/>
      <c r="X660" s="556"/>
      <c r="Y660" s="556"/>
      <c r="Z660" s="579"/>
      <c r="AA660" s="556"/>
      <c r="AB660" s="556"/>
      <c r="AC660" s="556"/>
      <c r="AD660" s="556"/>
    </row>
    <row r="661" ht="15.75" customHeight="1">
      <c r="A661" s="556"/>
      <c r="B661" s="556"/>
      <c r="C661" s="596"/>
      <c r="D661" s="556"/>
      <c r="E661" s="596"/>
      <c r="F661" s="556"/>
      <c r="G661" s="556"/>
      <c r="H661" s="556"/>
      <c r="I661" s="556"/>
      <c r="J661" s="556"/>
      <c r="K661" s="556"/>
      <c r="L661" s="556"/>
      <c r="M661" s="556"/>
      <c r="N661" s="556"/>
      <c r="O661" s="556"/>
      <c r="P661" s="556"/>
      <c r="Q661" s="556"/>
      <c r="R661" s="596"/>
      <c r="S661" s="596"/>
      <c r="T661" s="556"/>
      <c r="U661" s="556"/>
      <c r="V661" s="807"/>
      <c r="W661" s="556"/>
      <c r="X661" s="556"/>
      <c r="Y661" s="556"/>
      <c r="Z661" s="579"/>
      <c r="AA661" s="556"/>
      <c r="AB661" s="556"/>
      <c r="AC661" s="556"/>
      <c r="AD661" s="556"/>
    </row>
    <row r="662" ht="15.75" customHeight="1">
      <c r="A662" s="556"/>
      <c r="B662" s="556"/>
      <c r="C662" s="596"/>
      <c r="D662" s="556"/>
      <c r="E662" s="596"/>
      <c r="F662" s="556"/>
      <c r="G662" s="556"/>
      <c r="H662" s="556"/>
      <c r="I662" s="556"/>
      <c r="J662" s="556"/>
      <c r="K662" s="556"/>
      <c r="L662" s="556"/>
      <c r="M662" s="556"/>
      <c r="N662" s="556"/>
      <c r="O662" s="556"/>
      <c r="P662" s="556"/>
      <c r="Q662" s="556"/>
      <c r="R662" s="596"/>
      <c r="S662" s="596"/>
      <c r="T662" s="556"/>
      <c r="U662" s="556"/>
      <c r="V662" s="807"/>
      <c r="W662" s="556"/>
      <c r="X662" s="556"/>
      <c r="Y662" s="556"/>
      <c r="Z662" s="579"/>
      <c r="AA662" s="556"/>
      <c r="AB662" s="556"/>
      <c r="AC662" s="556"/>
      <c r="AD662" s="556"/>
    </row>
    <row r="663" ht="15.75" customHeight="1">
      <c r="A663" s="556"/>
      <c r="B663" s="556"/>
      <c r="C663" s="596"/>
      <c r="D663" s="556"/>
      <c r="E663" s="596"/>
      <c r="F663" s="556"/>
      <c r="G663" s="556"/>
      <c r="H663" s="556"/>
      <c r="I663" s="556"/>
      <c r="J663" s="556"/>
      <c r="K663" s="556"/>
      <c r="L663" s="556"/>
      <c r="M663" s="556"/>
      <c r="N663" s="556"/>
      <c r="O663" s="556"/>
      <c r="P663" s="556"/>
      <c r="Q663" s="556"/>
      <c r="R663" s="596"/>
      <c r="S663" s="596"/>
      <c r="T663" s="556"/>
      <c r="U663" s="556"/>
      <c r="V663" s="807"/>
      <c r="W663" s="556"/>
      <c r="X663" s="556"/>
      <c r="Y663" s="556"/>
      <c r="Z663" s="579"/>
      <c r="AA663" s="556"/>
      <c r="AB663" s="556"/>
      <c r="AC663" s="556"/>
      <c r="AD663" s="556"/>
    </row>
    <row r="664" ht="15.75" customHeight="1">
      <c r="A664" s="556"/>
      <c r="B664" s="556"/>
      <c r="C664" s="596"/>
      <c r="D664" s="556"/>
      <c r="E664" s="596"/>
      <c r="F664" s="556"/>
      <c r="G664" s="556"/>
      <c r="H664" s="556"/>
      <c r="I664" s="556"/>
      <c r="J664" s="556"/>
      <c r="K664" s="556"/>
      <c r="L664" s="556"/>
      <c r="M664" s="556"/>
      <c r="N664" s="556"/>
      <c r="O664" s="556"/>
      <c r="P664" s="556"/>
      <c r="Q664" s="556"/>
      <c r="R664" s="596"/>
      <c r="S664" s="596"/>
      <c r="T664" s="556"/>
      <c r="U664" s="556"/>
      <c r="V664" s="807"/>
      <c r="W664" s="556"/>
      <c r="X664" s="556"/>
      <c r="Y664" s="556"/>
      <c r="Z664" s="579"/>
      <c r="AA664" s="556"/>
      <c r="AB664" s="556"/>
      <c r="AC664" s="556"/>
      <c r="AD664" s="556"/>
    </row>
    <row r="665" ht="15.75" customHeight="1">
      <c r="A665" s="556"/>
      <c r="B665" s="556"/>
      <c r="C665" s="596"/>
      <c r="D665" s="556"/>
      <c r="E665" s="596"/>
      <c r="F665" s="556"/>
      <c r="G665" s="556"/>
      <c r="H665" s="556"/>
      <c r="I665" s="556"/>
      <c r="J665" s="556"/>
      <c r="K665" s="556"/>
      <c r="L665" s="556"/>
      <c r="M665" s="556"/>
      <c r="N665" s="556"/>
      <c r="O665" s="556"/>
      <c r="P665" s="556"/>
      <c r="Q665" s="556"/>
      <c r="R665" s="596"/>
      <c r="S665" s="596"/>
      <c r="T665" s="556"/>
      <c r="U665" s="556"/>
      <c r="V665" s="807"/>
      <c r="W665" s="556"/>
      <c r="X665" s="556"/>
      <c r="Y665" s="556"/>
      <c r="Z665" s="579"/>
      <c r="AA665" s="556"/>
      <c r="AB665" s="556"/>
      <c r="AC665" s="556"/>
      <c r="AD665" s="556"/>
    </row>
    <row r="666" ht="15.75" customHeight="1">
      <c r="A666" s="556"/>
      <c r="B666" s="556"/>
      <c r="C666" s="596"/>
      <c r="D666" s="556"/>
      <c r="E666" s="596"/>
      <c r="F666" s="556"/>
      <c r="G666" s="556"/>
      <c r="H666" s="556"/>
      <c r="I666" s="556"/>
      <c r="J666" s="556"/>
      <c r="K666" s="556"/>
      <c r="L666" s="556"/>
      <c r="M666" s="556"/>
      <c r="N666" s="556"/>
      <c r="O666" s="556"/>
      <c r="P666" s="556"/>
      <c r="Q666" s="556"/>
      <c r="R666" s="596"/>
      <c r="S666" s="596"/>
      <c r="T666" s="556"/>
      <c r="U666" s="556"/>
      <c r="V666" s="807"/>
      <c r="W666" s="556"/>
      <c r="X666" s="556"/>
      <c r="Y666" s="556"/>
      <c r="Z666" s="579"/>
      <c r="AA666" s="556"/>
      <c r="AB666" s="556"/>
      <c r="AC666" s="556"/>
      <c r="AD666" s="556"/>
    </row>
    <row r="667" ht="15.75" customHeight="1">
      <c r="A667" s="556"/>
      <c r="B667" s="556"/>
      <c r="C667" s="596"/>
      <c r="D667" s="556"/>
      <c r="E667" s="596"/>
      <c r="F667" s="556"/>
      <c r="G667" s="556"/>
      <c r="H667" s="556"/>
      <c r="I667" s="556"/>
      <c r="J667" s="556"/>
      <c r="K667" s="556"/>
      <c r="L667" s="556"/>
      <c r="M667" s="556"/>
      <c r="N667" s="556"/>
      <c r="O667" s="556"/>
      <c r="P667" s="556"/>
      <c r="Q667" s="556"/>
      <c r="R667" s="596"/>
      <c r="S667" s="596"/>
      <c r="T667" s="556"/>
      <c r="U667" s="556"/>
      <c r="V667" s="807"/>
      <c r="W667" s="556"/>
      <c r="X667" s="556"/>
      <c r="Y667" s="556"/>
      <c r="Z667" s="579"/>
      <c r="AA667" s="556"/>
      <c r="AB667" s="556"/>
      <c r="AC667" s="556"/>
      <c r="AD667" s="556"/>
    </row>
    <row r="668" ht="15.75" customHeight="1">
      <c r="A668" s="556"/>
      <c r="B668" s="556"/>
      <c r="C668" s="596"/>
      <c r="D668" s="556"/>
      <c r="E668" s="596"/>
      <c r="F668" s="556"/>
      <c r="G668" s="556"/>
      <c r="H668" s="556"/>
      <c r="I668" s="556"/>
      <c r="J668" s="556"/>
      <c r="K668" s="556"/>
      <c r="L668" s="556"/>
      <c r="M668" s="556"/>
      <c r="N668" s="556"/>
      <c r="O668" s="556"/>
      <c r="P668" s="556"/>
      <c r="Q668" s="556"/>
      <c r="R668" s="596"/>
      <c r="S668" s="596"/>
      <c r="T668" s="556"/>
      <c r="U668" s="556"/>
      <c r="V668" s="807"/>
      <c r="W668" s="556"/>
      <c r="X668" s="556"/>
      <c r="Y668" s="556"/>
      <c r="Z668" s="579"/>
      <c r="AA668" s="556"/>
      <c r="AB668" s="556"/>
      <c r="AC668" s="556"/>
      <c r="AD668" s="556"/>
    </row>
    <row r="669" ht="15.75" customHeight="1">
      <c r="A669" s="556"/>
      <c r="B669" s="556"/>
      <c r="C669" s="596"/>
      <c r="D669" s="556"/>
      <c r="E669" s="596"/>
      <c r="F669" s="556"/>
      <c r="G669" s="556"/>
      <c r="H669" s="556"/>
      <c r="I669" s="556"/>
      <c r="J669" s="556"/>
      <c r="K669" s="556"/>
      <c r="L669" s="556"/>
      <c r="M669" s="556"/>
      <c r="N669" s="556"/>
      <c r="O669" s="556"/>
      <c r="P669" s="556"/>
      <c r="Q669" s="556"/>
      <c r="R669" s="596"/>
      <c r="S669" s="596"/>
      <c r="T669" s="556"/>
      <c r="U669" s="556"/>
      <c r="V669" s="807"/>
      <c r="W669" s="556"/>
      <c r="X669" s="556"/>
      <c r="Y669" s="556"/>
      <c r="Z669" s="579"/>
      <c r="AA669" s="556"/>
      <c r="AB669" s="556"/>
      <c r="AC669" s="556"/>
      <c r="AD669" s="556"/>
    </row>
    <row r="670" ht="15.75" customHeight="1">
      <c r="A670" s="556"/>
      <c r="B670" s="556"/>
      <c r="C670" s="596"/>
      <c r="D670" s="556"/>
      <c r="E670" s="596"/>
      <c r="F670" s="556"/>
      <c r="G670" s="556"/>
      <c r="H670" s="556"/>
      <c r="I670" s="556"/>
      <c r="J670" s="556"/>
      <c r="K670" s="556"/>
      <c r="L670" s="556"/>
      <c r="M670" s="556"/>
      <c r="N670" s="556"/>
      <c r="O670" s="556"/>
      <c r="P670" s="556"/>
      <c r="Q670" s="556"/>
      <c r="R670" s="596"/>
      <c r="S670" s="596"/>
      <c r="T670" s="556"/>
      <c r="U670" s="556"/>
      <c r="V670" s="807"/>
      <c r="W670" s="556"/>
      <c r="X670" s="556"/>
      <c r="Y670" s="556"/>
      <c r="Z670" s="579"/>
      <c r="AA670" s="556"/>
      <c r="AB670" s="556"/>
      <c r="AC670" s="556"/>
      <c r="AD670" s="556"/>
    </row>
    <row r="671" ht="15.75" customHeight="1">
      <c r="A671" s="556"/>
      <c r="B671" s="556"/>
      <c r="C671" s="596"/>
      <c r="D671" s="556"/>
      <c r="E671" s="596"/>
      <c r="F671" s="556"/>
      <c r="G671" s="556"/>
      <c r="H671" s="556"/>
      <c r="I671" s="556"/>
      <c r="J671" s="556"/>
      <c r="K671" s="556"/>
      <c r="L671" s="556"/>
      <c r="M671" s="556"/>
      <c r="N671" s="556"/>
      <c r="O671" s="556"/>
      <c r="P671" s="556"/>
      <c r="Q671" s="556"/>
      <c r="R671" s="596"/>
      <c r="S671" s="596"/>
      <c r="T671" s="556"/>
      <c r="U671" s="556"/>
      <c r="V671" s="807"/>
      <c r="W671" s="556"/>
      <c r="X671" s="556"/>
      <c r="Y671" s="556"/>
      <c r="Z671" s="579"/>
      <c r="AA671" s="556"/>
      <c r="AB671" s="556"/>
      <c r="AC671" s="556"/>
      <c r="AD671" s="556"/>
    </row>
    <row r="672" ht="15.75" customHeight="1">
      <c r="A672" s="556"/>
      <c r="B672" s="556"/>
      <c r="C672" s="596"/>
      <c r="D672" s="556"/>
      <c r="E672" s="596"/>
      <c r="F672" s="556"/>
      <c r="G672" s="556"/>
      <c r="H672" s="556"/>
      <c r="I672" s="556"/>
      <c r="J672" s="556"/>
      <c r="K672" s="556"/>
      <c r="L672" s="556"/>
      <c r="M672" s="556"/>
      <c r="N672" s="556"/>
      <c r="O672" s="556"/>
      <c r="P672" s="556"/>
      <c r="Q672" s="556"/>
      <c r="R672" s="596"/>
      <c r="S672" s="596"/>
      <c r="T672" s="556"/>
      <c r="U672" s="556"/>
      <c r="V672" s="807"/>
      <c r="W672" s="556"/>
      <c r="X672" s="556"/>
      <c r="Y672" s="556"/>
      <c r="Z672" s="579"/>
      <c r="AA672" s="556"/>
      <c r="AB672" s="556"/>
      <c r="AC672" s="556"/>
      <c r="AD672" s="556"/>
    </row>
    <row r="673" ht="15.75" customHeight="1">
      <c r="A673" s="556"/>
      <c r="B673" s="556"/>
      <c r="C673" s="596"/>
      <c r="D673" s="556"/>
      <c r="E673" s="596"/>
      <c r="F673" s="556"/>
      <c r="G673" s="556"/>
      <c r="H673" s="556"/>
      <c r="I673" s="556"/>
      <c r="J673" s="556"/>
      <c r="K673" s="556"/>
      <c r="L673" s="556"/>
      <c r="M673" s="556"/>
      <c r="N673" s="556"/>
      <c r="O673" s="556"/>
      <c r="P673" s="556"/>
      <c r="Q673" s="556"/>
      <c r="R673" s="596"/>
      <c r="S673" s="596"/>
      <c r="T673" s="556"/>
      <c r="U673" s="556"/>
      <c r="V673" s="807"/>
      <c r="W673" s="556"/>
      <c r="X673" s="556"/>
      <c r="Y673" s="556"/>
      <c r="Z673" s="579"/>
      <c r="AA673" s="556"/>
      <c r="AB673" s="556"/>
      <c r="AC673" s="556"/>
      <c r="AD673" s="556"/>
    </row>
    <row r="674" ht="15.75" customHeight="1">
      <c r="A674" s="556"/>
      <c r="B674" s="556"/>
      <c r="C674" s="596"/>
      <c r="D674" s="556"/>
      <c r="E674" s="596"/>
      <c r="F674" s="556"/>
      <c r="G674" s="556"/>
      <c r="H674" s="556"/>
      <c r="I674" s="556"/>
      <c r="J674" s="556"/>
      <c r="K674" s="556"/>
      <c r="L674" s="556"/>
      <c r="M674" s="556"/>
      <c r="N674" s="556"/>
      <c r="O674" s="556"/>
      <c r="P674" s="556"/>
      <c r="Q674" s="556"/>
      <c r="R674" s="596"/>
      <c r="S674" s="596"/>
      <c r="T674" s="556"/>
      <c r="U674" s="556"/>
      <c r="V674" s="807"/>
      <c r="W674" s="556"/>
      <c r="X674" s="556"/>
      <c r="Y674" s="556"/>
      <c r="Z674" s="579"/>
      <c r="AA674" s="556"/>
      <c r="AB674" s="556"/>
      <c r="AC674" s="556"/>
      <c r="AD674" s="556"/>
    </row>
    <row r="675" ht="15.75" customHeight="1">
      <c r="A675" s="556"/>
      <c r="B675" s="556"/>
      <c r="C675" s="596"/>
      <c r="D675" s="556"/>
      <c r="E675" s="596"/>
      <c r="F675" s="556"/>
      <c r="G675" s="556"/>
      <c r="H675" s="556"/>
      <c r="I675" s="556"/>
      <c r="J675" s="556"/>
      <c r="K675" s="556"/>
      <c r="L675" s="556"/>
      <c r="M675" s="556"/>
      <c r="N675" s="556"/>
      <c r="O675" s="556"/>
      <c r="P675" s="556"/>
      <c r="Q675" s="556"/>
      <c r="R675" s="596"/>
      <c r="S675" s="596"/>
      <c r="T675" s="556"/>
      <c r="U675" s="556"/>
      <c r="V675" s="807"/>
      <c r="W675" s="556"/>
      <c r="X675" s="556"/>
      <c r="Y675" s="556"/>
      <c r="Z675" s="579"/>
      <c r="AA675" s="556"/>
      <c r="AB675" s="556"/>
      <c r="AC675" s="556"/>
      <c r="AD675" s="556"/>
    </row>
    <row r="676" ht="15.75" customHeight="1">
      <c r="A676" s="556"/>
      <c r="B676" s="556"/>
      <c r="C676" s="596"/>
      <c r="D676" s="556"/>
      <c r="E676" s="596"/>
      <c r="F676" s="556"/>
      <c r="G676" s="556"/>
      <c r="H676" s="556"/>
      <c r="I676" s="556"/>
      <c r="J676" s="556"/>
      <c r="K676" s="556"/>
      <c r="L676" s="556"/>
      <c r="M676" s="556"/>
      <c r="N676" s="556"/>
      <c r="O676" s="556"/>
      <c r="P676" s="556"/>
      <c r="Q676" s="556"/>
      <c r="R676" s="596"/>
      <c r="S676" s="596"/>
      <c r="T676" s="556"/>
      <c r="U676" s="556"/>
      <c r="V676" s="807"/>
      <c r="W676" s="556"/>
      <c r="X676" s="556"/>
      <c r="Y676" s="556"/>
      <c r="Z676" s="579"/>
      <c r="AA676" s="556"/>
      <c r="AB676" s="556"/>
      <c r="AC676" s="556"/>
      <c r="AD676" s="556"/>
    </row>
    <row r="677" ht="15.75" customHeight="1">
      <c r="A677" s="556"/>
      <c r="B677" s="556"/>
      <c r="C677" s="596"/>
      <c r="D677" s="556"/>
      <c r="E677" s="596"/>
      <c r="F677" s="556"/>
      <c r="G677" s="556"/>
      <c r="H677" s="556"/>
      <c r="I677" s="556"/>
      <c r="J677" s="556"/>
      <c r="K677" s="556"/>
      <c r="L677" s="556"/>
      <c r="M677" s="556"/>
      <c r="N677" s="556"/>
      <c r="O677" s="556"/>
      <c r="P677" s="556"/>
      <c r="Q677" s="556"/>
      <c r="R677" s="596"/>
      <c r="S677" s="596"/>
      <c r="T677" s="556"/>
      <c r="U677" s="556"/>
      <c r="V677" s="807"/>
      <c r="W677" s="556"/>
      <c r="X677" s="556"/>
      <c r="Y677" s="556"/>
      <c r="Z677" s="579"/>
      <c r="AA677" s="556"/>
      <c r="AB677" s="556"/>
      <c r="AC677" s="556"/>
      <c r="AD677" s="556"/>
    </row>
    <row r="678" ht="15.75" customHeight="1">
      <c r="A678" s="556"/>
      <c r="B678" s="556"/>
      <c r="C678" s="596"/>
      <c r="D678" s="556"/>
      <c r="E678" s="596"/>
      <c r="F678" s="556"/>
      <c r="G678" s="556"/>
      <c r="H678" s="556"/>
      <c r="I678" s="556"/>
      <c r="J678" s="556"/>
      <c r="K678" s="556"/>
      <c r="L678" s="556"/>
      <c r="M678" s="556"/>
      <c r="N678" s="556"/>
      <c r="O678" s="556"/>
      <c r="P678" s="556"/>
      <c r="Q678" s="556"/>
      <c r="R678" s="596"/>
      <c r="S678" s="596"/>
      <c r="T678" s="556"/>
      <c r="U678" s="556"/>
      <c r="V678" s="807"/>
      <c r="W678" s="556"/>
      <c r="X678" s="556"/>
      <c r="Y678" s="556"/>
      <c r="Z678" s="579"/>
      <c r="AA678" s="556"/>
      <c r="AB678" s="556"/>
      <c r="AC678" s="556"/>
      <c r="AD678" s="556"/>
    </row>
    <row r="679" ht="15.75" customHeight="1">
      <c r="A679" s="556"/>
      <c r="B679" s="556"/>
      <c r="C679" s="596"/>
      <c r="D679" s="556"/>
      <c r="E679" s="596"/>
      <c r="F679" s="556"/>
      <c r="G679" s="556"/>
      <c r="H679" s="556"/>
      <c r="I679" s="556"/>
      <c r="J679" s="556"/>
      <c r="K679" s="556"/>
      <c r="L679" s="556"/>
      <c r="M679" s="556"/>
      <c r="N679" s="556"/>
      <c r="O679" s="556"/>
      <c r="P679" s="556"/>
      <c r="Q679" s="556"/>
      <c r="R679" s="596"/>
      <c r="S679" s="596"/>
      <c r="T679" s="556"/>
      <c r="U679" s="556"/>
      <c r="V679" s="807"/>
      <c r="W679" s="556"/>
      <c r="X679" s="556"/>
      <c r="Y679" s="556"/>
      <c r="Z679" s="579"/>
      <c r="AA679" s="556"/>
      <c r="AB679" s="556"/>
      <c r="AC679" s="556"/>
      <c r="AD679" s="556"/>
    </row>
    <row r="680" ht="15.75" customHeight="1">
      <c r="A680" s="556"/>
      <c r="B680" s="556"/>
      <c r="C680" s="596"/>
      <c r="D680" s="556"/>
      <c r="E680" s="596"/>
      <c r="F680" s="556"/>
      <c r="G680" s="556"/>
      <c r="H680" s="556"/>
      <c r="I680" s="556"/>
      <c r="J680" s="556"/>
      <c r="K680" s="556"/>
      <c r="L680" s="556"/>
      <c r="M680" s="556"/>
      <c r="N680" s="556"/>
      <c r="O680" s="556"/>
      <c r="P680" s="556"/>
      <c r="Q680" s="556"/>
      <c r="R680" s="596"/>
      <c r="S680" s="596"/>
      <c r="T680" s="556"/>
      <c r="U680" s="556"/>
      <c r="V680" s="807"/>
      <c r="W680" s="556"/>
      <c r="X680" s="556"/>
      <c r="Y680" s="556"/>
      <c r="Z680" s="579"/>
      <c r="AA680" s="556"/>
      <c r="AB680" s="556"/>
      <c r="AC680" s="556"/>
      <c r="AD680" s="556"/>
    </row>
    <row r="681" ht="15.75" customHeight="1">
      <c r="A681" s="556"/>
      <c r="B681" s="556"/>
      <c r="C681" s="596"/>
      <c r="D681" s="556"/>
      <c r="E681" s="596"/>
      <c r="F681" s="556"/>
      <c r="G681" s="556"/>
      <c r="H681" s="556"/>
      <c r="I681" s="556"/>
      <c r="J681" s="556"/>
      <c r="K681" s="556"/>
      <c r="L681" s="556"/>
      <c r="M681" s="556"/>
      <c r="N681" s="556"/>
      <c r="O681" s="556"/>
      <c r="P681" s="556"/>
      <c r="Q681" s="556"/>
      <c r="R681" s="596"/>
      <c r="S681" s="596"/>
      <c r="T681" s="556"/>
      <c r="U681" s="556"/>
      <c r="V681" s="807"/>
      <c r="W681" s="556"/>
      <c r="X681" s="556"/>
      <c r="Y681" s="556"/>
      <c r="Z681" s="579"/>
      <c r="AA681" s="556"/>
      <c r="AB681" s="556"/>
      <c r="AC681" s="556"/>
      <c r="AD681" s="556"/>
    </row>
    <row r="682" ht="15.75" customHeight="1">
      <c r="A682" s="556"/>
      <c r="B682" s="556"/>
      <c r="C682" s="596"/>
      <c r="D682" s="556"/>
      <c r="E682" s="596"/>
      <c r="F682" s="556"/>
      <c r="G682" s="556"/>
      <c r="H682" s="556"/>
      <c r="I682" s="556"/>
      <c r="J682" s="556"/>
      <c r="K682" s="556"/>
      <c r="L682" s="556"/>
      <c r="M682" s="556"/>
      <c r="N682" s="556"/>
      <c r="O682" s="556"/>
      <c r="P682" s="556"/>
      <c r="Q682" s="556"/>
      <c r="R682" s="596"/>
      <c r="S682" s="596"/>
      <c r="T682" s="556"/>
      <c r="U682" s="556"/>
      <c r="V682" s="807"/>
      <c r="W682" s="556"/>
      <c r="X682" s="556"/>
      <c r="Y682" s="556"/>
      <c r="Z682" s="579"/>
      <c r="AA682" s="556"/>
      <c r="AB682" s="556"/>
      <c r="AC682" s="556"/>
      <c r="AD682" s="556"/>
    </row>
    <row r="683" ht="15.75" customHeight="1">
      <c r="A683" s="556"/>
      <c r="B683" s="556"/>
      <c r="C683" s="596"/>
      <c r="D683" s="556"/>
      <c r="E683" s="596"/>
      <c r="F683" s="556"/>
      <c r="G683" s="556"/>
      <c r="H683" s="556"/>
      <c r="I683" s="556"/>
      <c r="J683" s="556"/>
      <c r="K683" s="556"/>
      <c r="L683" s="556"/>
      <c r="M683" s="556"/>
      <c r="N683" s="556"/>
      <c r="O683" s="556"/>
      <c r="P683" s="556"/>
      <c r="Q683" s="556"/>
      <c r="R683" s="596"/>
      <c r="S683" s="596"/>
      <c r="T683" s="556"/>
      <c r="U683" s="556"/>
      <c r="V683" s="807"/>
      <c r="W683" s="556"/>
      <c r="X683" s="556"/>
      <c r="Y683" s="556"/>
      <c r="Z683" s="579"/>
      <c r="AA683" s="556"/>
      <c r="AB683" s="556"/>
      <c r="AC683" s="556"/>
      <c r="AD683" s="556"/>
    </row>
    <row r="684" ht="15.75" customHeight="1">
      <c r="A684" s="556"/>
      <c r="B684" s="556"/>
      <c r="C684" s="596"/>
      <c r="D684" s="556"/>
      <c r="E684" s="596"/>
      <c r="F684" s="556"/>
      <c r="G684" s="556"/>
      <c r="H684" s="556"/>
      <c r="I684" s="556"/>
      <c r="J684" s="556"/>
      <c r="K684" s="556"/>
      <c r="L684" s="556"/>
      <c r="M684" s="556"/>
      <c r="N684" s="556"/>
      <c r="O684" s="556"/>
      <c r="P684" s="556"/>
      <c r="Q684" s="556"/>
      <c r="R684" s="596"/>
      <c r="S684" s="596"/>
      <c r="T684" s="556"/>
      <c r="U684" s="556"/>
      <c r="V684" s="807"/>
      <c r="W684" s="556"/>
      <c r="X684" s="556"/>
      <c r="Y684" s="556"/>
      <c r="Z684" s="579"/>
      <c r="AA684" s="556"/>
      <c r="AB684" s="556"/>
      <c r="AC684" s="556"/>
      <c r="AD684" s="556"/>
    </row>
    <row r="685" ht="15.75" customHeight="1">
      <c r="A685" s="556"/>
      <c r="B685" s="556"/>
      <c r="C685" s="596"/>
      <c r="D685" s="556"/>
      <c r="E685" s="596"/>
      <c r="F685" s="556"/>
      <c r="G685" s="556"/>
      <c r="H685" s="556"/>
      <c r="I685" s="556"/>
      <c r="J685" s="556"/>
      <c r="K685" s="556"/>
      <c r="L685" s="556"/>
      <c r="M685" s="556"/>
      <c r="N685" s="556"/>
      <c r="O685" s="556"/>
      <c r="P685" s="556"/>
      <c r="Q685" s="556"/>
      <c r="R685" s="596"/>
      <c r="S685" s="596"/>
      <c r="T685" s="556"/>
      <c r="U685" s="556"/>
      <c r="V685" s="807"/>
      <c r="W685" s="556"/>
      <c r="X685" s="556"/>
      <c r="Y685" s="556"/>
      <c r="Z685" s="579"/>
      <c r="AA685" s="556"/>
      <c r="AB685" s="556"/>
      <c r="AC685" s="556"/>
      <c r="AD685" s="556"/>
    </row>
    <row r="686" ht="15.75" customHeight="1">
      <c r="A686" s="556"/>
      <c r="B686" s="556"/>
      <c r="C686" s="596"/>
      <c r="D686" s="556"/>
      <c r="E686" s="596"/>
      <c r="F686" s="556"/>
      <c r="G686" s="556"/>
      <c r="H686" s="556"/>
      <c r="I686" s="556"/>
      <c r="J686" s="556"/>
      <c r="K686" s="556"/>
      <c r="L686" s="556"/>
      <c r="M686" s="556"/>
      <c r="N686" s="556"/>
      <c r="O686" s="556"/>
      <c r="P686" s="556"/>
      <c r="Q686" s="556"/>
      <c r="R686" s="596"/>
      <c r="S686" s="596"/>
      <c r="T686" s="556"/>
      <c r="U686" s="556"/>
      <c r="V686" s="807"/>
      <c r="W686" s="556"/>
      <c r="X686" s="556"/>
      <c r="Y686" s="556"/>
      <c r="Z686" s="579"/>
      <c r="AA686" s="556"/>
      <c r="AB686" s="556"/>
      <c r="AC686" s="556"/>
      <c r="AD686" s="556"/>
    </row>
    <row r="687" ht="15.75" customHeight="1">
      <c r="A687" s="556"/>
      <c r="B687" s="556"/>
      <c r="C687" s="596"/>
      <c r="D687" s="556"/>
      <c r="E687" s="596"/>
      <c r="F687" s="556"/>
      <c r="G687" s="556"/>
      <c r="H687" s="556"/>
      <c r="I687" s="556"/>
      <c r="J687" s="556"/>
      <c r="K687" s="556"/>
      <c r="L687" s="556"/>
      <c r="M687" s="556"/>
      <c r="N687" s="556"/>
      <c r="O687" s="556"/>
      <c r="P687" s="556"/>
      <c r="Q687" s="556"/>
      <c r="R687" s="596"/>
      <c r="S687" s="596"/>
      <c r="T687" s="556"/>
      <c r="U687" s="556"/>
      <c r="V687" s="807"/>
      <c r="W687" s="556"/>
      <c r="X687" s="556"/>
      <c r="Y687" s="556"/>
      <c r="Z687" s="579"/>
      <c r="AA687" s="556"/>
      <c r="AB687" s="556"/>
      <c r="AC687" s="556"/>
      <c r="AD687" s="556"/>
    </row>
    <row r="688" ht="15.75" customHeight="1">
      <c r="A688" s="556"/>
      <c r="B688" s="556"/>
      <c r="C688" s="596"/>
      <c r="D688" s="556"/>
      <c r="E688" s="596"/>
      <c r="F688" s="556"/>
      <c r="G688" s="556"/>
      <c r="H688" s="556"/>
      <c r="I688" s="556"/>
      <c r="J688" s="556"/>
      <c r="K688" s="556"/>
      <c r="L688" s="556"/>
      <c r="M688" s="556"/>
      <c r="N688" s="556"/>
      <c r="O688" s="556"/>
      <c r="P688" s="556"/>
      <c r="Q688" s="556"/>
      <c r="R688" s="596"/>
      <c r="S688" s="596"/>
      <c r="T688" s="556"/>
      <c r="U688" s="556"/>
      <c r="V688" s="807"/>
      <c r="W688" s="556"/>
      <c r="X688" s="556"/>
      <c r="Y688" s="556"/>
      <c r="Z688" s="579"/>
      <c r="AA688" s="556"/>
      <c r="AB688" s="556"/>
      <c r="AC688" s="556"/>
      <c r="AD688" s="556"/>
    </row>
    <row r="689" ht="15.75" customHeight="1">
      <c r="A689" s="556"/>
      <c r="B689" s="556"/>
      <c r="C689" s="596"/>
      <c r="D689" s="556"/>
      <c r="E689" s="596"/>
      <c r="F689" s="556"/>
      <c r="G689" s="556"/>
      <c r="H689" s="556"/>
      <c r="I689" s="556"/>
      <c r="J689" s="556"/>
      <c r="K689" s="556"/>
      <c r="L689" s="556"/>
      <c r="M689" s="556"/>
      <c r="N689" s="556"/>
      <c r="O689" s="556"/>
      <c r="P689" s="556"/>
      <c r="Q689" s="556"/>
      <c r="R689" s="596"/>
      <c r="S689" s="596"/>
      <c r="T689" s="556"/>
      <c r="U689" s="556"/>
      <c r="V689" s="807"/>
      <c r="W689" s="556"/>
      <c r="X689" s="556"/>
      <c r="Y689" s="556"/>
      <c r="Z689" s="579"/>
      <c r="AA689" s="556"/>
      <c r="AB689" s="556"/>
      <c r="AC689" s="556"/>
      <c r="AD689" s="556"/>
    </row>
    <row r="690" ht="15.75" customHeight="1">
      <c r="A690" s="556"/>
      <c r="B690" s="556"/>
      <c r="C690" s="596"/>
      <c r="D690" s="556"/>
      <c r="E690" s="596"/>
      <c r="F690" s="556"/>
      <c r="G690" s="556"/>
      <c r="H690" s="556"/>
      <c r="I690" s="556"/>
      <c r="J690" s="556"/>
      <c r="K690" s="556"/>
      <c r="L690" s="556"/>
      <c r="M690" s="556"/>
      <c r="N690" s="556"/>
      <c r="O690" s="556"/>
      <c r="P690" s="556"/>
      <c r="Q690" s="556"/>
      <c r="R690" s="596"/>
      <c r="S690" s="596"/>
      <c r="T690" s="556"/>
      <c r="U690" s="556"/>
      <c r="V690" s="807"/>
      <c r="W690" s="556"/>
      <c r="X690" s="556"/>
      <c r="Y690" s="556"/>
      <c r="Z690" s="579"/>
      <c r="AA690" s="556"/>
      <c r="AB690" s="556"/>
      <c r="AC690" s="556"/>
      <c r="AD690" s="556"/>
    </row>
    <row r="691" ht="15.75" customHeight="1">
      <c r="A691" s="556"/>
      <c r="B691" s="556"/>
      <c r="C691" s="596"/>
      <c r="D691" s="556"/>
      <c r="E691" s="596"/>
      <c r="F691" s="556"/>
      <c r="G691" s="556"/>
      <c r="H691" s="556"/>
      <c r="I691" s="556"/>
      <c r="J691" s="556"/>
      <c r="K691" s="556"/>
      <c r="L691" s="556"/>
      <c r="M691" s="556"/>
      <c r="N691" s="556"/>
      <c r="O691" s="556"/>
      <c r="P691" s="556"/>
      <c r="Q691" s="556"/>
      <c r="R691" s="596"/>
      <c r="S691" s="596"/>
      <c r="T691" s="556"/>
      <c r="U691" s="556"/>
      <c r="V691" s="807"/>
      <c r="W691" s="556"/>
      <c r="X691" s="556"/>
      <c r="Y691" s="556"/>
      <c r="Z691" s="579"/>
      <c r="AA691" s="556"/>
      <c r="AB691" s="556"/>
      <c r="AC691" s="556"/>
      <c r="AD691" s="556"/>
    </row>
    <row r="692" ht="15.75" customHeight="1">
      <c r="A692" s="556"/>
      <c r="B692" s="556"/>
      <c r="C692" s="596"/>
      <c r="D692" s="556"/>
      <c r="E692" s="596"/>
      <c r="F692" s="556"/>
      <c r="G692" s="556"/>
      <c r="H692" s="556"/>
      <c r="I692" s="556"/>
      <c r="J692" s="556"/>
      <c r="K692" s="556"/>
      <c r="L692" s="556"/>
      <c r="M692" s="556"/>
      <c r="N692" s="556"/>
      <c r="O692" s="556"/>
      <c r="P692" s="556"/>
      <c r="Q692" s="556"/>
      <c r="R692" s="596"/>
      <c r="S692" s="596"/>
      <c r="T692" s="556"/>
      <c r="U692" s="556"/>
      <c r="V692" s="807"/>
      <c r="W692" s="556"/>
      <c r="X692" s="556"/>
      <c r="Y692" s="556"/>
      <c r="Z692" s="579"/>
      <c r="AA692" s="556"/>
      <c r="AB692" s="556"/>
      <c r="AC692" s="556"/>
      <c r="AD692" s="556"/>
    </row>
    <row r="693" ht="15.75" customHeight="1">
      <c r="A693" s="556"/>
      <c r="B693" s="556"/>
      <c r="C693" s="596"/>
      <c r="D693" s="556"/>
      <c r="E693" s="596"/>
      <c r="F693" s="556"/>
      <c r="G693" s="556"/>
      <c r="H693" s="556"/>
      <c r="I693" s="556"/>
      <c r="J693" s="556"/>
      <c r="K693" s="556"/>
      <c r="L693" s="556"/>
      <c r="M693" s="556"/>
      <c r="N693" s="556"/>
      <c r="O693" s="556"/>
      <c r="P693" s="556"/>
      <c r="Q693" s="556"/>
      <c r="R693" s="596"/>
      <c r="S693" s="596"/>
      <c r="T693" s="556"/>
      <c r="U693" s="556"/>
      <c r="V693" s="807"/>
      <c r="W693" s="556"/>
      <c r="X693" s="556"/>
      <c r="Y693" s="556"/>
      <c r="Z693" s="579"/>
      <c r="AA693" s="556"/>
      <c r="AB693" s="556"/>
      <c r="AC693" s="556"/>
      <c r="AD693" s="556"/>
    </row>
    <row r="694" ht="15.75" customHeight="1">
      <c r="A694" s="556"/>
      <c r="B694" s="556"/>
      <c r="C694" s="596"/>
      <c r="D694" s="556"/>
      <c r="E694" s="596"/>
      <c r="F694" s="556"/>
      <c r="G694" s="556"/>
      <c r="H694" s="556"/>
      <c r="I694" s="556"/>
      <c r="J694" s="556"/>
      <c r="K694" s="556"/>
      <c r="L694" s="556"/>
      <c r="M694" s="556"/>
      <c r="N694" s="556"/>
      <c r="O694" s="556"/>
      <c r="P694" s="556"/>
      <c r="Q694" s="556"/>
      <c r="R694" s="596"/>
      <c r="S694" s="596"/>
      <c r="T694" s="556"/>
      <c r="U694" s="556"/>
      <c r="V694" s="807"/>
      <c r="W694" s="556"/>
      <c r="X694" s="556"/>
      <c r="Y694" s="556"/>
      <c r="Z694" s="579"/>
      <c r="AA694" s="556"/>
      <c r="AB694" s="556"/>
      <c r="AC694" s="556"/>
      <c r="AD694" s="556"/>
    </row>
    <row r="695" ht="15.75" customHeight="1">
      <c r="A695" s="556"/>
      <c r="B695" s="556"/>
      <c r="C695" s="596"/>
      <c r="D695" s="556"/>
      <c r="E695" s="596"/>
      <c r="F695" s="556"/>
      <c r="G695" s="556"/>
      <c r="H695" s="556"/>
      <c r="I695" s="556"/>
      <c r="J695" s="556"/>
      <c r="K695" s="556"/>
      <c r="L695" s="556"/>
      <c r="M695" s="556"/>
      <c r="N695" s="556"/>
      <c r="O695" s="556"/>
      <c r="P695" s="556"/>
      <c r="Q695" s="556"/>
      <c r="R695" s="596"/>
      <c r="S695" s="596"/>
      <c r="T695" s="556"/>
      <c r="U695" s="556"/>
      <c r="V695" s="807"/>
      <c r="W695" s="556"/>
      <c r="X695" s="556"/>
      <c r="Y695" s="556"/>
      <c r="Z695" s="579"/>
      <c r="AA695" s="556"/>
      <c r="AB695" s="556"/>
      <c r="AC695" s="556"/>
      <c r="AD695" s="556"/>
    </row>
    <row r="696" ht="15.75" customHeight="1">
      <c r="A696" s="556"/>
      <c r="B696" s="556"/>
      <c r="C696" s="596"/>
      <c r="D696" s="556"/>
      <c r="E696" s="596"/>
      <c r="F696" s="556"/>
      <c r="G696" s="556"/>
      <c r="H696" s="556"/>
      <c r="I696" s="556"/>
      <c r="J696" s="556"/>
      <c r="K696" s="556"/>
      <c r="L696" s="556"/>
      <c r="M696" s="556"/>
      <c r="N696" s="556"/>
      <c r="O696" s="556"/>
      <c r="P696" s="556"/>
      <c r="Q696" s="556"/>
      <c r="R696" s="596"/>
      <c r="S696" s="596"/>
      <c r="T696" s="556"/>
      <c r="U696" s="556"/>
      <c r="V696" s="807"/>
      <c r="W696" s="556"/>
      <c r="X696" s="556"/>
      <c r="Y696" s="556"/>
      <c r="Z696" s="579"/>
      <c r="AA696" s="556"/>
      <c r="AB696" s="556"/>
      <c r="AC696" s="556"/>
      <c r="AD696" s="556"/>
    </row>
    <row r="697" ht="15.75" customHeight="1">
      <c r="A697" s="556"/>
      <c r="B697" s="556"/>
      <c r="C697" s="596"/>
      <c r="D697" s="556"/>
      <c r="E697" s="596"/>
      <c r="F697" s="556"/>
      <c r="G697" s="556"/>
      <c r="H697" s="556"/>
      <c r="I697" s="556"/>
      <c r="J697" s="556"/>
      <c r="K697" s="556"/>
      <c r="L697" s="556"/>
      <c r="M697" s="556"/>
      <c r="N697" s="556"/>
      <c r="O697" s="556"/>
      <c r="P697" s="556"/>
      <c r="Q697" s="556"/>
      <c r="R697" s="596"/>
      <c r="S697" s="596"/>
      <c r="T697" s="556"/>
      <c r="U697" s="556"/>
      <c r="V697" s="807"/>
      <c r="W697" s="556"/>
      <c r="X697" s="556"/>
      <c r="Y697" s="556"/>
      <c r="Z697" s="579"/>
      <c r="AA697" s="556"/>
      <c r="AB697" s="556"/>
      <c r="AC697" s="556"/>
      <c r="AD697" s="556"/>
    </row>
    <row r="698" ht="15.75" customHeight="1">
      <c r="A698" s="556"/>
      <c r="B698" s="556"/>
      <c r="C698" s="596"/>
      <c r="D698" s="556"/>
      <c r="E698" s="596"/>
      <c r="F698" s="556"/>
      <c r="G698" s="556"/>
      <c r="H698" s="556"/>
      <c r="I698" s="556"/>
      <c r="J698" s="556"/>
      <c r="K698" s="556"/>
      <c r="L698" s="556"/>
      <c r="M698" s="556"/>
      <c r="N698" s="556"/>
      <c r="O698" s="556"/>
      <c r="P698" s="556"/>
      <c r="Q698" s="556"/>
      <c r="R698" s="596"/>
      <c r="S698" s="596"/>
      <c r="T698" s="556"/>
      <c r="U698" s="556"/>
      <c r="V698" s="807"/>
      <c r="W698" s="556"/>
      <c r="X698" s="556"/>
      <c r="Y698" s="556"/>
      <c r="Z698" s="579"/>
      <c r="AA698" s="556"/>
      <c r="AB698" s="556"/>
      <c r="AC698" s="556"/>
      <c r="AD698" s="556"/>
    </row>
    <row r="699" ht="15.75" customHeight="1">
      <c r="A699" s="556"/>
      <c r="B699" s="556"/>
      <c r="C699" s="596"/>
      <c r="D699" s="556"/>
      <c r="E699" s="596"/>
      <c r="F699" s="556"/>
      <c r="G699" s="556"/>
      <c r="H699" s="556"/>
      <c r="I699" s="556"/>
      <c r="J699" s="556"/>
      <c r="K699" s="556"/>
      <c r="L699" s="556"/>
      <c r="M699" s="556"/>
      <c r="N699" s="556"/>
      <c r="O699" s="556"/>
      <c r="P699" s="556"/>
      <c r="Q699" s="556"/>
      <c r="R699" s="596"/>
      <c r="S699" s="596"/>
      <c r="T699" s="556"/>
      <c r="U699" s="556"/>
      <c r="V699" s="807"/>
      <c r="W699" s="556"/>
      <c r="X699" s="556"/>
      <c r="Y699" s="556"/>
      <c r="Z699" s="579"/>
      <c r="AA699" s="556"/>
      <c r="AB699" s="556"/>
      <c r="AC699" s="556"/>
      <c r="AD699" s="556"/>
    </row>
    <row r="700" ht="15.75" customHeight="1">
      <c r="A700" s="556"/>
      <c r="B700" s="556"/>
      <c r="C700" s="596"/>
      <c r="D700" s="556"/>
      <c r="E700" s="596"/>
      <c r="F700" s="556"/>
      <c r="G700" s="556"/>
      <c r="H700" s="556"/>
      <c r="I700" s="556"/>
      <c r="J700" s="556"/>
      <c r="K700" s="556"/>
      <c r="L700" s="556"/>
      <c r="M700" s="556"/>
      <c r="N700" s="556"/>
      <c r="O700" s="556"/>
      <c r="P700" s="556"/>
      <c r="Q700" s="556"/>
      <c r="R700" s="596"/>
      <c r="S700" s="596"/>
      <c r="T700" s="556"/>
      <c r="U700" s="556"/>
      <c r="V700" s="807"/>
      <c r="W700" s="556"/>
      <c r="X700" s="556"/>
      <c r="Y700" s="556"/>
      <c r="Z700" s="579"/>
      <c r="AA700" s="556"/>
      <c r="AB700" s="556"/>
      <c r="AC700" s="556"/>
      <c r="AD700" s="556"/>
    </row>
    <row r="701" ht="15.75" customHeight="1">
      <c r="A701" s="556"/>
      <c r="B701" s="556"/>
      <c r="C701" s="596"/>
      <c r="D701" s="556"/>
      <c r="E701" s="596"/>
      <c r="F701" s="556"/>
      <c r="G701" s="556"/>
      <c r="H701" s="556"/>
      <c r="I701" s="556"/>
      <c r="J701" s="556"/>
      <c r="K701" s="556"/>
      <c r="L701" s="556"/>
      <c r="M701" s="556"/>
      <c r="N701" s="556"/>
      <c r="O701" s="556"/>
      <c r="P701" s="556"/>
      <c r="Q701" s="556"/>
      <c r="R701" s="596"/>
      <c r="S701" s="596"/>
      <c r="T701" s="556"/>
      <c r="U701" s="556"/>
      <c r="V701" s="807"/>
      <c r="W701" s="556"/>
      <c r="X701" s="556"/>
      <c r="Y701" s="556"/>
      <c r="Z701" s="579"/>
      <c r="AA701" s="556"/>
      <c r="AB701" s="556"/>
      <c r="AC701" s="556"/>
      <c r="AD701" s="556"/>
    </row>
    <row r="702" ht="15.75" customHeight="1">
      <c r="A702" s="556"/>
      <c r="B702" s="556"/>
      <c r="C702" s="596"/>
      <c r="D702" s="556"/>
      <c r="E702" s="596"/>
      <c r="F702" s="556"/>
      <c r="G702" s="556"/>
      <c r="H702" s="556"/>
      <c r="I702" s="556"/>
      <c r="J702" s="556"/>
      <c r="K702" s="556"/>
      <c r="L702" s="556"/>
      <c r="M702" s="556"/>
      <c r="N702" s="556"/>
      <c r="O702" s="556"/>
      <c r="P702" s="556"/>
      <c r="Q702" s="556"/>
      <c r="R702" s="596"/>
      <c r="S702" s="596"/>
      <c r="T702" s="556"/>
      <c r="U702" s="556"/>
      <c r="V702" s="807"/>
      <c r="W702" s="556"/>
      <c r="X702" s="556"/>
      <c r="Y702" s="556"/>
      <c r="Z702" s="579"/>
      <c r="AA702" s="556"/>
      <c r="AB702" s="556"/>
      <c r="AC702" s="556"/>
      <c r="AD702" s="556"/>
    </row>
    <row r="703" ht="15.75" customHeight="1">
      <c r="A703" s="556"/>
      <c r="B703" s="556"/>
      <c r="C703" s="596"/>
      <c r="D703" s="556"/>
      <c r="E703" s="596"/>
      <c r="F703" s="556"/>
      <c r="G703" s="556"/>
      <c r="H703" s="556"/>
      <c r="I703" s="556"/>
      <c r="J703" s="556"/>
      <c r="K703" s="556"/>
      <c r="L703" s="556"/>
      <c r="M703" s="556"/>
      <c r="N703" s="556"/>
      <c r="O703" s="556"/>
      <c r="P703" s="556"/>
      <c r="Q703" s="556"/>
      <c r="R703" s="596"/>
      <c r="S703" s="596"/>
      <c r="T703" s="556"/>
      <c r="U703" s="556"/>
      <c r="V703" s="807"/>
      <c r="W703" s="556"/>
      <c r="X703" s="556"/>
      <c r="Y703" s="556"/>
      <c r="Z703" s="579"/>
      <c r="AA703" s="556"/>
      <c r="AB703" s="556"/>
      <c r="AC703" s="556"/>
      <c r="AD703" s="556"/>
    </row>
    <row r="704" ht="15.75" customHeight="1">
      <c r="A704" s="556"/>
      <c r="B704" s="556"/>
      <c r="C704" s="596"/>
      <c r="D704" s="556"/>
      <c r="E704" s="596"/>
      <c r="F704" s="556"/>
      <c r="G704" s="556"/>
      <c r="H704" s="556"/>
      <c r="I704" s="556"/>
      <c r="J704" s="556"/>
      <c r="K704" s="556"/>
      <c r="L704" s="556"/>
      <c r="M704" s="556"/>
      <c r="N704" s="556"/>
      <c r="O704" s="556"/>
      <c r="P704" s="556"/>
      <c r="Q704" s="556"/>
      <c r="R704" s="596"/>
      <c r="S704" s="596"/>
      <c r="T704" s="556"/>
      <c r="U704" s="556"/>
      <c r="V704" s="807"/>
      <c r="W704" s="556"/>
      <c r="X704" s="556"/>
      <c r="Y704" s="556"/>
      <c r="Z704" s="579"/>
      <c r="AA704" s="556"/>
      <c r="AB704" s="556"/>
      <c r="AC704" s="556"/>
      <c r="AD704" s="556"/>
    </row>
    <row r="705" ht="15.75" customHeight="1">
      <c r="A705" s="556"/>
      <c r="B705" s="556"/>
      <c r="C705" s="596"/>
      <c r="D705" s="556"/>
      <c r="E705" s="596"/>
      <c r="F705" s="556"/>
      <c r="G705" s="556"/>
      <c r="H705" s="556"/>
      <c r="I705" s="556"/>
      <c r="J705" s="556"/>
      <c r="K705" s="556"/>
      <c r="L705" s="556"/>
      <c r="M705" s="556"/>
      <c r="N705" s="556"/>
      <c r="O705" s="556"/>
      <c r="P705" s="556"/>
      <c r="Q705" s="556"/>
      <c r="R705" s="596"/>
      <c r="S705" s="596"/>
      <c r="T705" s="556"/>
      <c r="U705" s="556"/>
      <c r="V705" s="807"/>
      <c r="W705" s="556"/>
      <c r="X705" s="556"/>
      <c r="Y705" s="556"/>
      <c r="Z705" s="579"/>
      <c r="AA705" s="556"/>
      <c r="AB705" s="556"/>
      <c r="AC705" s="556"/>
      <c r="AD705" s="556"/>
    </row>
    <row r="706" ht="15.75" customHeight="1">
      <c r="A706" s="556"/>
      <c r="B706" s="556"/>
      <c r="C706" s="596"/>
      <c r="D706" s="556"/>
      <c r="E706" s="596"/>
      <c r="F706" s="556"/>
      <c r="G706" s="556"/>
      <c r="H706" s="556"/>
      <c r="I706" s="556"/>
      <c r="J706" s="556"/>
      <c r="K706" s="556"/>
      <c r="L706" s="556"/>
      <c r="M706" s="556"/>
      <c r="N706" s="556"/>
      <c r="O706" s="556"/>
      <c r="P706" s="556"/>
      <c r="Q706" s="556"/>
      <c r="R706" s="596"/>
      <c r="S706" s="596"/>
      <c r="T706" s="556"/>
      <c r="U706" s="556"/>
      <c r="V706" s="807"/>
      <c r="W706" s="556"/>
      <c r="X706" s="556"/>
      <c r="Y706" s="556"/>
      <c r="Z706" s="579"/>
      <c r="AA706" s="556"/>
      <c r="AB706" s="556"/>
      <c r="AC706" s="556"/>
      <c r="AD706" s="556"/>
    </row>
    <row r="707" ht="15.75" customHeight="1">
      <c r="A707" s="556"/>
      <c r="B707" s="556"/>
      <c r="C707" s="596"/>
      <c r="D707" s="556"/>
      <c r="E707" s="596"/>
      <c r="F707" s="556"/>
      <c r="G707" s="556"/>
      <c r="H707" s="556"/>
      <c r="I707" s="556"/>
      <c r="J707" s="556"/>
      <c r="K707" s="556"/>
      <c r="L707" s="556"/>
      <c r="M707" s="556"/>
      <c r="N707" s="556"/>
      <c r="O707" s="556"/>
      <c r="P707" s="556"/>
      <c r="Q707" s="556"/>
      <c r="R707" s="596"/>
      <c r="S707" s="596"/>
      <c r="T707" s="556"/>
      <c r="U707" s="556"/>
      <c r="V707" s="807"/>
      <c r="W707" s="556"/>
      <c r="X707" s="556"/>
      <c r="Y707" s="556"/>
      <c r="Z707" s="579"/>
      <c r="AA707" s="556"/>
      <c r="AB707" s="556"/>
      <c r="AC707" s="556"/>
      <c r="AD707" s="556"/>
    </row>
    <row r="708" ht="15.75" customHeight="1">
      <c r="A708" s="556"/>
      <c r="B708" s="556"/>
      <c r="C708" s="596"/>
      <c r="D708" s="556"/>
      <c r="E708" s="596"/>
      <c r="F708" s="556"/>
      <c r="G708" s="556"/>
      <c r="H708" s="556"/>
      <c r="I708" s="556"/>
      <c r="J708" s="556"/>
      <c r="K708" s="556"/>
      <c r="L708" s="556"/>
      <c r="M708" s="556"/>
      <c r="N708" s="556"/>
      <c r="O708" s="556"/>
      <c r="P708" s="556"/>
      <c r="Q708" s="556"/>
      <c r="R708" s="596"/>
      <c r="S708" s="596"/>
      <c r="T708" s="556"/>
      <c r="U708" s="556"/>
      <c r="V708" s="807"/>
      <c r="W708" s="556"/>
      <c r="X708" s="556"/>
      <c r="Y708" s="556"/>
      <c r="Z708" s="579"/>
      <c r="AA708" s="556"/>
      <c r="AB708" s="556"/>
      <c r="AC708" s="556"/>
      <c r="AD708" s="556"/>
    </row>
    <row r="709" ht="15.75" customHeight="1">
      <c r="A709" s="556"/>
      <c r="B709" s="556"/>
      <c r="C709" s="596"/>
      <c r="D709" s="556"/>
      <c r="E709" s="596"/>
      <c r="F709" s="556"/>
      <c r="G709" s="556"/>
      <c r="H709" s="556"/>
      <c r="I709" s="556"/>
      <c r="J709" s="556"/>
      <c r="K709" s="556"/>
      <c r="L709" s="556"/>
      <c r="M709" s="556"/>
      <c r="N709" s="556"/>
      <c r="O709" s="556"/>
      <c r="P709" s="556"/>
      <c r="Q709" s="556"/>
      <c r="R709" s="596"/>
      <c r="S709" s="596"/>
      <c r="T709" s="556"/>
      <c r="U709" s="556"/>
      <c r="V709" s="807"/>
      <c r="W709" s="556"/>
      <c r="X709" s="556"/>
      <c r="Y709" s="556"/>
      <c r="Z709" s="579"/>
      <c r="AA709" s="556"/>
      <c r="AB709" s="556"/>
      <c r="AC709" s="556"/>
      <c r="AD709" s="556"/>
    </row>
    <row r="710" ht="15.75" customHeight="1">
      <c r="A710" s="556"/>
      <c r="B710" s="556"/>
      <c r="C710" s="596"/>
      <c r="D710" s="556"/>
      <c r="E710" s="596"/>
      <c r="F710" s="556"/>
      <c r="G710" s="556"/>
      <c r="H710" s="556"/>
      <c r="I710" s="556"/>
      <c r="J710" s="556"/>
      <c r="K710" s="556"/>
      <c r="L710" s="556"/>
      <c r="M710" s="556"/>
      <c r="N710" s="556"/>
      <c r="O710" s="556"/>
      <c r="P710" s="556"/>
      <c r="Q710" s="556"/>
      <c r="R710" s="596"/>
      <c r="S710" s="596"/>
      <c r="T710" s="556"/>
      <c r="U710" s="556"/>
      <c r="V710" s="807"/>
      <c r="W710" s="556"/>
      <c r="X710" s="556"/>
      <c r="Y710" s="556"/>
      <c r="Z710" s="579"/>
      <c r="AA710" s="556"/>
      <c r="AB710" s="556"/>
      <c r="AC710" s="556"/>
      <c r="AD710" s="556"/>
    </row>
    <row r="711" ht="15.75" customHeight="1">
      <c r="A711" s="556"/>
      <c r="B711" s="556"/>
      <c r="C711" s="596"/>
      <c r="D711" s="556"/>
      <c r="E711" s="596"/>
      <c r="F711" s="556"/>
      <c r="G711" s="556"/>
      <c r="H711" s="556"/>
      <c r="I711" s="556"/>
      <c r="J711" s="556"/>
      <c r="K711" s="556"/>
      <c r="L711" s="556"/>
      <c r="M711" s="556"/>
      <c r="N711" s="556"/>
      <c r="O711" s="556"/>
      <c r="P711" s="556"/>
      <c r="Q711" s="556"/>
      <c r="R711" s="596"/>
      <c r="S711" s="596"/>
      <c r="T711" s="556"/>
      <c r="U711" s="556"/>
      <c r="V711" s="807"/>
      <c r="W711" s="556"/>
      <c r="X711" s="556"/>
      <c r="Y711" s="556"/>
      <c r="Z711" s="579"/>
      <c r="AA711" s="556"/>
      <c r="AB711" s="556"/>
      <c r="AC711" s="556"/>
      <c r="AD711" s="556"/>
    </row>
    <row r="712" ht="15.75" customHeight="1">
      <c r="A712" s="556"/>
      <c r="B712" s="556"/>
      <c r="C712" s="596"/>
      <c r="D712" s="556"/>
      <c r="E712" s="596"/>
      <c r="F712" s="556"/>
      <c r="G712" s="556"/>
      <c r="H712" s="556"/>
      <c r="I712" s="556"/>
      <c r="J712" s="556"/>
      <c r="K712" s="556"/>
      <c r="L712" s="556"/>
      <c r="M712" s="556"/>
      <c r="N712" s="556"/>
      <c r="O712" s="556"/>
      <c r="P712" s="556"/>
      <c r="Q712" s="556"/>
      <c r="R712" s="596"/>
      <c r="S712" s="596"/>
      <c r="T712" s="556"/>
      <c r="U712" s="556"/>
      <c r="V712" s="807"/>
      <c r="W712" s="556"/>
      <c r="X712" s="556"/>
      <c r="Y712" s="556"/>
      <c r="Z712" s="579"/>
      <c r="AA712" s="556"/>
      <c r="AB712" s="556"/>
      <c r="AC712" s="556"/>
      <c r="AD712" s="556"/>
    </row>
    <row r="713" ht="15.75" customHeight="1">
      <c r="A713" s="556"/>
      <c r="B713" s="556"/>
      <c r="C713" s="596"/>
      <c r="D713" s="556"/>
      <c r="E713" s="596"/>
      <c r="F713" s="556"/>
      <c r="G713" s="556"/>
      <c r="H713" s="556"/>
      <c r="I713" s="556"/>
      <c r="J713" s="556"/>
      <c r="K713" s="556"/>
      <c r="L713" s="556"/>
      <c r="M713" s="556"/>
      <c r="N713" s="556"/>
      <c r="O713" s="556"/>
      <c r="P713" s="556"/>
      <c r="Q713" s="556"/>
      <c r="R713" s="596"/>
      <c r="S713" s="596"/>
      <c r="T713" s="556"/>
      <c r="U713" s="556"/>
      <c r="V713" s="807"/>
      <c r="W713" s="556"/>
      <c r="X713" s="556"/>
      <c r="Y713" s="556"/>
      <c r="Z713" s="579"/>
      <c r="AA713" s="556"/>
      <c r="AB713" s="556"/>
      <c r="AC713" s="556"/>
      <c r="AD713" s="556"/>
    </row>
    <row r="714" ht="15.75" customHeight="1">
      <c r="A714" s="556"/>
      <c r="B714" s="556"/>
      <c r="C714" s="596"/>
      <c r="D714" s="556"/>
      <c r="E714" s="596"/>
      <c r="F714" s="556"/>
      <c r="G714" s="556"/>
      <c r="H714" s="556"/>
      <c r="I714" s="556"/>
      <c r="J714" s="556"/>
      <c r="K714" s="556"/>
      <c r="L714" s="556"/>
      <c r="M714" s="556"/>
      <c r="N714" s="556"/>
      <c r="O714" s="556"/>
      <c r="P714" s="556"/>
      <c r="Q714" s="556"/>
      <c r="R714" s="596"/>
      <c r="S714" s="596"/>
      <c r="T714" s="556"/>
      <c r="U714" s="556"/>
      <c r="V714" s="807"/>
      <c r="W714" s="556"/>
      <c r="X714" s="556"/>
      <c r="Y714" s="556"/>
      <c r="Z714" s="579"/>
      <c r="AA714" s="556"/>
      <c r="AB714" s="556"/>
      <c r="AC714" s="556"/>
      <c r="AD714" s="556"/>
    </row>
    <row r="715" ht="15.75" customHeight="1">
      <c r="A715" s="556"/>
      <c r="B715" s="556"/>
      <c r="C715" s="596"/>
      <c r="D715" s="556"/>
      <c r="E715" s="596"/>
      <c r="F715" s="556"/>
      <c r="G715" s="556"/>
      <c r="H715" s="556"/>
      <c r="I715" s="556"/>
      <c r="J715" s="556"/>
      <c r="K715" s="556"/>
      <c r="L715" s="556"/>
      <c r="M715" s="556"/>
      <c r="N715" s="556"/>
      <c r="O715" s="556"/>
      <c r="P715" s="556"/>
      <c r="Q715" s="556"/>
      <c r="R715" s="596"/>
      <c r="S715" s="596"/>
      <c r="T715" s="556"/>
      <c r="U715" s="556"/>
      <c r="V715" s="807"/>
      <c r="W715" s="556"/>
      <c r="X715" s="556"/>
      <c r="Y715" s="556"/>
      <c r="Z715" s="579"/>
      <c r="AA715" s="556"/>
      <c r="AB715" s="556"/>
      <c r="AC715" s="556"/>
      <c r="AD715" s="556"/>
    </row>
    <row r="716" ht="15.75" customHeight="1">
      <c r="A716" s="556"/>
      <c r="B716" s="556"/>
      <c r="C716" s="596"/>
      <c r="D716" s="556"/>
      <c r="E716" s="596"/>
      <c r="F716" s="556"/>
      <c r="G716" s="556"/>
      <c r="H716" s="556"/>
      <c r="I716" s="556"/>
      <c r="J716" s="556"/>
      <c r="K716" s="556"/>
      <c r="L716" s="556"/>
      <c r="M716" s="556"/>
      <c r="N716" s="556"/>
      <c r="O716" s="556"/>
      <c r="P716" s="556"/>
      <c r="Q716" s="556"/>
      <c r="R716" s="596"/>
      <c r="S716" s="596"/>
      <c r="T716" s="556"/>
      <c r="U716" s="556"/>
      <c r="V716" s="807"/>
      <c r="W716" s="556"/>
      <c r="X716" s="556"/>
      <c r="Y716" s="556"/>
      <c r="Z716" s="579"/>
      <c r="AA716" s="556"/>
      <c r="AB716" s="556"/>
      <c r="AC716" s="556"/>
      <c r="AD716" s="556"/>
    </row>
    <row r="717" ht="15.75" customHeight="1">
      <c r="A717" s="556"/>
      <c r="B717" s="556"/>
      <c r="C717" s="596"/>
      <c r="D717" s="556"/>
      <c r="E717" s="596"/>
      <c r="F717" s="556"/>
      <c r="G717" s="556"/>
      <c r="H717" s="556"/>
      <c r="I717" s="556"/>
      <c r="J717" s="556"/>
      <c r="K717" s="556"/>
      <c r="L717" s="556"/>
      <c r="M717" s="556"/>
      <c r="N717" s="556"/>
      <c r="O717" s="556"/>
      <c r="P717" s="556"/>
      <c r="Q717" s="556"/>
      <c r="R717" s="596"/>
      <c r="S717" s="596"/>
      <c r="T717" s="556"/>
      <c r="U717" s="556"/>
      <c r="V717" s="807"/>
      <c r="W717" s="556"/>
      <c r="X717" s="556"/>
      <c r="Y717" s="556"/>
      <c r="Z717" s="579"/>
      <c r="AA717" s="556"/>
      <c r="AB717" s="556"/>
      <c r="AC717" s="556"/>
      <c r="AD717" s="556"/>
    </row>
    <row r="718" ht="15.75" customHeight="1">
      <c r="A718" s="556"/>
      <c r="B718" s="556"/>
      <c r="C718" s="596"/>
      <c r="D718" s="556"/>
      <c r="E718" s="596"/>
      <c r="F718" s="556"/>
      <c r="G718" s="556"/>
      <c r="H718" s="556"/>
      <c r="I718" s="556"/>
      <c r="J718" s="556"/>
      <c r="K718" s="556"/>
      <c r="L718" s="556"/>
      <c r="M718" s="556"/>
      <c r="N718" s="556"/>
      <c r="O718" s="556"/>
      <c r="P718" s="556"/>
      <c r="Q718" s="556"/>
      <c r="R718" s="596"/>
      <c r="S718" s="596"/>
      <c r="T718" s="556"/>
      <c r="U718" s="556"/>
      <c r="V718" s="807"/>
      <c r="W718" s="556"/>
      <c r="X718" s="556"/>
      <c r="Y718" s="556"/>
      <c r="Z718" s="579"/>
      <c r="AA718" s="556"/>
      <c r="AB718" s="556"/>
      <c r="AC718" s="556"/>
      <c r="AD718" s="556"/>
    </row>
    <row r="719" ht="15.75" customHeight="1">
      <c r="A719" s="556"/>
      <c r="B719" s="556"/>
      <c r="C719" s="596"/>
      <c r="D719" s="556"/>
      <c r="E719" s="596"/>
      <c r="F719" s="556"/>
      <c r="G719" s="556"/>
      <c r="H719" s="556"/>
      <c r="I719" s="556"/>
      <c r="J719" s="556"/>
      <c r="K719" s="556"/>
      <c r="L719" s="556"/>
      <c r="M719" s="556"/>
      <c r="N719" s="556"/>
      <c r="O719" s="556"/>
      <c r="P719" s="556"/>
      <c r="Q719" s="556"/>
      <c r="R719" s="596"/>
      <c r="S719" s="596"/>
      <c r="T719" s="556"/>
      <c r="U719" s="556"/>
      <c r="V719" s="807"/>
      <c r="W719" s="556"/>
      <c r="X719" s="556"/>
      <c r="Y719" s="556"/>
      <c r="Z719" s="579"/>
      <c r="AA719" s="556"/>
      <c r="AB719" s="556"/>
      <c r="AC719" s="556"/>
      <c r="AD719" s="556"/>
    </row>
    <row r="720" ht="15.75" customHeight="1">
      <c r="A720" s="556"/>
      <c r="B720" s="556"/>
      <c r="C720" s="596"/>
      <c r="D720" s="556"/>
      <c r="E720" s="596"/>
      <c r="F720" s="556"/>
      <c r="G720" s="556"/>
      <c r="H720" s="556"/>
      <c r="I720" s="556"/>
      <c r="J720" s="556"/>
      <c r="K720" s="556"/>
      <c r="L720" s="556"/>
      <c r="M720" s="556"/>
      <c r="N720" s="556"/>
      <c r="O720" s="556"/>
      <c r="P720" s="556"/>
      <c r="Q720" s="556"/>
      <c r="R720" s="596"/>
      <c r="S720" s="596"/>
      <c r="T720" s="556"/>
      <c r="U720" s="556"/>
      <c r="V720" s="807"/>
      <c r="W720" s="556"/>
      <c r="X720" s="556"/>
      <c r="Y720" s="556"/>
      <c r="Z720" s="579"/>
      <c r="AA720" s="556"/>
      <c r="AB720" s="556"/>
      <c r="AC720" s="556"/>
      <c r="AD720" s="556"/>
    </row>
    <row r="721" ht="15.75" customHeight="1">
      <c r="A721" s="556"/>
      <c r="B721" s="556"/>
      <c r="C721" s="596"/>
      <c r="D721" s="556"/>
      <c r="E721" s="596"/>
      <c r="F721" s="556"/>
      <c r="G721" s="556"/>
      <c r="H721" s="556"/>
      <c r="I721" s="556"/>
      <c r="J721" s="556"/>
      <c r="K721" s="556"/>
      <c r="L721" s="556"/>
      <c r="M721" s="556"/>
      <c r="N721" s="556"/>
      <c r="O721" s="556"/>
      <c r="P721" s="556"/>
      <c r="Q721" s="556"/>
      <c r="R721" s="596"/>
      <c r="S721" s="596"/>
      <c r="T721" s="556"/>
      <c r="U721" s="556"/>
      <c r="V721" s="807"/>
      <c r="W721" s="556"/>
      <c r="X721" s="556"/>
      <c r="Y721" s="556"/>
      <c r="Z721" s="579"/>
      <c r="AA721" s="556"/>
      <c r="AB721" s="556"/>
      <c r="AC721" s="556"/>
      <c r="AD721" s="556"/>
    </row>
    <row r="722" ht="15.75" customHeight="1">
      <c r="A722" s="556"/>
      <c r="B722" s="556"/>
      <c r="C722" s="596"/>
      <c r="D722" s="556"/>
      <c r="E722" s="596"/>
      <c r="F722" s="556"/>
      <c r="G722" s="556"/>
      <c r="H722" s="556"/>
      <c r="I722" s="556"/>
      <c r="J722" s="556"/>
      <c r="K722" s="556"/>
      <c r="L722" s="556"/>
      <c r="M722" s="556"/>
      <c r="N722" s="556"/>
      <c r="O722" s="556"/>
      <c r="P722" s="556"/>
      <c r="Q722" s="556"/>
      <c r="R722" s="596"/>
      <c r="S722" s="596"/>
      <c r="T722" s="556"/>
      <c r="U722" s="556"/>
      <c r="V722" s="807"/>
      <c r="W722" s="556"/>
      <c r="X722" s="556"/>
      <c r="Y722" s="556"/>
      <c r="Z722" s="579"/>
      <c r="AA722" s="556"/>
      <c r="AB722" s="556"/>
      <c r="AC722" s="556"/>
      <c r="AD722" s="556"/>
    </row>
    <row r="723" ht="15.75" customHeight="1">
      <c r="A723" s="556"/>
      <c r="B723" s="556"/>
      <c r="C723" s="596"/>
      <c r="D723" s="556"/>
      <c r="E723" s="596"/>
      <c r="F723" s="556"/>
      <c r="G723" s="556"/>
      <c r="H723" s="556"/>
      <c r="I723" s="556"/>
      <c r="J723" s="556"/>
      <c r="K723" s="556"/>
      <c r="L723" s="556"/>
      <c r="M723" s="556"/>
      <c r="N723" s="556"/>
      <c r="O723" s="556"/>
      <c r="P723" s="556"/>
      <c r="Q723" s="556"/>
      <c r="R723" s="596"/>
      <c r="S723" s="596"/>
      <c r="T723" s="556"/>
      <c r="U723" s="556"/>
      <c r="V723" s="807"/>
      <c r="W723" s="556"/>
      <c r="X723" s="556"/>
      <c r="Y723" s="556"/>
      <c r="Z723" s="579"/>
      <c r="AA723" s="556"/>
      <c r="AB723" s="556"/>
      <c r="AC723" s="556"/>
      <c r="AD723" s="556"/>
    </row>
    <row r="724" ht="15.75" customHeight="1">
      <c r="A724" s="556"/>
      <c r="B724" s="556"/>
      <c r="C724" s="596"/>
      <c r="D724" s="556"/>
      <c r="E724" s="596"/>
      <c r="F724" s="556"/>
      <c r="G724" s="556"/>
      <c r="H724" s="556"/>
      <c r="I724" s="556"/>
      <c r="J724" s="556"/>
      <c r="K724" s="556"/>
      <c r="L724" s="556"/>
      <c r="M724" s="556"/>
      <c r="N724" s="556"/>
      <c r="O724" s="556"/>
      <c r="P724" s="556"/>
      <c r="Q724" s="556"/>
      <c r="R724" s="596"/>
      <c r="S724" s="596"/>
      <c r="T724" s="556"/>
      <c r="U724" s="556"/>
      <c r="V724" s="807"/>
      <c r="W724" s="556"/>
      <c r="X724" s="556"/>
      <c r="Y724" s="556"/>
      <c r="Z724" s="579"/>
      <c r="AA724" s="556"/>
      <c r="AB724" s="556"/>
      <c r="AC724" s="556"/>
      <c r="AD724" s="556"/>
    </row>
    <row r="725" ht="15.75" customHeight="1">
      <c r="A725" s="556"/>
      <c r="B725" s="556"/>
      <c r="C725" s="596"/>
      <c r="D725" s="556"/>
      <c r="E725" s="596"/>
      <c r="F725" s="556"/>
      <c r="G725" s="556"/>
      <c r="H725" s="556"/>
      <c r="I725" s="556"/>
      <c r="J725" s="556"/>
      <c r="K725" s="556"/>
      <c r="L725" s="556"/>
      <c r="M725" s="556"/>
      <c r="N725" s="556"/>
      <c r="O725" s="556"/>
      <c r="P725" s="556"/>
      <c r="Q725" s="556"/>
      <c r="R725" s="596"/>
      <c r="S725" s="596"/>
      <c r="T725" s="556"/>
      <c r="U725" s="556"/>
      <c r="V725" s="807"/>
      <c r="W725" s="556"/>
      <c r="X725" s="556"/>
      <c r="Y725" s="556"/>
      <c r="Z725" s="579"/>
      <c r="AA725" s="556"/>
      <c r="AB725" s="556"/>
      <c r="AC725" s="556"/>
      <c r="AD725" s="556"/>
    </row>
    <row r="726" ht="15.75" customHeight="1">
      <c r="A726" s="556"/>
      <c r="B726" s="556"/>
      <c r="C726" s="596"/>
      <c r="D726" s="556"/>
      <c r="E726" s="596"/>
      <c r="F726" s="556"/>
      <c r="G726" s="556"/>
      <c r="H726" s="556"/>
      <c r="I726" s="556"/>
      <c r="J726" s="556"/>
      <c r="K726" s="556"/>
      <c r="L726" s="556"/>
      <c r="M726" s="556"/>
      <c r="N726" s="556"/>
      <c r="O726" s="556"/>
      <c r="P726" s="556"/>
      <c r="Q726" s="556"/>
      <c r="R726" s="596"/>
      <c r="S726" s="596"/>
      <c r="T726" s="556"/>
      <c r="U726" s="556"/>
      <c r="V726" s="807"/>
      <c r="W726" s="556"/>
      <c r="X726" s="556"/>
      <c r="Y726" s="556"/>
      <c r="Z726" s="579"/>
      <c r="AA726" s="556"/>
      <c r="AB726" s="556"/>
      <c r="AC726" s="556"/>
      <c r="AD726" s="556"/>
    </row>
    <row r="727" ht="15.75" customHeight="1">
      <c r="A727" s="556"/>
      <c r="B727" s="556"/>
      <c r="C727" s="596"/>
      <c r="D727" s="556"/>
      <c r="E727" s="596"/>
      <c r="F727" s="556"/>
      <c r="G727" s="556"/>
      <c r="H727" s="556"/>
      <c r="I727" s="556"/>
      <c r="J727" s="556"/>
      <c r="K727" s="556"/>
      <c r="L727" s="556"/>
      <c r="M727" s="556"/>
      <c r="N727" s="556"/>
      <c r="O727" s="556"/>
      <c r="P727" s="556"/>
      <c r="Q727" s="556"/>
      <c r="R727" s="596"/>
      <c r="S727" s="596"/>
      <c r="T727" s="556"/>
      <c r="U727" s="556"/>
      <c r="V727" s="807"/>
      <c r="W727" s="556"/>
      <c r="X727" s="556"/>
      <c r="Y727" s="556"/>
      <c r="Z727" s="579"/>
      <c r="AA727" s="556"/>
      <c r="AB727" s="556"/>
      <c r="AC727" s="556"/>
      <c r="AD727" s="556"/>
    </row>
    <row r="728" ht="15.75" customHeight="1">
      <c r="A728" s="556"/>
      <c r="B728" s="556"/>
      <c r="C728" s="596"/>
      <c r="D728" s="556"/>
      <c r="E728" s="596"/>
      <c r="F728" s="556"/>
      <c r="G728" s="556"/>
      <c r="H728" s="556"/>
      <c r="I728" s="556"/>
      <c r="J728" s="556"/>
      <c r="K728" s="556"/>
      <c r="L728" s="556"/>
      <c r="M728" s="556"/>
      <c r="N728" s="556"/>
      <c r="O728" s="556"/>
      <c r="P728" s="556"/>
      <c r="Q728" s="556"/>
      <c r="R728" s="596"/>
      <c r="S728" s="596"/>
      <c r="T728" s="556"/>
      <c r="U728" s="556"/>
      <c r="V728" s="807"/>
      <c r="W728" s="556"/>
      <c r="X728" s="556"/>
      <c r="Y728" s="556"/>
      <c r="Z728" s="579"/>
      <c r="AA728" s="556"/>
      <c r="AB728" s="556"/>
      <c r="AC728" s="556"/>
      <c r="AD728" s="556"/>
    </row>
    <row r="729" ht="15.75" customHeight="1">
      <c r="A729" s="556"/>
      <c r="B729" s="556"/>
      <c r="C729" s="596"/>
      <c r="D729" s="556"/>
      <c r="E729" s="596"/>
      <c r="F729" s="556"/>
      <c r="G729" s="556"/>
      <c r="H729" s="556"/>
      <c r="I729" s="556"/>
      <c r="J729" s="556"/>
      <c r="K729" s="556"/>
      <c r="L729" s="556"/>
      <c r="M729" s="556"/>
      <c r="N729" s="556"/>
      <c r="O729" s="556"/>
      <c r="P729" s="556"/>
      <c r="Q729" s="556"/>
      <c r="R729" s="596"/>
      <c r="S729" s="596"/>
      <c r="T729" s="556"/>
      <c r="U729" s="556"/>
      <c r="V729" s="807"/>
      <c r="W729" s="556"/>
      <c r="X729" s="556"/>
      <c r="Y729" s="556"/>
      <c r="Z729" s="579"/>
      <c r="AA729" s="556"/>
      <c r="AB729" s="556"/>
      <c r="AC729" s="556"/>
      <c r="AD729" s="556"/>
    </row>
    <row r="730" ht="15.75" customHeight="1">
      <c r="A730" s="556"/>
      <c r="B730" s="556"/>
      <c r="C730" s="596"/>
      <c r="D730" s="556"/>
      <c r="E730" s="596"/>
      <c r="F730" s="556"/>
      <c r="G730" s="556"/>
      <c r="H730" s="556"/>
      <c r="I730" s="556"/>
      <c r="J730" s="556"/>
      <c r="K730" s="556"/>
      <c r="L730" s="556"/>
      <c r="M730" s="556"/>
      <c r="N730" s="556"/>
      <c r="O730" s="556"/>
      <c r="P730" s="556"/>
      <c r="Q730" s="556"/>
      <c r="R730" s="596"/>
      <c r="S730" s="596"/>
      <c r="T730" s="556"/>
      <c r="U730" s="556"/>
      <c r="V730" s="807"/>
      <c r="W730" s="556"/>
      <c r="X730" s="556"/>
      <c r="Y730" s="556"/>
      <c r="Z730" s="579"/>
      <c r="AA730" s="556"/>
      <c r="AB730" s="556"/>
      <c r="AC730" s="556"/>
      <c r="AD730" s="556"/>
    </row>
    <row r="731" ht="15.75" customHeight="1">
      <c r="A731" s="556"/>
      <c r="B731" s="556"/>
      <c r="C731" s="596"/>
      <c r="D731" s="556"/>
      <c r="E731" s="596"/>
      <c r="F731" s="556"/>
      <c r="G731" s="556"/>
      <c r="H731" s="556"/>
      <c r="I731" s="556"/>
      <c r="J731" s="556"/>
      <c r="K731" s="556"/>
      <c r="L731" s="556"/>
      <c r="M731" s="556"/>
      <c r="N731" s="556"/>
      <c r="O731" s="556"/>
      <c r="P731" s="556"/>
      <c r="Q731" s="556"/>
      <c r="R731" s="596"/>
      <c r="S731" s="596"/>
      <c r="T731" s="556"/>
      <c r="U731" s="556"/>
      <c r="V731" s="807"/>
      <c r="W731" s="556"/>
      <c r="X731" s="556"/>
      <c r="Y731" s="556"/>
      <c r="Z731" s="579"/>
      <c r="AA731" s="556"/>
      <c r="AB731" s="556"/>
      <c r="AC731" s="556"/>
      <c r="AD731" s="556"/>
    </row>
    <row r="732" ht="15.75" customHeight="1">
      <c r="A732" s="556"/>
      <c r="B732" s="556"/>
      <c r="C732" s="596"/>
      <c r="D732" s="556"/>
      <c r="E732" s="596"/>
      <c r="F732" s="556"/>
      <c r="G732" s="556"/>
      <c r="H732" s="556"/>
      <c r="I732" s="556"/>
      <c r="J732" s="556"/>
      <c r="K732" s="556"/>
      <c r="L732" s="556"/>
      <c r="M732" s="556"/>
      <c r="N732" s="556"/>
      <c r="O732" s="556"/>
      <c r="P732" s="556"/>
      <c r="Q732" s="556"/>
      <c r="R732" s="596"/>
      <c r="S732" s="596"/>
      <c r="T732" s="556"/>
      <c r="U732" s="556"/>
      <c r="V732" s="807"/>
      <c r="W732" s="556"/>
      <c r="X732" s="556"/>
      <c r="Y732" s="556"/>
      <c r="Z732" s="579"/>
      <c r="AA732" s="556"/>
      <c r="AB732" s="556"/>
      <c r="AC732" s="556"/>
      <c r="AD732" s="556"/>
    </row>
    <row r="733" ht="15.75" customHeight="1">
      <c r="A733" s="556"/>
      <c r="B733" s="556"/>
      <c r="C733" s="596"/>
      <c r="D733" s="556"/>
      <c r="E733" s="596"/>
      <c r="F733" s="556"/>
      <c r="G733" s="556"/>
      <c r="H733" s="556"/>
      <c r="I733" s="556"/>
      <c r="J733" s="556"/>
      <c r="K733" s="556"/>
      <c r="L733" s="556"/>
      <c r="M733" s="556"/>
      <c r="N733" s="556"/>
      <c r="O733" s="556"/>
      <c r="P733" s="556"/>
      <c r="Q733" s="556"/>
      <c r="R733" s="596"/>
      <c r="S733" s="596"/>
      <c r="T733" s="556"/>
      <c r="U733" s="556"/>
      <c r="V733" s="807"/>
      <c r="W733" s="556"/>
      <c r="X733" s="556"/>
      <c r="Y733" s="556"/>
      <c r="Z733" s="579"/>
      <c r="AA733" s="556"/>
      <c r="AB733" s="556"/>
      <c r="AC733" s="556"/>
      <c r="AD733" s="556"/>
    </row>
    <row r="734" ht="15.75" customHeight="1">
      <c r="A734" s="556"/>
      <c r="B734" s="556"/>
      <c r="C734" s="596"/>
      <c r="D734" s="556"/>
      <c r="E734" s="596"/>
      <c r="F734" s="556"/>
      <c r="G734" s="556"/>
      <c r="H734" s="556"/>
      <c r="I734" s="556"/>
      <c r="J734" s="556"/>
      <c r="K734" s="556"/>
      <c r="L734" s="556"/>
      <c r="M734" s="556"/>
      <c r="N734" s="556"/>
      <c r="O734" s="556"/>
      <c r="P734" s="556"/>
      <c r="Q734" s="556"/>
      <c r="R734" s="596"/>
      <c r="S734" s="596"/>
      <c r="T734" s="556"/>
      <c r="U734" s="556"/>
      <c r="V734" s="807"/>
      <c r="W734" s="556"/>
      <c r="X734" s="556"/>
      <c r="Y734" s="556"/>
      <c r="Z734" s="579"/>
      <c r="AA734" s="556"/>
      <c r="AB734" s="556"/>
      <c r="AC734" s="556"/>
      <c r="AD734" s="556"/>
    </row>
    <row r="735" ht="15.75" customHeight="1">
      <c r="A735" s="556"/>
      <c r="B735" s="556"/>
      <c r="C735" s="596"/>
      <c r="D735" s="556"/>
      <c r="E735" s="596"/>
      <c r="F735" s="556"/>
      <c r="G735" s="556"/>
      <c r="H735" s="556"/>
      <c r="I735" s="556"/>
      <c r="J735" s="556"/>
      <c r="K735" s="556"/>
      <c r="L735" s="556"/>
      <c r="M735" s="556"/>
      <c r="N735" s="556"/>
      <c r="O735" s="556"/>
      <c r="P735" s="556"/>
      <c r="Q735" s="556"/>
      <c r="R735" s="596"/>
      <c r="S735" s="596"/>
      <c r="T735" s="556"/>
      <c r="U735" s="556"/>
      <c r="V735" s="807"/>
      <c r="W735" s="556"/>
      <c r="X735" s="556"/>
      <c r="Y735" s="556"/>
      <c r="Z735" s="579"/>
      <c r="AA735" s="556"/>
      <c r="AB735" s="556"/>
      <c r="AC735" s="556"/>
      <c r="AD735" s="556"/>
    </row>
    <row r="736" ht="15.75" customHeight="1">
      <c r="A736" s="556"/>
      <c r="B736" s="556"/>
      <c r="C736" s="596"/>
      <c r="D736" s="556"/>
      <c r="E736" s="596"/>
      <c r="F736" s="556"/>
      <c r="G736" s="556"/>
      <c r="H736" s="556"/>
      <c r="I736" s="556"/>
      <c r="J736" s="556"/>
      <c r="K736" s="556"/>
      <c r="L736" s="556"/>
      <c r="M736" s="556"/>
      <c r="N736" s="556"/>
      <c r="O736" s="556"/>
      <c r="P736" s="556"/>
      <c r="Q736" s="556"/>
      <c r="R736" s="596"/>
      <c r="S736" s="596"/>
      <c r="T736" s="556"/>
      <c r="U736" s="556"/>
      <c r="V736" s="807"/>
      <c r="W736" s="556"/>
      <c r="X736" s="556"/>
      <c r="Y736" s="556"/>
      <c r="Z736" s="579"/>
      <c r="AA736" s="556"/>
      <c r="AB736" s="556"/>
      <c r="AC736" s="556"/>
      <c r="AD736" s="556"/>
    </row>
    <row r="737" ht="15.75" customHeight="1">
      <c r="A737" s="556"/>
      <c r="B737" s="556"/>
      <c r="C737" s="596"/>
      <c r="D737" s="556"/>
      <c r="E737" s="596"/>
      <c r="F737" s="556"/>
      <c r="G737" s="556"/>
      <c r="H737" s="556"/>
      <c r="I737" s="556"/>
      <c r="J737" s="556"/>
      <c r="K737" s="556"/>
      <c r="L737" s="556"/>
      <c r="M737" s="556"/>
      <c r="N737" s="556"/>
      <c r="O737" s="556"/>
      <c r="P737" s="556"/>
      <c r="Q737" s="556"/>
      <c r="R737" s="596"/>
      <c r="S737" s="596"/>
      <c r="T737" s="556"/>
      <c r="U737" s="556"/>
      <c r="V737" s="807"/>
      <c r="W737" s="556"/>
      <c r="X737" s="556"/>
      <c r="Y737" s="556"/>
      <c r="Z737" s="579"/>
      <c r="AA737" s="556"/>
      <c r="AB737" s="556"/>
      <c r="AC737" s="556"/>
      <c r="AD737" s="556"/>
    </row>
    <row r="738" ht="15.75" customHeight="1">
      <c r="A738" s="556"/>
      <c r="B738" s="556"/>
      <c r="C738" s="596"/>
      <c r="D738" s="556"/>
      <c r="E738" s="596"/>
      <c r="F738" s="556"/>
      <c r="G738" s="556"/>
      <c r="H738" s="556"/>
      <c r="I738" s="556"/>
      <c r="J738" s="556"/>
      <c r="K738" s="556"/>
      <c r="L738" s="556"/>
      <c r="M738" s="556"/>
      <c r="N738" s="556"/>
      <c r="O738" s="556"/>
      <c r="P738" s="556"/>
      <c r="Q738" s="556"/>
      <c r="R738" s="596"/>
      <c r="S738" s="596"/>
      <c r="T738" s="556"/>
      <c r="U738" s="556"/>
      <c r="V738" s="807"/>
      <c r="W738" s="556"/>
      <c r="X738" s="556"/>
      <c r="Y738" s="556"/>
      <c r="Z738" s="579"/>
      <c r="AA738" s="556"/>
      <c r="AB738" s="556"/>
      <c r="AC738" s="556"/>
      <c r="AD738" s="556"/>
    </row>
    <row r="739" ht="15.75" customHeight="1">
      <c r="A739" s="556"/>
      <c r="B739" s="556"/>
      <c r="C739" s="596"/>
      <c r="D739" s="556"/>
      <c r="E739" s="596"/>
      <c r="F739" s="556"/>
      <c r="G739" s="556"/>
      <c r="H739" s="556"/>
      <c r="I739" s="556"/>
      <c r="J739" s="556"/>
      <c r="K739" s="556"/>
      <c r="L739" s="556"/>
      <c r="M739" s="556"/>
      <c r="N739" s="556"/>
      <c r="O739" s="556"/>
      <c r="P739" s="556"/>
      <c r="Q739" s="556"/>
      <c r="R739" s="596"/>
      <c r="S739" s="596"/>
      <c r="T739" s="556"/>
      <c r="U739" s="556"/>
      <c r="V739" s="807"/>
      <c r="W739" s="556"/>
      <c r="X739" s="556"/>
      <c r="Y739" s="556"/>
      <c r="Z739" s="579"/>
      <c r="AA739" s="556"/>
      <c r="AB739" s="556"/>
      <c r="AC739" s="556"/>
      <c r="AD739" s="556"/>
    </row>
    <row r="740" ht="15.75" customHeight="1">
      <c r="A740" s="556"/>
      <c r="B740" s="556"/>
      <c r="C740" s="596"/>
      <c r="D740" s="556"/>
      <c r="E740" s="596"/>
      <c r="F740" s="556"/>
      <c r="G740" s="556"/>
      <c r="H740" s="556"/>
      <c r="I740" s="556"/>
      <c r="J740" s="556"/>
      <c r="K740" s="556"/>
      <c r="L740" s="556"/>
      <c r="M740" s="556"/>
      <c r="N740" s="556"/>
      <c r="O740" s="556"/>
      <c r="P740" s="556"/>
      <c r="Q740" s="556"/>
      <c r="R740" s="596"/>
      <c r="S740" s="596"/>
      <c r="T740" s="556"/>
      <c r="U740" s="556"/>
      <c r="V740" s="807"/>
      <c r="W740" s="556"/>
      <c r="X740" s="556"/>
      <c r="Y740" s="556"/>
      <c r="Z740" s="579"/>
      <c r="AA740" s="556"/>
      <c r="AB740" s="556"/>
      <c r="AC740" s="556"/>
      <c r="AD740" s="556"/>
    </row>
    <row r="741" ht="15.75" customHeight="1">
      <c r="A741" s="556"/>
      <c r="B741" s="556"/>
      <c r="C741" s="596"/>
      <c r="D741" s="556"/>
      <c r="E741" s="596"/>
      <c r="F741" s="556"/>
      <c r="G741" s="556"/>
      <c r="H741" s="556"/>
      <c r="I741" s="556"/>
      <c r="J741" s="556"/>
      <c r="K741" s="556"/>
      <c r="L741" s="556"/>
      <c r="M741" s="556"/>
      <c r="N741" s="556"/>
      <c r="O741" s="556"/>
      <c r="P741" s="556"/>
      <c r="Q741" s="556"/>
      <c r="R741" s="596"/>
      <c r="S741" s="596"/>
      <c r="T741" s="556"/>
      <c r="U741" s="556"/>
      <c r="V741" s="807"/>
      <c r="W741" s="556"/>
      <c r="X741" s="556"/>
      <c r="Y741" s="556"/>
      <c r="Z741" s="579"/>
      <c r="AA741" s="556"/>
      <c r="AB741" s="556"/>
      <c r="AC741" s="556"/>
      <c r="AD741" s="556"/>
    </row>
    <row r="742" ht="15.75" customHeight="1">
      <c r="A742" s="556"/>
      <c r="B742" s="556"/>
      <c r="C742" s="596"/>
      <c r="D742" s="556"/>
      <c r="E742" s="596"/>
      <c r="F742" s="556"/>
      <c r="G742" s="556"/>
      <c r="H742" s="556"/>
      <c r="I742" s="556"/>
      <c r="J742" s="556"/>
      <c r="K742" s="556"/>
      <c r="L742" s="556"/>
      <c r="M742" s="556"/>
      <c r="N742" s="556"/>
      <c r="O742" s="556"/>
      <c r="P742" s="556"/>
      <c r="Q742" s="556"/>
      <c r="R742" s="596"/>
      <c r="S742" s="596"/>
      <c r="T742" s="556"/>
      <c r="U742" s="556"/>
      <c r="V742" s="807"/>
      <c r="W742" s="556"/>
      <c r="X742" s="556"/>
      <c r="Y742" s="556"/>
      <c r="Z742" s="579"/>
      <c r="AA742" s="556"/>
      <c r="AB742" s="556"/>
      <c r="AC742" s="556"/>
      <c r="AD742" s="556"/>
    </row>
    <row r="743" ht="15.75" customHeight="1">
      <c r="A743" s="556"/>
      <c r="B743" s="556"/>
      <c r="C743" s="596"/>
      <c r="D743" s="556"/>
      <c r="E743" s="596"/>
      <c r="F743" s="556"/>
      <c r="G743" s="556"/>
      <c r="H743" s="556"/>
      <c r="I743" s="556"/>
      <c r="J743" s="556"/>
      <c r="K743" s="556"/>
      <c r="L743" s="556"/>
      <c r="M743" s="556"/>
      <c r="N743" s="556"/>
      <c r="O743" s="556"/>
      <c r="P743" s="556"/>
      <c r="Q743" s="556"/>
      <c r="R743" s="596"/>
      <c r="S743" s="596"/>
      <c r="T743" s="556"/>
      <c r="U743" s="556"/>
      <c r="V743" s="807"/>
      <c r="W743" s="556"/>
      <c r="X743" s="556"/>
      <c r="Y743" s="556"/>
      <c r="Z743" s="579"/>
      <c r="AA743" s="556"/>
      <c r="AB743" s="556"/>
      <c r="AC743" s="556"/>
      <c r="AD743" s="556"/>
    </row>
    <row r="744" ht="15.75" customHeight="1">
      <c r="A744" s="556"/>
      <c r="B744" s="556"/>
      <c r="C744" s="596"/>
      <c r="D744" s="556"/>
      <c r="E744" s="596"/>
      <c r="F744" s="556"/>
      <c r="G744" s="556"/>
      <c r="H744" s="556"/>
      <c r="I744" s="556"/>
      <c r="J744" s="556"/>
      <c r="K744" s="556"/>
      <c r="L744" s="556"/>
      <c r="M744" s="556"/>
      <c r="N744" s="556"/>
      <c r="O744" s="556"/>
      <c r="P744" s="556"/>
      <c r="Q744" s="556"/>
      <c r="R744" s="596"/>
      <c r="S744" s="596"/>
      <c r="T744" s="556"/>
      <c r="U744" s="556"/>
      <c r="V744" s="807"/>
      <c r="W744" s="556"/>
      <c r="X744" s="556"/>
      <c r="Y744" s="556"/>
      <c r="Z744" s="579"/>
      <c r="AA744" s="556"/>
      <c r="AB744" s="556"/>
      <c r="AC744" s="556"/>
      <c r="AD744" s="556"/>
    </row>
    <row r="745" ht="15.75" customHeight="1">
      <c r="A745" s="556"/>
      <c r="B745" s="556"/>
      <c r="C745" s="596"/>
      <c r="D745" s="556"/>
      <c r="E745" s="596"/>
      <c r="F745" s="556"/>
      <c r="G745" s="556"/>
      <c r="H745" s="556"/>
      <c r="I745" s="556"/>
      <c r="J745" s="556"/>
      <c r="K745" s="556"/>
      <c r="L745" s="556"/>
      <c r="M745" s="556"/>
      <c r="N745" s="556"/>
      <c r="O745" s="556"/>
      <c r="P745" s="556"/>
      <c r="Q745" s="556"/>
      <c r="R745" s="596"/>
      <c r="S745" s="596"/>
      <c r="T745" s="556"/>
      <c r="U745" s="556"/>
      <c r="V745" s="807"/>
      <c r="W745" s="556"/>
      <c r="X745" s="556"/>
      <c r="Y745" s="556"/>
      <c r="Z745" s="579"/>
      <c r="AA745" s="556"/>
      <c r="AB745" s="556"/>
      <c r="AC745" s="556"/>
      <c r="AD745" s="556"/>
    </row>
    <row r="746" ht="15.75" customHeight="1">
      <c r="A746" s="556"/>
      <c r="B746" s="556"/>
      <c r="C746" s="596"/>
      <c r="D746" s="556"/>
      <c r="E746" s="596"/>
      <c r="F746" s="556"/>
      <c r="G746" s="556"/>
      <c r="H746" s="556"/>
      <c r="I746" s="556"/>
      <c r="J746" s="556"/>
      <c r="K746" s="556"/>
      <c r="L746" s="556"/>
      <c r="M746" s="556"/>
      <c r="N746" s="556"/>
      <c r="O746" s="556"/>
      <c r="P746" s="556"/>
      <c r="Q746" s="556"/>
      <c r="R746" s="596"/>
      <c r="S746" s="596"/>
      <c r="T746" s="556"/>
      <c r="U746" s="556"/>
      <c r="V746" s="807"/>
      <c r="W746" s="556"/>
      <c r="X746" s="556"/>
      <c r="Y746" s="556"/>
      <c r="Z746" s="579"/>
      <c r="AA746" s="556"/>
      <c r="AB746" s="556"/>
      <c r="AC746" s="556"/>
      <c r="AD746" s="556"/>
    </row>
    <row r="747" ht="15.75" customHeight="1">
      <c r="A747" s="556"/>
      <c r="B747" s="556"/>
      <c r="C747" s="596"/>
      <c r="D747" s="556"/>
      <c r="E747" s="596"/>
      <c r="F747" s="556"/>
      <c r="G747" s="556"/>
      <c r="H747" s="556"/>
      <c r="I747" s="556"/>
      <c r="J747" s="556"/>
      <c r="K747" s="556"/>
      <c r="L747" s="556"/>
      <c r="M747" s="556"/>
      <c r="N747" s="556"/>
      <c r="O747" s="556"/>
      <c r="P747" s="556"/>
      <c r="Q747" s="556"/>
      <c r="R747" s="596"/>
      <c r="S747" s="596"/>
      <c r="T747" s="556"/>
      <c r="U747" s="556"/>
      <c r="V747" s="807"/>
      <c r="W747" s="556"/>
      <c r="X747" s="556"/>
      <c r="Y747" s="556"/>
      <c r="Z747" s="579"/>
      <c r="AA747" s="556"/>
      <c r="AB747" s="556"/>
      <c r="AC747" s="556"/>
      <c r="AD747" s="556"/>
    </row>
    <row r="748" ht="15.75" customHeight="1">
      <c r="A748" s="556"/>
      <c r="B748" s="556"/>
      <c r="C748" s="596"/>
      <c r="D748" s="556"/>
      <c r="E748" s="596"/>
      <c r="F748" s="556"/>
      <c r="G748" s="556"/>
      <c r="H748" s="556"/>
      <c r="I748" s="556"/>
      <c r="J748" s="556"/>
      <c r="K748" s="556"/>
      <c r="L748" s="556"/>
      <c r="M748" s="556"/>
      <c r="N748" s="556"/>
      <c r="O748" s="556"/>
      <c r="P748" s="556"/>
      <c r="Q748" s="556"/>
      <c r="R748" s="596"/>
      <c r="S748" s="596"/>
      <c r="T748" s="556"/>
      <c r="U748" s="556"/>
      <c r="V748" s="807"/>
      <c r="W748" s="556"/>
      <c r="X748" s="556"/>
      <c r="Y748" s="556"/>
      <c r="Z748" s="579"/>
      <c r="AA748" s="556"/>
      <c r="AB748" s="556"/>
      <c r="AC748" s="556"/>
      <c r="AD748" s="556"/>
    </row>
    <row r="749" ht="15.75" customHeight="1">
      <c r="A749" s="556"/>
      <c r="B749" s="556"/>
      <c r="C749" s="596"/>
      <c r="D749" s="556"/>
      <c r="E749" s="596"/>
      <c r="F749" s="556"/>
      <c r="G749" s="556"/>
      <c r="H749" s="556"/>
      <c r="I749" s="556"/>
      <c r="J749" s="556"/>
      <c r="K749" s="556"/>
      <c r="L749" s="556"/>
      <c r="M749" s="556"/>
      <c r="N749" s="556"/>
      <c r="O749" s="556"/>
      <c r="P749" s="556"/>
      <c r="Q749" s="556"/>
      <c r="R749" s="596"/>
      <c r="S749" s="596"/>
      <c r="T749" s="556"/>
      <c r="U749" s="556"/>
      <c r="V749" s="807"/>
      <c r="W749" s="556"/>
      <c r="X749" s="556"/>
      <c r="Y749" s="556"/>
      <c r="Z749" s="579"/>
      <c r="AA749" s="556"/>
      <c r="AB749" s="556"/>
      <c r="AC749" s="556"/>
      <c r="AD749" s="556"/>
    </row>
    <row r="750" ht="15.75" customHeight="1">
      <c r="A750" s="556"/>
      <c r="B750" s="556"/>
      <c r="C750" s="596"/>
      <c r="D750" s="556"/>
      <c r="E750" s="596"/>
      <c r="F750" s="556"/>
      <c r="G750" s="556"/>
      <c r="H750" s="556"/>
      <c r="I750" s="556"/>
      <c r="J750" s="556"/>
      <c r="K750" s="556"/>
      <c r="L750" s="556"/>
      <c r="M750" s="556"/>
      <c r="N750" s="556"/>
      <c r="O750" s="556"/>
      <c r="P750" s="556"/>
      <c r="Q750" s="556"/>
      <c r="R750" s="596"/>
      <c r="S750" s="596"/>
      <c r="T750" s="556"/>
      <c r="U750" s="556"/>
      <c r="V750" s="807"/>
      <c r="W750" s="556"/>
      <c r="X750" s="556"/>
      <c r="Y750" s="556"/>
      <c r="Z750" s="579"/>
      <c r="AA750" s="556"/>
      <c r="AB750" s="556"/>
      <c r="AC750" s="556"/>
      <c r="AD750" s="556"/>
    </row>
    <row r="751" ht="15.75" customHeight="1">
      <c r="A751" s="556"/>
      <c r="B751" s="556"/>
      <c r="C751" s="596"/>
      <c r="D751" s="556"/>
      <c r="E751" s="596"/>
      <c r="F751" s="556"/>
      <c r="G751" s="556"/>
      <c r="H751" s="556"/>
      <c r="I751" s="556"/>
      <c r="J751" s="556"/>
      <c r="K751" s="556"/>
      <c r="L751" s="556"/>
      <c r="M751" s="556"/>
      <c r="N751" s="556"/>
      <c r="O751" s="556"/>
      <c r="P751" s="556"/>
      <c r="Q751" s="556"/>
      <c r="R751" s="596"/>
      <c r="S751" s="596"/>
      <c r="T751" s="556"/>
      <c r="U751" s="556"/>
      <c r="V751" s="807"/>
      <c r="W751" s="556"/>
      <c r="X751" s="556"/>
      <c r="Y751" s="556"/>
      <c r="Z751" s="579"/>
      <c r="AA751" s="556"/>
      <c r="AB751" s="556"/>
      <c r="AC751" s="556"/>
      <c r="AD751" s="556"/>
    </row>
    <row r="752" ht="15.75" customHeight="1">
      <c r="A752" s="556"/>
      <c r="B752" s="556"/>
      <c r="C752" s="596"/>
      <c r="D752" s="556"/>
      <c r="E752" s="596"/>
      <c r="F752" s="556"/>
      <c r="G752" s="556"/>
      <c r="H752" s="556"/>
      <c r="I752" s="556"/>
      <c r="J752" s="556"/>
      <c r="K752" s="556"/>
      <c r="L752" s="556"/>
      <c r="M752" s="556"/>
      <c r="N752" s="556"/>
      <c r="O752" s="556"/>
      <c r="P752" s="556"/>
      <c r="Q752" s="556"/>
      <c r="R752" s="596"/>
      <c r="S752" s="596"/>
      <c r="T752" s="556"/>
      <c r="U752" s="556"/>
      <c r="V752" s="807"/>
      <c r="W752" s="556"/>
      <c r="X752" s="556"/>
      <c r="Y752" s="556"/>
      <c r="Z752" s="579"/>
      <c r="AA752" s="556"/>
      <c r="AB752" s="556"/>
      <c r="AC752" s="556"/>
      <c r="AD752" s="556"/>
    </row>
    <row r="753" ht="15.75" customHeight="1">
      <c r="A753" s="556"/>
      <c r="B753" s="556"/>
      <c r="C753" s="596"/>
      <c r="D753" s="556"/>
      <c r="E753" s="596"/>
      <c r="F753" s="556"/>
      <c r="G753" s="556"/>
      <c r="H753" s="556"/>
      <c r="I753" s="556"/>
      <c r="J753" s="556"/>
      <c r="K753" s="556"/>
      <c r="L753" s="556"/>
      <c r="M753" s="556"/>
      <c r="N753" s="556"/>
      <c r="O753" s="556"/>
      <c r="P753" s="556"/>
      <c r="Q753" s="556"/>
      <c r="R753" s="596"/>
      <c r="S753" s="596"/>
      <c r="T753" s="556"/>
      <c r="U753" s="556"/>
      <c r="V753" s="807"/>
      <c r="W753" s="556"/>
      <c r="X753" s="556"/>
      <c r="Y753" s="556"/>
      <c r="Z753" s="579"/>
      <c r="AA753" s="556"/>
      <c r="AB753" s="556"/>
      <c r="AC753" s="556"/>
      <c r="AD753" s="556"/>
    </row>
    <row r="754" ht="15.75" customHeight="1">
      <c r="A754" s="556"/>
      <c r="B754" s="556"/>
      <c r="C754" s="596"/>
      <c r="D754" s="556"/>
      <c r="E754" s="596"/>
      <c r="F754" s="556"/>
      <c r="G754" s="556"/>
      <c r="H754" s="556"/>
      <c r="I754" s="556"/>
      <c r="J754" s="556"/>
      <c r="K754" s="556"/>
      <c r="L754" s="556"/>
      <c r="M754" s="556"/>
      <c r="N754" s="556"/>
      <c r="O754" s="556"/>
      <c r="P754" s="556"/>
      <c r="Q754" s="556"/>
      <c r="R754" s="596"/>
      <c r="S754" s="596"/>
      <c r="T754" s="556"/>
      <c r="U754" s="556"/>
      <c r="V754" s="807"/>
      <c r="W754" s="556"/>
      <c r="X754" s="556"/>
      <c r="Y754" s="556"/>
      <c r="Z754" s="579"/>
      <c r="AA754" s="556"/>
      <c r="AB754" s="556"/>
      <c r="AC754" s="556"/>
      <c r="AD754" s="556"/>
    </row>
    <row r="755" ht="15.75" customHeight="1">
      <c r="A755" s="556"/>
      <c r="B755" s="556"/>
      <c r="C755" s="596"/>
      <c r="D755" s="556"/>
      <c r="E755" s="596"/>
      <c r="F755" s="556"/>
      <c r="G755" s="556"/>
      <c r="H755" s="556"/>
      <c r="I755" s="556"/>
      <c r="J755" s="556"/>
      <c r="K755" s="556"/>
      <c r="L755" s="556"/>
      <c r="M755" s="556"/>
      <c r="N755" s="556"/>
      <c r="O755" s="556"/>
      <c r="P755" s="556"/>
      <c r="Q755" s="556"/>
      <c r="R755" s="596"/>
      <c r="S755" s="596"/>
      <c r="T755" s="556"/>
      <c r="U755" s="556"/>
      <c r="V755" s="807"/>
      <c r="W755" s="556"/>
      <c r="X755" s="556"/>
      <c r="Y755" s="556"/>
      <c r="Z755" s="579"/>
      <c r="AA755" s="556"/>
      <c r="AB755" s="556"/>
      <c r="AC755" s="556"/>
      <c r="AD755" s="556"/>
    </row>
    <row r="756" ht="15.75" customHeight="1">
      <c r="A756" s="556"/>
      <c r="B756" s="556"/>
      <c r="C756" s="596"/>
      <c r="D756" s="556"/>
      <c r="E756" s="596"/>
      <c r="F756" s="556"/>
      <c r="G756" s="556"/>
      <c r="H756" s="556"/>
      <c r="I756" s="556"/>
      <c r="J756" s="556"/>
      <c r="K756" s="556"/>
      <c r="L756" s="556"/>
      <c r="M756" s="556"/>
      <c r="N756" s="556"/>
      <c r="O756" s="556"/>
      <c r="P756" s="556"/>
      <c r="Q756" s="556"/>
      <c r="R756" s="596"/>
      <c r="S756" s="596"/>
      <c r="T756" s="556"/>
      <c r="U756" s="556"/>
      <c r="V756" s="807"/>
      <c r="W756" s="556"/>
      <c r="X756" s="556"/>
      <c r="Y756" s="556"/>
      <c r="Z756" s="579"/>
      <c r="AA756" s="556"/>
      <c r="AB756" s="556"/>
      <c r="AC756" s="556"/>
      <c r="AD756" s="556"/>
    </row>
    <row r="757" ht="15.75" customHeight="1">
      <c r="A757" s="556"/>
      <c r="B757" s="556"/>
      <c r="C757" s="596"/>
      <c r="D757" s="556"/>
      <c r="E757" s="596"/>
      <c r="F757" s="556"/>
      <c r="G757" s="556"/>
      <c r="H757" s="556"/>
      <c r="I757" s="556"/>
      <c r="J757" s="556"/>
      <c r="K757" s="556"/>
      <c r="L757" s="556"/>
      <c r="M757" s="556"/>
      <c r="N757" s="556"/>
      <c r="O757" s="556"/>
      <c r="P757" s="556"/>
      <c r="Q757" s="556"/>
      <c r="R757" s="596"/>
      <c r="S757" s="596"/>
      <c r="T757" s="556"/>
      <c r="U757" s="556"/>
      <c r="V757" s="807"/>
      <c r="W757" s="556"/>
      <c r="X757" s="556"/>
      <c r="Y757" s="556"/>
      <c r="Z757" s="579"/>
      <c r="AA757" s="556"/>
      <c r="AB757" s="556"/>
      <c r="AC757" s="556"/>
      <c r="AD757" s="556"/>
    </row>
    <row r="758" ht="15.75" customHeight="1">
      <c r="A758" s="556"/>
      <c r="B758" s="556"/>
      <c r="C758" s="596"/>
      <c r="D758" s="556"/>
      <c r="E758" s="596"/>
      <c r="F758" s="556"/>
      <c r="G758" s="556"/>
      <c r="H758" s="556"/>
      <c r="I758" s="556"/>
      <c r="J758" s="556"/>
      <c r="K758" s="556"/>
      <c r="L758" s="556"/>
      <c r="M758" s="556"/>
      <c r="N758" s="556"/>
      <c r="O758" s="556"/>
      <c r="P758" s="556"/>
      <c r="Q758" s="556"/>
      <c r="R758" s="596"/>
      <c r="S758" s="596"/>
      <c r="T758" s="556"/>
      <c r="U758" s="556"/>
      <c r="V758" s="807"/>
      <c r="W758" s="556"/>
      <c r="X758" s="556"/>
      <c r="Y758" s="556"/>
      <c r="Z758" s="579"/>
      <c r="AA758" s="556"/>
      <c r="AB758" s="556"/>
      <c r="AC758" s="556"/>
      <c r="AD758" s="556"/>
    </row>
    <row r="759" ht="15.75" customHeight="1">
      <c r="A759" s="556"/>
      <c r="B759" s="556"/>
      <c r="C759" s="596"/>
      <c r="D759" s="556"/>
      <c r="E759" s="596"/>
      <c r="F759" s="556"/>
      <c r="G759" s="556"/>
      <c r="H759" s="556"/>
      <c r="I759" s="556"/>
      <c r="J759" s="556"/>
      <c r="K759" s="556"/>
      <c r="L759" s="556"/>
      <c r="M759" s="556"/>
      <c r="N759" s="556"/>
      <c r="O759" s="556"/>
      <c r="P759" s="556"/>
      <c r="Q759" s="556"/>
      <c r="R759" s="596"/>
      <c r="S759" s="596"/>
      <c r="T759" s="556"/>
      <c r="U759" s="556"/>
      <c r="V759" s="807"/>
      <c r="W759" s="556"/>
      <c r="X759" s="556"/>
      <c r="Y759" s="556"/>
      <c r="Z759" s="579"/>
      <c r="AA759" s="556"/>
      <c r="AB759" s="556"/>
      <c r="AC759" s="556"/>
      <c r="AD759" s="556"/>
    </row>
    <row r="760" ht="15.75" customHeight="1">
      <c r="A760" s="556"/>
      <c r="B760" s="556"/>
      <c r="C760" s="596"/>
      <c r="D760" s="556"/>
      <c r="E760" s="596"/>
      <c r="F760" s="556"/>
      <c r="G760" s="556"/>
      <c r="H760" s="556"/>
      <c r="I760" s="556"/>
      <c r="J760" s="556"/>
      <c r="K760" s="556"/>
      <c r="L760" s="556"/>
      <c r="M760" s="556"/>
      <c r="N760" s="556"/>
      <c r="O760" s="556"/>
      <c r="P760" s="556"/>
      <c r="Q760" s="556"/>
      <c r="R760" s="596"/>
      <c r="S760" s="596"/>
      <c r="T760" s="556"/>
      <c r="U760" s="556"/>
      <c r="V760" s="807"/>
      <c r="W760" s="556"/>
      <c r="X760" s="556"/>
      <c r="Y760" s="556"/>
      <c r="Z760" s="579"/>
      <c r="AA760" s="556"/>
      <c r="AB760" s="556"/>
      <c r="AC760" s="556"/>
      <c r="AD760" s="556"/>
    </row>
    <row r="761" ht="15.75" customHeight="1">
      <c r="A761" s="556"/>
      <c r="B761" s="556"/>
      <c r="C761" s="596"/>
      <c r="D761" s="556"/>
      <c r="E761" s="596"/>
      <c r="F761" s="556"/>
      <c r="G761" s="556"/>
      <c r="H761" s="556"/>
      <c r="I761" s="556"/>
      <c r="J761" s="556"/>
      <c r="K761" s="556"/>
      <c r="L761" s="556"/>
      <c r="M761" s="556"/>
      <c r="N761" s="556"/>
      <c r="O761" s="556"/>
      <c r="P761" s="556"/>
      <c r="Q761" s="556"/>
      <c r="R761" s="596"/>
      <c r="S761" s="596"/>
      <c r="T761" s="556"/>
      <c r="U761" s="556"/>
      <c r="V761" s="807"/>
      <c r="W761" s="556"/>
      <c r="X761" s="556"/>
      <c r="Y761" s="556"/>
      <c r="Z761" s="579"/>
      <c r="AA761" s="556"/>
      <c r="AB761" s="556"/>
      <c r="AC761" s="556"/>
      <c r="AD761" s="556"/>
    </row>
    <row r="762" ht="15.75" customHeight="1">
      <c r="A762" s="556"/>
      <c r="B762" s="556"/>
      <c r="C762" s="596"/>
      <c r="D762" s="556"/>
      <c r="E762" s="596"/>
      <c r="F762" s="556"/>
      <c r="G762" s="556"/>
      <c r="H762" s="556"/>
      <c r="I762" s="556"/>
      <c r="J762" s="556"/>
      <c r="K762" s="556"/>
      <c r="L762" s="556"/>
      <c r="M762" s="556"/>
      <c r="N762" s="556"/>
      <c r="O762" s="556"/>
      <c r="P762" s="556"/>
      <c r="Q762" s="556"/>
      <c r="R762" s="596"/>
      <c r="S762" s="596"/>
      <c r="T762" s="556"/>
      <c r="U762" s="556"/>
      <c r="V762" s="807"/>
      <c r="W762" s="556"/>
      <c r="X762" s="556"/>
      <c r="Y762" s="556"/>
      <c r="Z762" s="579"/>
      <c r="AA762" s="556"/>
      <c r="AB762" s="556"/>
      <c r="AC762" s="556"/>
      <c r="AD762" s="556"/>
    </row>
    <row r="763" ht="15.75" customHeight="1">
      <c r="A763" s="556"/>
      <c r="B763" s="556"/>
      <c r="C763" s="596"/>
      <c r="D763" s="556"/>
      <c r="E763" s="596"/>
      <c r="F763" s="556"/>
      <c r="G763" s="556"/>
      <c r="H763" s="556"/>
      <c r="I763" s="556"/>
      <c r="J763" s="556"/>
      <c r="K763" s="556"/>
      <c r="L763" s="556"/>
      <c r="M763" s="556"/>
      <c r="N763" s="556"/>
      <c r="O763" s="556"/>
      <c r="P763" s="556"/>
      <c r="Q763" s="556"/>
      <c r="R763" s="596"/>
      <c r="S763" s="596"/>
      <c r="T763" s="556"/>
      <c r="U763" s="556"/>
      <c r="V763" s="807"/>
      <c r="W763" s="556"/>
      <c r="X763" s="556"/>
      <c r="Y763" s="556"/>
      <c r="Z763" s="579"/>
      <c r="AA763" s="556"/>
      <c r="AB763" s="556"/>
      <c r="AC763" s="556"/>
      <c r="AD763" s="556"/>
    </row>
    <row r="764" ht="15.75" customHeight="1">
      <c r="A764" s="556"/>
      <c r="B764" s="556"/>
      <c r="C764" s="596"/>
      <c r="D764" s="556"/>
      <c r="E764" s="596"/>
      <c r="F764" s="556"/>
      <c r="G764" s="556"/>
      <c r="H764" s="556"/>
      <c r="I764" s="556"/>
      <c r="J764" s="556"/>
      <c r="K764" s="556"/>
      <c r="L764" s="556"/>
      <c r="M764" s="556"/>
      <c r="N764" s="556"/>
      <c r="O764" s="556"/>
      <c r="P764" s="556"/>
      <c r="Q764" s="556"/>
      <c r="R764" s="596"/>
      <c r="S764" s="596"/>
      <c r="T764" s="556"/>
      <c r="U764" s="556"/>
      <c r="V764" s="807"/>
      <c r="W764" s="556"/>
      <c r="X764" s="556"/>
      <c r="Y764" s="556"/>
      <c r="Z764" s="579"/>
      <c r="AA764" s="556"/>
      <c r="AB764" s="556"/>
      <c r="AC764" s="556"/>
      <c r="AD764" s="556"/>
    </row>
    <row r="765" ht="15.75" customHeight="1">
      <c r="A765" s="556"/>
      <c r="B765" s="556"/>
      <c r="C765" s="596"/>
      <c r="D765" s="556"/>
      <c r="E765" s="596"/>
      <c r="F765" s="556"/>
      <c r="G765" s="556"/>
      <c r="H765" s="556"/>
      <c r="I765" s="556"/>
      <c r="J765" s="556"/>
      <c r="K765" s="556"/>
      <c r="L765" s="556"/>
      <c r="M765" s="556"/>
      <c r="N765" s="556"/>
      <c r="O765" s="556"/>
      <c r="P765" s="556"/>
      <c r="Q765" s="556"/>
      <c r="R765" s="596"/>
      <c r="S765" s="596"/>
      <c r="T765" s="556"/>
      <c r="U765" s="556"/>
      <c r="V765" s="807"/>
      <c r="W765" s="556"/>
      <c r="X765" s="556"/>
      <c r="Y765" s="556"/>
      <c r="Z765" s="579"/>
      <c r="AA765" s="556"/>
      <c r="AB765" s="556"/>
      <c r="AC765" s="556"/>
      <c r="AD765" s="556"/>
    </row>
    <row r="766" ht="15.75" customHeight="1">
      <c r="A766" s="556"/>
      <c r="B766" s="556"/>
      <c r="C766" s="596"/>
      <c r="D766" s="556"/>
      <c r="E766" s="596"/>
      <c r="F766" s="556"/>
      <c r="G766" s="556"/>
      <c r="H766" s="556"/>
      <c r="I766" s="556"/>
      <c r="J766" s="556"/>
      <c r="K766" s="556"/>
      <c r="L766" s="556"/>
      <c r="M766" s="556"/>
      <c r="N766" s="556"/>
      <c r="O766" s="556"/>
      <c r="P766" s="556"/>
      <c r="Q766" s="556"/>
      <c r="R766" s="596"/>
      <c r="S766" s="596"/>
      <c r="T766" s="556"/>
      <c r="U766" s="556"/>
      <c r="V766" s="807"/>
      <c r="W766" s="556"/>
      <c r="X766" s="556"/>
      <c r="Y766" s="556"/>
      <c r="Z766" s="579"/>
      <c r="AA766" s="556"/>
      <c r="AB766" s="556"/>
      <c r="AC766" s="556"/>
      <c r="AD766" s="556"/>
    </row>
    <row r="767" ht="15.75" customHeight="1">
      <c r="A767" s="556"/>
      <c r="B767" s="556"/>
      <c r="C767" s="596"/>
      <c r="D767" s="556"/>
      <c r="E767" s="596"/>
      <c r="F767" s="556"/>
      <c r="G767" s="556"/>
      <c r="H767" s="556"/>
      <c r="I767" s="556"/>
      <c r="J767" s="556"/>
      <c r="K767" s="556"/>
      <c r="L767" s="556"/>
      <c r="M767" s="556"/>
      <c r="N767" s="556"/>
      <c r="O767" s="556"/>
      <c r="P767" s="556"/>
      <c r="Q767" s="556"/>
      <c r="R767" s="596"/>
      <c r="S767" s="596"/>
      <c r="T767" s="556"/>
      <c r="U767" s="556"/>
      <c r="V767" s="807"/>
      <c r="W767" s="556"/>
      <c r="X767" s="556"/>
      <c r="Y767" s="556"/>
      <c r="Z767" s="579"/>
      <c r="AA767" s="556"/>
      <c r="AB767" s="556"/>
      <c r="AC767" s="556"/>
      <c r="AD767" s="556"/>
    </row>
    <row r="768" ht="15.75" customHeight="1">
      <c r="A768" s="556"/>
      <c r="B768" s="556"/>
      <c r="C768" s="596"/>
      <c r="D768" s="556"/>
      <c r="E768" s="596"/>
      <c r="F768" s="556"/>
      <c r="G768" s="556"/>
      <c r="H768" s="556"/>
      <c r="I768" s="556"/>
      <c r="J768" s="556"/>
      <c r="K768" s="556"/>
      <c r="L768" s="556"/>
      <c r="M768" s="556"/>
      <c r="N768" s="556"/>
      <c r="O768" s="556"/>
      <c r="P768" s="556"/>
      <c r="Q768" s="556"/>
      <c r="R768" s="596"/>
      <c r="S768" s="596"/>
      <c r="T768" s="556"/>
      <c r="U768" s="556"/>
      <c r="V768" s="807"/>
      <c r="W768" s="556"/>
      <c r="X768" s="556"/>
      <c r="Y768" s="556"/>
      <c r="Z768" s="579"/>
      <c r="AA768" s="556"/>
      <c r="AB768" s="556"/>
      <c r="AC768" s="556"/>
      <c r="AD768" s="556"/>
    </row>
    <row r="769" ht="15.75" customHeight="1">
      <c r="A769" s="556"/>
      <c r="B769" s="556"/>
      <c r="C769" s="596"/>
      <c r="D769" s="556"/>
      <c r="E769" s="596"/>
      <c r="F769" s="556"/>
      <c r="G769" s="556"/>
      <c r="H769" s="556"/>
      <c r="I769" s="556"/>
      <c r="J769" s="556"/>
      <c r="K769" s="556"/>
      <c r="L769" s="556"/>
      <c r="M769" s="556"/>
      <c r="N769" s="556"/>
      <c r="O769" s="556"/>
      <c r="P769" s="556"/>
      <c r="Q769" s="556"/>
      <c r="R769" s="596"/>
      <c r="S769" s="596"/>
      <c r="T769" s="556"/>
      <c r="U769" s="556"/>
      <c r="V769" s="807"/>
      <c r="W769" s="556"/>
      <c r="X769" s="556"/>
      <c r="Y769" s="556"/>
      <c r="Z769" s="579"/>
      <c r="AA769" s="556"/>
      <c r="AB769" s="556"/>
      <c r="AC769" s="556"/>
      <c r="AD769" s="556"/>
    </row>
    <row r="770" ht="15.75" customHeight="1">
      <c r="A770" s="556"/>
      <c r="B770" s="556"/>
      <c r="C770" s="596"/>
      <c r="D770" s="556"/>
      <c r="E770" s="596"/>
      <c r="F770" s="556"/>
      <c r="G770" s="556"/>
      <c r="H770" s="556"/>
      <c r="I770" s="556"/>
      <c r="J770" s="556"/>
      <c r="K770" s="556"/>
      <c r="L770" s="556"/>
      <c r="M770" s="556"/>
      <c r="N770" s="556"/>
      <c r="O770" s="556"/>
      <c r="P770" s="556"/>
      <c r="Q770" s="556"/>
      <c r="R770" s="596"/>
      <c r="S770" s="596"/>
      <c r="T770" s="556"/>
      <c r="U770" s="556"/>
      <c r="V770" s="807"/>
      <c r="W770" s="556"/>
      <c r="X770" s="556"/>
      <c r="Y770" s="556"/>
      <c r="Z770" s="579"/>
      <c r="AA770" s="556"/>
      <c r="AB770" s="556"/>
      <c r="AC770" s="556"/>
      <c r="AD770" s="556"/>
    </row>
    <row r="771" ht="15.75" customHeight="1">
      <c r="A771" s="556"/>
      <c r="B771" s="556"/>
      <c r="C771" s="596"/>
      <c r="D771" s="556"/>
      <c r="E771" s="596"/>
      <c r="F771" s="556"/>
      <c r="G771" s="556"/>
      <c r="H771" s="556"/>
      <c r="I771" s="556"/>
      <c r="J771" s="556"/>
      <c r="K771" s="556"/>
      <c r="L771" s="556"/>
      <c r="M771" s="556"/>
      <c r="N771" s="556"/>
      <c r="O771" s="556"/>
      <c r="P771" s="556"/>
      <c r="Q771" s="556"/>
      <c r="R771" s="596"/>
      <c r="S771" s="596"/>
      <c r="T771" s="556"/>
      <c r="U771" s="556"/>
      <c r="V771" s="807"/>
      <c r="W771" s="556"/>
      <c r="X771" s="556"/>
      <c r="Y771" s="556"/>
      <c r="Z771" s="579"/>
      <c r="AA771" s="556"/>
      <c r="AB771" s="556"/>
      <c r="AC771" s="556"/>
      <c r="AD771" s="556"/>
    </row>
    <row r="772" ht="15.75" customHeight="1">
      <c r="A772" s="556"/>
      <c r="B772" s="556"/>
      <c r="C772" s="596"/>
      <c r="D772" s="556"/>
      <c r="E772" s="596"/>
      <c r="F772" s="556"/>
      <c r="G772" s="556"/>
      <c r="H772" s="556"/>
      <c r="I772" s="556"/>
      <c r="J772" s="556"/>
      <c r="K772" s="556"/>
      <c r="L772" s="556"/>
      <c r="M772" s="556"/>
      <c r="N772" s="556"/>
      <c r="O772" s="556"/>
      <c r="P772" s="556"/>
      <c r="Q772" s="556"/>
      <c r="R772" s="596"/>
      <c r="S772" s="596"/>
      <c r="T772" s="556"/>
      <c r="U772" s="556"/>
      <c r="V772" s="807"/>
      <c r="W772" s="556"/>
      <c r="X772" s="556"/>
      <c r="Y772" s="556"/>
      <c r="Z772" s="579"/>
      <c r="AA772" s="556"/>
      <c r="AB772" s="556"/>
      <c r="AC772" s="556"/>
      <c r="AD772" s="556"/>
    </row>
    <row r="773" ht="15.75" customHeight="1">
      <c r="A773" s="556"/>
      <c r="B773" s="556"/>
      <c r="C773" s="596"/>
      <c r="D773" s="556"/>
      <c r="E773" s="596"/>
      <c r="F773" s="556"/>
      <c r="G773" s="556"/>
      <c r="H773" s="556"/>
      <c r="I773" s="556"/>
      <c r="J773" s="556"/>
      <c r="K773" s="556"/>
      <c r="L773" s="556"/>
      <c r="M773" s="556"/>
      <c r="N773" s="556"/>
      <c r="O773" s="556"/>
      <c r="P773" s="556"/>
      <c r="Q773" s="556"/>
      <c r="R773" s="596"/>
      <c r="S773" s="596"/>
      <c r="T773" s="556"/>
      <c r="U773" s="556"/>
      <c r="V773" s="807"/>
      <c r="W773" s="556"/>
      <c r="X773" s="556"/>
      <c r="Y773" s="556"/>
      <c r="Z773" s="579"/>
      <c r="AA773" s="556"/>
      <c r="AB773" s="556"/>
      <c r="AC773" s="556"/>
      <c r="AD773" s="556"/>
    </row>
    <row r="774" ht="15.75" customHeight="1">
      <c r="A774" s="556"/>
      <c r="B774" s="556"/>
      <c r="C774" s="596"/>
      <c r="D774" s="556"/>
      <c r="E774" s="596"/>
      <c r="F774" s="556"/>
      <c r="G774" s="556"/>
      <c r="H774" s="556"/>
      <c r="I774" s="556"/>
      <c r="J774" s="556"/>
      <c r="K774" s="556"/>
      <c r="L774" s="556"/>
      <c r="M774" s="556"/>
      <c r="N774" s="556"/>
      <c r="O774" s="556"/>
      <c r="P774" s="556"/>
      <c r="Q774" s="556"/>
      <c r="R774" s="596"/>
      <c r="S774" s="596"/>
      <c r="T774" s="556"/>
      <c r="U774" s="556"/>
      <c r="V774" s="807"/>
      <c r="W774" s="556"/>
      <c r="X774" s="556"/>
      <c r="Y774" s="556"/>
      <c r="Z774" s="579"/>
      <c r="AA774" s="556"/>
      <c r="AB774" s="556"/>
      <c r="AC774" s="556"/>
      <c r="AD774" s="556"/>
    </row>
    <row r="775" ht="15.75" customHeight="1">
      <c r="A775" s="556"/>
      <c r="B775" s="556"/>
      <c r="C775" s="596"/>
      <c r="D775" s="556"/>
      <c r="E775" s="596"/>
      <c r="F775" s="556"/>
      <c r="G775" s="556"/>
      <c r="H775" s="556"/>
      <c r="I775" s="556"/>
      <c r="J775" s="556"/>
      <c r="K775" s="556"/>
      <c r="L775" s="556"/>
      <c r="M775" s="556"/>
      <c r="N775" s="556"/>
      <c r="O775" s="556"/>
      <c r="P775" s="556"/>
      <c r="Q775" s="556"/>
      <c r="R775" s="596"/>
      <c r="S775" s="596"/>
      <c r="T775" s="556"/>
      <c r="U775" s="556"/>
      <c r="V775" s="807"/>
      <c r="W775" s="556"/>
      <c r="X775" s="556"/>
      <c r="Y775" s="556"/>
      <c r="Z775" s="579"/>
      <c r="AA775" s="556"/>
      <c r="AB775" s="556"/>
      <c r="AC775" s="556"/>
      <c r="AD775" s="556"/>
    </row>
    <row r="776" ht="15.75" customHeight="1">
      <c r="A776" s="556"/>
      <c r="B776" s="556"/>
      <c r="C776" s="596"/>
      <c r="D776" s="556"/>
      <c r="E776" s="596"/>
      <c r="F776" s="556"/>
      <c r="G776" s="556"/>
      <c r="H776" s="556"/>
      <c r="I776" s="556"/>
      <c r="J776" s="556"/>
      <c r="K776" s="556"/>
      <c r="L776" s="556"/>
      <c r="M776" s="556"/>
      <c r="N776" s="556"/>
      <c r="O776" s="556"/>
      <c r="P776" s="556"/>
      <c r="Q776" s="556"/>
      <c r="R776" s="596"/>
      <c r="S776" s="596"/>
      <c r="T776" s="556"/>
      <c r="U776" s="556"/>
      <c r="V776" s="807"/>
      <c r="W776" s="556"/>
      <c r="X776" s="556"/>
      <c r="Y776" s="556"/>
      <c r="Z776" s="579"/>
      <c r="AA776" s="556"/>
      <c r="AB776" s="556"/>
      <c r="AC776" s="556"/>
      <c r="AD776" s="556"/>
    </row>
    <row r="777" ht="15.75" customHeight="1">
      <c r="A777" s="556"/>
      <c r="B777" s="556"/>
      <c r="C777" s="596"/>
      <c r="D777" s="556"/>
      <c r="E777" s="596"/>
      <c r="F777" s="556"/>
      <c r="G777" s="556"/>
      <c r="H777" s="556"/>
      <c r="I777" s="556"/>
      <c r="J777" s="556"/>
      <c r="K777" s="556"/>
      <c r="L777" s="556"/>
      <c r="M777" s="556"/>
      <c r="N777" s="556"/>
      <c r="O777" s="556"/>
      <c r="P777" s="556"/>
      <c r="Q777" s="556"/>
      <c r="R777" s="596"/>
      <c r="S777" s="596"/>
      <c r="T777" s="556"/>
      <c r="U777" s="556"/>
      <c r="V777" s="807"/>
      <c r="W777" s="556"/>
      <c r="X777" s="556"/>
      <c r="Y777" s="556"/>
      <c r="Z777" s="579"/>
      <c r="AA777" s="556"/>
      <c r="AB777" s="556"/>
      <c r="AC777" s="556"/>
      <c r="AD777" s="556"/>
    </row>
    <row r="778" ht="15.75" customHeight="1">
      <c r="A778" s="556"/>
      <c r="B778" s="556"/>
      <c r="C778" s="596"/>
      <c r="D778" s="556"/>
      <c r="E778" s="596"/>
      <c r="F778" s="556"/>
      <c r="G778" s="556"/>
      <c r="H778" s="556"/>
      <c r="I778" s="556"/>
      <c r="J778" s="556"/>
      <c r="K778" s="556"/>
      <c r="L778" s="556"/>
      <c r="M778" s="556"/>
      <c r="N778" s="556"/>
      <c r="O778" s="556"/>
      <c r="P778" s="556"/>
      <c r="Q778" s="556"/>
      <c r="R778" s="596"/>
      <c r="S778" s="596"/>
      <c r="T778" s="556"/>
      <c r="U778" s="556"/>
      <c r="V778" s="807"/>
      <c r="W778" s="556"/>
      <c r="X778" s="556"/>
      <c r="Y778" s="556"/>
      <c r="Z778" s="579"/>
      <c r="AA778" s="556"/>
      <c r="AB778" s="556"/>
      <c r="AC778" s="556"/>
      <c r="AD778" s="556"/>
    </row>
    <row r="779" ht="15.75" customHeight="1">
      <c r="A779" s="556"/>
      <c r="B779" s="556"/>
      <c r="C779" s="596"/>
      <c r="D779" s="556"/>
      <c r="E779" s="596"/>
      <c r="F779" s="556"/>
      <c r="G779" s="556"/>
      <c r="H779" s="556"/>
      <c r="I779" s="556"/>
      <c r="J779" s="556"/>
      <c r="K779" s="556"/>
      <c r="L779" s="556"/>
      <c r="M779" s="556"/>
      <c r="N779" s="556"/>
      <c r="O779" s="556"/>
      <c r="P779" s="556"/>
      <c r="Q779" s="556"/>
      <c r="R779" s="596"/>
      <c r="S779" s="596"/>
      <c r="T779" s="556"/>
      <c r="U779" s="556"/>
      <c r="V779" s="807"/>
      <c r="W779" s="556"/>
      <c r="X779" s="556"/>
      <c r="Y779" s="556"/>
      <c r="Z779" s="579"/>
      <c r="AA779" s="556"/>
      <c r="AB779" s="556"/>
      <c r="AC779" s="556"/>
      <c r="AD779" s="556"/>
    </row>
    <row r="780" ht="15.75" customHeight="1">
      <c r="A780" s="556"/>
      <c r="B780" s="556"/>
      <c r="C780" s="596"/>
      <c r="D780" s="556"/>
      <c r="E780" s="596"/>
      <c r="F780" s="556"/>
      <c r="G780" s="556"/>
      <c r="H780" s="556"/>
      <c r="I780" s="556"/>
      <c r="J780" s="556"/>
      <c r="K780" s="556"/>
      <c r="L780" s="556"/>
      <c r="M780" s="556"/>
      <c r="N780" s="556"/>
      <c r="O780" s="556"/>
      <c r="P780" s="556"/>
      <c r="Q780" s="556"/>
      <c r="R780" s="596"/>
      <c r="S780" s="596"/>
      <c r="T780" s="556"/>
      <c r="U780" s="556"/>
      <c r="V780" s="807"/>
      <c r="W780" s="556"/>
      <c r="X780" s="556"/>
      <c r="Y780" s="556"/>
      <c r="Z780" s="579"/>
      <c r="AA780" s="556"/>
      <c r="AB780" s="556"/>
      <c r="AC780" s="556"/>
      <c r="AD780" s="556"/>
    </row>
    <row r="781" ht="15.75" customHeight="1">
      <c r="A781" s="556"/>
      <c r="B781" s="556"/>
      <c r="C781" s="596"/>
      <c r="D781" s="556"/>
      <c r="E781" s="596"/>
      <c r="F781" s="556"/>
      <c r="G781" s="556"/>
      <c r="H781" s="556"/>
      <c r="I781" s="556"/>
      <c r="J781" s="556"/>
      <c r="K781" s="556"/>
      <c r="L781" s="556"/>
      <c r="M781" s="556"/>
      <c r="N781" s="556"/>
      <c r="O781" s="556"/>
      <c r="P781" s="556"/>
      <c r="Q781" s="556"/>
      <c r="R781" s="596"/>
      <c r="S781" s="596"/>
      <c r="T781" s="556"/>
      <c r="U781" s="556"/>
      <c r="V781" s="807"/>
      <c r="W781" s="556"/>
      <c r="X781" s="556"/>
      <c r="Y781" s="556"/>
      <c r="Z781" s="579"/>
      <c r="AA781" s="556"/>
      <c r="AB781" s="556"/>
      <c r="AC781" s="556"/>
      <c r="AD781" s="556"/>
    </row>
    <row r="782" ht="15.75" customHeight="1">
      <c r="A782" s="556"/>
      <c r="B782" s="556"/>
      <c r="C782" s="596"/>
      <c r="D782" s="556"/>
      <c r="E782" s="596"/>
      <c r="F782" s="556"/>
      <c r="G782" s="556"/>
      <c r="H782" s="556"/>
      <c r="I782" s="556"/>
      <c r="J782" s="556"/>
      <c r="K782" s="556"/>
      <c r="L782" s="556"/>
      <c r="M782" s="556"/>
      <c r="N782" s="556"/>
      <c r="O782" s="556"/>
      <c r="P782" s="556"/>
      <c r="Q782" s="556"/>
      <c r="R782" s="596"/>
      <c r="S782" s="596"/>
      <c r="T782" s="556"/>
      <c r="U782" s="556"/>
      <c r="V782" s="807"/>
      <c r="W782" s="556"/>
      <c r="X782" s="556"/>
      <c r="Y782" s="556"/>
      <c r="Z782" s="579"/>
      <c r="AA782" s="556"/>
      <c r="AB782" s="556"/>
      <c r="AC782" s="556"/>
      <c r="AD782" s="556"/>
    </row>
    <row r="783" ht="15.75" customHeight="1">
      <c r="A783" s="556"/>
      <c r="B783" s="556"/>
      <c r="C783" s="596"/>
      <c r="D783" s="556"/>
      <c r="E783" s="596"/>
      <c r="F783" s="556"/>
      <c r="G783" s="556"/>
      <c r="H783" s="556"/>
      <c r="I783" s="556"/>
      <c r="J783" s="556"/>
      <c r="K783" s="556"/>
      <c r="L783" s="556"/>
      <c r="M783" s="556"/>
      <c r="N783" s="556"/>
      <c r="O783" s="556"/>
      <c r="P783" s="556"/>
      <c r="Q783" s="556"/>
      <c r="R783" s="596"/>
      <c r="S783" s="596"/>
      <c r="T783" s="556"/>
      <c r="U783" s="556"/>
      <c r="V783" s="807"/>
      <c r="W783" s="556"/>
      <c r="X783" s="556"/>
      <c r="Y783" s="556"/>
      <c r="Z783" s="579"/>
      <c r="AA783" s="556"/>
      <c r="AB783" s="556"/>
      <c r="AC783" s="556"/>
      <c r="AD783" s="556"/>
    </row>
    <row r="784" ht="15.75" customHeight="1">
      <c r="A784" s="556"/>
      <c r="B784" s="556"/>
      <c r="C784" s="596"/>
      <c r="D784" s="556"/>
      <c r="E784" s="596"/>
      <c r="F784" s="556"/>
      <c r="G784" s="556"/>
      <c r="H784" s="556"/>
      <c r="I784" s="556"/>
      <c r="J784" s="556"/>
      <c r="K784" s="556"/>
      <c r="L784" s="556"/>
      <c r="M784" s="556"/>
      <c r="N784" s="556"/>
      <c r="O784" s="556"/>
      <c r="P784" s="556"/>
      <c r="Q784" s="556"/>
      <c r="R784" s="596"/>
      <c r="S784" s="596"/>
      <c r="T784" s="556"/>
      <c r="U784" s="556"/>
      <c r="V784" s="807"/>
      <c r="W784" s="556"/>
      <c r="X784" s="556"/>
      <c r="Y784" s="556"/>
      <c r="Z784" s="579"/>
      <c r="AA784" s="556"/>
      <c r="AB784" s="556"/>
      <c r="AC784" s="556"/>
      <c r="AD784" s="556"/>
    </row>
    <row r="785" ht="15.75" customHeight="1">
      <c r="A785" s="556"/>
      <c r="B785" s="556"/>
      <c r="C785" s="596"/>
      <c r="D785" s="556"/>
      <c r="E785" s="596"/>
      <c r="F785" s="556"/>
      <c r="G785" s="556"/>
      <c r="H785" s="556"/>
      <c r="I785" s="556"/>
      <c r="J785" s="556"/>
      <c r="K785" s="556"/>
      <c r="L785" s="556"/>
      <c r="M785" s="556"/>
      <c r="N785" s="556"/>
      <c r="O785" s="556"/>
      <c r="P785" s="556"/>
      <c r="Q785" s="556"/>
      <c r="R785" s="596"/>
      <c r="S785" s="596"/>
      <c r="T785" s="556"/>
      <c r="U785" s="556"/>
      <c r="V785" s="807"/>
      <c r="W785" s="556"/>
      <c r="X785" s="556"/>
      <c r="Y785" s="556"/>
      <c r="Z785" s="579"/>
      <c r="AA785" s="556"/>
      <c r="AB785" s="556"/>
      <c r="AC785" s="556"/>
      <c r="AD785" s="556"/>
    </row>
    <row r="786" ht="15.75" customHeight="1">
      <c r="A786" s="556"/>
      <c r="B786" s="556"/>
      <c r="C786" s="596"/>
      <c r="D786" s="556"/>
      <c r="E786" s="596"/>
      <c r="F786" s="556"/>
      <c r="G786" s="556"/>
      <c r="H786" s="556"/>
      <c r="I786" s="556"/>
      <c r="J786" s="556"/>
      <c r="K786" s="556"/>
      <c r="L786" s="556"/>
      <c r="M786" s="556"/>
      <c r="N786" s="556"/>
      <c r="O786" s="556"/>
      <c r="P786" s="556"/>
      <c r="Q786" s="556"/>
      <c r="R786" s="596"/>
      <c r="S786" s="596"/>
      <c r="T786" s="556"/>
      <c r="U786" s="556"/>
      <c r="V786" s="807"/>
      <c r="W786" s="556"/>
      <c r="X786" s="556"/>
      <c r="Y786" s="556"/>
      <c r="Z786" s="579"/>
      <c r="AA786" s="556"/>
      <c r="AB786" s="556"/>
      <c r="AC786" s="556"/>
      <c r="AD786" s="556"/>
    </row>
    <row r="787" ht="15.75" customHeight="1">
      <c r="A787" s="556"/>
      <c r="B787" s="556"/>
      <c r="C787" s="596"/>
      <c r="D787" s="556"/>
      <c r="E787" s="596"/>
      <c r="F787" s="556"/>
      <c r="G787" s="556"/>
      <c r="H787" s="556"/>
      <c r="I787" s="556"/>
      <c r="J787" s="556"/>
      <c r="K787" s="556"/>
      <c r="L787" s="556"/>
      <c r="M787" s="556"/>
      <c r="N787" s="556"/>
      <c r="O787" s="556"/>
      <c r="P787" s="556"/>
      <c r="Q787" s="556"/>
      <c r="R787" s="596"/>
      <c r="S787" s="596"/>
      <c r="T787" s="556"/>
      <c r="U787" s="556"/>
      <c r="V787" s="807"/>
      <c r="W787" s="556"/>
      <c r="X787" s="556"/>
      <c r="Y787" s="556"/>
      <c r="Z787" s="579"/>
      <c r="AA787" s="556"/>
      <c r="AB787" s="556"/>
      <c r="AC787" s="556"/>
      <c r="AD787" s="556"/>
    </row>
    <row r="788" ht="15.75" customHeight="1">
      <c r="A788" s="556"/>
      <c r="B788" s="556"/>
      <c r="C788" s="596"/>
      <c r="D788" s="556"/>
      <c r="E788" s="596"/>
      <c r="F788" s="556"/>
      <c r="G788" s="556"/>
      <c r="H788" s="556"/>
      <c r="I788" s="556"/>
      <c r="J788" s="556"/>
      <c r="K788" s="556"/>
      <c r="L788" s="556"/>
      <c r="M788" s="556"/>
      <c r="N788" s="556"/>
      <c r="O788" s="556"/>
      <c r="P788" s="556"/>
      <c r="Q788" s="556"/>
      <c r="R788" s="596"/>
      <c r="S788" s="596"/>
      <c r="T788" s="556"/>
      <c r="U788" s="556"/>
      <c r="V788" s="807"/>
      <c r="W788" s="556"/>
      <c r="X788" s="556"/>
      <c r="Y788" s="556"/>
      <c r="Z788" s="579"/>
      <c r="AA788" s="556"/>
      <c r="AB788" s="556"/>
      <c r="AC788" s="556"/>
      <c r="AD788" s="556"/>
    </row>
    <row r="789" ht="15.75" customHeight="1">
      <c r="A789" s="556"/>
      <c r="B789" s="556"/>
      <c r="C789" s="596"/>
      <c r="D789" s="556"/>
      <c r="E789" s="596"/>
      <c r="F789" s="556"/>
      <c r="G789" s="556"/>
      <c r="H789" s="556"/>
      <c r="I789" s="556"/>
      <c r="J789" s="556"/>
      <c r="K789" s="556"/>
      <c r="L789" s="556"/>
      <c r="M789" s="556"/>
      <c r="N789" s="556"/>
      <c r="O789" s="556"/>
      <c r="P789" s="556"/>
      <c r="Q789" s="556"/>
      <c r="R789" s="596"/>
      <c r="S789" s="596"/>
      <c r="T789" s="556"/>
      <c r="U789" s="556"/>
      <c r="V789" s="807"/>
      <c r="W789" s="556"/>
      <c r="X789" s="556"/>
      <c r="Y789" s="556"/>
      <c r="Z789" s="579"/>
      <c r="AA789" s="556"/>
      <c r="AB789" s="556"/>
      <c r="AC789" s="556"/>
      <c r="AD789" s="556"/>
    </row>
    <row r="790" ht="15.75" customHeight="1">
      <c r="A790" s="556"/>
      <c r="B790" s="556"/>
      <c r="C790" s="596"/>
      <c r="D790" s="556"/>
      <c r="E790" s="596"/>
      <c r="F790" s="556"/>
      <c r="G790" s="556"/>
      <c r="H790" s="556"/>
      <c r="I790" s="556"/>
      <c r="J790" s="556"/>
      <c r="K790" s="556"/>
      <c r="L790" s="556"/>
      <c r="M790" s="556"/>
      <c r="N790" s="556"/>
      <c r="O790" s="556"/>
      <c r="P790" s="556"/>
      <c r="Q790" s="556"/>
      <c r="R790" s="596"/>
      <c r="S790" s="596"/>
      <c r="T790" s="556"/>
      <c r="U790" s="556"/>
      <c r="V790" s="807"/>
      <c r="W790" s="556"/>
      <c r="X790" s="556"/>
      <c r="Y790" s="556"/>
      <c r="Z790" s="579"/>
      <c r="AA790" s="556"/>
      <c r="AB790" s="556"/>
      <c r="AC790" s="556"/>
      <c r="AD790" s="556"/>
    </row>
    <row r="791" ht="15.75" customHeight="1">
      <c r="A791" s="556"/>
      <c r="B791" s="556"/>
      <c r="C791" s="596"/>
      <c r="D791" s="556"/>
      <c r="E791" s="596"/>
      <c r="F791" s="556"/>
      <c r="G791" s="556"/>
      <c r="H791" s="556"/>
      <c r="I791" s="556"/>
      <c r="J791" s="556"/>
      <c r="K791" s="556"/>
      <c r="L791" s="556"/>
      <c r="M791" s="556"/>
      <c r="N791" s="556"/>
      <c r="O791" s="556"/>
      <c r="P791" s="556"/>
      <c r="Q791" s="556"/>
      <c r="R791" s="596"/>
      <c r="S791" s="596"/>
      <c r="T791" s="556"/>
      <c r="U791" s="556"/>
      <c r="V791" s="807"/>
      <c r="W791" s="556"/>
      <c r="X791" s="556"/>
      <c r="Y791" s="556"/>
      <c r="Z791" s="579"/>
      <c r="AA791" s="556"/>
      <c r="AB791" s="556"/>
      <c r="AC791" s="556"/>
      <c r="AD791" s="556"/>
    </row>
    <row r="792" ht="15.75" customHeight="1">
      <c r="A792" s="556"/>
      <c r="B792" s="556"/>
      <c r="C792" s="596"/>
      <c r="D792" s="556"/>
      <c r="E792" s="596"/>
      <c r="F792" s="556"/>
      <c r="G792" s="556"/>
      <c r="H792" s="556"/>
      <c r="I792" s="556"/>
      <c r="J792" s="556"/>
      <c r="K792" s="556"/>
      <c r="L792" s="556"/>
      <c r="M792" s="556"/>
      <c r="N792" s="556"/>
      <c r="O792" s="556"/>
      <c r="P792" s="556"/>
      <c r="Q792" s="556"/>
      <c r="R792" s="596"/>
      <c r="S792" s="596"/>
      <c r="T792" s="556"/>
      <c r="U792" s="556"/>
      <c r="V792" s="807"/>
      <c r="W792" s="556"/>
      <c r="X792" s="556"/>
      <c r="Y792" s="556"/>
      <c r="Z792" s="579"/>
      <c r="AA792" s="556"/>
      <c r="AB792" s="556"/>
      <c r="AC792" s="556"/>
      <c r="AD792" s="556"/>
    </row>
    <row r="793" ht="15.75" customHeight="1">
      <c r="A793" s="556"/>
      <c r="B793" s="556"/>
      <c r="C793" s="596"/>
      <c r="D793" s="556"/>
      <c r="E793" s="596"/>
      <c r="F793" s="556"/>
      <c r="G793" s="556"/>
      <c r="H793" s="556"/>
      <c r="I793" s="556"/>
      <c r="J793" s="556"/>
      <c r="K793" s="556"/>
      <c r="L793" s="556"/>
      <c r="M793" s="556"/>
      <c r="N793" s="556"/>
      <c r="O793" s="556"/>
      <c r="P793" s="556"/>
      <c r="Q793" s="556"/>
      <c r="R793" s="596"/>
      <c r="S793" s="596"/>
      <c r="T793" s="556"/>
      <c r="U793" s="556"/>
      <c r="V793" s="807"/>
      <c r="W793" s="556"/>
      <c r="X793" s="556"/>
      <c r="Y793" s="556"/>
      <c r="Z793" s="579"/>
      <c r="AA793" s="556"/>
      <c r="AB793" s="556"/>
      <c r="AC793" s="556"/>
      <c r="AD793" s="556"/>
    </row>
    <row r="794" ht="15.75" customHeight="1">
      <c r="A794" s="556"/>
      <c r="B794" s="556"/>
      <c r="C794" s="596"/>
      <c r="D794" s="556"/>
      <c r="E794" s="596"/>
      <c r="F794" s="556"/>
      <c r="G794" s="556"/>
      <c r="H794" s="556"/>
      <c r="I794" s="556"/>
      <c r="J794" s="556"/>
      <c r="K794" s="556"/>
      <c r="L794" s="556"/>
      <c r="M794" s="556"/>
      <c r="N794" s="556"/>
      <c r="O794" s="556"/>
      <c r="P794" s="556"/>
      <c r="Q794" s="556"/>
      <c r="R794" s="596"/>
      <c r="S794" s="596"/>
      <c r="T794" s="556"/>
      <c r="U794" s="556"/>
      <c r="V794" s="807"/>
      <c r="W794" s="556"/>
      <c r="X794" s="556"/>
      <c r="Y794" s="556"/>
      <c r="Z794" s="579"/>
      <c r="AA794" s="556"/>
      <c r="AB794" s="556"/>
      <c r="AC794" s="556"/>
      <c r="AD794" s="556"/>
    </row>
    <row r="795" ht="15.75" customHeight="1">
      <c r="A795" s="556"/>
      <c r="B795" s="556"/>
      <c r="C795" s="596"/>
      <c r="D795" s="556"/>
      <c r="E795" s="596"/>
      <c r="F795" s="556"/>
      <c r="G795" s="556"/>
      <c r="H795" s="556"/>
      <c r="I795" s="556"/>
      <c r="J795" s="556"/>
      <c r="K795" s="556"/>
      <c r="L795" s="556"/>
      <c r="M795" s="556"/>
      <c r="N795" s="556"/>
      <c r="O795" s="556"/>
      <c r="P795" s="556"/>
      <c r="Q795" s="556"/>
      <c r="R795" s="596"/>
      <c r="S795" s="596"/>
      <c r="T795" s="556"/>
      <c r="U795" s="556"/>
      <c r="V795" s="807"/>
      <c r="W795" s="556"/>
      <c r="X795" s="556"/>
      <c r="Y795" s="556"/>
      <c r="Z795" s="579"/>
      <c r="AA795" s="556"/>
      <c r="AB795" s="556"/>
      <c r="AC795" s="556"/>
      <c r="AD795" s="556"/>
    </row>
    <row r="796" ht="15.75" customHeight="1">
      <c r="A796" s="556"/>
      <c r="B796" s="556"/>
      <c r="C796" s="596"/>
      <c r="D796" s="556"/>
      <c r="E796" s="596"/>
      <c r="F796" s="556"/>
      <c r="G796" s="556"/>
      <c r="H796" s="556"/>
      <c r="I796" s="556"/>
      <c r="J796" s="556"/>
      <c r="K796" s="556"/>
      <c r="L796" s="556"/>
      <c r="M796" s="556"/>
      <c r="N796" s="556"/>
      <c r="O796" s="556"/>
      <c r="P796" s="556"/>
      <c r="Q796" s="556"/>
      <c r="R796" s="596"/>
      <c r="S796" s="596"/>
      <c r="T796" s="556"/>
      <c r="U796" s="556"/>
      <c r="V796" s="807"/>
      <c r="W796" s="556"/>
      <c r="X796" s="556"/>
      <c r="Y796" s="556"/>
      <c r="Z796" s="579"/>
      <c r="AA796" s="556"/>
      <c r="AB796" s="556"/>
      <c r="AC796" s="556"/>
      <c r="AD796" s="556"/>
    </row>
    <row r="797" ht="15.75" customHeight="1">
      <c r="A797" s="556"/>
      <c r="B797" s="556"/>
      <c r="C797" s="596"/>
      <c r="D797" s="556"/>
      <c r="E797" s="596"/>
      <c r="F797" s="556"/>
      <c r="G797" s="556"/>
      <c r="H797" s="556"/>
      <c r="I797" s="556"/>
      <c r="J797" s="556"/>
      <c r="K797" s="556"/>
      <c r="L797" s="556"/>
      <c r="M797" s="556"/>
      <c r="N797" s="556"/>
      <c r="O797" s="556"/>
      <c r="P797" s="556"/>
      <c r="Q797" s="556"/>
      <c r="R797" s="596"/>
      <c r="S797" s="596"/>
      <c r="T797" s="556"/>
      <c r="U797" s="556"/>
      <c r="V797" s="807"/>
      <c r="W797" s="556"/>
      <c r="X797" s="556"/>
      <c r="Y797" s="556"/>
      <c r="Z797" s="579"/>
      <c r="AA797" s="556"/>
      <c r="AB797" s="556"/>
      <c r="AC797" s="556"/>
      <c r="AD797" s="556"/>
    </row>
    <row r="798" ht="15.75" customHeight="1">
      <c r="A798" s="556"/>
      <c r="B798" s="556"/>
      <c r="C798" s="596"/>
      <c r="D798" s="556"/>
      <c r="E798" s="596"/>
      <c r="F798" s="556"/>
      <c r="G798" s="556"/>
      <c r="H798" s="556"/>
      <c r="I798" s="556"/>
      <c r="J798" s="556"/>
      <c r="K798" s="556"/>
      <c r="L798" s="556"/>
      <c r="M798" s="556"/>
      <c r="N798" s="556"/>
      <c r="O798" s="556"/>
      <c r="P798" s="556"/>
      <c r="Q798" s="556"/>
      <c r="R798" s="596"/>
      <c r="S798" s="596"/>
      <c r="T798" s="556"/>
      <c r="U798" s="556"/>
      <c r="V798" s="807"/>
      <c r="W798" s="556"/>
      <c r="X798" s="556"/>
      <c r="Y798" s="556"/>
      <c r="Z798" s="579"/>
      <c r="AA798" s="556"/>
      <c r="AB798" s="556"/>
      <c r="AC798" s="556"/>
      <c r="AD798" s="556"/>
    </row>
    <row r="799" ht="15.75" customHeight="1">
      <c r="A799" s="556"/>
      <c r="B799" s="556"/>
      <c r="C799" s="596"/>
      <c r="D799" s="556"/>
      <c r="E799" s="596"/>
      <c r="F799" s="556"/>
      <c r="G799" s="556"/>
      <c r="H799" s="556"/>
      <c r="I799" s="556"/>
      <c r="J799" s="556"/>
      <c r="K799" s="556"/>
      <c r="L799" s="556"/>
      <c r="M799" s="556"/>
      <c r="N799" s="556"/>
      <c r="O799" s="556"/>
      <c r="P799" s="556"/>
      <c r="Q799" s="556"/>
      <c r="R799" s="596"/>
      <c r="S799" s="596"/>
      <c r="T799" s="556"/>
      <c r="U799" s="556"/>
      <c r="V799" s="807"/>
      <c r="W799" s="556"/>
      <c r="X799" s="556"/>
      <c r="Y799" s="556"/>
      <c r="Z799" s="579"/>
      <c r="AA799" s="556"/>
      <c r="AB799" s="556"/>
      <c r="AC799" s="556"/>
      <c r="AD799" s="556"/>
    </row>
    <row r="800" ht="15.75" customHeight="1">
      <c r="A800" s="556"/>
      <c r="B800" s="556"/>
      <c r="C800" s="596"/>
      <c r="D800" s="556"/>
      <c r="E800" s="596"/>
      <c r="F800" s="556"/>
      <c r="G800" s="556"/>
      <c r="H800" s="556"/>
      <c r="I800" s="556"/>
      <c r="J800" s="556"/>
      <c r="K800" s="556"/>
      <c r="L800" s="556"/>
      <c r="M800" s="556"/>
      <c r="N800" s="556"/>
      <c r="O800" s="556"/>
      <c r="P800" s="556"/>
      <c r="Q800" s="556"/>
      <c r="R800" s="596"/>
      <c r="S800" s="596"/>
      <c r="T800" s="556"/>
      <c r="U800" s="556"/>
      <c r="V800" s="807"/>
      <c r="W800" s="556"/>
      <c r="X800" s="556"/>
      <c r="Y800" s="556"/>
      <c r="Z800" s="579"/>
      <c r="AA800" s="556"/>
      <c r="AB800" s="556"/>
      <c r="AC800" s="556"/>
      <c r="AD800" s="556"/>
    </row>
    <row r="801" ht="15.75" customHeight="1">
      <c r="A801" s="556"/>
      <c r="B801" s="556"/>
      <c r="C801" s="596"/>
      <c r="D801" s="556"/>
      <c r="E801" s="596"/>
      <c r="F801" s="556"/>
      <c r="G801" s="556"/>
      <c r="H801" s="556"/>
      <c r="I801" s="556"/>
      <c r="J801" s="556"/>
      <c r="K801" s="556"/>
      <c r="L801" s="556"/>
      <c r="M801" s="556"/>
      <c r="N801" s="556"/>
      <c r="O801" s="556"/>
      <c r="P801" s="556"/>
      <c r="Q801" s="556"/>
      <c r="R801" s="596"/>
      <c r="S801" s="596"/>
      <c r="T801" s="556"/>
      <c r="U801" s="556"/>
      <c r="V801" s="807"/>
      <c r="W801" s="556"/>
      <c r="X801" s="556"/>
      <c r="Y801" s="556"/>
      <c r="Z801" s="579"/>
      <c r="AA801" s="556"/>
      <c r="AB801" s="556"/>
      <c r="AC801" s="556"/>
      <c r="AD801" s="556"/>
    </row>
    <row r="802" ht="15.75" customHeight="1">
      <c r="A802" s="556"/>
      <c r="B802" s="556"/>
      <c r="C802" s="596"/>
      <c r="D802" s="556"/>
      <c r="E802" s="596"/>
      <c r="F802" s="556"/>
      <c r="G802" s="556"/>
      <c r="H802" s="556"/>
      <c r="I802" s="556"/>
      <c r="J802" s="556"/>
      <c r="K802" s="556"/>
      <c r="L802" s="556"/>
      <c r="M802" s="556"/>
      <c r="N802" s="556"/>
      <c r="O802" s="556"/>
      <c r="P802" s="556"/>
      <c r="Q802" s="556"/>
      <c r="R802" s="596"/>
      <c r="S802" s="596"/>
      <c r="T802" s="556"/>
      <c r="U802" s="556"/>
      <c r="V802" s="807"/>
      <c r="W802" s="556"/>
      <c r="X802" s="556"/>
      <c r="Y802" s="556"/>
      <c r="Z802" s="579"/>
      <c r="AA802" s="556"/>
      <c r="AB802" s="556"/>
      <c r="AC802" s="556"/>
      <c r="AD802" s="556"/>
    </row>
    <row r="803" ht="15.75" customHeight="1">
      <c r="A803" s="556"/>
      <c r="B803" s="556"/>
      <c r="C803" s="596"/>
      <c r="D803" s="556"/>
      <c r="E803" s="596"/>
      <c r="F803" s="556"/>
      <c r="G803" s="556"/>
      <c r="H803" s="556"/>
      <c r="I803" s="556"/>
      <c r="J803" s="556"/>
      <c r="K803" s="556"/>
      <c r="L803" s="556"/>
      <c r="M803" s="556"/>
      <c r="N803" s="556"/>
      <c r="O803" s="556"/>
      <c r="P803" s="556"/>
      <c r="Q803" s="556"/>
      <c r="R803" s="596"/>
      <c r="S803" s="596"/>
      <c r="T803" s="556"/>
      <c r="U803" s="556"/>
      <c r="V803" s="807"/>
      <c r="W803" s="556"/>
      <c r="X803" s="556"/>
      <c r="Y803" s="556"/>
      <c r="Z803" s="579"/>
      <c r="AA803" s="556"/>
      <c r="AB803" s="556"/>
      <c r="AC803" s="556"/>
      <c r="AD803" s="556"/>
    </row>
    <row r="804" ht="15.75" customHeight="1">
      <c r="A804" s="556"/>
      <c r="B804" s="556"/>
      <c r="C804" s="596"/>
      <c r="D804" s="556"/>
      <c r="E804" s="596"/>
      <c r="F804" s="556"/>
      <c r="G804" s="556"/>
      <c r="H804" s="556"/>
      <c r="I804" s="556"/>
      <c r="J804" s="556"/>
      <c r="K804" s="556"/>
      <c r="L804" s="556"/>
      <c r="M804" s="556"/>
      <c r="N804" s="556"/>
      <c r="O804" s="556"/>
      <c r="P804" s="556"/>
      <c r="Q804" s="556"/>
      <c r="R804" s="596"/>
      <c r="S804" s="596"/>
      <c r="T804" s="556"/>
      <c r="U804" s="556"/>
      <c r="V804" s="807"/>
      <c r="W804" s="556"/>
      <c r="X804" s="556"/>
      <c r="Y804" s="556"/>
      <c r="Z804" s="579"/>
      <c r="AA804" s="556"/>
      <c r="AB804" s="556"/>
      <c r="AC804" s="556"/>
      <c r="AD804" s="556"/>
    </row>
    <row r="805" ht="15.75" customHeight="1">
      <c r="A805" s="556"/>
      <c r="B805" s="556"/>
      <c r="C805" s="596"/>
      <c r="D805" s="556"/>
      <c r="E805" s="596"/>
      <c r="F805" s="556"/>
      <c r="G805" s="556"/>
      <c r="H805" s="556"/>
      <c r="I805" s="556"/>
      <c r="J805" s="556"/>
      <c r="K805" s="556"/>
      <c r="L805" s="556"/>
      <c r="M805" s="556"/>
      <c r="N805" s="556"/>
      <c r="O805" s="556"/>
      <c r="P805" s="556"/>
      <c r="Q805" s="556"/>
      <c r="R805" s="596"/>
      <c r="S805" s="596"/>
      <c r="T805" s="556"/>
      <c r="U805" s="556"/>
      <c r="V805" s="807"/>
      <c r="W805" s="556"/>
      <c r="X805" s="556"/>
      <c r="Y805" s="556"/>
      <c r="Z805" s="579"/>
      <c r="AA805" s="556"/>
      <c r="AB805" s="556"/>
      <c r="AC805" s="556"/>
      <c r="AD805" s="556"/>
    </row>
    <row r="806" ht="15.75" customHeight="1">
      <c r="A806" s="556"/>
      <c r="B806" s="556"/>
      <c r="C806" s="596"/>
      <c r="D806" s="556"/>
      <c r="E806" s="596"/>
      <c r="F806" s="556"/>
      <c r="G806" s="556"/>
      <c r="H806" s="556"/>
      <c r="I806" s="556"/>
      <c r="J806" s="556"/>
      <c r="K806" s="556"/>
      <c r="L806" s="556"/>
      <c r="M806" s="556"/>
      <c r="N806" s="556"/>
      <c r="O806" s="556"/>
      <c r="P806" s="556"/>
      <c r="Q806" s="556"/>
      <c r="R806" s="596"/>
      <c r="S806" s="596"/>
      <c r="T806" s="556"/>
      <c r="U806" s="556"/>
      <c r="V806" s="807"/>
      <c r="W806" s="556"/>
      <c r="X806" s="556"/>
      <c r="Y806" s="556"/>
      <c r="Z806" s="579"/>
      <c r="AA806" s="556"/>
      <c r="AB806" s="556"/>
      <c r="AC806" s="556"/>
      <c r="AD806" s="556"/>
    </row>
    <row r="807" ht="15.75" customHeight="1">
      <c r="A807" s="556"/>
      <c r="B807" s="556"/>
      <c r="C807" s="596"/>
      <c r="D807" s="556"/>
      <c r="E807" s="596"/>
      <c r="F807" s="556"/>
      <c r="G807" s="556"/>
      <c r="H807" s="556"/>
      <c r="I807" s="556"/>
      <c r="J807" s="556"/>
      <c r="K807" s="556"/>
      <c r="L807" s="556"/>
      <c r="M807" s="556"/>
      <c r="N807" s="556"/>
      <c r="O807" s="556"/>
      <c r="P807" s="556"/>
      <c r="Q807" s="556"/>
      <c r="R807" s="596"/>
      <c r="S807" s="596"/>
      <c r="T807" s="556"/>
      <c r="U807" s="556"/>
      <c r="V807" s="807"/>
      <c r="W807" s="556"/>
      <c r="X807" s="556"/>
      <c r="Y807" s="556"/>
      <c r="Z807" s="579"/>
      <c r="AA807" s="556"/>
      <c r="AB807" s="556"/>
      <c r="AC807" s="556"/>
      <c r="AD807" s="556"/>
    </row>
    <row r="808" ht="15.75" customHeight="1">
      <c r="A808" s="556"/>
      <c r="B808" s="556"/>
      <c r="C808" s="596"/>
      <c r="D808" s="556"/>
      <c r="E808" s="596"/>
      <c r="F808" s="556"/>
      <c r="G808" s="556"/>
      <c r="H808" s="556"/>
      <c r="I808" s="556"/>
      <c r="J808" s="556"/>
      <c r="K808" s="556"/>
      <c r="L808" s="556"/>
      <c r="M808" s="556"/>
      <c r="N808" s="556"/>
      <c r="O808" s="556"/>
      <c r="P808" s="556"/>
      <c r="Q808" s="556"/>
      <c r="R808" s="596"/>
      <c r="S808" s="596"/>
      <c r="T808" s="556"/>
      <c r="U808" s="556"/>
      <c r="V808" s="807"/>
      <c r="W808" s="556"/>
      <c r="X808" s="556"/>
      <c r="Y808" s="556"/>
      <c r="Z808" s="579"/>
      <c r="AA808" s="556"/>
      <c r="AB808" s="556"/>
      <c r="AC808" s="556"/>
      <c r="AD808" s="556"/>
    </row>
    <row r="809" ht="15.75" customHeight="1">
      <c r="A809" s="556"/>
      <c r="B809" s="556"/>
      <c r="C809" s="596"/>
      <c r="D809" s="556"/>
      <c r="E809" s="596"/>
      <c r="F809" s="556"/>
      <c r="G809" s="556"/>
      <c r="H809" s="556"/>
      <c r="I809" s="556"/>
      <c r="J809" s="556"/>
      <c r="K809" s="556"/>
      <c r="L809" s="556"/>
      <c r="M809" s="556"/>
      <c r="N809" s="556"/>
      <c r="O809" s="556"/>
      <c r="P809" s="556"/>
      <c r="Q809" s="556"/>
      <c r="R809" s="596"/>
      <c r="S809" s="596"/>
      <c r="T809" s="556"/>
      <c r="U809" s="556"/>
      <c r="V809" s="807"/>
      <c r="W809" s="556"/>
      <c r="X809" s="556"/>
      <c r="Y809" s="556"/>
      <c r="Z809" s="579"/>
      <c r="AA809" s="556"/>
      <c r="AB809" s="556"/>
      <c r="AC809" s="556"/>
      <c r="AD809" s="556"/>
    </row>
    <row r="810" ht="15.75" customHeight="1">
      <c r="A810" s="556"/>
      <c r="B810" s="556"/>
      <c r="C810" s="596"/>
      <c r="D810" s="556"/>
      <c r="E810" s="596"/>
      <c r="F810" s="556"/>
      <c r="G810" s="556"/>
      <c r="H810" s="556"/>
      <c r="I810" s="556"/>
      <c r="J810" s="556"/>
      <c r="K810" s="556"/>
      <c r="L810" s="556"/>
      <c r="M810" s="556"/>
      <c r="N810" s="556"/>
      <c r="O810" s="556"/>
      <c r="P810" s="556"/>
      <c r="Q810" s="556"/>
      <c r="R810" s="596"/>
      <c r="S810" s="596"/>
      <c r="T810" s="556"/>
      <c r="U810" s="556"/>
      <c r="V810" s="807"/>
      <c r="W810" s="556"/>
      <c r="X810" s="556"/>
      <c r="Y810" s="556"/>
      <c r="Z810" s="579"/>
      <c r="AA810" s="556"/>
      <c r="AB810" s="556"/>
      <c r="AC810" s="556"/>
      <c r="AD810" s="556"/>
    </row>
    <row r="811" ht="15.75" customHeight="1">
      <c r="A811" s="556"/>
      <c r="B811" s="556"/>
      <c r="C811" s="596"/>
      <c r="D811" s="556"/>
      <c r="E811" s="596"/>
      <c r="F811" s="556"/>
      <c r="G811" s="556"/>
      <c r="H811" s="556"/>
      <c r="I811" s="556"/>
      <c r="J811" s="556"/>
      <c r="K811" s="556"/>
      <c r="L811" s="556"/>
      <c r="M811" s="556"/>
      <c r="N811" s="556"/>
      <c r="O811" s="556"/>
      <c r="P811" s="556"/>
      <c r="Q811" s="556"/>
      <c r="R811" s="596"/>
      <c r="S811" s="596"/>
      <c r="T811" s="556"/>
      <c r="U811" s="556"/>
      <c r="V811" s="807"/>
      <c r="W811" s="556"/>
      <c r="X811" s="556"/>
      <c r="Y811" s="556"/>
      <c r="Z811" s="579"/>
      <c r="AA811" s="556"/>
      <c r="AB811" s="556"/>
      <c r="AC811" s="556"/>
      <c r="AD811" s="556"/>
    </row>
    <row r="812" ht="15.75" customHeight="1">
      <c r="A812" s="556"/>
      <c r="B812" s="556"/>
      <c r="C812" s="596"/>
      <c r="D812" s="556"/>
      <c r="E812" s="596"/>
      <c r="F812" s="556"/>
      <c r="G812" s="556"/>
      <c r="H812" s="556"/>
      <c r="I812" s="556"/>
      <c r="J812" s="556"/>
      <c r="K812" s="556"/>
      <c r="L812" s="556"/>
      <c r="M812" s="556"/>
      <c r="N812" s="556"/>
      <c r="O812" s="556"/>
      <c r="P812" s="556"/>
      <c r="Q812" s="556"/>
      <c r="R812" s="596"/>
      <c r="S812" s="596"/>
      <c r="T812" s="556"/>
      <c r="U812" s="556"/>
      <c r="V812" s="807"/>
      <c r="W812" s="556"/>
      <c r="X812" s="556"/>
      <c r="Y812" s="556"/>
      <c r="Z812" s="579"/>
      <c r="AA812" s="556"/>
      <c r="AB812" s="556"/>
      <c r="AC812" s="556"/>
      <c r="AD812" s="556"/>
    </row>
    <row r="813" ht="15.75" customHeight="1">
      <c r="A813" s="556"/>
      <c r="B813" s="556"/>
      <c r="C813" s="596"/>
      <c r="D813" s="556"/>
      <c r="E813" s="596"/>
      <c r="F813" s="556"/>
      <c r="G813" s="556"/>
      <c r="H813" s="556"/>
      <c r="I813" s="556"/>
      <c r="J813" s="556"/>
      <c r="K813" s="556"/>
      <c r="L813" s="556"/>
      <c r="M813" s="556"/>
      <c r="N813" s="556"/>
      <c r="O813" s="556"/>
      <c r="P813" s="556"/>
      <c r="Q813" s="556"/>
      <c r="R813" s="596"/>
      <c r="S813" s="596"/>
      <c r="T813" s="556"/>
      <c r="U813" s="556"/>
      <c r="V813" s="807"/>
      <c r="W813" s="556"/>
      <c r="X813" s="556"/>
      <c r="Y813" s="556"/>
      <c r="Z813" s="579"/>
      <c r="AA813" s="556"/>
      <c r="AB813" s="556"/>
      <c r="AC813" s="556"/>
      <c r="AD813" s="556"/>
    </row>
    <row r="814" ht="15.75" customHeight="1">
      <c r="A814" s="556"/>
      <c r="B814" s="556"/>
      <c r="C814" s="596"/>
      <c r="D814" s="556"/>
      <c r="E814" s="596"/>
      <c r="F814" s="556"/>
      <c r="G814" s="556"/>
      <c r="H814" s="556"/>
      <c r="I814" s="556"/>
      <c r="J814" s="556"/>
      <c r="K814" s="556"/>
      <c r="L814" s="556"/>
      <c r="M814" s="556"/>
      <c r="N814" s="556"/>
      <c r="O814" s="556"/>
      <c r="P814" s="556"/>
      <c r="Q814" s="556"/>
      <c r="R814" s="596"/>
      <c r="S814" s="596"/>
      <c r="T814" s="556"/>
      <c r="U814" s="556"/>
      <c r="V814" s="807"/>
      <c r="W814" s="556"/>
      <c r="X814" s="556"/>
      <c r="Y814" s="556"/>
      <c r="Z814" s="579"/>
      <c r="AA814" s="556"/>
      <c r="AB814" s="556"/>
      <c r="AC814" s="556"/>
      <c r="AD814" s="556"/>
    </row>
    <row r="815" ht="15.75" customHeight="1">
      <c r="A815" s="556"/>
      <c r="B815" s="556"/>
      <c r="C815" s="596"/>
      <c r="D815" s="556"/>
      <c r="E815" s="596"/>
      <c r="F815" s="556"/>
      <c r="G815" s="556"/>
      <c r="H815" s="556"/>
      <c r="I815" s="556"/>
      <c r="J815" s="556"/>
      <c r="K815" s="556"/>
      <c r="L815" s="556"/>
      <c r="M815" s="556"/>
      <c r="N815" s="556"/>
      <c r="O815" s="556"/>
      <c r="P815" s="556"/>
      <c r="Q815" s="556"/>
      <c r="R815" s="596"/>
      <c r="S815" s="596"/>
      <c r="T815" s="556"/>
      <c r="U815" s="556"/>
      <c r="V815" s="807"/>
      <c r="W815" s="556"/>
      <c r="X815" s="556"/>
      <c r="Y815" s="556"/>
      <c r="Z815" s="579"/>
      <c r="AA815" s="556"/>
      <c r="AB815" s="556"/>
      <c r="AC815" s="556"/>
      <c r="AD815" s="556"/>
    </row>
    <row r="816" ht="15.75" customHeight="1">
      <c r="A816" s="556"/>
      <c r="B816" s="556"/>
      <c r="C816" s="596"/>
      <c r="D816" s="556"/>
      <c r="E816" s="596"/>
      <c r="F816" s="556"/>
      <c r="G816" s="556"/>
      <c r="H816" s="556"/>
      <c r="I816" s="556"/>
      <c r="J816" s="556"/>
      <c r="K816" s="556"/>
      <c r="L816" s="556"/>
      <c r="M816" s="556"/>
      <c r="N816" s="556"/>
      <c r="O816" s="556"/>
      <c r="P816" s="556"/>
      <c r="Q816" s="556"/>
      <c r="R816" s="596"/>
      <c r="S816" s="596"/>
      <c r="T816" s="556"/>
      <c r="U816" s="556"/>
      <c r="V816" s="807"/>
      <c r="W816" s="556"/>
      <c r="X816" s="556"/>
      <c r="Y816" s="556"/>
      <c r="Z816" s="579"/>
      <c r="AA816" s="556"/>
      <c r="AB816" s="556"/>
      <c r="AC816" s="556"/>
      <c r="AD816" s="556"/>
    </row>
    <row r="817" ht="15.75" customHeight="1">
      <c r="A817" s="556"/>
      <c r="B817" s="556"/>
      <c r="C817" s="596"/>
      <c r="D817" s="556"/>
      <c r="E817" s="596"/>
      <c r="F817" s="556"/>
      <c r="G817" s="556"/>
      <c r="H817" s="556"/>
      <c r="I817" s="556"/>
      <c r="J817" s="556"/>
      <c r="K817" s="556"/>
      <c r="L817" s="556"/>
      <c r="M817" s="556"/>
      <c r="N817" s="556"/>
      <c r="O817" s="556"/>
      <c r="P817" s="556"/>
      <c r="Q817" s="556"/>
      <c r="R817" s="596"/>
      <c r="S817" s="596"/>
      <c r="T817" s="556"/>
      <c r="U817" s="556"/>
      <c r="V817" s="807"/>
      <c r="W817" s="556"/>
      <c r="X817" s="556"/>
      <c r="Y817" s="556"/>
      <c r="Z817" s="579"/>
      <c r="AA817" s="556"/>
      <c r="AB817" s="556"/>
      <c r="AC817" s="556"/>
      <c r="AD817" s="556"/>
    </row>
    <row r="818" ht="15.75" customHeight="1">
      <c r="A818" s="556"/>
      <c r="B818" s="556"/>
      <c r="C818" s="596"/>
      <c r="D818" s="556"/>
      <c r="E818" s="596"/>
      <c r="F818" s="556"/>
      <c r="G818" s="556"/>
      <c r="H818" s="556"/>
      <c r="I818" s="556"/>
      <c r="J818" s="556"/>
      <c r="K818" s="556"/>
      <c r="L818" s="556"/>
      <c r="M818" s="556"/>
      <c r="N818" s="556"/>
      <c r="O818" s="556"/>
      <c r="P818" s="556"/>
      <c r="Q818" s="556"/>
      <c r="R818" s="596"/>
      <c r="S818" s="596"/>
      <c r="T818" s="556"/>
      <c r="U818" s="556"/>
      <c r="V818" s="807"/>
      <c r="W818" s="556"/>
      <c r="X818" s="556"/>
      <c r="Y818" s="556"/>
      <c r="Z818" s="579"/>
      <c r="AA818" s="556"/>
      <c r="AB818" s="556"/>
      <c r="AC818" s="556"/>
      <c r="AD818" s="556"/>
    </row>
    <row r="819" ht="15.75" customHeight="1">
      <c r="A819" s="556"/>
      <c r="B819" s="556"/>
      <c r="C819" s="596"/>
      <c r="D819" s="556"/>
      <c r="E819" s="596"/>
      <c r="F819" s="556"/>
      <c r="G819" s="556"/>
      <c r="H819" s="556"/>
      <c r="I819" s="556"/>
      <c r="J819" s="556"/>
      <c r="K819" s="556"/>
      <c r="L819" s="556"/>
      <c r="M819" s="556"/>
      <c r="N819" s="556"/>
      <c r="O819" s="556"/>
      <c r="P819" s="556"/>
      <c r="Q819" s="556"/>
      <c r="R819" s="596"/>
      <c r="S819" s="596"/>
      <c r="T819" s="556"/>
      <c r="U819" s="556"/>
      <c r="V819" s="807"/>
      <c r="W819" s="556"/>
      <c r="X819" s="556"/>
      <c r="Y819" s="556"/>
      <c r="Z819" s="579"/>
      <c r="AA819" s="556"/>
      <c r="AB819" s="556"/>
      <c r="AC819" s="556"/>
      <c r="AD819" s="556"/>
    </row>
    <row r="820" ht="15.75" customHeight="1">
      <c r="A820" s="556"/>
      <c r="B820" s="556"/>
      <c r="C820" s="596"/>
      <c r="D820" s="556"/>
      <c r="E820" s="596"/>
      <c r="F820" s="556"/>
      <c r="G820" s="556"/>
      <c r="H820" s="556"/>
      <c r="I820" s="556"/>
      <c r="J820" s="556"/>
      <c r="K820" s="556"/>
      <c r="L820" s="556"/>
      <c r="M820" s="556"/>
      <c r="N820" s="556"/>
      <c r="O820" s="556"/>
      <c r="P820" s="556"/>
      <c r="Q820" s="556"/>
      <c r="R820" s="596"/>
      <c r="S820" s="596"/>
      <c r="T820" s="556"/>
      <c r="U820" s="556"/>
      <c r="V820" s="807"/>
      <c r="W820" s="556"/>
      <c r="X820" s="556"/>
      <c r="Y820" s="556"/>
      <c r="Z820" s="579"/>
      <c r="AA820" s="556"/>
      <c r="AB820" s="556"/>
      <c r="AC820" s="556"/>
      <c r="AD820" s="556"/>
    </row>
    <row r="821" ht="15.75" customHeight="1">
      <c r="A821" s="556"/>
      <c r="B821" s="556"/>
      <c r="C821" s="596"/>
      <c r="D821" s="556"/>
      <c r="E821" s="596"/>
      <c r="F821" s="556"/>
      <c r="G821" s="556"/>
      <c r="H821" s="556"/>
      <c r="I821" s="556"/>
      <c r="J821" s="556"/>
      <c r="K821" s="556"/>
      <c r="L821" s="556"/>
      <c r="M821" s="556"/>
      <c r="N821" s="556"/>
      <c r="O821" s="556"/>
      <c r="P821" s="556"/>
      <c r="Q821" s="556"/>
      <c r="R821" s="596"/>
      <c r="S821" s="596"/>
      <c r="T821" s="556"/>
      <c r="U821" s="556"/>
      <c r="V821" s="807"/>
      <c r="W821" s="556"/>
      <c r="X821" s="556"/>
      <c r="Y821" s="556"/>
      <c r="Z821" s="579"/>
      <c r="AA821" s="556"/>
      <c r="AB821" s="556"/>
      <c r="AC821" s="556"/>
      <c r="AD821" s="556"/>
    </row>
    <row r="822" ht="15.75" customHeight="1">
      <c r="A822" s="556"/>
      <c r="B822" s="556"/>
      <c r="C822" s="596"/>
      <c r="D822" s="556"/>
      <c r="E822" s="596"/>
      <c r="F822" s="556"/>
      <c r="G822" s="556"/>
      <c r="H822" s="556"/>
      <c r="I822" s="556"/>
      <c r="J822" s="556"/>
      <c r="K822" s="556"/>
      <c r="L822" s="556"/>
      <c r="M822" s="556"/>
      <c r="N822" s="556"/>
      <c r="O822" s="556"/>
      <c r="P822" s="556"/>
      <c r="Q822" s="556"/>
      <c r="R822" s="596"/>
      <c r="S822" s="596"/>
      <c r="T822" s="556"/>
      <c r="U822" s="556"/>
      <c r="V822" s="807"/>
      <c r="W822" s="556"/>
      <c r="X822" s="556"/>
      <c r="Y822" s="556"/>
      <c r="Z822" s="579"/>
      <c r="AA822" s="556"/>
      <c r="AB822" s="556"/>
      <c r="AC822" s="556"/>
      <c r="AD822" s="556"/>
    </row>
    <row r="823" ht="15.75" customHeight="1">
      <c r="A823" s="556"/>
      <c r="B823" s="556"/>
      <c r="C823" s="596"/>
      <c r="D823" s="556"/>
      <c r="E823" s="596"/>
      <c r="F823" s="556"/>
      <c r="G823" s="556"/>
      <c r="H823" s="556"/>
      <c r="I823" s="556"/>
      <c r="J823" s="556"/>
      <c r="K823" s="556"/>
      <c r="L823" s="556"/>
      <c r="M823" s="556"/>
      <c r="N823" s="556"/>
      <c r="O823" s="556"/>
      <c r="P823" s="556"/>
      <c r="Q823" s="556"/>
      <c r="R823" s="596"/>
      <c r="S823" s="596"/>
      <c r="T823" s="556"/>
      <c r="U823" s="556"/>
      <c r="V823" s="807"/>
      <c r="W823" s="556"/>
      <c r="X823" s="556"/>
      <c r="Y823" s="556"/>
      <c r="Z823" s="579"/>
      <c r="AA823" s="556"/>
      <c r="AB823" s="556"/>
      <c r="AC823" s="556"/>
      <c r="AD823" s="556"/>
    </row>
    <row r="824" ht="15.75" customHeight="1">
      <c r="A824" s="556"/>
      <c r="B824" s="556"/>
      <c r="C824" s="596"/>
      <c r="D824" s="556"/>
      <c r="E824" s="596"/>
      <c r="F824" s="556"/>
      <c r="G824" s="556"/>
      <c r="H824" s="556"/>
      <c r="I824" s="556"/>
      <c r="J824" s="556"/>
      <c r="K824" s="556"/>
      <c r="L824" s="556"/>
      <c r="M824" s="556"/>
      <c r="N824" s="556"/>
      <c r="O824" s="556"/>
      <c r="P824" s="556"/>
      <c r="Q824" s="556"/>
      <c r="R824" s="596"/>
      <c r="S824" s="596"/>
      <c r="T824" s="556"/>
      <c r="U824" s="556"/>
      <c r="V824" s="807"/>
      <c r="W824" s="556"/>
      <c r="X824" s="556"/>
      <c r="Y824" s="556"/>
      <c r="Z824" s="579"/>
      <c r="AA824" s="556"/>
      <c r="AB824" s="556"/>
      <c r="AC824" s="556"/>
      <c r="AD824" s="556"/>
    </row>
    <row r="825" ht="15.75" customHeight="1">
      <c r="A825" s="556"/>
      <c r="B825" s="556"/>
      <c r="C825" s="596"/>
      <c r="D825" s="556"/>
      <c r="E825" s="596"/>
      <c r="F825" s="556"/>
      <c r="G825" s="556"/>
      <c r="H825" s="556"/>
      <c r="I825" s="556"/>
      <c r="J825" s="556"/>
      <c r="K825" s="556"/>
      <c r="L825" s="556"/>
      <c r="M825" s="556"/>
      <c r="N825" s="556"/>
      <c r="O825" s="556"/>
      <c r="P825" s="556"/>
      <c r="Q825" s="556"/>
      <c r="R825" s="596"/>
      <c r="S825" s="596"/>
      <c r="T825" s="556"/>
      <c r="U825" s="556"/>
      <c r="V825" s="807"/>
      <c r="W825" s="556"/>
      <c r="X825" s="556"/>
      <c r="Y825" s="556"/>
      <c r="Z825" s="579"/>
      <c r="AA825" s="556"/>
      <c r="AB825" s="556"/>
      <c r="AC825" s="556"/>
      <c r="AD825" s="556"/>
    </row>
    <row r="826" ht="15.75" customHeight="1">
      <c r="A826" s="556"/>
      <c r="B826" s="556"/>
      <c r="C826" s="596"/>
      <c r="D826" s="556"/>
      <c r="E826" s="596"/>
      <c r="F826" s="556"/>
      <c r="G826" s="556"/>
      <c r="H826" s="556"/>
      <c r="I826" s="556"/>
      <c r="J826" s="556"/>
      <c r="K826" s="556"/>
      <c r="L826" s="556"/>
      <c r="M826" s="556"/>
      <c r="N826" s="556"/>
      <c r="O826" s="556"/>
      <c r="P826" s="556"/>
      <c r="Q826" s="556"/>
      <c r="R826" s="596"/>
      <c r="S826" s="596"/>
      <c r="T826" s="556"/>
      <c r="U826" s="556"/>
      <c r="V826" s="807"/>
      <c r="W826" s="556"/>
      <c r="X826" s="556"/>
      <c r="Y826" s="556"/>
      <c r="Z826" s="579"/>
      <c r="AA826" s="556"/>
      <c r="AB826" s="556"/>
      <c r="AC826" s="556"/>
      <c r="AD826" s="556"/>
    </row>
    <row r="827" ht="15.75" customHeight="1">
      <c r="A827" s="556"/>
      <c r="B827" s="556"/>
      <c r="C827" s="596"/>
      <c r="D827" s="556"/>
      <c r="E827" s="596"/>
      <c r="F827" s="556"/>
      <c r="G827" s="556"/>
      <c r="H827" s="556"/>
      <c r="I827" s="556"/>
      <c r="J827" s="556"/>
      <c r="K827" s="556"/>
      <c r="L827" s="556"/>
      <c r="M827" s="556"/>
      <c r="N827" s="556"/>
      <c r="O827" s="556"/>
      <c r="P827" s="556"/>
      <c r="Q827" s="556"/>
      <c r="R827" s="596"/>
      <c r="S827" s="596"/>
      <c r="T827" s="556"/>
      <c r="U827" s="556"/>
      <c r="V827" s="807"/>
      <c r="W827" s="556"/>
      <c r="X827" s="556"/>
      <c r="Y827" s="556"/>
      <c r="Z827" s="579"/>
      <c r="AA827" s="556"/>
      <c r="AB827" s="556"/>
      <c r="AC827" s="556"/>
      <c r="AD827" s="556"/>
    </row>
    <row r="828" ht="15.75" customHeight="1">
      <c r="A828" s="556"/>
      <c r="B828" s="556"/>
      <c r="C828" s="596"/>
      <c r="D828" s="556"/>
      <c r="E828" s="596"/>
      <c r="F828" s="556"/>
      <c r="G828" s="556"/>
      <c r="H828" s="556"/>
      <c r="I828" s="556"/>
      <c r="J828" s="556"/>
      <c r="K828" s="556"/>
      <c r="L828" s="556"/>
      <c r="M828" s="556"/>
      <c r="N828" s="556"/>
      <c r="O828" s="556"/>
      <c r="P828" s="556"/>
      <c r="Q828" s="556"/>
      <c r="R828" s="596"/>
      <c r="S828" s="596"/>
      <c r="T828" s="556"/>
      <c r="U828" s="556"/>
      <c r="V828" s="807"/>
      <c r="W828" s="556"/>
      <c r="X828" s="556"/>
      <c r="Y828" s="556"/>
      <c r="Z828" s="579"/>
      <c r="AA828" s="556"/>
      <c r="AB828" s="556"/>
      <c r="AC828" s="556"/>
      <c r="AD828" s="556"/>
    </row>
    <row r="829" ht="15.75" customHeight="1">
      <c r="A829" s="556"/>
      <c r="B829" s="556"/>
      <c r="C829" s="596"/>
      <c r="D829" s="556"/>
      <c r="E829" s="596"/>
      <c r="F829" s="556"/>
      <c r="G829" s="556"/>
      <c r="H829" s="556"/>
      <c r="I829" s="556"/>
      <c r="J829" s="556"/>
      <c r="K829" s="556"/>
      <c r="L829" s="556"/>
      <c r="M829" s="556"/>
      <c r="N829" s="556"/>
      <c r="O829" s="556"/>
      <c r="P829" s="556"/>
      <c r="Q829" s="556"/>
      <c r="R829" s="596"/>
      <c r="S829" s="596"/>
      <c r="T829" s="556"/>
      <c r="U829" s="556"/>
      <c r="V829" s="807"/>
      <c r="W829" s="556"/>
      <c r="X829" s="556"/>
      <c r="Y829" s="556"/>
      <c r="Z829" s="579"/>
      <c r="AA829" s="556"/>
      <c r="AB829" s="556"/>
      <c r="AC829" s="556"/>
      <c r="AD829" s="556"/>
    </row>
    <row r="830" ht="15.75" customHeight="1">
      <c r="A830" s="556"/>
      <c r="B830" s="556"/>
      <c r="C830" s="596"/>
      <c r="D830" s="556"/>
      <c r="E830" s="596"/>
      <c r="F830" s="556"/>
      <c r="G830" s="556"/>
      <c r="H830" s="556"/>
      <c r="I830" s="556"/>
      <c r="J830" s="556"/>
      <c r="K830" s="556"/>
      <c r="L830" s="556"/>
      <c r="M830" s="556"/>
      <c r="N830" s="556"/>
      <c r="O830" s="556"/>
      <c r="P830" s="556"/>
      <c r="Q830" s="556"/>
      <c r="R830" s="596"/>
      <c r="S830" s="596"/>
      <c r="T830" s="556"/>
      <c r="U830" s="556"/>
      <c r="V830" s="807"/>
      <c r="W830" s="556"/>
      <c r="X830" s="556"/>
      <c r="Y830" s="556"/>
      <c r="Z830" s="579"/>
      <c r="AA830" s="556"/>
      <c r="AB830" s="556"/>
      <c r="AC830" s="556"/>
      <c r="AD830" s="556"/>
    </row>
    <row r="831" ht="15.75" customHeight="1">
      <c r="A831" s="556"/>
      <c r="B831" s="556"/>
      <c r="C831" s="596"/>
      <c r="D831" s="556"/>
      <c r="E831" s="596"/>
      <c r="F831" s="556"/>
      <c r="G831" s="556"/>
      <c r="H831" s="556"/>
      <c r="I831" s="556"/>
      <c r="J831" s="556"/>
      <c r="K831" s="556"/>
      <c r="L831" s="556"/>
      <c r="M831" s="556"/>
      <c r="N831" s="556"/>
      <c r="O831" s="556"/>
      <c r="P831" s="556"/>
      <c r="Q831" s="556"/>
      <c r="R831" s="596"/>
      <c r="S831" s="596"/>
      <c r="T831" s="556"/>
      <c r="U831" s="556"/>
      <c r="V831" s="807"/>
      <c r="W831" s="556"/>
      <c r="X831" s="556"/>
      <c r="Y831" s="556"/>
      <c r="Z831" s="579"/>
      <c r="AA831" s="556"/>
      <c r="AB831" s="556"/>
      <c r="AC831" s="556"/>
      <c r="AD831" s="556"/>
    </row>
    <row r="832" ht="15.75" customHeight="1">
      <c r="A832" s="556"/>
      <c r="B832" s="556"/>
      <c r="C832" s="596"/>
      <c r="D832" s="556"/>
      <c r="E832" s="596"/>
      <c r="F832" s="556"/>
      <c r="G832" s="556"/>
      <c r="H832" s="556"/>
      <c r="I832" s="556"/>
      <c r="J832" s="556"/>
      <c r="K832" s="556"/>
      <c r="L832" s="556"/>
      <c r="M832" s="556"/>
      <c r="N832" s="556"/>
      <c r="O832" s="556"/>
      <c r="P832" s="556"/>
      <c r="Q832" s="556"/>
      <c r="R832" s="596"/>
      <c r="S832" s="596"/>
      <c r="T832" s="556"/>
      <c r="U832" s="556"/>
      <c r="V832" s="807"/>
      <c r="W832" s="556"/>
      <c r="X832" s="556"/>
      <c r="Y832" s="556"/>
      <c r="Z832" s="579"/>
      <c r="AA832" s="556"/>
      <c r="AB832" s="556"/>
      <c r="AC832" s="556"/>
      <c r="AD832" s="556"/>
    </row>
    <row r="833" ht="15.75" customHeight="1">
      <c r="A833" s="556"/>
      <c r="B833" s="556"/>
      <c r="C833" s="596"/>
      <c r="D833" s="556"/>
      <c r="E833" s="596"/>
      <c r="F833" s="556"/>
      <c r="G833" s="556"/>
      <c r="H833" s="556"/>
      <c r="I833" s="556"/>
      <c r="J833" s="556"/>
      <c r="K833" s="556"/>
      <c r="L833" s="556"/>
      <c r="M833" s="556"/>
      <c r="N833" s="556"/>
      <c r="O833" s="556"/>
      <c r="P833" s="556"/>
      <c r="Q833" s="556"/>
      <c r="R833" s="596"/>
      <c r="S833" s="596"/>
      <c r="T833" s="556"/>
      <c r="U833" s="556"/>
      <c r="V833" s="807"/>
      <c r="W833" s="556"/>
      <c r="X833" s="556"/>
      <c r="Y833" s="556"/>
      <c r="Z833" s="579"/>
      <c r="AA833" s="556"/>
      <c r="AB833" s="556"/>
      <c r="AC833" s="556"/>
      <c r="AD833" s="556"/>
    </row>
    <row r="834" ht="15.75" customHeight="1">
      <c r="A834" s="556"/>
      <c r="B834" s="556"/>
      <c r="C834" s="596"/>
      <c r="D834" s="556"/>
      <c r="E834" s="596"/>
      <c r="F834" s="556"/>
      <c r="G834" s="556"/>
      <c r="H834" s="556"/>
      <c r="I834" s="556"/>
      <c r="J834" s="556"/>
      <c r="K834" s="556"/>
      <c r="L834" s="556"/>
      <c r="M834" s="556"/>
      <c r="N834" s="556"/>
      <c r="O834" s="556"/>
      <c r="P834" s="556"/>
      <c r="Q834" s="556"/>
      <c r="R834" s="596"/>
      <c r="S834" s="596"/>
      <c r="T834" s="556"/>
      <c r="U834" s="556"/>
      <c r="V834" s="807"/>
      <c r="W834" s="556"/>
      <c r="X834" s="556"/>
      <c r="Y834" s="556"/>
      <c r="Z834" s="579"/>
      <c r="AA834" s="556"/>
      <c r="AB834" s="556"/>
      <c r="AC834" s="556"/>
      <c r="AD834" s="556"/>
    </row>
    <row r="835" ht="15.75" customHeight="1">
      <c r="A835" s="556"/>
      <c r="B835" s="556"/>
      <c r="C835" s="596"/>
      <c r="D835" s="556"/>
      <c r="E835" s="596"/>
      <c r="F835" s="556"/>
      <c r="G835" s="556"/>
      <c r="H835" s="556"/>
      <c r="I835" s="556"/>
      <c r="J835" s="556"/>
      <c r="K835" s="556"/>
      <c r="L835" s="556"/>
      <c r="M835" s="556"/>
      <c r="N835" s="556"/>
      <c r="O835" s="556"/>
      <c r="P835" s="556"/>
      <c r="Q835" s="556"/>
      <c r="R835" s="596"/>
      <c r="S835" s="596"/>
      <c r="T835" s="556"/>
      <c r="U835" s="556"/>
      <c r="V835" s="807"/>
      <c r="W835" s="556"/>
      <c r="X835" s="556"/>
      <c r="Y835" s="556"/>
      <c r="Z835" s="579"/>
      <c r="AA835" s="556"/>
      <c r="AB835" s="556"/>
      <c r="AC835" s="556"/>
      <c r="AD835" s="556"/>
    </row>
    <row r="836" ht="15.75" customHeight="1">
      <c r="A836" s="556"/>
      <c r="B836" s="556"/>
      <c r="C836" s="596"/>
      <c r="D836" s="556"/>
      <c r="E836" s="596"/>
      <c r="F836" s="556"/>
      <c r="G836" s="556"/>
      <c r="H836" s="556"/>
      <c r="I836" s="556"/>
      <c r="J836" s="556"/>
      <c r="K836" s="556"/>
      <c r="L836" s="556"/>
      <c r="M836" s="556"/>
      <c r="N836" s="556"/>
      <c r="O836" s="556"/>
      <c r="P836" s="556"/>
      <c r="Q836" s="556"/>
      <c r="R836" s="596"/>
      <c r="S836" s="596"/>
      <c r="T836" s="556"/>
      <c r="U836" s="556"/>
      <c r="V836" s="807"/>
      <c r="W836" s="556"/>
      <c r="X836" s="556"/>
      <c r="Y836" s="556"/>
      <c r="Z836" s="579"/>
      <c r="AA836" s="556"/>
      <c r="AB836" s="556"/>
      <c r="AC836" s="556"/>
      <c r="AD836" s="556"/>
    </row>
    <row r="837" ht="15.75" customHeight="1">
      <c r="A837" s="556"/>
      <c r="B837" s="556"/>
      <c r="C837" s="596"/>
      <c r="D837" s="556"/>
      <c r="E837" s="596"/>
      <c r="F837" s="556"/>
      <c r="G837" s="556"/>
      <c r="H837" s="556"/>
      <c r="I837" s="556"/>
      <c r="J837" s="556"/>
      <c r="K837" s="556"/>
      <c r="L837" s="556"/>
      <c r="M837" s="556"/>
      <c r="N837" s="556"/>
      <c r="O837" s="556"/>
      <c r="P837" s="556"/>
      <c r="Q837" s="556"/>
      <c r="R837" s="596"/>
      <c r="S837" s="596"/>
      <c r="T837" s="556"/>
      <c r="U837" s="556"/>
      <c r="V837" s="807"/>
      <c r="W837" s="556"/>
      <c r="X837" s="556"/>
      <c r="Y837" s="556"/>
      <c r="Z837" s="579"/>
      <c r="AA837" s="556"/>
      <c r="AB837" s="556"/>
      <c r="AC837" s="556"/>
      <c r="AD837" s="556"/>
    </row>
    <row r="838" ht="15.75" customHeight="1">
      <c r="A838" s="556"/>
      <c r="B838" s="556"/>
      <c r="C838" s="596"/>
      <c r="D838" s="556"/>
      <c r="E838" s="596"/>
      <c r="F838" s="556"/>
      <c r="G838" s="556"/>
      <c r="H838" s="556"/>
      <c r="I838" s="556"/>
      <c r="J838" s="556"/>
      <c r="K838" s="556"/>
      <c r="L838" s="556"/>
      <c r="M838" s="556"/>
      <c r="N838" s="556"/>
      <c r="O838" s="556"/>
      <c r="P838" s="556"/>
      <c r="Q838" s="556"/>
      <c r="R838" s="596"/>
      <c r="S838" s="596"/>
      <c r="T838" s="556"/>
      <c r="U838" s="556"/>
      <c r="V838" s="807"/>
      <c r="W838" s="556"/>
      <c r="X838" s="556"/>
      <c r="Y838" s="556"/>
      <c r="Z838" s="579"/>
      <c r="AA838" s="556"/>
      <c r="AB838" s="556"/>
      <c r="AC838" s="556"/>
      <c r="AD838" s="556"/>
    </row>
    <row r="839" ht="15.75" customHeight="1">
      <c r="A839" s="556"/>
      <c r="B839" s="556"/>
      <c r="C839" s="596"/>
      <c r="D839" s="556"/>
      <c r="E839" s="596"/>
      <c r="F839" s="556"/>
      <c r="G839" s="556"/>
      <c r="H839" s="556"/>
      <c r="I839" s="556"/>
      <c r="J839" s="556"/>
      <c r="K839" s="556"/>
      <c r="L839" s="556"/>
      <c r="M839" s="556"/>
      <c r="N839" s="556"/>
      <c r="O839" s="556"/>
      <c r="P839" s="556"/>
      <c r="Q839" s="556"/>
      <c r="R839" s="596"/>
      <c r="S839" s="596"/>
      <c r="T839" s="556"/>
      <c r="U839" s="556"/>
      <c r="V839" s="807"/>
      <c r="W839" s="556"/>
      <c r="X839" s="556"/>
      <c r="Y839" s="556"/>
      <c r="Z839" s="579"/>
      <c r="AA839" s="556"/>
      <c r="AB839" s="556"/>
      <c r="AC839" s="556"/>
      <c r="AD839" s="556"/>
    </row>
    <row r="840" ht="15.75" customHeight="1">
      <c r="A840" s="556"/>
      <c r="B840" s="556"/>
      <c r="C840" s="596"/>
      <c r="D840" s="556"/>
      <c r="E840" s="596"/>
      <c r="F840" s="556"/>
      <c r="G840" s="556"/>
      <c r="H840" s="556"/>
      <c r="I840" s="556"/>
      <c r="J840" s="556"/>
      <c r="K840" s="556"/>
      <c r="L840" s="556"/>
      <c r="M840" s="556"/>
      <c r="N840" s="556"/>
      <c r="O840" s="556"/>
      <c r="P840" s="556"/>
      <c r="Q840" s="556"/>
      <c r="R840" s="596"/>
      <c r="S840" s="596"/>
      <c r="T840" s="556"/>
      <c r="U840" s="556"/>
      <c r="V840" s="807"/>
      <c r="W840" s="556"/>
      <c r="X840" s="556"/>
      <c r="Y840" s="556"/>
      <c r="Z840" s="579"/>
      <c r="AA840" s="556"/>
      <c r="AB840" s="556"/>
      <c r="AC840" s="556"/>
      <c r="AD840" s="556"/>
    </row>
    <row r="841" ht="15.75" customHeight="1">
      <c r="A841" s="556"/>
      <c r="B841" s="556"/>
      <c r="C841" s="596"/>
      <c r="D841" s="556"/>
      <c r="E841" s="596"/>
      <c r="F841" s="556"/>
      <c r="G841" s="556"/>
      <c r="H841" s="556"/>
      <c r="I841" s="556"/>
      <c r="J841" s="556"/>
      <c r="K841" s="556"/>
      <c r="L841" s="556"/>
      <c r="M841" s="556"/>
      <c r="N841" s="556"/>
      <c r="O841" s="556"/>
      <c r="P841" s="556"/>
      <c r="Q841" s="556"/>
      <c r="R841" s="596"/>
      <c r="S841" s="596"/>
      <c r="T841" s="556"/>
      <c r="U841" s="556"/>
      <c r="V841" s="807"/>
      <c r="W841" s="556"/>
      <c r="X841" s="556"/>
      <c r="Y841" s="556"/>
      <c r="Z841" s="579"/>
      <c r="AA841" s="556"/>
      <c r="AB841" s="556"/>
      <c r="AC841" s="556"/>
      <c r="AD841" s="556"/>
    </row>
    <row r="842" ht="15.75" customHeight="1">
      <c r="A842" s="556"/>
      <c r="B842" s="556"/>
      <c r="C842" s="596"/>
      <c r="D842" s="556"/>
      <c r="E842" s="596"/>
      <c r="F842" s="556"/>
      <c r="G842" s="556"/>
      <c r="H842" s="556"/>
      <c r="I842" s="556"/>
      <c r="J842" s="556"/>
      <c r="K842" s="556"/>
      <c r="L842" s="556"/>
      <c r="M842" s="556"/>
      <c r="N842" s="556"/>
      <c r="O842" s="556"/>
      <c r="P842" s="556"/>
      <c r="Q842" s="556"/>
      <c r="R842" s="596"/>
      <c r="S842" s="596"/>
      <c r="T842" s="556"/>
      <c r="U842" s="556"/>
      <c r="V842" s="807"/>
      <c r="W842" s="556"/>
      <c r="X842" s="556"/>
      <c r="Y842" s="556"/>
      <c r="Z842" s="579"/>
      <c r="AA842" s="556"/>
      <c r="AB842" s="556"/>
      <c r="AC842" s="556"/>
      <c r="AD842" s="556"/>
    </row>
    <row r="843" ht="15.75" customHeight="1">
      <c r="A843" s="556"/>
      <c r="B843" s="556"/>
      <c r="C843" s="596"/>
      <c r="D843" s="556"/>
      <c r="E843" s="596"/>
      <c r="F843" s="556"/>
      <c r="G843" s="556"/>
      <c r="H843" s="556"/>
      <c r="I843" s="556"/>
      <c r="J843" s="556"/>
      <c r="K843" s="556"/>
      <c r="L843" s="556"/>
      <c r="M843" s="556"/>
      <c r="N843" s="556"/>
      <c r="O843" s="556"/>
      <c r="P843" s="556"/>
      <c r="Q843" s="556"/>
      <c r="R843" s="596"/>
      <c r="S843" s="596"/>
      <c r="T843" s="556"/>
      <c r="U843" s="556"/>
      <c r="V843" s="807"/>
      <c r="W843" s="556"/>
      <c r="X843" s="556"/>
      <c r="Y843" s="556"/>
      <c r="Z843" s="579"/>
      <c r="AA843" s="556"/>
      <c r="AB843" s="556"/>
      <c r="AC843" s="556"/>
      <c r="AD843" s="556"/>
    </row>
    <row r="844" ht="15.75" customHeight="1">
      <c r="A844" s="556"/>
      <c r="B844" s="556"/>
      <c r="C844" s="596"/>
      <c r="D844" s="556"/>
      <c r="E844" s="596"/>
      <c r="F844" s="556"/>
      <c r="G844" s="556"/>
      <c r="H844" s="556"/>
      <c r="I844" s="556"/>
      <c r="J844" s="556"/>
      <c r="K844" s="556"/>
      <c r="L844" s="556"/>
      <c r="M844" s="556"/>
      <c r="N844" s="556"/>
      <c r="O844" s="556"/>
      <c r="P844" s="556"/>
      <c r="Q844" s="556"/>
      <c r="R844" s="596"/>
      <c r="S844" s="596"/>
      <c r="T844" s="556"/>
      <c r="U844" s="556"/>
      <c r="V844" s="807"/>
      <c r="W844" s="556"/>
      <c r="X844" s="556"/>
      <c r="Y844" s="556"/>
      <c r="Z844" s="579"/>
      <c r="AA844" s="556"/>
      <c r="AB844" s="556"/>
      <c r="AC844" s="556"/>
      <c r="AD844" s="556"/>
    </row>
    <row r="845" ht="15.75" customHeight="1">
      <c r="A845" s="556"/>
      <c r="B845" s="556"/>
      <c r="C845" s="596"/>
      <c r="D845" s="556"/>
      <c r="E845" s="596"/>
      <c r="F845" s="556"/>
      <c r="G845" s="556"/>
      <c r="H845" s="556"/>
      <c r="I845" s="556"/>
      <c r="J845" s="556"/>
      <c r="K845" s="556"/>
      <c r="L845" s="556"/>
      <c r="M845" s="556"/>
      <c r="N845" s="556"/>
      <c r="O845" s="556"/>
      <c r="P845" s="556"/>
      <c r="Q845" s="556"/>
      <c r="R845" s="596"/>
      <c r="S845" s="596"/>
      <c r="T845" s="556"/>
      <c r="U845" s="556"/>
      <c r="V845" s="807"/>
      <c r="W845" s="556"/>
      <c r="X845" s="556"/>
      <c r="Y845" s="556"/>
      <c r="Z845" s="579"/>
      <c r="AA845" s="556"/>
      <c r="AB845" s="556"/>
      <c r="AC845" s="556"/>
      <c r="AD845" s="556"/>
    </row>
    <row r="846" ht="15.75" customHeight="1">
      <c r="A846" s="556"/>
      <c r="B846" s="556"/>
      <c r="C846" s="596"/>
      <c r="D846" s="556"/>
      <c r="E846" s="596"/>
      <c r="F846" s="556"/>
      <c r="G846" s="556"/>
      <c r="H846" s="556"/>
      <c r="I846" s="556"/>
      <c r="J846" s="556"/>
      <c r="K846" s="556"/>
      <c r="L846" s="556"/>
      <c r="M846" s="556"/>
      <c r="N846" s="556"/>
      <c r="O846" s="556"/>
      <c r="P846" s="556"/>
      <c r="Q846" s="556"/>
      <c r="R846" s="596"/>
      <c r="S846" s="596"/>
      <c r="T846" s="556"/>
      <c r="U846" s="556"/>
      <c r="V846" s="807"/>
      <c r="W846" s="556"/>
      <c r="X846" s="556"/>
      <c r="Y846" s="556"/>
      <c r="Z846" s="579"/>
      <c r="AA846" s="556"/>
      <c r="AB846" s="556"/>
      <c r="AC846" s="556"/>
      <c r="AD846" s="556"/>
    </row>
    <row r="847" ht="15.75" customHeight="1">
      <c r="A847" s="556"/>
      <c r="B847" s="556"/>
      <c r="C847" s="596"/>
      <c r="D847" s="556"/>
      <c r="E847" s="596"/>
      <c r="F847" s="556"/>
      <c r="G847" s="556"/>
      <c r="H847" s="556"/>
      <c r="I847" s="556"/>
      <c r="J847" s="556"/>
      <c r="K847" s="556"/>
      <c r="L847" s="556"/>
      <c r="M847" s="556"/>
      <c r="N847" s="556"/>
      <c r="O847" s="556"/>
      <c r="P847" s="556"/>
      <c r="Q847" s="556"/>
      <c r="R847" s="596"/>
      <c r="S847" s="596"/>
      <c r="T847" s="556"/>
      <c r="U847" s="556"/>
      <c r="V847" s="807"/>
      <c r="W847" s="556"/>
      <c r="X847" s="556"/>
      <c r="Y847" s="556"/>
      <c r="Z847" s="579"/>
      <c r="AA847" s="556"/>
      <c r="AB847" s="556"/>
      <c r="AC847" s="556"/>
      <c r="AD847" s="556"/>
    </row>
    <row r="848" ht="15.75" customHeight="1">
      <c r="A848" s="556"/>
      <c r="B848" s="556"/>
      <c r="C848" s="596"/>
      <c r="D848" s="556"/>
      <c r="E848" s="596"/>
      <c r="F848" s="556"/>
      <c r="G848" s="556"/>
      <c r="H848" s="556"/>
      <c r="I848" s="556"/>
      <c r="J848" s="556"/>
      <c r="K848" s="556"/>
      <c r="L848" s="556"/>
      <c r="M848" s="556"/>
      <c r="N848" s="556"/>
      <c r="O848" s="556"/>
      <c r="P848" s="556"/>
      <c r="Q848" s="556"/>
      <c r="R848" s="596"/>
      <c r="S848" s="596"/>
      <c r="T848" s="556"/>
      <c r="U848" s="556"/>
      <c r="V848" s="807"/>
      <c r="W848" s="556"/>
      <c r="X848" s="556"/>
      <c r="Y848" s="556"/>
      <c r="Z848" s="579"/>
      <c r="AA848" s="556"/>
      <c r="AB848" s="556"/>
      <c r="AC848" s="556"/>
      <c r="AD848" s="556"/>
    </row>
    <row r="849" ht="15.75" customHeight="1">
      <c r="A849" s="556"/>
      <c r="B849" s="556"/>
      <c r="C849" s="596"/>
      <c r="D849" s="556"/>
      <c r="E849" s="596"/>
      <c r="F849" s="556"/>
      <c r="G849" s="556"/>
      <c r="H849" s="556"/>
      <c r="I849" s="556"/>
      <c r="J849" s="556"/>
      <c r="K849" s="556"/>
      <c r="L849" s="556"/>
      <c r="M849" s="556"/>
      <c r="N849" s="556"/>
      <c r="O849" s="556"/>
      <c r="P849" s="556"/>
      <c r="Q849" s="556"/>
      <c r="R849" s="596"/>
      <c r="S849" s="596"/>
      <c r="T849" s="556"/>
      <c r="U849" s="556"/>
      <c r="V849" s="807"/>
      <c r="W849" s="556"/>
      <c r="X849" s="556"/>
      <c r="Y849" s="556"/>
      <c r="Z849" s="579"/>
      <c r="AA849" s="556"/>
      <c r="AB849" s="556"/>
      <c r="AC849" s="556"/>
      <c r="AD849" s="556"/>
    </row>
    <row r="850" ht="15.75" customHeight="1">
      <c r="A850" s="556"/>
      <c r="B850" s="556"/>
      <c r="C850" s="596"/>
      <c r="D850" s="556"/>
      <c r="E850" s="596"/>
      <c r="F850" s="556"/>
      <c r="G850" s="556"/>
      <c r="H850" s="556"/>
      <c r="I850" s="556"/>
      <c r="J850" s="556"/>
      <c r="K850" s="556"/>
      <c r="L850" s="556"/>
      <c r="M850" s="556"/>
      <c r="N850" s="556"/>
      <c r="O850" s="556"/>
      <c r="P850" s="556"/>
      <c r="Q850" s="556"/>
      <c r="R850" s="596"/>
      <c r="S850" s="596"/>
      <c r="T850" s="556"/>
      <c r="U850" s="556"/>
      <c r="V850" s="807"/>
      <c r="W850" s="556"/>
      <c r="X850" s="556"/>
      <c r="Y850" s="556"/>
      <c r="Z850" s="579"/>
      <c r="AA850" s="556"/>
      <c r="AB850" s="556"/>
      <c r="AC850" s="556"/>
      <c r="AD850" s="556"/>
    </row>
    <row r="851" ht="15.75" customHeight="1">
      <c r="A851" s="556"/>
      <c r="B851" s="556"/>
      <c r="C851" s="596"/>
      <c r="D851" s="556"/>
      <c r="E851" s="596"/>
      <c r="F851" s="556"/>
      <c r="G851" s="556"/>
      <c r="H851" s="556"/>
      <c r="I851" s="556"/>
      <c r="J851" s="556"/>
      <c r="K851" s="556"/>
      <c r="L851" s="556"/>
      <c r="M851" s="556"/>
      <c r="N851" s="556"/>
      <c r="O851" s="556"/>
      <c r="P851" s="556"/>
      <c r="Q851" s="556"/>
      <c r="R851" s="596"/>
      <c r="S851" s="596"/>
      <c r="T851" s="556"/>
      <c r="U851" s="556"/>
      <c r="V851" s="807"/>
      <c r="W851" s="556"/>
      <c r="X851" s="556"/>
      <c r="Y851" s="556"/>
      <c r="Z851" s="579"/>
      <c r="AA851" s="556"/>
      <c r="AB851" s="556"/>
      <c r="AC851" s="556"/>
      <c r="AD851" s="556"/>
    </row>
    <row r="852" ht="15.75" customHeight="1">
      <c r="A852" s="556"/>
      <c r="B852" s="556"/>
      <c r="C852" s="596"/>
      <c r="D852" s="556"/>
      <c r="E852" s="596"/>
      <c r="F852" s="556"/>
      <c r="G852" s="556"/>
      <c r="H852" s="556"/>
      <c r="I852" s="556"/>
      <c r="J852" s="556"/>
      <c r="K852" s="556"/>
      <c r="L852" s="556"/>
      <c r="M852" s="556"/>
      <c r="N852" s="556"/>
      <c r="O852" s="556"/>
      <c r="P852" s="556"/>
      <c r="Q852" s="556"/>
      <c r="R852" s="596"/>
      <c r="S852" s="596"/>
      <c r="T852" s="556"/>
      <c r="U852" s="556"/>
      <c r="V852" s="807"/>
      <c r="W852" s="556"/>
      <c r="X852" s="556"/>
      <c r="Y852" s="556"/>
      <c r="Z852" s="579"/>
      <c r="AA852" s="556"/>
      <c r="AB852" s="556"/>
      <c r="AC852" s="556"/>
      <c r="AD852" s="556"/>
    </row>
    <row r="853" ht="15.75" customHeight="1">
      <c r="A853" s="556"/>
      <c r="B853" s="556"/>
      <c r="C853" s="596"/>
      <c r="D853" s="556"/>
      <c r="E853" s="596"/>
      <c r="F853" s="556"/>
      <c r="G853" s="556"/>
      <c r="H853" s="556"/>
      <c r="I853" s="556"/>
      <c r="J853" s="556"/>
      <c r="K853" s="556"/>
      <c r="L853" s="556"/>
      <c r="M853" s="556"/>
      <c r="N853" s="556"/>
      <c r="O853" s="556"/>
      <c r="P853" s="556"/>
      <c r="Q853" s="556"/>
      <c r="R853" s="596"/>
      <c r="S853" s="596"/>
      <c r="T853" s="556"/>
      <c r="U853" s="556"/>
      <c r="V853" s="807"/>
      <c r="W853" s="556"/>
      <c r="X853" s="556"/>
      <c r="Y853" s="556"/>
      <c r="Z853" s="579"/>
      <c r="AA853" s="556"/>
      <c r="AB853" s="556"/>
      <c r="AC853" s="556"/>
      <c r="AD853" s="556"/>
    </row>
    <row r="854" ht="15.75" customHeight="1">
      <c r="A854" s="556"/>
      <c r="B854" s="556"/>
      <c r="C854" s="596"/>
      <c r="D854" s="556"/>
      <c r="E854" s="596"/>
      <c r="F854" s="556"/>
      <c r="G854" s="556"/>
      <c r="H854" s="556"/>
      <c r="I854" s="556"/>
      <c r="J854" s="556"/>
      <c r="K854" s="556"/>
      <c r="L854" s="556"/>
      <c r="M854" s="556"/>
      <c r="N854" s="556"/>
      <c r="O854" s="556"/>
      <c r="P854" s="556"/>
      <c r="Q854" s="556"/>
      <c r="R854" s="596"/>
      <c r="S854" s="596"/>
      <c r="T854" s="556"/>
      <c r="U854" s="556"/>
      <c r="V854" s="807"/>
      <c r="W854" s="556"/>
      <c r="X854" s="556"/>
      <c r="Y854" s="556"/>
      <c r="Z854" s="579"/>
      <c r="AA854" s="556"/>
      <c r="AB854" s="556"/>
      <c r="AC854" s="556"/>
      <c r="AD854" s="556"/>
    </row>
    <row r="855" ht="15.75" customHeight="1">
      <c r="A855" s="556"/>
      <c r="B855" s="556"/>
      <c r="C855" s="596"/>
      <c r="D855" s="556"/>
      <c r="E855" s="596"/>
      <c r="F855" s="556"/>
      <c r="G855" s="556"/>
      <c r="H855" s="556"/>
      <c r="I855" s="556"/>
      <c r="J855" s="556"/>
      <c r="K855" s="556"/>
      <c r="L855" s="556"/>
      <c r="M855" s="556"/>
      <c r="N855" s="556"/>
      <c r="O855" s="556"/>
      <c r="P855" s="556"/>
      <c r="Q855" s="556"/>
      <c r="R855" s="596"/>
      <c r="S855" s="596"/>
      <c r="T855" s="556"/>
      <c r="U855" s="556"/>
      <c r="V855" s="807"/>
      <c r="W855" s="556"/>
      <c r="X855" s="556"/>
      <c r="Y855" s="556"/>
      <c r="Z855" s="579"/>
      <c r="AA855" s="556"/>
      <c r="AB855" s="556"/>
      <c r="AC855" s="556"/>
      <c r="AD855" s="556"/>
    </row>
    <row r="856" ht="15.75" customHeight="1">
      <c r="A856" s="556"/>
      <c r="B856" s="556"/>
      <c r="C856" s="596"/>
      <c r="D856" s="556"/>
      <c r="E856" s="596"/>
      <c r="F856" s="556"/>
      <c r="G856" s="556"/>
      <c r="H856" s="556"/>
      <c r="I856" s="556"/>
      <c r="J856" s="556"/>
      <c r="K856" s="556"/>
      <c r="L856" s="556"/>
      <c r="M856" s="556"/>
      <c r="N856" s="556"/>
      <c r="O856" s="556"/>
      <c r="P856" s="556"/>
      <c r="Q856" s="556"/>
      <c r="R856" s="596"/>
      <c r="S856" s="596"/>
      <c r="T856" s="556"/>
      <c r="U856" s="556"/>
      <c r="V856" s="807"/>
      <c r="W856" s="556"/>
      <c r="X856" s="556"/>
      <c r="Y856" s="556"/>
      <c r="Z856" s="579"/>
      <c r="AA856" s="556"/>
      <c r="AB856" s="556"/>
      <c r="AC856" s="556"/>
      <c r="AD856" s="556"/>
    </row>
    <row r="857" ht="15.75" customHeight="1">
      <c r="A857" s="556"/>
      <c r="B857" s="556"/>
      <c r="C857" s="596"/>
      <c r="D857" s="556"/>
      <c r="E857" s="596"/>
      <c r="F857" s="556"/>
      <c r="G857" s="556"/>
      <c r="H857" s="556"/>
      <c r="I857" s="556"/>
      <c r="J857" s="556"/>
      <c r="K857" s="556"/>
      <c r="L857" s="556"/>
      <c r="M857" s="556"/>
      <c r="N857" s="556"/>
      <c r="O857" s="556"/>
      <c r="P857" s="556"/>
      <c r="Q857" s="556"/>
      <c r="R857" s="596"/>
      <c r="S857" s="596"/>
      <c r="T857" s="556"/>
      <c r="U857" s="556"/>
      <c r="V857" s="807"/>
      <c r="W857" s="556"/>
      <c r="X857" s="556"/>
      <c r="Y857" s="556"/>
      <c r="Z857" s="579"/>
      <c r="AA857" s="556"/>
      <c r="AB857" s="556"/>
      <c r="AC857" s="556"/>
      <c r="AD857" s="556"/>
    </row>
    <row r="858" ht="15.75" customHeight="1">
      <c r="A858" s="556"/>
      <c r="B858" s="556"/>
      <c r="C858" s="596"/>
      <c r="D858" s="556"/>
      <c r="E858" s="596"/>
      <c r="F858" s="556"/>
      <c r="G858" s="556"/>
      <c r="H858" s="556"/>
      <c r="I858" s="556"/>
      <c r="J858" s="556"/>
      <c r="K858" s="556"/>
      <c r="L858" s="556"/>
      <c r="M858" s="556"/>
      <c r="N858" s="556"/>
      <c r="O858" s="556"/>
      <c r="P858" s="556"/>
      <c r="Q858" s="556"/>
      <c r="R858" s="596"/>
      <c r="S858" s="596"/>
      <c r="T858" s="556"/>
      <c r="U858" s="556"/>
      <c r="V858" s="807"/>
      <c r="W858" s="556"/>
      <c r="X858" s="556"/>
      <c r="Y858" s="556"/>
      <c r="Z858" s="579"/>
      <c r="AA858" s="556"/>
      <c r="AB858" s="556"/>
      <c r="AC858" s="556"/>
      <c r="AD858" s="556"/>
    </row>
    <row r="859" ht="15.75" customHeight="1">
      <c r="A859" s="556"/>
      <c r="B859" s="556"/>
      <c r="C859" s="596"/>
      <c r="D859" s="556"/>
      <c r="E859" s="596"/>
      <c r="F859" s="556"/>
      <c r="G859" s="556"/>
      <c r="H859" s="556"/>
      <c r="I859" s="556"/>
      <c r="J859" s="556"/>
      <c r="K859" s="556"/>
      <c r="L859" s="556"/>
      <c r="M859" s="556"/>
      <c r="N859" s="556"/>
      <c r="O859" s="556"/>
      <c r="P859" s="556"/>
      <c r="Q859" s="556"/>
      <c r="R859" s="596"/>
      <c r="S859" s="596"/>
      <c r="T859" s="556"/>
      <c r="U859" s="556"/>
      <c r="V859" s="807"/>
      <c r="W859" s="556"/>
      <c r="X859" s="556"/>
      <c r="Y859" s="556"/>
      <c r="Z859" s="579"/>
      <c r="AA859" s="556"/>
      <c r="AB859" s="556"/>
      <c r="AC859" s="556"/>
      <c r="AD859" s="556"/>
    </row>
    <row r="860" ht="15.75" customHeight="1">
      <c r="A860" s="556"/>
      <c r="B860" s="556"/>
      <c r="C860" s="596"/>
      <c r="D860" s="556"/>
      <c r="E860" s="596"/>
      <c r="F860" s="556"/>
      <c r="G860" s="556"/>
      <c r="H860" s="556"/>
      <c r="I860" s="556"/>
      <c r="J860" s="556"/>
      <c r="K860" s="556"/>
      <c r="L860" s="556"/>
      <c r="M860" s="556"/>
      <c r="N860" s="556"/>
      <c r="O860" s="556"/>
      <c r="P860" s="556"/>
      <c r="Q860" s="556"/>
      <c r="R860" s="596"/>
      <c r="S860" s="596"/>
      <c r="T860" s="556"/>
      <c r="U860" s="556"/>
      <c r="V860" s="807"/>
      <c r="W860" s="556"/>
      <c r="X860" s="556"/>
      <c r="Y860" s="556"/>
      <c r="Z860" s="579"/>
      <c r="AA860" s="556"/>
      <c r="AB860" s="556"/>
      <c r="AC860" s="556"/>
      <c r="AD860" s="556"/>
    </row>
    <row r="861" ht="15.75" customHeight="1">
      <c r="A861" s="556"/>
      <c r="B861" s="556"/>
      <c r="C861" s="596"/>
      <c r="D861" s="556"/>
      <c r="E861" s="596"/>
      <c r="F861" s="556"/>
      <c r="G861" s="556"/>
      <c r="H861" s="556"/>
      <c r="I861" s="556"/>
      <c r="J861" s="556"/>
      <c r="K861" s="556"/>
      <c r="L861" s="556"/>
      <c r="M861" s="556"/>
      <c r="N861" s="556"/>
      <c r="O861" s="556"/>
      <c r="P861" s="556"/>
      <c r="Q861" s="556"/>
      <c r="R861" s="596"/>
      <c r="S861" s="596"/>
      <c r="T861" s="556"/>
      <c r="U861" s="556"/>
      <c r="V861" s="807"/>
      <c r="W861" s="556"/>
      <c r="X861" s="556"/>
      <c r="Y861" s="556"/>
      <c r="Z861" s="579"/>
      <c r="AA861" s="556"/>
      <c r="AB861" s="556"/>
      <c r="AC861" s="556"/>
      <c r="AD861" s="556"/>
    </row>
    <row r="862" ht="15.75" customHeight="1">
      <c r="A862" s="556"/>
      <c r="B862" s="556"/>
      <c r="C862" s="596"/>
      <c r="D862" s="556"/>
      <c r="E862" s="596"/>
      <c r="F862" s="556"/>
      <c r="G862" s="556"/>
      <c r="H862" s="556"/>
      <c r="I862" s="556"/>
      <c r="J862" s="556"/>
      <c r="K862" s="556"/>
      <c r="L862" s="556"/>
      <c r="M862" s="556"/>
      <c r="N862" s="556"/>
      <c r="O862" s="556"/>
      <c r="P862" s="556"/>
      <c r="Q862" s="556"/>
      <c r="R862" s="596"/>
      <c r="S862" s="596"/>
      <c r="T862" s="556"/>
      <c r="U862" s="556"/>
      <c r="V862" s="807"/>
      <c r="W862" s="556"/>
      <c r="X862" s="556"/>
      <c r="Y862" s="556"/>
      <c r="Z862" s="579"/>
      <c r="AA862" s="556"/>
      <c r="AB862" s="556"/>
      <c r="AC862" s="556"/>
      <c r="AD862" s="556"/>
    </row>
    <row r="863" ht="15.75" customHeight="1">
      <c r="A863" s="556"/>
      <c r="B863" s="556"/>
      <c r="C863" s="596"/>
      <c r="D863" s="556"/>
      <c r="E863" s="596"/>
      <c r="F863" s="556"/>
      <c r="G863" s="556"/>
      <c r="H863" s="556"/>
      <c r="I863" s="556"/>
      <c r="J863" s="556"/>
      <c r="K863" s="556"/>
      <c r="L863" s="556"/>
      <c r="M863" s="556"/>
      <c r="N863" s="556"/>
      <c r="O863" s="556"/>
      <c r="P863" s="556"/>
      <c r="Q863" s="556"/>
      <c r="R863" s="596"/>
      <c r="S863" s="596"/>
      <c r="T863" s="556"/>
      <c r="U863" s="556"/>
      <c r="V863" s="807"/>
      <c r="W863" s="556"/>
      <c r="X863" s="556"/>
      <c r="Y863" s="556"/>
      <c r="Z863" s="579"/>
      <c r="AA863" s="556"/>
      <c r="AB863" s="556"/>
      <c r="AC863" s="556"/>
      <c r="AD863" s="556"/>
    </row>
    <row r="864" ht="15.75" customHeight="1">
      <c r="A864" s="556"/>
      <c r="B864" s="556"/>
      <c r="C864" s="596"/>
      <c r="D864" s="556"/>
      <c r="E864" s="596"/>
      <c r="F864" s="556"/>
      <c r="G864" s="556"/>
      <c r="H864" s="556"/>
      <c r="I864" s="556"/>
      <c r="J864" s="556"/>
      <c r="K864" s="556"/>
      <c r="L864" s="556"/>
      <c r="M864" s="556"/>
      <c r="N864" s="556"/>
      <c r="O864" s="556"/>
      <c r="P864" s="556"/>
      <c r="Q864" s="556"/>
      <c r="R864" s="596"/>
      <c r="S864" s="596"/>
      <c r="T864" s="556"/>
      <c r="U864" s="556"/>
      <c r="V864" s="807"/>
      <c r="W864" s="556"/>
      <c r="X864" s="556"/>
      <c r="Y864" s="556"/>
      <c r="Z864" s="579"/>
      <c r="AA864" s="556"/>
      <c r="AB864" s="556"/>
      <c r="AC864" s="556"/>
      <c r="AD864" s="556"/>
    </row>
    <row r="865" ht="15.75" customHeight="1">
      <c r="A865" s="556"/>
      <c r="B865" s="556"/>
      <c r="C865" s="596"/>
      <c r="D865" s="556"/>
      <c r="E865" s="596"/>
      <c r="F865" s="556"/>
      <c r="G865" s="556"/>
      <c r="H865" s="556"/>
      <c r="I865" s="556"/>
      <c r="J865" s="556"/>
      <c r="K865" s="556"/>
      <c r="L865" s="556"/>
      <c r="M865" s="556"/>
      <c r="N865" s="556"/>
      <c r="O865" s="556"/>
      <c r="P865" s="556"/>
      <c r="Q865" s="556"/>
      <c r="R865" s="596"/>
      <c r="S865" s="596"/>
      <c r="T865" s="556"/>
      <c r="U865" s="556"/>
      <c r="V865" s="807"/>
      <c r="W865" s="556"/>
      <c r="X865" s="556"/>
      <c r="Y865" s="556"/>
      <c r="Z865" s="579"/>
      <c r="AA865" s="556"/>
      <c r="AB865" s="556"/>
      <c r="AC865" s="556"/>
      <c r="AD865" s="556"/>
    </row>
    <row r="866" ht="15.75" customHeight="1">
      <c r="A866" s="556"/>
      <c r="B866" s="556"/>
      <c r="C866" s="596"/>
      <c r="D866" s="556"/>
      <c r="E866" s="596"/>
      <c r="F866" s="556"/>
      <c r="G866" s="556"/>
      <c r="H866" s="556"/>
      <c r="I866" s="556"/>
      <c r="J866" s="556"/>
      <c r="K866" s="556"/>
      <c r="L866" s="556"/>
      <c r="M866" s="556"/>
      <c r="N866" s="556"/>
      <c r="O866" s="556"/>
      <c r="P866" s="556"/>
      <c r="Q866" s="556"/>
      <c r="R866" s="596"/>
      <c r="S866" s="596"/>
      <c r="T866" s="556"/>
      <c r="U866" s="556"/>
      <c r="V866" s="807"/>
      <c r="W866" s="556"/>
      <c r="X866" s="556"/>
      <c r="Y866" s="556"/>
      <c r="Z866" s="579"/>
      <c r="AA866" s="556"/>
      <c r="AB866" s="556"/>
      <c r="AC866" s="556"/>
      <c r="AD866" s="556"/>
    </row>
    <row r="867" ht="15.75" customHeight="1">
      <c r="A867" s="556"/>
      <c r="B867" s="556"/>
      <c r="C867" s="596"/>
      <c r="D867" s="556"/>
      <c r="E867" s="596"/>
      <c r="F867" s="556"/>
      <c r="G867" s="556"/>
      <c r="H867" s="556"/>
      <c r="I867" s="556"/>
      <c r="J867" s="556"/>
      <c r="K867" s="556"/>
      <c r="L867" s="556"/>
      <c r="M867" s="556"/>
      <c r="N867" s="556"/>
      <c r="O867" s="556"/>
      <c r="P867" s="556"/>
      <c r="Q867" s="556"/>
      <c r="R867" s="596"/>
      <c r="S867" s="596"/>
      <c r="T867" s="556"/>
      <c r="U867" s="556"/>
      <c r="V867" s="807"/>
      <c r="W867" s="556"/>
      <c r="X867" s="556"/>
      <c r="Y867" s="556"/>
      <c r="Z867" s="579"/>
      <c r="AA867" s="556"/>
      <c r="AB867" s="556"/>
      <c r="AC867" s="556"/>
      <c r="AD867" s="556"/>
    </row>
    <row r="868" ht="15.75" customHeight="1">
      <c r="A868" s="556"/>
      <c r="B868" s="556"/>
      <c r="C868" s="596"/>
      <c r="D868" s="556"/>
      <c r="E868" s="596"/>
      <c r="F868" s="556"/>
      <c r="G868" s="556"/>
      <c r="H868" s="556"/>
      <c r="I868" s="556"/>
      <c r="J868" s="556"/>
      <c r="K868" s="556"/>
      <c r="L868" s="556"/>
      <c r="M868" s="556"/>
      <c r="N868" s="556"/>
      <c r="O868" s="556"/>
      <c r="P868" s="556"/>
      <c r="Q868" s="556"/>
      <c r="R868" s="596"/>
      <c r="S868" s="596"/>
      <c r="T868" s="556"/>
      <c r="U868" s="556"/>
      <c r="V868" s="807"/>
      <c r="W868" s="556"/>
      <c r="X868" s="556"/>
      <c r="Y868" s="556"/>
      <c r="Z868" s="579"/>
      <c r="AA868" s="556"/>
      <c r="AB868" s="556"/>
      <c r="AC868" s="556"/>
      <c r="AD868" s="556"/>
    </row>
    <row r="869" ht="15.75" customHeight="1">
      <c r="A869" s="556"/>
      <c r="B869" s="556"/>
      <c r="C869" s="596"/>
      <c r="D869" s="556"/>
      <c r="E869" s="596"/>
      <c r="F869" s="556"/>
      <c r="G869" s="556"/>
      <c r="H869" s="556"/>
      <c r="I869" s="556"/>
      <c r="J869" s="556"/>
      <c r="K869" s="556"/>
      <c r="L869" s="556"/>
      <c r="M869" s="556"/>
      <c r="N869" s="556"/>
      <c r="O869" s="556"/>
      <c r="P869" s="556"/>
      <c r="Q869" s="556"/>
      <c r="R869" s="596"/>
      <c r="S869" s="596"/>
      <c r="T869" s="556"/>
      <c r="U869" s="556"/>
      <c r="V869" s="807"/>
      <c r="W869" s="556"/>
      <c r="X869" s="556"/>
      <c r="Y869" s="556"/>
      <c r="Z869" s="579"/>
      <c r="AA869" s="556"/>
      <c r="AB869" s="556"/>
      <c r="AC869" s="556"/>
      <c r="AD869" s="556"/>
    </row>
    <row r="870" ht="15.75" customHeight="1">
      <c r="A870" s="556"/>
      <c r="B870" s="556"/>
      <c r="C870" s="596"/>
      <c r="D870" s="556"/>
      <c r="E870" s="596"/>
      <c r="F870" s="556"/>
      <c r="G870" s="556"/>
      <c r="H870" s="556"/>
      <c r="I870" s="556"/>
      <c r="J870" s="556"/>
      <c r="K870" s="556"/>
      <c r="L870" s="556"/>
      <c r="M870" s="556"/>
      <c r="N870" s="556"/>
      <c r="O870" s="556"/>
      <c r="P870" s="556"/>
      <c r="Q870" s="556"/>
      <c r="R870" s="596"/>
      <c r="S870" s="596"/>
      <c r="T870" s="556"/>
      <c r="U870" s="556"/>
      <c r="V870" s="807"/>
      <c r="W870" s="556"/>
      <c r="X870" s="556"/>
      <c r="Y870" s="556"/>
      <c r="Z870" s="579"/>
      <c r="AA870" s="556"/>
      <c r="AB870" s="556"/>
      <c r="AC870" s="556"/>
      <c r="AD870" s="556"/>
    </row>
    <row r="871" ht="15.75" customHeight="1">
      <c r="A871" s="556"/>
      <c r="B871" s="556"/>
      <c r="C871" s="596"/>
      <c r="D871" s="556"/>
      <c r="E871" s="596"/>
      <c r="F871" s="556"/>
      <c r="G871" s="556"/>
      <c r="H871" s="556"/>
      <c r="I871" s="556"/>
      <c r="J871" s="556"/>
      <c r="K871" s="556"/>
      <c r="L871" s="556"/>
      <c r="M871" s="556"/>
      <c r="N871" s="556"/>
      <c r="O871" s="556"/>
      <c r="P871" s="556"/>
      <c r="Q871" s="556"/>
      <c r="R871" s="596"/>
      <c r="S871" s="596"/>
      <c r="T871" s="556"/>
      <c r="U871" s="556"/>
      <c r="V871" s="807"/>
      <c r="W871" s="556"/>
      <c r="X871" s="556"/>
      <c r="Y871" s="556"/>
      <c r="Z871" s="579"/>
      <c r="AA871" s="556"/>
      <c r="AB871" s="556"/>
      <c r="AC871" s="556"/>
      <c r="AD871" s="556"/>
    </row>
    <row r="872" ht="15.75" customHeight="1">
      <c r="A872" s="556"/>
      <c r="B872" s="556"/>
      <c r="C872" s="596"/>
      <c r="D872" s="556"/>
      <c r="E872" s="596"/>
      <c r="F872" s="556"/>
      <c r="G872" s="556"/>
      <c r="H872" s="556"/>
      <c r="I872" s="556"/>
      <c r="J872" s="556"/>
      <c r="K872" s="556"/>
      <c r="L872" s="556"/>
      <c r="M872" s="556"/>
      <c r="N872" s="556"/>
      <c r="O872" s="556"/>
      <c r="P872" s="556"/>
      <c r="Q872" s="556"/>
      <c r="R872" s="596"/>
      <c r="S872" s="596"/>
      <c r="T872" s="556"/>
      <c r="U872" s="556"/>
      <c r="V872" s="807"/>
      <c r="W872" s="556"/>
      <c r="X872" s="556"/>
      <c r="Y872" s="556"/>
      <c r="Z872" s="579"/>
      <c r="AA872" s="556"/>
      <c r="AB872" s="556"/>
      <c r="AC872" s="556"/>
      <c r="AD872" s="556"/>
    </row>
    <row r="873" ht="15.75" customHeight="1">
      <c r="A873" s="556"/>
      <c r="B873" s="556"/>
      <c r="C873" s="596"/>
      <c r="D873" s="556"/>
      <c r="E873" s="596"/>
      <c r="F873" s="556"/>
      <c r="G873" s="556"/>
      <c r="H873" s="556"/>
      <c r="I873" s="556"/>
      <c r="J873" s="556"/>
      <c r="K873" s="556"/>
      <c r="L873" s="556"/>
      <c r="M873" s="556"/>
      <c r="N873" s="556"/>
      <c r="O873" s="556"/>
      <c r="P873" s="556"/>
      <c r="Q873" s="556"/>
      <c r="R873" s="596"/>
      <c r="S873" s="596"/>
      <c r="T873" s="556"/>
      <c r="U873" s="556"/>
      <c r="V873" s="807"/>
      <c r="W873" s="556"/>
      <c r="X873" s="556"/>
      <c r="Y873" s="556"/>
      <c r="Z873" s="579"/>
      <c r="AA873" s="556"/>
      <c r="AB873" s="556"/>
      <c r="AC873" s="556"/>
      <c r="AD873" s="556"/>
    </row>
    <row r="874" ht="15.75" customHeight="1">
      <c r="A874" s="556"/>
      <c r="B874" s="556"/>
      <c r="C874" s="596"/>
      <c r="D874" s="556"/>
      <c r="E874" s="596"/>
      <c r="F874" s="556"/>
      <c r="G874" s="556"/>
      <c r="H874" s="556"/>
      <c r="I874" s="556"/>
      <c r="J874" s="556"/>
      <c r="K874" s="556"/>
      <c r="L874" s="556"/>
      <c r="M874" s="556"/>
      <c r="N874" s="556"/>
      <c r="O874" s="556"/>
      <c r="P874" s="556"/>
      <c r="Q874" s="556"/>
      <c r="R874" s="596"/>
      <c r="S874" s="596"/>
      <c r="T874" s="556"/>
      <c r="U874" s="556"/>
      <c r="V874" s="807"/>
      <c r="W874" s="556"/>
      <c r="X874" s="556"/>
      <c r="Y874" s="556"/>
      <c r="Z874" s="579"/>
      <c r="AA874" s="556"/>
      <c r="AB874" s="556"/>
      <c r="AC874" s="556"/>
      <c r="AD874" s="556"/>
    </row>
    <row r="875" ht="15.75" customHeight="1">
      <c r="A875" s="556"/>
      <c r="B875" s="556"/>
      <c r="C875" s="596"/>
      <c r="D875" s="556"/>
      <c r="E875" s="596"/>
      <c r="F875" s="556"/>
      <c r="G875" s="556"/>
      <c r="H875" s="556"/>
      <c r="I875" s="556"/>
      <c r="J875" s="556"/>
      <c r="K875" s="556"/>
      <c r="L875" s="556"/>
      <c r="M875" s="556"/>
      <c r="N875" s="556"/>
      <c r="O875" s="556"/>
      <c r="P875" s="556"/>
      <c r="Q875" s="556"/>
      <c r="R875" s="596"/>
      <c r="S875" s="596"/>
      <c r="T875" s="556"/>
      <c r="U875" s="556"/>
      <c r="V875" s="807"/>
      <c r="W875" s="556"/>
      <c r="X875" s="556"/>
      <c r="Y875" s="556"/>
      <c r="Z875" s="579"/>
      <c r="AA875" s="556"/>
      <c r="AB875" s="556"/>
      <c r="AC875" s="556"/>
      <c r="AD875" s="556"/>
    </row>
    <row r="876" ht="15.75" customHeight="1">
      <c r="A876" s="556"/>
      <c r="B876" s="556"/>
      <c r="C876" s="596"/>
      <c r="D876" s="556"/>
      <c r="E876" s="596"/>
      <c r="F876" s="556"/>
      <c r="G876" s="556"/>
      <c r="H876" s="556"/>
      <c r="I876" s="556"/>
      <c r="J876" s="556"/>
      <c r="K876" s="556"/>
      <c r="L876" s="556"/>
      <c r="M876" s="556"/>
      <c r="N876" s="556"/>
      <c r="O876" s="556"/>
      <c r="P876" s="556"/>
      <c r="Q876" s="556"/>
      <c r="R876" s="596"/>
      <c r="S876" s="596"/>
      <c r="T876" s="556"/>
      <c r="U876" s="556"/>
      <c r="V876" s="807"/>
      <c r="W876" s="556"/>
      <c r="X876" s="556"/>
      <c r="Y876" s="556"/>
      <c r="Z876" s="579"/>
      <c r="AA876" s="556"/>
      <c r="AB876" s="556"/>
      <c r="AC876" s="556"/>
      <c r="AD876" s="556"/>
    </row>
    <row r="877" ht="15.75" customHeight="1">
      <c r="A877" s="556"/>
      <c r="B877" s="556"/>
      <c r="C877" s="596"/>
      <c r="D877" s="556"/>
      <c r="E877" s="596"/>
      <c r="F877" s="556"/>
      <c r="G877" s="556"/>
      <c r="H877" s="556"/>
      <c r="I877" s="556"/>
      <c r="J877" s="556"/>
      <c r="K877" s="556"/>
      <c r="L877" s="556"/>
      <c r="M877" s="556"/>
      <c r="N877" s="556"/>
      <c r="O877" s="556"/>
      <c r="P877" s="556"/>
      <c r="Q877" s="556"/>
      <c r="R877" s="596"/>
      <c r="S877" s="596"/>
      <c r="T877" s="556"/>
      <c r="U877" s="556"/>
      <c r="V877" s="807"/>
      <c r="W877" s="556"/>
      <c r="X877" s="556"/>
      <c r="Y877" s="556"/>
      <c r="Z877" s="579"/>
      <c r="AA877" s="556"/>
      <c r="AB877" s="556"/>
      <c r="AC877" s="556"/>
      <c r="AD877" s="556"/>
    </row>
    <row r="878" ht="15.75" customHeight="1">
      <c r="A878" s="556"/>
      <c r="B878" s="556"/>
      <c r="C878" s="596"/>
      <c r="D878" s="556"/>
      <c r="E878" s="596"/>
      <c r="F878" s="556"/>
      <c r="G878" s="556"/>
      <c r="H878" s="556"/>
      <c r="I878" s="556"/>
      <c r="J878" s="556"/>
      <c r="K878" s="556"/>
      <c r="L878" s="556"/>
      <c r="M878" s="556"/>
      <c r="N878" s="556"/>
      <c r="O878" s="556"/>
      <c r="P878" s="556"/>
      <c r="Q878" s="556"/>
      <c r="R878" s="596"/>
      <c r="S878" s="596"/>
      <c r="T878" s="556"/>
      <c r="U878" s="556"/>
      <c r="V878" s="807"/>
      <c r="W878" s="556"/>
      <c r="X878" s="556"/>
      <c r="Y878" s="556"/>
      <c r="Z878" s="579"/>
      <c r="AA878" s="556"/>
      <c r="AB878" s="556"/>
      <c r="AC878" s="556"/>
      <c r="AD878" s="556"/>
    </row>
    <row r="879" ht="15.75" customHeight="1">
      <c r="A879" s="556"/>
      <c r="B879" s="556"/>
      <c r="C879" s="596"/>
      <c r="D879" s="556"/>
      <c r="E879" s="596"/>
      <c r="F879" s="556"/>
      <c r="G879" s="556"/>
      <c r="H879" s="556"/>
      <c r="I879" s="556"/>
      <c r="J879" s="556"/>
      <c r="K879" s="556"/>
      <c r="L879" s="556"/>
      <c r="M879" s="556"/>
      <c r="N879" s="556"/>
      <c r="O879" s="556"/>
      <c r="P879" s="556"/>
      <c r="Q879" s="556"/>
      <c r="R879" s="596"/>
      <c r="S879" s="596"/>
      <c r="T879" s="556"/>
      <c r="U879" s="556"/>
      <c r="V879" s="807"/>
      <c r="W879" s="556"/>
      <c r="X879" s="556"/>
      <c r="Y879" s="556"/>
      <c r="Z879" s="579"/>
      <c r="AA879" s="556"/>
      <c r="AB879" s="556"/>
      <c r="AC879" s="556"/>
      <c r="AD879" s="556"/>
    </row>
    <row r="880" ht="15.75" customHeight="1">
      <c r="A880" s="556"/>
      <c r="B880" s="556"/>
      <c r="C880" s="596"/>
      <c r="D880" s="556"/>
      <c r="E880" s="596"/>
      <c r="F880" s="556"/>
      <c r="G880" s="556"/>
      <c r="H880" s="556"/>
      <c r="I880" s="556"/>
      <c r="J880" s="556"/>
      <c r="K880" s="556"/>
      <c r="L880" s="556"/>
      <c r="M880" s="556"/>
      <c r="N880" s="556"/>
      <c r="O880" s="556"/>
      <c r="P880" s="556"/>
      <c r="Q880" s="556"/>
      <c r="R880" s="596"/>
      <c r="S880" s="596"/>
      <c r="T880" s="556"/>
      <c r="U880" s="556"/>
      <c r="V880" s="807"/>
      <c r="W880" s="556"/>
      <c r="X880" s="556"/>
      <c r="Y880" s="556"/>
      <c r="Z880" s="579"/>
      <c r="AA880" s="556"/>
      <c r="AB880" s="556"/>
      <c r="AC880" s="556"/>
      <c r="AD880" s="556"/>
    </row>
    <row r="881" ht="15.75" customHeight="1">
      <c r="A881" s="556"/>
      <c r="B881" s="556"/>
      <c r="C881" s="596"/>
      <c r="D881" s="556"/>
      <c r="E881" s="596"/>
      <c r="F881" s="556"/>
      <c r="G881" s="556"/>
      <c r="H881" s="556"/>
      <c r="I881" s="556"/>
      <c r="J881" s="556"/>
      <c r="K881" s="556"/>
      <c r="L881" s="556"/>
      <c r="M881" s="556"/>
      <c r="N881" s="556"/>
      <c r="O881" s="556"/>
      <c r="P881" s="556"/>
      <c r="Q881" s="556"/>
      <c r="R881" s="596"/>
      <c r="S881" s="596"/>
      <c r="T881" s="556"/>
      <c r="U881" s="556"/>
      <c r="V881" s="807"/>
      <c r="W881" s="556"/>
      <c r="X881" s="556"/>
      <c r="Y881" s="556"/>
      <c r="Z881" s="579"/>
      <c r="AA881" s="556"/>
      <c r="AB881" s="556"/>
      <c r="AC881" s="556"/>
      <c r="AD881" s="556"/>
    </row>
    <row r="882" ht="15.75" customHeight="1">
      <c r="A882" s="556"/>
      <c r="B882" s="556"/>
      <c r="C882" s="596"/>
      <c r="D882" s="556"/>
      <c r="E882" s="596"/>
      <c r="F882" s="556"/>
      <c r="G882" s="556"/>
      <c r="H882" s="556"/>
      <c r="I882" s="556"/>
      <c r="J882" s="556"/>
      <c r="K882" s="556"/>
      <c r="L882" s="556"/>
      <c r="M882" s="556"/>
      <c r="N882" s="556"/>
      <c r="O882" s="556"/>
      <c r="P882" s="556"/>
      <c r="Q882" s="556"/>
      <c r="R882" s="596"/>
      <c r="S882" s="596"/>
      <c r="T882" s="556"/>
      <c r="U882" s="556"/>
      <c r="V882" s="807"/>
      <c r="W882" s="556"/>
      <c r="X882" s="556"/>
      <c r="Y882" s="556"/>
      <c r="Z882" s="579"/>
      <c r="AA882" s="556"/>
      <c r="AB882" s="556"/>
      <c r="AC882" s="556"/>
      <c r="AD882" s="556"/>
    </row>
    <row r="883" ht="15.75" customHeight="1">
      <c r="A883" s="556"/>
      <c r="B883" s="556"/>
      <c r="C883" s="596"/>
      <c r="D883" s="556"/>
      <c r="E883" s="596"/>
      <c r="F883" s="556"/>
      <c r="G883" s="556"/>
      <c r="H883" s="556"/>
      <c r="I883" s="556"/>
      <c r="J883" s="556"/>
      <c r="K883" s="556"/>
      <c r="L883" s="556"/>
      <c r="M883" s="556"/>
      <c r="N883" s="556"/>
      <c r="O883" s="556"/>
      <c r="P883" s="556"/>
      <c r="Q883" s="556"/>
      <c r="R883" s="596"/>
      <c r="S883" s="596"/>
      <c r="T883" s="556"/>
      <c r="U883" s="556"/>
      <c r="V883" s="807"/>
      <c r="W883" s="556"/>
      <c r="X883" s="556"/>
      <c r="Y883" s="556"/>
      <c r="Z883" s="579"/>
      <c r="AA883" s="556"/>
      <c r="AB883" s="556"/>
      <c r="AC883" s="556"/>
      <c r="AD883" s="556"/>
    </row>
    <row r="884" ht="15.75" customHeight="1">
      <c r="A884" s="556"/>
      <c r="B884" s="556"/>
      <c r="C884" s="596"/>
      <c r="D884" s="556"/>
      <c r="E884" s="596"/>
      <c r="F884" s="556"/>
      <c r="G884" s="556"/>
      <c r="H884" s="556"/>
      <c r="I884" s="556"/>
      <c r="J884" s="556"/>
      <c r="K884" s="556"/>
      <c r="L884" s="556"/>
      <c r="M884" s="556"/>
      <c r="N884" s="556"/>
      <c r="O884" s="556"/>
      <c r="P884" s="556"/>
      <c r="Q884" s="556"/>
      <c r="R884" s="596"/>
      <c r="S884" s="596"/>
      <c r="T884" s="556"/>
      <c r="U884" s="556"/>
      <c r="V884" s="807"/>
      <c r="W884" s="556"/>
      <c r="X884" s="556"/>
      <c r="Y884" s="556"/>
      <c r="Z884" s="579"/>
      <c r="AA884" s="556"/>
      <c r="AB884" s="556"/>
      <c r="AC884" s="556"/>
      <c r="AD884" s="556"/>
    </row>
    <row r="885" ht="15.75" customHeight="1">
      <c r="A885" s="556"/>
      <c r="B885" s="556"/>
      <c r="C885" s="596"/>
      <c r="D885" s="556"/>
      <c r="E885" s="596"/>
      <c r="F885" s="556"/>
      <c r="G885" s="556"/>
      <c r="H885" s="556"/>
      <c r="I885" s="556"/>
      <c r="J885" s="556"/>
      <c r="K885" s="556"/>
      <c r="L885" s="556"/>
      <c r="M885" s="556"/>
      <c r="N885" s="556"/>
      <c r="O885" s="556"/>
      <c r="P885" s="556"/>
      <c r="Q885" s="556"/>
      <c r="R885" s="596"/>
      <c r="S885" s="596"/>
      <c r="T885" s="556"/>
      <c r="U885" s="556"/>
      <c r="V885" s="807"/>
      <c r="W885" s="556"/>
      <c r="X885" s="556"/>
      <c r="Y885" s="556"/>
      <c r="Z885" s="579"/>
      <c r="AA885" s="556"/>
      <c r="AB885" s="556"/>
      <c r="AC885" s="556"/>
      <c r="AD885" s="556"/>
    </row>
    <row r="886" ht="15.75" customHeight="1">
      <c r="A886" s="556"/>
      <c r="B886" s="556"/>
      <c r="C886" s="596"/>
      <c r="D886" s="556"/>
      <c r="E886" s="596"/>
      <c r="F886" s="556"/>
      <c r="G886" s="556"/>
      <c r="H886" s="556"/>
      <c r="I886" s="556"/>
      <c r="J886" s="556"/>
      <c r="K886" s="556"/>
      <c r="L886" s="556"/>
      <c r="M886" s="556"/>
      <c r="N886" s="556"/>
      <c r="O886" s="556"/>
      <c r="P886" s="556"/>
      <c r="Q886" s="556"/>
      <c r="R886" s="596"/>
      <c r="S886" s="596"/>
      <c r="T886" s="556"/>
      <c r="U886" s="556"/>
      <c r="V886" s="807"/>
      <c r="W886" s="556"/>
      <c r="X886" s="556"/>
      <c r="Y886" s="556"/>
      <c r="Z886" s="579"/>
      <c r="AA886" s="556"/>
      <c r="AB886" s="556"/>
      <c r="AC886" s="556"/>
      <c r="AD886" s="556"/>
    </row>
    <row r="887" ht="15.75" customHeight="1">
      <c r="A887" s="556"/>
      <c r="B887" s="556"/>
      <c r="C887" s="596"/>
      <c r="D887" s="556"/>
      <c r="E887" s="596"/>
      <c r="F887" s="556"/>
      <c r="G887" s="556"/>
      <c r="H887" s="556"/>
      <c r="I887" s="556"/>
      <c r="J887" s="556"/>
      <c r="K887" s="556"/>
      <c r="L887" s="556"/>
      <c r="M887" s="556"/>
      <c r="N887" s="556"/>
      <c r="O887" s="556"/>
      <c r="P887" s="556"/>
      <c r="Q887" s="556"/>
      <c r="R887" s="596"/>
      <c r="S887" s="596"/>
      <c r="T887" s="556"/>
      <c r="U887" s="556"/>
      <c r="V887" s="807"/>
      <c r="W887" s="556"/>
      <c r="X887" s="556"/>
      <c r="Y887" s="556"/>
      <c r="Z887" s="579"/>
      <c r="AA887" s="556"/>
      <c r="AB887" s="556"/>
      <c r="AC887" s="556"/>
      <c r="AD887" s="556"/>
    </row>
    <row r="888" ht="15.75" customHeight="1">
      <c r="A888" s="556"/>
      <c r="B888" s="556"/>
      <c r="C888" s="596"/>
      <c r="D888" s="556"/>
      <c r="E888" s="596"/>
      <c r="F888" s="556"/>
      <c r="G888" s="556"/>
      <c r="H888" s="556"/>
      <c r="I888" s="556"/>
      <c r="J888" s="556"/>
      <c r="K888" s="556"/>
      <c r="L888" s="556"/>
      <c r="M888" s="556"/>
      <c r="N888" s="556"/>
      <c r="O888" s="556"/>
      <c r="P888" s="556"/>
      <c r="Q888" s="556"/>
      <c r="R888" s="596"/>
      <c r="S888" s="596"/>
      <c r="T888" s="556"/>
      <c r="U888" s="556"/>
      <c r="V888" s="807"/>
      <c r="W888" s="556"/>
      <c r="X888" s="556"/>
      <c r="Y888" s="556"/>
      <c r="Z888" s="579"/>
      <c r="AA888" s="556"/>
      <c r="AB888" s="556"/>
      <c r="AC888" s="556"/>
      <c r="AD888" s="556"/>
    </row>
    <row r="889" ht="15.75" customHeight="1">
      <c r="A889" s="556"/>
      <c r="B889" s="556"/>
      <c r="C889" s="596"/>
      <c r="D889" s="556"/>
      <c r="E889" s="596"/>
      <c r="F889" s="556"/>
      <c r="G889" s="556"/>
      <c r="H889" s="556"/>
      <c r="I889" s="556"/>
      <c r="J889" s="556"/>
      <c r="K889" s="556"/>
      <c r="L889" s="556"/>
      <c r="M889" s="556"/>
      <c r="N889" s="556"/>
      <c r="O889" s="556"/>
      <c r="P889" s="556"/>
      <c r="Q889" s="556"/>
      <c r="R889" s="596"/>
      <c r="S889" s="596"/>
      <c r="T889" s="556"/>
      <c r="U889" s="556"/>
      <c r="V889" s="807"/>
      <c r="W889" s="556"/>
      <c r="X889" s="556"/>
      <c r="Y889" s="556"/>
      <c r="Z889" s="579"/>
      <c r="AA889" s="556"/>
      <c r="AB889" s="556"/>
      <c r="AC889" s="556"/>
      <c r="AD889" s="556"/>
    </row>
    <row r="890" ht="15.75" customHeight="1">
      <c r="A890" s="556"/>
      <c r="B890" s="556"/>
      <c r="C890" s="596"/>
      <c r="D890" s="556"/>
      <c r="E890" s="596"/>
      <c r="F890" s="556"/>
      <c r="G890" s="556"/>
      <c r="H890" s="556"/>
      <c r="I890" s="556"/>
      <c r="J890" s="556"/>
      <c r="K890" s="556"/>
      <c r="L890" s="556"/>
      <c r="M890" s="556"/>
      <c r="N890" s="556"/>
      <c r="O890" s="556"/>
      <c r="P890" s="556"/>
      <c r="Q890" s="556"/>
      <c r="R890" s="596"/>
      <c r="S890" s="596"/>
      <c r="T890" s="556"/>
      <c r="U890" s="556"/>
      <c r="V890" s="807"/>
      <c r="W890" s="556"/>
      <c r="X890" s="556"/>
      <c r="Y890" s="556"/>
      <c r="Z890" s="579"/>
      <c r="AA890" s="556"/>
      <c r="AB890" s="556"/>
      <c r="AC890" s="556"/>
      <c r="AD890" s="556"/>
    </row>
    <row r="891" ht="15.75" customHeight="1">
      <c r="A891" s="556"/>
      <c r="B891" s="556"/>
      <c r="C891" s="596"/>
      <c r="D891" s="556"/>
      <c r="E891" s="596"/>
      <c r="F891" s="556"/>
      <c r="G891" s="556"/>
      <c r="H891" s="556"/>
      <c r="I891" s="556"/>
      <c r="J891" s="556"/>
      <c r="K891" s="556"/>
      <c r="L891" s="556"/>
      <c r="M891" s="556"/>
      <c r="N891" s="556"/>
      <c r="O891" s="556"/>
      <c r="P891" s="556"/>
      <c r="Q891" s="556"/>
      <c r="R891" s="596"/>
      <c r="S891" s="596"/>
      <c r="T891" s="556"/>
      <c r="U891" s="556"/>
      <c r="V891" s="807"/>
      <c r="W891" s="556"/>
      <c r="X891" s="556"/>
      <c r="Y891" s="556"/>
      <c r="Z891" s="579"/>
      <c r="AA891" s="556"/>
      <c r="AB891" s="556"/>
      <c r="AC891" s="556"/>
      <c r="AD891" s="556"/>
    </row>
    <row r="892" ht="15.75" customHeight="1">
      <c r="A892" s="556"/>
      <c r="B892" s="556"/>
      <c r="C892" s="596"/>
      <c r="D892" s="556"/>
      <c r="E892" s="596"/>
      <c r="F892" s="556"/>
      <c r="G892" s="556"/>
      <c r="H892" s="556"/>
      <c r="I892" s="556"/>
      <c r="J892" s="556"/>
      <c r="K892" s="556"/>
      <c r="L892" s="556"/>
      <c r="M892" s="556"/>
      <c r="N892" s="556"/>
      <c r="O892" s="556"/>
      <c r="P892" s="556"/>
      <c r="Q892" s="556"/>
      <c r="R892" s="596"/>
      <c r="S892" s="596"/>
      <c r="T892" s="556"/>
      <c r="U892" s="556"/>
      <c r="V892" s="807"/>
      <c r="W892" s="556"/>
      <c r="X892" s="556"/>
      <c r="Y892" s="556"/>
      <c r="Z892" s="579"/>
      <c r="AA892" s="556"/>
      <c r="AB892" s="556"/>
      <c r="AC892" s="556"/>
      <c r="AD892" s="556"/>
    </row>
    <row r="893" ht="15.75" customHeight="1">
      <c r="A893" s="556"/>
      <c r="B893" s="556"/>
      <c r="C893" s="596"/>
      <c r="D893" s="556"/>
      <c r="E893" s="596"/>
      <c r="F893" s="556"/>
      <c r="G893" s="556"/>
      <c r="H893" s="556"/>
      <c r="I893" s="556"/>
      <c r="J893" s="556"/>
      <c r="K893" s="556"/>
      <c r="L893" s="556"/>
      <c r="M893" s="556"/>
      <c r="N893" s="556"/>
      <c r="O893" s="556"/>
      <c r="P893" s="556"/>
      <c r="Q893" s="556"/>
      <c r="R893" s="596"/>
      <c r="S893" s="596"/>
      <c r="T893" s="556"/>
      <c r="U893" s="556"/>
      <c r="V893" s="807"/>
      <c r="W893" s="556"/>
      <c r="X893" s="556"/>
      <c r="Y893" s="556"/>
      <c r="Z893" s="579"/>
      <c r="AA893" s="556"/>
      <c r="AB893" s="556"/>
      <c r="AC893" s="556"/>
      <c r="AD893" s="556"/>
    </row>
    <row r="894" ht="15.75" customHeight="1">
      <c r="A894" s="556"/>
      <c r="B894" s="556"/>
      <c r="C894" s="596"/>
      <c r="D894" s="556"/>
      <c r="E894" s="596"/>
      <c r="F894" s="556"/>
      <c r="G894" s="556"/>
      <c r="H894" s="556"/>
      <c r="I894" s="556"/>
      <c r="J894" s="556"/>
      <c r="K894" s="556"/>
      <c r="L894" s="556"/>
      <c r="M894" s="556"/>
      <c r="N894" s="556"/>
      <c r="O894" s="556"/>
      <c r="P894" s="556"/>
      <c r="Q894" s="556"/>
      <c r="R894" s="596"/>
      <c r="S894" s="596"/>
      <c r="T894" s="556"/>
      <c r="U894" s="556"/>
      <c r="V894" s="807"/>
      <c r="W894" s="556"/>
      <c r="X894" s="556"/>
      <c r="Y894" s="556"/>
      <c r="Z894" s="579"/>
      <c r="AA894" s="556"/>
      <c r="AB894" s="556"/>
      <c r="AC894" s="556"/>
      <c r="AD894" s="556"/>
    </row>
    <row r="895" ht="15.75" customHeight="1">
      <c r="A895" s="556"/>
      <c r="B895" s="556"/>
      <c r="C895" s="596"/>
      <c r="D895" s="556"/>
      <c r="E895" s="596"/>
      <c r="F895" s="556"/>
      <c r="G895" s="556"/>
      <c r="H895" s="556"/>
      <c r="I895" s="556"/>
      <c r="J895" s="556"/>
      <c r="K895" s="556"/>
      <c r="L895" s="556"/>
      <c r="M895" s="556"/>
      <c r="N895" s="556"/>
      <c r="O895" s="556"/>
      <c r="P895" s="556"/>
      <c r="Q895" s="556"/>
      <c r="R895" s="596"/>
      <c r="S895" s="596"/>
      <c r="T895" s="556"/>
      <c r="U895" s="556"/>
      <c r="V895" s="807"/>
      <c r="W895" s="556"/>
      <c r="X895" s="556"/>
      <c r="Y895" s="556"/>
      <c r="Z895" s="579"/>
      <c r="AA895" s="556"/>
      <c r="AB895" s="556"/>
      <c r="AC895" s="556"/>
      <c r="AD895" s="556"/>
    </row>
    <row r="896" ht="15.75" customHeight="1">
      <c r="A896" s="556"/>
      <c r="B896" s="556"/>
      <c r="C896" s="596"/>
      <c r="D896" s="556"/>
      <c r="E896" s="596"/>
      <c r="F896" s="556"/>
      <c r="G896" s="556"/>
      <c r="H896" s="556"/>
      <c r="I896" s="556"/>
      <c r="J896" s="556"/>
      <c r="K896" s="556"/>
      <c r="L896" s="556"/>
      <c r="M896" s="556"/>
      <c r="N896" s="556"/>
      <c r="O896" s="556"/>
      <c r="P896" s="556"/>
      <c r="Q896" s="556"/>
      <c r="R896" s="596"/>
      <c r="S896" s="596"/>
      <c r="T896" s="556"/>
      <c r="U896" s="556"/>
      <c r="V896" s="807"/>
      <c r="W896" s="556"/>
      <c r="X896" s="556"/>
      <c r="Y896" s="556"/>
      <c r="Z896" s="579"/>
      <c r="AA896" s="556"/>
      <c r="AB896" s="556"/>
      <c r="AC896" s="556"/>
      <c r="AD896" s="556"/>
    </row>
    <row r="897" ht="15.75" customHeight="1">
      <c r="A897" s="556"/>
      <c r="B897" s="556"/>
      <c r="C897" s="596"/>
      <c r="D897" s="556"/>
      <c r="E897" s="596"/>
      <c r="F897" s="556"/>
      <c r="G897" s="556"/>
      <c r="H897" s="556"/>
      <c r="I897" s="556"/>
      <c r="J897" s="556"/>
      <c r="K897" s="556"/>
      <c r="L897" s="556"/>
      <c r="M897" s="556"/>
      <c r="N897" s="556"/>
      <c r="O897" s="556"/>
      <c r="P897" s="556"/>
      <c r="Q897" s="556"/>
      <c r="R897" s="596"/>
      <c r="S897" s="596"/>
      <c r="T897" s="556"/>
      <c r="U897" s="556"/>
      <c r="V897" s="807"/>
      <c r="W897" s="556"/>
      <c r="X897" s="556"/>
      <c r="Y897" s="556"/>
      <c r="Z897" s="579"/>
      <c r="AA897" s="556"/>
      <c r="AB897" s="556"/>
      <c r="AC897" s="556"/>
      <c r="AD897" s="556"/>
    </row>
    <row r="898" ht="15.75" customHeight="1">
      <c r="A898" s="556"/>
      <c r="B898" s="556"/>
      <c r="C898" s="596"/>
      <c r="D898" s="556"/>
      <c r="E898" s="596"/>
      <c r="F898" s="556"/>
      <c r="G898" s="556"/>
      <c r="H898" s="556"/>
      <c r="I898" s="556"/>
      <c r="J898" s="556"/>
      <c r="K898" s="556"/>
      <c r="L898" s="556"/>
      <c r="M898" s="556"/>
      <c r="N898" s="556"/>
      <c r="O898" s="556"/>
      <c r="P898" s="556"/>
      <c r="Q898" s="556"/>
      <c r="R898" s="596"/>
      <c r="S898" s="596"/>
      <c r="T898" s="556"/>
      <c r="U898" s="556"/>
      <c r="V898" s="807"/>
      <c r="W898" s="556"/>
      <c r="X898" s="556"/>
      <c r="Y898" s="556"/>
      <c r="Z898" s="579"/>
      <c r="AA898" s="556"/>
      <c r="AB898" s="556"/>
      <c r="AC898" s="556"/>
      <c r="AD898" s="556"/>
    </row>
    <row r="899" ht="15.75" customHeight="1">
      <c r="A899" s="556"/>
      <c r="B899" s="556"/>
      <c r="C899" s="596"/>
      <c r="D899" s="556"/>
      <c r="E899" s="596"/>
      <c r="F899" s="556"/>
      <c r="G899" s="556"/>
      <c r="H899" s="556"/>
      <c r="I899" s="556"/>
      <c r="J899" s="556"/>
      <c r="K899" s="556"/>
      <c r="L899" s="556"/>
      <c r="M899" s="556"/>
      <c r="N899" s="556"/>
      <c r="O899" s="556"/>
      <c r="P899" s="556"/>
      <c r="Q899" s="556"/>
      <c r="R899" s="596"/>
      <c r="S899" s="596"/>
      <c r="T899" s="556"/>
      <c r="U899" s="556"/>
      <c r="V899" s="807"/>
      <c r="W899" s="556"/>
      <c r="X899" s="556"/>
      <c r="Y899" s="556"/>
      <c r="Z899" s="579"/>
      <c r="AA899" s="556"/>
      <c r="AB899" s="556"/>
      <c r="AC899" s="556"/>
      <c r="AD899" s="556"/>
    </row>
    <row r="900" ht="15.75" customHeight="1">
      <c r="A900" s="556"/>
      <c r="B900" s="556"/>
      <c r="C900" s="596"/>
      <c r="D900" s="556"/>
      <c r="E900" s="596"/>
      <c r="F900" s="556"/>
      <c r="G900" s="556"/>
      <c r="H900" s="556"/>
      <c r="I900" s="556"/>
      <c r="J900" s="556"/>
      <c r="K900" s="556"/>
      <c r="L900" s="556"/>
      <c r="M900" s="556"/>
      <c r="N900" s="556"/>
      <c r="O900" s="556"/>
      <c r="P900" s="556"/>
      <c r="Q900" s="556"/>
      <c r="R900" s="596"/>
      <c r="S900" s="596"/>
      <c r="T900" s="556"/>
      <c r="U900" s="556"/>
      <c r="V900" s="807"/>
      <c r="W900" s="556"/>
      <c r="X900" s="556"/>
      <c r="Y900" s="556"/>
      <c r="Z900" s="579"/>
      <c r="AA900" s="556"/>
      <c r="AB900" s="556"/>
      <c r="AC900" s="556"/>
      <c r="AD900" s="556"/>
    </row>
    <row r="901" ht="15.75" customHeight="1">
      <c r="A901" s="556"/>
      <c r="B901" s="556"/>
      <c r="C901" s="596"/>
      <c r="D901" s="556"/>
      <c r="E901" s="596"/>
      <c r="F901" s="556"/>
      <c r="G901" s="556"/>
      <c r="H901" s="556"/>
      <c r="I901" s="556"/>
      <c r="J901" s="556"/>
      <c r="K901" s="556"/>
      <c r="L901" s="556"/>
      <c r="M901" s="556"/>
      <c r="N901" s="556"/>
      <c r="O901" s="556"/>
      <c r="P901" s="556"/>
      <c r="Q901" s="556"/>
      <c r="R901" s="596"/>
      <c r="S901" s="596"/>
      <c r="T901" s="556"/>
      <c r="U901" s="556"/>
      <c r="V901" s="807"/>
      <c r="W901" s="556"/>
      <c r="X901" s="556"/>
      <c r="Y901" s="556"/>
      <c r="Z901" s="579"/>
      <c r="AA901" s="556"/>
      <c r="AB901" s="556"/>
      <c r="AC901" s="556"/>
      <c r="AD901" s="556"/>
    </row>
    <row r="902" ht="15.75" customHeight="1">
      <c r="A902" s="556"/>
      <c r="B902" s="556"/>
      <c r="C902" s="596"/>
      <c r="D902" s="556"/>
      <c r="E902" s="596"/>
      <c r="F902" s="556"/>
      <c r="G902" s="556"/>
      <c r="H902" s="556"/>
      <c r="I902" s="556"/>
      <c r="J902" s="556"/>
      <c r="K902" s="556"/>
      <c r="L902" s="556"/>
      <c r="M902" s="556"/>
      <c r="N902" s="556"/>
      <c r="O902" s="556"/>
      <c r="P902" s="556"/>
      <c r="Q902" s="556"/>
      <c r="R902" s="596"/>
      <c r="S902" s="596"/>
      <c r="T902" s="556"/>
      <c r="U902" s="556"/>
      <c r="V902" s="807"/>
      <c r="W902" s="556"/>
      <c r="X902" s="556"/>
      <c r="Y902" s="556"/>
      <c r="Z902" s="579"/>
      <c r="AA902" s="556"/>
      <c r="AB902" s="556"/>
      <c r="AC902" s="556"/>
      <c r="AD902" s="556"/>
    </row>
    <row r="903" ht="15.75" customHeight="1">
      <c r="A903" s="556"/>
      <c r="B903" s="556"/>
      <c r="C903" s="596"/>
      <c r="D903" s="556"/>
      <c r="E903" s="596"/>
      <c r="F903" s="556"/>
      <c r="G903" s="556"/>
      <c r="H903" s="556"/>
      <c r="I903" s="556"/>
      <c r="J903" s="556"/>
      <c r="K903" s="556"/>
      <c r="L903" s="556"/>
      <c r="M903" s="556"/>
      <c r="N903" s="556"/>
      <c r="O903" s="556"/>
      <c r="P903" s="556"/>
      <c r="Q903" s="556"/>
      <c r="R903" s="596"/>
      <c r="S903" s="596"/>
      <c r="T903" s="556"/>
      <c r="U903" s="556"/>
      <c r="V903" s="807"/>
      <c r="W903" s="556"/>
      <c r="X903" s="556"/>
      <c r="Y903" s="556"/>
      <c r="Z903" s="579"/>
      <c r="AA903" s="556"/>
      <c r="AB903" s="556"/>
      <c r="AC903" s="556"/>
      <c r="AD903" s="556"/>
    </row>
    <row r="904" ht="15.75" customHeight="1">
      <c r="A904" s="556"/>
      <c r="B904" s="556"/>
      <c r="C904" s="596"/>
      <c r="D904" s="556"/>
      <c r="E904" s="596"/>
      <c r="F904" s="556"/>
      <c r="G904" s="556"/>
      <c r="H904" s="556"/>
      <c r="I904" s="556"/>
      <c r="J904" s="556"/>
      <c r="K904" s="556"/>
      <c r="L904" s="556"/>
      <c r="M904" s="556"/>
      <c r="N904" s="556"/>
      <c r="O904" s="556"/>
      <c r="P904" s="556"/>
      <c r="Q904" s="556"/>
      <c r="R904" s="596"/>
      <c r="S904" s="596"/>
      <c r="T904" s="556"/>
      <c r="U904" s="556"/>
      <c r="V904" s="807"/>
      <c r="W904" s="556"/>
      <c r="X904" s="556"/>
      <c r="Y904" s="556"/>
      <c r="Z904" s="579"/>
      <c r="AA904" s="556"/>
      <c r="AB904" s="556"/>
      <c r="AC904" s="556"/>
      <c r="AD904" s="556"/>
    </row>
    <row r="905" ht="15.75" customHeight="1">
      <c r="A905" s="556"/>
      <c r="B905" s="556"/>
      <c r="C905" s="596"/>
      <c r="D905" s="556"/>
      <c r="E905" s="596"/>
      <c r="F905" s="556"/>
      <c r="G905" s="556"/>
      <c r="H905" s="556"/>
      <c r="I905" s="556"/>
      <c r="J905" s="556"/>
      <c r="K905" s="556"/>
      <c r="L905" s="556"/>
      <c r="M905" s="556"/>
      <c r="N905" s="556"/>
      <c r="O905" s="556"/>
      <c r="P905" s="556"/>
      <c r="Q905" s="556"/>
      <c r="R905" s="596"/>
      <c r="S905" s="596"/>
      <c r="T905" s="556"/>
      <c r="U905" s="556"/>
      <c r="V905" s="807"/>
      <c r="W905" s="556"/>
      <c r="X905" s="556"/>
      <c r="Y905" s="556"/>
      <c r="Z905" s="579"/>
      <c r="AA905" s="556"/>
      <c r="AB905" s="556"/>
      <c r="AC905" s="556"/>
      <c r="AD905" s="556"/>
    </row>
    <row r="906" ht="15.75" customHeight="1">
      <c r="A906" s="556"/>
      <c r="B906" s="556"/>
      <c r="C906" s="596"/>
      <c r="D906" s="556"/>
      <c r="E906" s="596"/>
      <c r="F906" s="556"/>
      <c r="G906" s="556"/>
      <c r="H906" s="556"/>
      <c r="I906" s="556"/>
      <c r="J906" s="556"/>
      <c r="K906" s="556"/>
      <c r="L906" s="556"/>
      <c r="M906" s="556"/>
      <c r="N906" s="556"/>
      <c r="O906" s="556"/>
      <c r="P906" s="556"/>
      <c r="Q906" s="556"/>
      <c r="R906" s="596"/>
      <c r="S906" s="596"/>
      <c r="T906" s="556"/>
      <c r="U906" s="556"/>
      <c r="V906" s="807"/>
      <c r="W906" s="556"/>
      <c r="X906" s="556"/>
      <c r="Y906" s="556"/>
      <c r="Z906" s="579"/>
      <c r="AA906" s="556"/>
      <c r="AB906" s="556"/>
      <c r="AC906" s="556"/>
      <c r="AD906" s="556"/>
    </row>
    <row r="907" ht="15.75" customHeight="1">
      <c r="A907" s="556"/>
      <c r="B907" s="556"/>
      <c r="C907" s="596"/>
      <c r="D907" s="556"/>
      <c r="E907" s="596"/>
      <c r="F907" s="556"/>
      <c r="G907" s="556"/>
      <c r="H907" s="556"/>
      <c r="I907" s="556"/>
      <c r="J907" s="556"/>
      <c r="K907" s="556"/>
      <c r="L907" s="556"/>
      <c r="M907" s="556"/>
      <c r="N907" s="556"/>
      <c r="O907" s="556"/>
      <c r="P907" s="556"/>
      <c r="Q907" s="556"/>
      <c r="R907" s="596"/>
      <c r="S907" s="596"/>
      <c r="T907" s="556"/>
      <c r="U907" s="556"/>
      <c r="V907" s="807"/>
      <c r="W907" s="556"/>
      <c r="X907" s="556"/>
      <c r="Y907" s="556"/>
      <c r="Z907" s="579"/>
      <c r="AA907" s="556"/>
      <c r="AB907" s="556"/>
      <c r="AC907" s="556"/>
      <c r="AD907" s="556"/>
    </row>
    <row r="908" ht="15.75" customHeight="1">
      <c r="A908" s="556"/>
      <c r="B908" s="556"/>
      <c r="C908" s="596"/>
      <c r="D908" s="556"/>
      <c r="E908" s="596"/>
      <c r="F908" s="556"/>
      <c r="G908" s="556"/>
      <c r="H908" s="556"/>
      <c r="I908" s="556"/>
      <c r="J908" s="556"/>
      <c r="K908" s="556"/>
      <c r="L908" s="556"/>
      <c r="M908" s="556"/>
      <c r="N908" s="556"/>
      <c r="O908" s="556"/>
      <c r="P908" s="556"/>
      <c r="Q908" s="556"/>
      <c r="R908" s="596"/>
      <c r="S908" s="596"/>
      <c r="T908" s="556"/>
      <c r="U908" s="556"/>
      <c r="V908" s="807"/>
      <c r="W908" s="556"/>
      <c r="X908" s="556"/>
      <c r="Y908" s="556"/>
      <c r="Z908" s="579"/>
      <c r="AA908" s="556"/>
      <c r="AB908" s="556"/>
      <c r="AC908" s="556"/>
      <c r="AD908" s="556"/>
    </row>
    <row r="909" ht="15.75" customHeight="1">
      <c r="A909" s="556"/>
      <c r="B909" s="556"/>
      <c r="C909" s="596"/>
      <c r="D909" s="556"/>
      <c r="E909" s="596"/>
      <c r="F909" s="556"/>
      <c r="G909" s="556"/>
      <c r="H909" s="556"/>
      <c r="I909" s="556"/>
      <c r="J909" s="556"/>
      <c r="K909" s="556"/>
      <c r="L909" s="556"/>
      <c r="M909" s="556"/>
      <c r="N909" s="556"/>
      <c r="O909" s="556"/>
      <c r="P909" s="556"/>
      <c r="Q909" s="556"/>
      <c r="R909" s="596"/>
      <c r="S909" s="596"/>
      <c r="T909" s="556"/>
      <c r="U909" s="556"/>
      <c r="V909" s="807"/>
      <c r="W909" s="556"/>
      <c r="X909" s="556"/>
      <c r="Y909" s="556"/>
      <c r="Z909" s="579"/>
      <c r="AA909" s="556"/>
      <c r="AB909" s="556"/>
      <c r="AC909" s="556"/>
      <c r="AD909" s="556"/>
    </row>
    <row r="910" ht="15.75" customHeight="1">
      <c r="A910" s="556"/>
      <c r="B910" s="556"/>
      <c r="C910" s="596"/>
      <c r="D910" s="556"/>
      <c r="E910" s="596"/>
      <c r="F910" s="556"/>
      <c r="G910" s="556"/>
      <c r="H910" s="556"/>
      <c r="I910" s="556"/>
      <c r="J910" s="556"/>
      <c r="K910" s="556"/>
      <c r="L910" s="556"/>
      <c r="M910" s="556"/>
      <c r="N910" s="556"/>
      <c r="O910" s="556"/>
      <c r="P910" s="556"/>
      <c r="Q910" s="556"/>
      <c r="R910" s="596"/>
      <c r="S910" s="596"/>
      <c r="T910" s="556"/>
      <c r="U910" s="556"/>
      <c r="V910" s="807"/>
      <c r="W910" s="556"/>
      <c r="X910" s="556"/>
      <c r="Y910" s="556"/>
      <c r="Z910" s="579"/>
      <c r="AA910" s="556"/>
      <c r="AB910" s="556"/>
      <c r="AC910" s="556"/>
      <c r="AD910" s="556"/>
    </row>
    <row r="911" ht="15.75" customHeight="1">
      <c r="A911" s="556"/>
      <c r="B911" s="556"/>
      <c r="C911" s="596"/>
      <c r="D911" s="556"/>
      <c r="E911" s="596"/>
      <c r="F911" s="556"/>
      <c r="G911" s="556"/>
      <c r="H911" s="556"/>
      <c r="I911" s="556"/>
      <c r="J911" s="556"/>
      <c r="K911" s="556"/>
      <c r="L911" s="556"/>
      <c r="M911" s="556"/>
      <c r="N911" s="556"/>
      <c r="O911" s="556"/>
      <c r="P911" s="556"/>
      <c r="Q911" s="556"/>
      <c r="R911" s="596"/>
      <c r="S911" s="596"/>
      <c r="T911" s="556"/>
      <c r="U911" s="556"/>
      <c r="V911" s="807"/>
      <c r="W911" s="556"/>
      <c r="X911" s="556"/>
      <c r="Y911" s="556"/>
      <c r="Z911" s="579"/>
      <c r="AA911" s="556"/>
      <c r="AB911" s="556"/>
      <c r="AC911" s="556"/>
      <c r="AD911" s="556"/>
    </row>
    <row r="912" ht="15.75" customHeight="1">
      <c r="A912" s="556"/>
      <c r="B912" s="556"/>
      <c r="C912" s="596"/>
      <c r="D912" s="556"/>
      <c r="E912" s="596"/>
      <c r="F912" s="556"/>
      <c r="G912" s="556"/>
      <c r="H912" s="556"/>
      <c r="I912" s="556"/>
      <c r="J912" s="556"/>
      <c r="K912" s="556"/>
      <c r="L912" s="556"/>
      <c r="M912" s="556"/>
      <c r="N912" s="556"/>
      <c r="O912" s="556"/>
      <c r="P912" s="556"/>
      <c r="Q912" s="556"/>
      <c r="R912" s="596"/>
      <c r="S912" s="596"/>
      <c r="T912" s="556"/>
      <c r="U912" s="556"/>
      <c r="V912" s="807"/>
      <c r="W912" s="556"/>
      <c r="X912" s="556"/>
      <c r="Y912" s="556"/>
      <c r="Z912" s="579"/>
      <c r="AA912" s="556"/>
      <c r="AB912" s="556"/>
      <c r="AC912" s="556"/>
      <c r="AD912" s="556"/>
    </row>
    <row r="913" ht="15.75" customHeight="1">
      <c r="A913" s="556"/>
      <c r="B913" s="556"/>
      <c r="C913" s="596"/>
      <c r="D913" s="556"/>
      <c r="E913" s="596"/>
      <c r="F913" s="556"/>
      <c r="G913" s="556"/>
      <c r="H913" s="556"/>
      <c r="I913" s="556"/>
      <c r="J913" s="556"/>
      <c r="K913" s="556"/>
      <c r="L913" s="556"/>
      <c r="M913" s="556"/>
      <c r="N913" s="556"/>
      <c r="O913" s="556"/>
      <c r="P913" s="556"/>
      <c r="Q913" s="556"/>
      <c r="R913" s="596"/>
      <c r="S913" s="596"/>
      <c r="T913" s="556"/>
      <c r="U913" s="556"/>
      <c r="V913" s="807"/>
      <c r="W913" s="556"/>
      <c r="X913" s="556"/>
      <c r="Y913" s="556"/>
      <c r="Z913" s="579"/>
      <c r="AA913" s="556"/>
      <c r="AB913" s="556"/>
      <c r="AC913" s="556"/>
      <c r="AD913" s="556"/>
    </row>
    <row r="914" ht="15.75" customHeight="1">
      <c r="A914" s="556"/>
      <c r="B914" s="556"/>
      <c r="C914" s="596"/>
      <c r="D914" s="556"/>
      <c r="E914" s="596"/>
      <c r="F914" s="556"/>
      <c r="G914" s="556"/>
      <c r="H914" s="556"/>
      <c r="I914" s="556"/>
      <c r="J914" s="556"/>
      <c r="K914" s="556"/>
      <c r="L914" s="556"/>
      <c r="M914" s="556"/>
      <c r="N914" s="556"/>
      <c r="O914" s="556"/>
      <c r="P914" s="556"/>
      <c r="Q914" s="556"/>
      <c r="R914" s="596"/>
      <c r="S914" s="596"/>
      <c r="T914" s="556"/>
      <c r="U914" s="556"/>
      <c r="V914" s="807"/>
      <c r="W914" s="556"/>
      <c r="X914" s="556"/>
      <c r="Y914" s="556"/>
      <c r="Z914" s="579"/>
      <c r="AA914" s="556"/>
      <c r="AB914" s="556"/>
      <c r="AC914" s="556"/>
      <c r="AD914" s="556"/>
    </row>
    <row r="915" ht="15.75" customHeight="1">
      <c r="A915" s="556"/>
      <c r="B915" s="556"/>
      <c r="C915" s="596"/>
      <c r="D915" s="556"/>
      <c r="E915" s="596"/>
      <c r="F915" s="556"/>
      <c r="G915" s="556"/>
      <c r="H915" s="556"/>
      <c r="I915" s="556"/>
      <c r="J915" s="556"/>
      <c r="K915" s="556"/>
      <c r="L915" s="556"/>
      <c r="M915" s="556"/>
      <c r="N915" s="556"/>
      <c r="O915" s="556"/>
      <c r="P915" s="556"/>
      <c r="Q915" s="556"/>
      <c r="R915" s="596"/>
      <c r="S915" s="596"/>
      <c r="T915" s="556"/>
      <c r="U915" s="556"/>
      <c r="V915" s="807"/>
      <c r="W915" s="556"/>
      <c r="X915" s="556"/>
      <c r="Y915" s="556"/>
      <c r="Z915" s="579"/>
      <c r="AA915" s="556"/>
      <c r="AB915" s="556"/>
      <c r="AC915" s="556"/>
      <c r="AD915" s="556"/>
    </row>
    <row r="916" ht="15.75" customHeight="1">
      <c r="A916" s="556"/>
      <c r="B916" s="556"/>
      <c r="C916" s="596"/>
      <c r="D916" s="556"/>
      <c r="E916" s="596"/>
      <c r="F916" s="556"/>
      <c r="G916" s="556"/>
      <c r="H916" s="556"/>
      <c r="I916" s="556"/>
      <c r="J916" s="556"/>
      <c r="K916" s="556"/>
      <c r="L916" s="556"/>
      <c r="M916" s="556"/>
      <c r="N916" s="556"/>
      <c r="O916" s="556"/>
      <c r="P916" s="556"/>
      <c r="Q916" s="556"/>
      <c r="R916" s="596"/>
      <c r="S916" s="596"/>
      <c r="T916" s="556"/>
      <c r="U916" s="556"/>
      <c r="V916" s="807"/>
      <c r="W916" s="556"/>
      <c r="X916" s="556"/>
      <c r="Y916" s="556"/>
      <c r="Z916" s="579"/>
      <c r="AA916" s="556"/>
      <c r="AB916" s="556"/>
      <c r="AC916" s="556"/>
      <c r="AD916" s="556"/>
    </row>
    <row r="917" ht="15.75" customHeight="1">
      <c r="A917" s="556"/>
      <c r="B917" s="556"/>
      <c r="C917" s="596"/>
      <c r="D917" s="556"/>
      <c r="E917" s="596"/>
      <c r="F917" s="556"/>
      <c r="G917" s="556"/>
      <c r="H917" s="556"/>
      <c r="I917" s="556"/>
      <c r="J917" s="556"/>
      <c r="K917" s="556"/>
      <c r="L917" s="556"/>
      <c r="M917" s="556"/>
      <c r="N917" s="556"/>
      <c r="O917" s="556"/>
      <c r="P917" s="556"/>
      <c r="Q917" s="556"/>
      <c r="R917" s="596"/>
      <c r="S917" s="596"/>
      <c r="T917" s="556"/>
      <c r="U917" s="556"/>
      <c r="V917" s="807"/>
      <c r="W917" s="556"/>
      <c r="X917" s="556"/>
      <c r="Y917" s="556"/>
      <c r="Z917" s="579"/>
      <c r="AA917" s="556"/>
      <c r="AB917" s="556"/>
      <c r="AC917" s="556"/>
      <c r="AD917" s="556"/>
    </row>
    <row r="918" ht="15.75" customHeight="1">
      <c r="A918" s="556"/>
      <c r="B918" s="556"/>
      <c r="C918" s="596"/>
      <c r="D918" s="556"/>
      <c r="E918" s="596"/>
      <c r="F918" s="556"/>
      <c r="G918" s="556"/>
      <c r="H918" s="556"/>
      <c r="I918" s="556"/>
      <c r="J918" s="556"/>
      <c r="K918" s="556"/>
      <c r="L918" s="556"/>
      <c r="M918" s="556"/>
      <c r="N918" s="556"/>
      <c r="O918" s="556"/>
      <c r="P918" s="556"/>
      <c r="Q918" s="556"/>
      <c r="R918" s="596"/>
      <c r="S918" s="596"/>
      <c r="T918" s="556"/>
      <c r="U918" s="556"/>
      <c r="V918" s="807"/>
      <c r="W918" s="556"/>
      <c r="X918" s="556"/>
      <c r="Y918" s="556"/>
      <c r="Z918" s="579"/>
      <c r="AA918" s="556"/>
      <c r="AB918" s="556"/>
      <c r="AC918" s="556"/>
      <c r="AD918" s="556"/>
    </row>
    <row r="919" ht="15.75" customHeight="1">
      <c r="A919" s="556"/>
      <c r="B919" s="556"/>
      <c r="C919" s="596"/>
      <c r="D919" s="556"/>
      <c r="E919" s="596"/>
      <c r="F919" s="556"/>
      <c r="G919" s="556"/>
      <c r="H919" s="556"/>
      <c r="I919" s="556"/>
      <c r="J919" s="556"/>
      <c r="K919" s="556"/>
      <c r="L919" s="556"/>
      <c r="M919" s="556"/>
      <c r="N919" s="556"/>
      <c r="O919" s="556"/>
      <c r="P919" s="556"/>
      <c r="Q919" s="556"/>
      <c r="R919" s="596"/>
      <c r="S919" s="596"/>
      <c r="T919" s="556"/>
      <c r="U919" s="556"/>
      <c r="V919" s="807"/>
      <c r="W919" s="556"/>
      <c r="X919" s="556"/>
      <c r="Y919" s="556"/>
      <c r="Z919" s="579"/>
      <c r="AA919" s="556"/>
      <c r="AB919" s="556"/>
      <c r="AC919" s="556"/>
      <c r="AD919" s="556"/>
    </row>
    <row r="920" ht="15.75" customHeight="1">
      <c r="A920" s="556"/>
      <c r="B920" s="556"/>
      <c r="C920" s="596"/>
      <c r="D920" s="556"/>
      <c r="E920" s="596"/>
      <c r="F920" s="556"/>
      <c r="G920" s="556"/>
      <c r="H920" s="556"/>
      <c r="I920" s="556"/>
      <c r="J920" s="556"/>
      <c r="K920" s="556"/>
      <c r="L920" s="556"/>
      <c r="M920" s="556"/>
      <c r="N920" s="556"/>
      <c r="O920" s="556"/>
      <c r="P920" s="556"/>
      <c r="Q920" s="556"/>
      <c r="R920" s="596"/>
      <c r="S920" s="596"/>
      <c r="T920" s="556"/>
      <c r="U920" s="556"/>
      <c r="V920" s="807"/>
      <c r="W920" s="556"/>
      <c r="X920" s="556"/>
      <c r="Y920" s="556"/>
      <c r="Z920" s="579"/>
      <c r="AA920" s="556"/>
      <c r="AB920" s="556"/>
      <c r="AC920" s="556"/>
      <c r="AD920" s="556"/>
    </row>
    <row r="921" ht="15.75" customHeight="1">
      <c r="A921" s="556"/>
      <c r="B921" s="556"/>
      <c r="C921" s="596"/>
      <c r="D921" s="556"/>
      <c r="E921" s="596"/>
      <c r="F921" s="556"/>
      <c r="G921" s="556"/>
      <c r="H921" s="556"/>
      <c r="I921" s="556"/>
      <c r="J921" s="556"/>
      <c r="K921" s="556"/>
      <c r="L921" s="556"/>
      <c r="M921" s="556"/>
      <c r="N921" s="556"/>
      <c r="O921" s="556"/>
      <c r="P921" s="556"/>
      <c r="Q921" s="556"/>
      <c r="R921" s="596"/>
      <c r="S921" s="596"/>
      <c r="T921" s="556"/>
      <c r="U921" s="556"/>
      <c r="V921" s="807"/>
      <c r="W921" s="556"/>
      <c r="X921" s="556"/>
      <c r="Y921" s="556"/>
      <c r="Z921" s="579"/>
      <c r="AA921" s="556"/>
      <c r="AB921" s="556"/>
      <c r="AC921" s="556"/>
      <c r="AD921" s="556"/>
    </row>
    <row r="922" ht="15.75" customHeight="1">
      <c r="A922" s="556"/>
      <c r="B922" s="556"/>
      <c r="C922" s="596"/>
      <c r="D922" s="556"/>
      <c r="E922" s="596"/>
      <c r="F922" s="556"/>
      <c r="G922" s="556"/>
      <c r="H922" s="556"/>
      <c r="I922" s="556"/>
      <c r="J922" s="556"/>
      <c r="K922" s="556"/>
      <c r="L922" s="556"/>
      <c r="M922" s="556"/>
      <c r="N922" s="556"/>
      <c r="O922" s="556"/>
      <c r="P922" s="556"/>
      <c r="Q922" s="556"/>
      <c r="R922" s="596"/>
      <c r="S922" s="596"/>
      <c r="T922" s="556"/>
      <c r="U922" s="556"/>
      <c r="V922" s="807"/>
      <c r="W922" s="556"/>
      <c r="X922" s="556"/>
      <c r="Y922" s="556"/>
      <c r="Z922" s="579"/>
      <c r="AA922" s="556"/>
      <c r="AB922" s="556"/>
      <c r="AC922" s="556"/>
      <c r="AD922" s="556"/>
    </row>
    <row r="923" ht="15.75" customHeight="1">
      <c r="A923" s="556"/>
      <c r="B923" s="556"/>
      <c r="C923" s="596"/>
      <c r="D923" s="556"/>
      <c r="E923" s="596"/>
      <c r="F923" s="556"/>
      <c r="G923" s="556"/>
      <c r="H923" s="556"/>
      <c r="I923" s="556"/>
      <c r="J923" s="556"/>
      <c r="K923" s="556"/>
      <c r="L923" s="556"/>
      <c r="M923" s="556"/>
      <c r="N923" s="556"/>
      <c r="O923" s="556"/>
      <c r="P923" s="556"/>
      <c r="Q923" s="556"/>
      <c r="R923" s="596"/>
      <c r="S923" s="596"/>
      <c r="T923" s="556"/>
      <c r="U923" s="556"/>
      <c r="V923" s="807"/>
      <c r="W923" s="556"/>
      <c r="X923" s="556"/>
      <c r="Y923" s="556"/>
      <c r="Z923" s="579"/>
      <c r="AA923" s="556"/>
      <c r="AB923" s="556"/>
      <c r="AC923" s="556"/>
      <c r="AD923" s="556"/>
    </row>
    <row r="924" ht="15.75" customHeight="1">
      <c r="A924" s="556"/>
      <c r="B924" s="556"/>
      <c r="C924" s="596"/>
      <c r="D924" s="556"/>
      <c r="E924" s="596"/>
      <c r="F924" s="556"/>
      <c r="G924" s="556"/>
      <c r="H924" s="556"/>
      <c r="I924" s="556"/>
      <c r="J924" s="556"/>
      <c r="K924" s="556"/>
      <c r="L924" s="556"/>
      <c r="M924" s="556"/>
      <c r="N924" s="556"/>
      <c r="O924" s="556"/>
      <c r="P924" s="556"/>
      <c r="Q924" s="556"/>
      <c r="R924" s="596"/>
      <c r="S924" s="596"/>
      <c r="T924" s="556"/>
      <c r="U924" s="556"/>
      <c r="V924" s="807"/>
      <c r="W924" s="556"/>
      <c r="X924" s="556"/>
      <c r="Y924" s="556"/>
      <c r="Z924" s="579"/>
      <c r="AA924" s="556"/>
      <c r="AB924" s="556"/>
      <c r="AC924" s="556"/>
      <c r="AD924" s="556"/>
    </row>
    <row r="925" ht="15.75" customHeight="1">
      <c r="A925" s="556"/>
      <c r="B925" s="556"/>
      <c r="C925" s="596"/>
      <c r="D925" s="556"/>
      <c r="E925" s="596"/>
      <c r="F925" s="556"/>
      <c r="G925" s="556"/>
      <c r="H925" s="556"/>
      <c r="I925" s="556"/>
      <c r="J925" s="556"/>
      <c r="K925" s="556"/>
      <c r="L925" s="556"/>
      <c r="M925" s="556"/>
      <c r="N925" s="556"/>
      <c r="O925" s="556"/>
      <c r="P925" s="556"/>
      <c r="Q925" s="556"/>
      <c r="R925" s="596"/>
      <c r="S925" s="596"/>
      <c r="T925" s="556"/>
      <c r="U925" s="556"/>
      <c r="V925" s="807"/>
      <c r="W925" s="556"/>
      <c r="X925" s="556"/>
      <c r="Y925" s="556"/>
      <c r="Z925" s="579"/>
      <c r="AA925" s="556"/>
      <c r="AB925" s="556"/>
      <c r="AC925" s="556"/>
      <c r="AD925" s="556"/>
    </row>
    <row r="926" ht="15.75" customHeight="1">
      <c r="A926" s="556"/>
      <c r="B926" s="556"/>
      <c r="C926" s="596"/>
      <c r="D926" s="556"/>
      <c r="E926" s="596"/>
      <c r="F926" s="556"/>
      <c r="G926" s="556"/>
      <c r="H926" s="556"/>
      <c r="I926" s="556"/>
      <c r="J926" s="556"/>
      <c r="K926" s="556"/>
      <c r="L926" s="556"/>
      <c r="M926" s="556"/>
      <c r="N926" s="556"/>
      <c r="O926" s="556"/>
      <c r="P926" s="556"/>
      <c r="Q926" s="556"/>
      <c r="R926" s="596"/>
      <c r="S926" s="596"/>
      <c r="T926" s="556"/>
      <c r="U926" s="556"/>
      <c r="V926" s="807"/>
      <c r="W926" s="556"/>
      <c r="X926" s="556"/>
      <c r="Y926" s="556"/>
      <c r="Z926" s="579"/>
      <c r="AA926" s="556"/>
      <c r="AB926" s="556"/>
      <c r="AC926" s="556"/>
      <c r="AD926" s="556"/>
    </row>
    <row r="927" ht="15.75" customHeight="1">
      <c r="A927" s="556"/>
      <c r="B927" s="556"/>
      <c r="C927" s="596"/>
      <c r="D927" s="556"/>
      <c r="E927" s="596"/>
      <c r="F927" s="556"/>
      <c r="G927" s="556"/>
      <c r="H927" s="556"/>
      <c r="I927" s="556"/>
      <c r="J927" s="556"/>
      <c r="K927" s="556"/>
      <c r="L927" s="556"/>
      <c r="M927" s="556"/>
      <c r="N927" s="556"/>
      <c r="O927" s="556"/>
      <c r="P927" s="556"/>
      <c r="Q927" s="556"/>
      <c r="R927" s="596"/>
      <c r="S927" s="596"/>
      <c r="T927" s="556"/>
      <c r="U927" s="556"/>
      <c r="V927" s="807"/>
      <c r="W927" s="556"/>
      <c r="X927" s="556"/>
      <c r="Y927" s="556"/>
      <c r="Z927" s="579"/>
      <c r="AA927" s="556"/>
      <c r="AB927" s="556"/>
      <c r="AC927" s="556"/>
      <c r="AD927" s="556"/>
    </row>
    <row r="928" ht="15.75" customHeight="1">
      <c r="A928" s="556"/>
      <c r="B928" s="556"/>
      <c r="C928" s="596"/>
      <c r="D928" s="556"/>
      <c r="E928" s="596"/>
      <c r="F928" s="556"/>
      <c r="G928" s="556"/>
      <c r="H928" s="556"/>
      <c r="I928" s="556"/>
      <c r="J928" s="556"/>
      <c r="K928" s="556"/>
      <c r="L928" s="556"/>
      <c r="M928" s="556"/>
      <c r="N928" s="556"/>
      <c r="O928" s="556"/>
      <c r="P928" s="556"/>
      <c r="Q928" s="556"/>
      <c r="R928" s="596"/>
      <c r="S928" s="596"/>
      <c r="T928" s="556"/>
      <c r="U928" s="556"/>
      <c r="V928" s="807"/>
      <c r="W928" s="556"/>
      <c r="X928" s="556"/>
      <c r="Y928" s="556"/>
      <c r="Z928" s="579"/>
      <c r="AA928" s="556"/>
      <c r="AB928" s="556"/>
      <c r="AC928" s="556"/>
      <c r="AD928" s="556"/>
    </row>
    <row r="929" ht="15.75" customHeight="1">
      <c r="A929" s="556"/>
      <c r="B929" s="556"/>
      <c r="C929" s="596"/>
      <c r="D929" s="556"/>
      <c r="E929" s="596"/>
      <c r="F929" s="556"/>
      <c r="G929" s="556"/>
      <c r="H929" s="556"/>
      <c r="I929" s="556"/>
      <c r="J929" s="556"/>
      <c r="K929" s="556"/>
      <c r="L929" s="556"/>
      <c r="M929" s="556"/>
      <c r="N929" s="556"/>
      <c r="O929" s="556"/>
      <c r="P929" s="556"/>
      <c r="Q929" s="556"/>
      <c r="R929" s="596"/>
      <c r="S929" s="596"/>
      <c r="T929" s="556"/>
      <c r="U929" s="556"/>
      <c r="V929" s="807"/>
      <c r="W929" s="556"/>
      <c r="X929" s="556"/>
      <c r="Y929" s="556"/>
      <c r="Z929" s="579"/>
      <c r="AA929" s="556"/>
      <c r="AB929" s="556"/>
      <c r="AC929" s="556"/>
      <c r="AD929" s="556"/>
    </row>
    <row r="930" ht="15.75" customHeight="1">
      <c r="A930" s="556"/>
      <c r="B930" s="556"/>
      <c r="C930" s="596"/>
      <c r="D930" s="556"/>
      <c r="E930" s="596"/>
      <c r="F930" s="556"/>
      <c r="G930" s="556"/>
      <c r="H930" s="556"/>
      <c r="I930" s="556"/>
      <c r="J930" s="556"/>
      <c r="K930" s="556"/>
      <c r="L930" s="556"/>
      <c r="M930" s="556"/>
      <c r="N930" s="556"/>
      <c r="O930" s="556"/>
      <c r="P930" s="556"/>
      <c r="Q930" s="556"/>
      <c r="R930" s="596"/>
      <c r="S930" s="596"/>
      <c r="T930" s="556"/>
      <c r="U930" s="556"/>
      <c r="V930" s="807"/>
      <c r="W930" s="556"/>
      <c r="X930" s="556"/>
      <c r="Y930" s="556"/>
      <c r="Z930" s="579"/>
      <c r="AA930" s="556"/>
      <c r="AB930" s="556"/>
      <c r="AC930" s="556"/>
      <c r="AD930" s="556"/>
    </row>
    <row r="931" ht="15.75" customHeight="1">
      <c r="A931" s="556"/>
      <c r="B931" s="556"/>
      <c r="C931" s="596"/>
      <c r="D931" s="556"/>
      <c r="E931" s="596"/>
      <c r="F931" s="556"/>
      <c r="G931" s="556"/>
      <c r="H931" s="556"/>
      <c r="I931" s="556"/>
      <c r="J931" s="556"/>
      <c r="K931" s="556"/>
      <c r="L931" s="556"/>
      <c r="M931" s="556"/>
      <c r="N931" s="556"/>
      <c r="O931" s="556"/>
      <c r="P931" s="556"/>
      <c r="Q931" s="556"/>
      <c r="R931" s="596"/>
      <c r="S931" s="596"/>
      <c r="T931" s="556"/>
      <c r="U931" s="556"/>
      <c r="V931" s="807"/>
      <c r="W931" s="556"/>
      <c r="X931" s="556"/>
      <c r="Y931" s="556"/>
      <c r="Z931" s="579"/>
      <c r="AA931" s="556"/>
      <c r="AB931" s="556"/>
      <c r="AC931" s="556"/>
      <c r="AD931" s="556"/>
    </row>
    <row r="932" ht="15.75" customHeight="1">
      <c r="A932" s="556"/>
      <c r="B932" s="556"/>
      <c r="C932" s="596"/>
      <c r="D932" s="556"/>
      <c r="E932" s="596"/>
      <c r="F932" s="556"/>
      <c r="G932" s="556"/>
      <c r="H932" s="556"/>
      <c r="I932" s="556"/>
      <c r="J932" s="556"/>
      <c r="K932" s="556"/>
      <c r="L932" s="556"/>
      <c r="M932" s="556"/>
      <c r="N932" s="556"/>
      <c r="O932" s="556"/>
      <c r="P932" s="556"/>
      <c r="Q932" s="556"/>
      <c r="R932" s="596"/>
      <c r="S932" s="596"/>
      <c r="T932" s="556"/>
      <c r="U932" s="556"/>
      <c r="V932" s="807"/>
      <c r="W932" s="556"/>
      <c r="X932" s="556"/>
      <c r="Y932" s="556"/>
      <c r="Z932" s="579"/>
      <c r="AA932" s="556"/>
      <c r="AB932" s="556"/>
      <c r="AC932" s="556"/>
      <c r="AD932" s="556"/>
    </row>
    <row r="933" ht="15.75" customHeight="1">
      <c r="A933" s="556"/>
      <c r="B933" s="556"/>
      <c r="C933" s="596"/>
      <c r="D933" s="556"/>
      <c r="E933" s="596"/>
      <c r="F933" s="556"/>
      <c r="G933" s="556"/>
      <c r="H933" s="556"/>
      <c r="I933" s="556"/>
      <c r="J933" s="556"/>
      <c r="K933" s="556"/>
      <c r="L933" s="556"/>
      <c r="M933" s="556"/>
      <c r="N933" s="556"/>
      <c r="O933" s="556"/>
      <c r="P933" s="556"/>
      <c r="Q933" s="556"/>
      <c r="R933" s="596"/>
      <c r="S933" s="596"/>
      <c r="T933" s="556"/>
      <c r="U933" s="556"/>
      <c r="V933" s="807"/>
      <c r="W933" s="556"/>
      <c r="X933" s="556"/>
      <c r="Y933" s="556"/>
      <c r="Z933" s="579"/>
      <c r="AA933" s="556"/>
      <c r="AB933" s="556"/>
      <c r="AC933" s="556"/>
      <c r="AD933" s="556"/>
    </row>
    <row r="934" ht="15.75" customHeight="1">
      <c r="A934" s="556"/>
      <c r="B934" s="556"/>
      <c r="C934" s="596"/>
      <c r="D934" s="556"/>
      <c r="E934" s="596"/>
      <c r="F934" s="556"/>
      <c r="G934" s="556"/>
      <c r="H934" s="556"/>
      <c r="I934" s="556"/>
      <c r="J934" s="556"/>
      <c r="K934" s="556"/>
      <c r="L934" s="556"/>
      <c r="M934" s="556"/>
      <c r="N934" s="556"/>
      <c r="O934" s="556"/>
      <c r="P934" s="556"/>
      <c r="Q934" s="556"/>
      <c r="R934" s="596"/>
      <c r="S934" s="596"/>
      <c r="T934" s="556"/>
      <c r="U934" s="556"/>
      <c r="V934" s="807"/>
      <c r="W934" s="556"/>
      <c r="X934" s="556"/>
      <c r="Y934" s="556"/>
      <c r="Z934" s="579"/>
      <c r="AA934" s="556"/>
      <c r="AB934" s="556"/>
      <c r="AC934" s="556"/>
      <c r="AD934" s="556"/>
    </row>
    <row r="935" ht="15.75" customHeight="1">
      <c r="A935" s="556"/>
      <c r="B935" s="556"/>
      <c r="C935" s="596"/>
      <c r="D935" s="556"/>
      <c r="E935" s="596"/>
      <c r="F935" s="556"/>
      <c r="G935" s="556"/>
      <c r="H935" s="556"/>
      <c r="I935" s="556"/>
      <c r="J935" s="556"/>
      <c r="K935" s="556"/>
      <c r="L935" s="556"/>
      <c r="M935" s="556"/>
      <c r="N935" s="556"/>
      <c r="O935" s="556"/>
      <c r="P935" s="556"/>
      <c r="Q935" s="556"/>
      <c r="R935" s="596"/>
      <c r="S935" s="596"/>
      <c r="T935" s="556"/>
      <c r="U935" s="556"/>
      <c r="V935" s="807"/>
      <c r="W935" s="556"/>
      <c r="X935" s="556"/>
      <c r="Y935" s="556"/>
      <c r="Z935" s="579"/>
      <c r="AA935" s="556"/>
      <c r="AB935" s="556"/>
      <c r="AC935" s="556"/>
      <c r="AD935" s="556"/>
    </row>
    <row r="936" ht="15.75" customHeight="1">
      <c r="A936" s="556"/>
      <c r="B936" s="556"/>
      <c r="C936" s="596"/>
      <c r="D936" s="556"/>
      <c r="E936" s="596"/>
      <c r="F936" s="556"/>
      <c r="G936" s="556"/>
      <c r="H936" s="556"/>
      <c r="I936" s="556"/>
      <c r="J936" s="556"/>
      <c r="K936" s="556"/>
      <c r="L936" s="556"/>
      <c r="M936" s="556"/>
      <c r="N936" s="556"/>
      <c r="O936" s="556"/>
      <c r="P936" s="556"/>
      <c r="Q936" s="556"/>
      <c r="R936" s="596"/>
      <c r="S936" s="596"/>
      <c r="T936" s="556"/>
      <c r="U936" s="556"/>
      <c r="V936" s="807"/>
      <c r="W936" s="556"/>
      <c r="X936" s="556"/>
      <c r="Y936" s="556"/>
      <c r="Z936" s="579"/>
      <c r="AA936" s="556"/>
      <c r="AB936" s="556"/>
      <c r="AC936" s="556"/>
      <c r="AD936" s="556"/>
    </row>
    <row r="937" ht="15.75" customHeight="1">
      <c r="A937" s="556"/>
      <c r="B937" s="556"/>
      <c r="C937" s="596"/>
      <c r="D937" s="556"/>
      <c r="E937" s="596"/>
      <c r="F937" s="556"/>
      <c r="G937" s="556"/>
      <c r="H937" s="556"/>
      <c r="I937" s="556"/>
      <c r="J937" s="556"/>
      <c r="K937" s="556"/>
      <c r="L937" s="556"/>
      <c r="M937" s="556"/>
      <c r="N937" s="556"/>
      <c r="O937" s="556"/>
      <c r="P937" s="556"/>
      <c r="Q937" s="556"/>
      <c r="R937" s="596"/>
      <c r="S937" s="596"/>
      <c r="T937" s="556"/>
      <c r="U937" s="556"/>
      <c r="V937" s="807"/>
      <c r="W937" s="556"/>
      <c r="X937" s="556"/>
      <c r="Y937" s="556"/>
      <c r="Z937" s="579"/>
      <c r="AA937" s="556"/>
      <c r="AB937" s="556"/>
      <c r="AC937" s="556"/>
      <c r="AD937" s="556"/>
    </row>
    <row r="938" ht="15.75" customHeight="1">
      <c r="A938" s="556"/>
      <c r="B938" s="556"/>
      <c r="C938" s="596"/>
      <c r="D938" s="556"/>
      <c r="E938" s="596"/>
      <c r="F938" s="556"/>
      <c r="G938" s="556"/>
      <c r="H938" s="556"/>
      <c r="I938" s="556"/>
      <c r="J938" s="556"/>
      <c r="K938" s="556"/>
      <c r="L938" s="556"/>
      <c r="M938" s="556"/>
      <c r="N938" s="556"/>
      <c r="O938" s="556"/>
      <c r="P938" s="556"/>
      <c r="Q938" s="556"/>
      <c r="R938" s="596"/>
      <c r="S938" s="596"/>
      <c r="T938" s="556"/>
      <c r="U938" s="556"/>
      <c r="V938" s="807"/>
      <c r="W938" s="556"/>
      <c r="X938" s="556"/>
      <c r="Y938" s="556"/>
      <c r="Z938" s="579"/>
      <c r="AA938" s="556"/>
      <c r="AB938" s="556"/>
      <c r="AC938" s="556"/>
      <c r="AD938" s="556"/>
    </row>
    <row r="939" ht="15.75" customHeight="1">
      <c r="A939" s="556"/>
      <c r="B939" s="556"/>
      <c r="C939" s="596"/>
      <c r="D939" s="556"/>
      <c r="E939" s="596"/>
      <c r="F939" s="556"/>
      <c r="G939" s="556"/>
      <c r="H939" s="556"/>
      <c r="I939" s="556"/>
      <c r="J939" s="556"/>
      <c r="K939" s="556"/>
      <c r="L939" s="556"/>
      <c r="M939" s="556"/>
      <c r="N939" s="556"/>
      <c r="O939" s="556"/>
      <c r="P939" s="556"/>
      <c r="Q939" s="556"/>
      <c r="R939" s="596"/>
      <c r="S939" s="596"/>
      <c r="T939" s="556"/>
      <c r="U939" s="556"/>
      <c r="V939" s="807"/>
      <c r="W939" s="556"/>
      <c r="X939" s="556"/>
      <c r="Y939" s="556"/>
      <c r="Z939" s="579"/>
      <c r="AA939" s="556"/>
      <c r="AB939" s="556"/>
      <c r="AC939" s="556"/>
      <c r="AD939" s="556"/>
    </row>
    <row r="940" ht="15.75" customHeight="1">
      <c r="A940" s="556"/>
      <c r="B940" s="556"/>
      <c r="C940" s="596"/>
      <c r="D940" s="556"/>
      <c r="E940" s="596"/>
      <c r="F940" s="556"/>
      <c r="G940" s="556"/>
      <c r="H940" s="556"/>
      <c r="I940" s="556"/>
      <c r="J940" s="556"/>
      <c r="K940" s="556"/>
      <c r="L940" s="556"/>
      <c r="M940" s="556"/>
      <c r="N940" s="556"/>
      <c r="O940" s="556"/>
      <c r="P940" s="556"/>
      <c r="Q940" s="556"/>
      <c r="R940" s="596"/>
      <c r="S940" s="596"/>
      <c r="T940" s="556"/>
      <c r="U940" s="556"/>
      <c r="V940" s="807"/>
      <c r="W940" s="556"/>
      <c r="X940" s="556"/>
      <c r="Y940" s="556"/>
      <c r="Z940" s="579"/>
      <c r="AA940" s="556"/>
      <c r="AB940" s="556"/>
      <c r="AC940" s="556"/>
      <c r="AD940" s="556"/>
    </row>
    <row r="941" ht="15.75" customHeight="1">
      <c r="A941" s="556"/>
      <c r="B941" s="556"/>
      <c r="C941" s="596"/>
      <c r="D941" s="556"/>
      <c r="E941" s="596"/>
      <c r="F941" s="556"/>
      <c r="G941" s="556"/>
      <c r="H941" s="556"/>
      <c r="I941" s="556"/>
      <c r="J941" s="556"/>
      <c r="K941" s="556"/>
      <c r="L941" s="556"/>
      <c r="M941" s="556"/>
      <c r="N941" s="556"/>
      <c r="O941" s="556"/>
      <c r="P941" s="556"/>
      <c r="Q941" s="556"/>
      <c r="R941" s="596"/>
      <c r="S941" s="596"/>
      <c r="T941" s="556"/>
      <c r="U941" s="556"/>
      <c r="V941" s="807"/>
      <c r="W941" s="556"/>
      <c r="X941" s="556"/>
      <c r="Y941" s="556"/>
      <c r="Z941" s="579"/>
      <c r="AA941" s="556"/>
      <c r="AB941" s="556"/>
      <c r="AC941" s="556"/>
      <c r="AD941" s="556"/>
    </row>
    <row r="942" ht="15.75" customHeight="1">
      <c r="A942" s="556"/>
      <c r="B942" s="556"/>
      <c r="C942" s="596"/>
      <c r="D942" s="556"/>
      <c r="E942" s="596"/>
      <c r="F942" s="556"/>
      <c r="G942" s="556"/>
      <c r="H942" s="556"/>
      <c r="I942" s="556"/>
      <c r="J942" s="556"/>
      <c r="K942" s="556"/>
      <c r="L942" s="556"/>
      <c r="M942" s="556"/>
      <c r="N942" s="556"/>
      <c r="O942" s="556"/>
      <c r="P942" s="556"/>
      <c r="Q942" s="556"/>
      <c r="R942" s="596"/>
      <c r="S942" s="596"/>
      <c r="T942" s="556"/>
      <c r="U942" s="556"/>
      <c r="V942" s="807"/>
      <c r="W942" s="556"/>
      <c r="X942" s="556"/>
      <c r="Y942" s="556"/>
      <c r="Z942" s="579"/>
      <c r="AA942" s="556"/>
      <c r="AB942" s="556"/>
      <c r="AC942" s="556"/>
      <c r="AD942" s="556"/>
    </row>
    <row r="943" ht="15.75" customHeight="1">
      <c r="A943" s="556"/>
      <c r="B943" s="556"/>
      <c r="C943" s="596"/>
      <c r="D943" s="556"/>
      <c r="E943" s="596"/>
      <c r="F943" s="556"/>
      <c r="G943" s="556"/>
      <c r="H943" s="556"/>
      <c r="I943" s="556"/>
      <c r="J943" s="556"/>
      <c r="K943" s="556"/>
      <c r="L943" s="556"/>
      <c r="M943" s="556"/>
      <c r="N943" s="556"/>
      <c r="O943" s="556"/>
      <c r="P943" s="556"/>
      <c r="Q943" s="556"/>
      <c r="R943" s="596"/>
      <c r="S943" s="596"/>
      <c r="T943" s="556"/>
      <c r="U943" s="556"/>
      <c r="V943" s="807"/>
      <c r="W943" s="556"/>
      <c r="X943" s="556"/>
      <c r="Y943" s="556"/>
      <c r="Z943" s="579"/>
      <c r="AA943" s="556"/>
      <c r="AB943" s="556"/>
      <c r="AC943" s="556"/>
      <c r="AD943" s="556"/>
    </row>
    <row r="944" ht="15.75" customHeight="1">
      <c r="A944" s="556"/>
      <c r="B944" s="556"/>
      <c r="C944" s="596"/>
      <c r="D944" s="556"/>
      <c r="E944" s="596"/>
      <c r="F944" s="556"/>
      <c r="G944" s="556"/>
      <c r="H944" s="556"/>
      <c r="I944" s="556"/>
      <c r="J944" s="556"/>
      <c r="K944" s="556"/>
      <c r="L944" s="556"/>
      <c r="M944" s="556"/>
      <c r="N944" s="556"/>
      <c r="O944" s="556"/>
      <c r="P944" s="556"/>
      <c r="Q944" s="556"/>
      <c r="R944" s="596"/>
      <c r="S944" s="596"/>
      <c r="T944" s="556"/>
      <c r="U944" s="556"/>
      <c r="V944" s="807"/>
      <c r="W944" s="556"/>
      <c r="X944" s="556"/>
      <c r="Y944" s="556"/>
      <c r="Z944" s="579"/>
      <c r="AA944" s="556"/>
      <c r="AB944" s="556"/>
      <c r="AC944" s="556"/>
      <c r="AD944" s="556"/>
    </row>
    <row r="945" ht="15.75" customHeight="1">
      <c r="A945" s="556"/>
      <c r="B945" s="556"/>
      <c r="C945" s="596"/>
      <c r="D945" s="556"/>
      <c r="E945" s="596"/>
      <c r="F945" s="556"/>
      <c r="G945" s="556"/>
      <c r="H945" s="556"/>
      <c r="I945" s="556"/>
      <c r="J945" s="556"/>
      <c r="K945" s="556"/>
      <c r="L945" s="556"/>
      <c r="M945" s="556"/>
      <c r="N945" s="556"/>
      <c r="O945" s="556"/>
      <c r="P945" s="556"/>
      <c r="Q945" s="556"/>
      <c r="R945" s="596"/>
      <c r="S945" s="596"/>
      <c r="T945" s="556"/>
      <c r="U945" s="556"/>
      <c r="V945" s="807"/>
      <c r="W945" s="556"/>
      <c r="X945" s="556"/>
      <c r="Y945" s="556"/>
      <c r="Z945" s="579"/>
      <c r="AA945" s="556"/>
      <c r="AB945" s="556"/>
      <c r="AC945" s="556"/>
      <c r="AD945" s="556"/>
    </row>
    <row r="946" ht="15.75" customHeight="1">
      <c r="A946" s="556"/>
      <c r="B946" s="556"/>
      <c r="C946" s="596"/>
      <c r="D946" s="556"/>
      <c r="E946" s="596"/>
      <c r="F946" s="556"/>
      <c r="G946" s="556"/>
      <c r="H946" s="556"/>
      <c r="I946" s="556"/>
      <c r="J946" s="556"/>
      <c r="K946" s="556"/>
      <c r="L946" s="556"/>
      <c r="M946" s="556"/>
      <c r="N946" s="556"/>
      <c r="O946" s="556"/>
      <c r="P946" s="556"/>
      <c r="Q946" s="556"/>
      <c r="R946" s="596"/>
      <c r="S946" s="596"/>
      <c r="T946" s="556"/>
      <c r="U946" s="556"/>
      <c r="V946" s="807"/>
      <c r="W946" s="556"/>
      <c r="X946" s="556"/>
      <c r="Y946" s="556"/>
      <c r="Z946" s="579"/>
      <c r="AA946" s="556"/>
      <c r="AB946" s="556"/>
      <c r="AC946" s="556"/>
      <c r="AD946" s="556"/>
    </row>
    <row r="947" ht="15.75" customHeight="1">
      <c r="A947" s="556"/>
      <c r="B947" s="556"/>
      <c r="C947" s="596"/>
      <c r="D947" s="556"/>
      <c r="E947" s="596"/>
      <c r="F947" s="556"/>
      <c r="G947" s="556"/>
      <c r="H947" s="556"/>
      <c r="I947" s="556"/>
      <c r="J947" s="556"/>
      <c r="K947" s="556"/>
      <c r="L947" s="556"/>
      <c r="M947" s="556"/>
      <c r="N947" s="556"/>
      <c r="O947" s="556"/>
      <c r="P947" s="556"/>
      <c r="Q947" s="556"/>
      <c r="R947" s="596"/>
      <c r="S947" s="596"/>
      <c r="T947" s="556"/>
      <c r="U947" s="556"/>
      <c r="V947" s="807"/>
      <c r="W947" s="556"/>
      <c r="X947" s="556"/>
      <c r="Y947" s="556"/>
      <c r="Z947" s="579"/>
      <c r="AA947" s="556"/>
      <c r="AB947" s="556"/>
      <c r="AC947" s="556"/>
      <c r="AD947" s="556"/>
    </row>
    <row r="948" ht="15.75" customHeight="1">
      <c r="A948" s="556"/>
      <c r="B948" s="556"/>
      <c r="C948" s="596"/>
      <c r="D948" s="556"/>
      <c r="E948" s="596"/>
      <c r="F948" s="556"/>
      <c r="G948" s="556"/>
      <c r="H948" s="556"/>
      <c r="I948" s="556"/>
      <c r="J948" s="556"/>
      <c r="K948" s="556"/>
      <c r="L948" s="556"/>
      <c r="M948" s="556"/>
      <c r="N948" s="556"/>
      <c r="O948" s="556"/>
      <c r="P948" s="556"/>
      <c r="Q948" s="556"/>
      <c r="R948" s="596"/>
      <c r="S948" s="596"/>
      <c r="T948" s="556"/>
      <c r="U948" s="556"/>
      <c r="V948" s="807"/>
      <c r="W948" s="556"/>
      <c r="X948" s="556"/>
      <c r="Y948" s="556"/>
      <c r="Z948" s="579"/>
      <c r="AA948" s="556"/>
      <c r="AB948" s="556"/>
      <c r="AC948" s="556"/>
      <c r="AD948" s="556"/>
    </row>
    <row r="949" ht="15.75" customHeight="1">
      <c r="A949" s="556"/>
      <c r="B949" s="556"/>
      <c r="C949" s="596"/>
      <c r="D949" s="556"/>
      <c r="E949" s="596"/>
      <c r="F949" s="556"/>
      <c r="G949" s="556"/>
      <c r="H949" s="556"/>
      <c r="I949" s="556"/>
      <c r="J949" s="556"/>
      <c r="K949" s="556"/>
      <c r="L949" s="556"/>
      <c r="M949" s="556"/>
      <c r="N949" s="556"/>
      <c r="O949" s="556"/>
      <c r="P949" s="556"/>
      <c r="Q949" s="556"/>
      <c r="R949" s="596"/>
      <c r="S949" s="596"/>
      <c r="T949" s="556"/>
      <c r="U949" s="556"/>
      <c r="V949" s="807"/>
      <c r="W949" s="556"/>
      <c r="X949" s="556"/>
      <c r="Y949" s="556"/>
      <c r="Z949" s="579"/>
      <c r="AA949" s="556"/>
      <c r="AB949" s="556"/>
      <c r="AC949" s="556"/>
      <c r="AD949" s="556"/>
    </row>
    <row r="950" ht="15.75" customHeight="1">
      <c r="A950" s="556"/>
      <c r="B950" s="556"/>
      <c r="C950" s="596"/>
      <c r="D950" s="556"/>
      <c r="E950" s="596"/>
      <c r="F950" s="556"/>
      <c r="G950" s="556"/>
      <c r="H950" s="556"/>
      <c r="I950" s="556"/>
      <c r="J950" s="556"/>
      <c r="K950" s="556"/>
      <c r="L950" s="556"/>
      <c r="M950" s="556"/>
      <c r="N950" s="556"/>
      <c r="O950" s="556"/>
      <c r="P950" s="556"/>
      <c r="Q950" s="556"/>
      <c r="R950" s="596"/>
      <c r="S950" s="596"/>
      <c r="T950" s="556"/>
      <c r="U950" s="556"/>
      <c r="V950" s="807"/>
      <c r="W950" s="556"/>
      <c r="X950" s="556"/>
      <c r="Y950" s="556"/>
      <c r="Z950" s="579"/>
      <c r="AA950" s="556"/>
      <c r="AB950" s="556"/>
      <c r="AC950" s="556"/>
      <c r="AD950" s="556"/>
    </row>
    <row r="951" ht="15.75" customHeight="1">
      <c r="A951" s="556"/>
      <c r="B951" s="556"/>
      <c r="C951" s="596"/>
      <c r="D951" s="556"/>
      <c r="E951" s="596"/>
      <c r="F951" s="556"/>
      <c r="G951" s="556"/>
      <c r="H951" s="556"/>
      <c r="I951" s="556"/>
      <c r="J951" s="556"/>
      <c r="K951" s="556"/>
      <c r="L951" s="556"/>
      <c r="M951" s="556"/>
      <c r="N951" s="556"/>
      <c r="O951" s="556"/>
      <c r="P951" s="556"/>
      <c r="Q951" s="556"/>
      <c r="R951" s="596"/>
      <c r="S951" s="596"/>
      <c r="T951" s="556"/>
      <c r="U951" s="556"/>
      <c r="V951" s="807"/>
      <c r="W951" s="556"/>
      <c r="X951" s="556"/>
      <c r="Y951" s="556"/>
      <c r="Z951" s="579"/>
      <c r="AA951" s="556"/>
      <c r="AB951" s="556"/>
      <c r="AC951" s="556"/>
      <c r="AD951" s="556"/>
    </row>
    <row r="952" ht="15.75" customHeight="1">
      <c r="A952" s="556"/>
      <c r="B952" s="556"/>
      <c r="C952" s="596"/>
      <c r="D952" s="556"/>
      <c r="E952" s="596"/>
      <c r="F952" s="556"/>
      <c r="G952" s="556"/>
      <c r="H952" s="556"/>
      <c r="I952" s="556"/>
      <c r="J952" s="556"/>
      <c r="K952" s="556"/>
      <c r="L952" s="556"/>
      <c r="M952" s="556"/>
      <c r="N952" s="556"/>
      <c r="O952" s="556"/>
      <c r="P952" s="556"/>
      <c r="Q952" s="556"/>
      <c r="R952" s="596"/>
      <c r="S952" s="596"/>
      <c r="T952" s="556"/>
      <c r="U952" s="556"/>
      <c r="V952" s="807"/>
      <c r="W952" s="556"/>
      <c r="X952" s="556"/>
      <c r="Y952" s="556"/>
      <c r="Z952" s="579"/>
      <c r="AA952" s="556"/>
      <c r="AB952" s="556"/>
      <c r="AC952" s="556"/>
      <c r="AD952" s="556"/>
    </row>
    <row r="953" ht="15.75" customHeight="1">
      <c r="A953" s="556"/>
      <c r="B953" s="556"/>
      <c r="C953" s="596"/>
      <c r="D953" s="556"/>
      <c r="E953" s="596"/>
      <c r="F953" s="556"/>
      <c r="G953" s="556"/>
      <c r="H953" s="556"/>
      <c r="I953" s="556"/>
      <c r="J953" s="556"/>
      <c r="K953" s="556"/>
      <c r="L953" s="556"/>
      <c r="M953" s="556"/>
      <c r="N953" s="556"/>
      <c r="O953" s="556"/>
      <c r="P953" s="556"/>
      <c r="Q953" s="556"/>
      <c r="R953" s="596"/>
      <c r="S953" s="596"/>
      <c r="T953" s="556"/>
      <c r="U953" s="556"/>
      <c r="V953" s="807"/>
      <c r="W953" s="556"/>
      <c r="X953" s="556"/>
      <c r="Y953" s="556"/>
      <c r="Z953" s="579"/>
      <c r="AA953" s="556"/>
      <c r="AB953" s="556"/>
      <c r="AC953" s="556"/>
      <c r="AD953" s="556"/>
    </row>
    <row r="954" ht="15.75" customHeight="1">
      <c r="A954" s="556"/>
      <c r="B954" s="556"/>
      <c r="C954" s="596"/>
      <c r="D954" s="556"/>
      <c r="E954" s="596"/>
      <c r="F954" s="556"/>
      <c r="G954" s="556"/>
      <c r="H954" s="556"/>
      <c r="I954" s="556"/>
      <c r="J954" s="556"/>
      <c r="K954" s="556"/>
      <c r="L954" s="556"/>
      <c r="M954" s="556"/>
      <c r="N954" s="556"/>
      <c r="O954" s="556"/>
      <c r="P954" s="556"/>
      <c r="Q954" s="556"/>
      <c r="R954" s="596"/>
      <c r="S954" s="596"/>
      <c r="T954" s="556"/>
      <c r="U954" s="556"/>
      <c r="V954" s="807"/>
      <c r="W954" s="556"/>
      <c r="X954" s="556"/>
      <c r="Y954" s="556"/>
      <c r="Z954" s="579"/>
      <c r="AA954" s="556"/>
      <c r="AB954" s="556"/>
      <c r="AC954" s="556"/>
      <c r="AD954" s="556"/>
    </row>
    <row r="955" ht="15.75" customHeight="1">
      <c r="A955" s="556"/>
      <c r="B955" s="556"/>
      <c r="C955" s="596"/>
      <c r="D955" s="556"/>
      <c r="E955" s="596"/>
      <c r="F955" s="556"/>
      <c r="G955" s="556"/>
      <c r="H955" s="556"/>
      <c r="I955" s="556"/>
      <c r="J955" s="556"/>
      <c r="K955" s="556"/>
      <c r="L955" s="556"/>
      <c r="M955" s="556"/>
      <c r="N955" s="556"/>
      <c r="O955" s="556"/>
      <c r="P955" s="556"/>
      <c r="Q955" s="556"/>
      <c r="R955" s="596"/>
      <c r="S955" s="596"/>
      <c r="T955" s="556"/>
      <c r="U955" s="556"/>
      <c r="V955" s="807"/>
      <c r="W955" s="556"/>
      <c r="X955" s="556"/>
      <c r="Y955" s="556"/>
      <c r="Z955" s="579"/>
      <c r="AA955" s="556"/>
      <c r="AB955" s="556"/>
      <c r="AC955" s="556"/>
      <c r="AD955" s="556"/>
    </row>
    <row r="956" ht="15.75" customHeight="1">
      <c r="A956" s="556"/>
      <c r="B956" s="556"/>
      <c r="C956" s="596"/>
      <c r="D956" s="556"/>
      <c r="E956" s="596"/>
      <c r="F956" s="556"/>
      <c r="G956" s="556"/>
      <c r="H956" s="556"/>
      <c r="I956" s="556"/>
      <c r="J956" s="556"/>
      <c r="K956" s="556"/>
      <c r="L956" s="556"/>
      <c r="M956" s="556"/>
      <c r="N956" s="556"/>
      <c r="O956" s="556"/>
      <c r="P956" s="556"/>
      <c r="Q956" s="556"/>
      <c r="R956" s="596"/>
      <c r="S956" s="596"/>
      <c r="T956" s="556"/>
      <c r="U956" s="556"/>
      <c r="V956" s="807"/>
      <c r="W956" s="556"/>
      <c r="X956" s="556"/>
      <c r="Y956" s="556"/>
      <c r="Z956" s="579"/>
      <c r="AA956" s="556"/>
      <c r="AB956" s="556"/>
      <c r="AC956" s="556"/>
      <c r="AD956" s="556"/>
    </row>
    <row r="957" ht="15.75" customHeight="1">
      <c r="A957" s="556"/>
      <c r="B957" s="556"/>
      <c r="C957" s="596"/>
      <c r="D957" s="556"/>
      <c r="E957" s="596"/>
      <c r="F957" s="556"/>
      <c r="G957" s="556"/>
      <c r="H957" s="556"/>
      <c r="I957" s="556"/>
      <c r="J957" s="556"/>
      <c r="K957" s="556"/>
      <c r="L957" s="556"/>
      <c r="M957" s="556"/>
      <c r="N957" s="556"/>
      <c r="O957" s="556"/>
      <c r="P957" s="556"/>
      <c r="Q957" s="556"/>
      <c r="R957" s="596"/>
      <c r="S957" s="596"/>
      <c r="T957" s="556"/>
      <c r="U957" s="556"/>
      <c r="V957" s="807"/>
      <c r="W957" s="556"/>
      <c r="X957" s="556"/>
      <c r="Y957" s="556"/>
      <c r="Z957" s="579"/>
      <c r="AA957" s="556"/>
      <c r="AB957" s="556"/>
      <c r="AC957" s="556"/>
      <c r="AD957" s="556"/>
    </row>
    <row r="958" ht="15.75" customHeight="1">
      <c r="A958" s="556"/>
      <c r="B958" s="556"/>
      <c r="C958" s="596"/>
      <c r="D958" s="556"/>
      <c r="E958" s="596"/>
      <c r="F958" s="556"/>
      <c r="G958" s="556"/>
      <c r="H958" s="556"/>
      <c r="I958" s="556"/>
      <c r="J958" s="556"/>
      <c r="K958" s="556"/>
      <c r="L958" s="556"/>
      <c r="M958" s="556"/>
      <c r="N958" s="556"/>
      <c r="O958" s="556"/>
      <c r="P958" s="556"/>
      <c r="Q958" s="556"/>
      <c r="R958" s="596"/>
      <c r="S958" s="596"/>
      <c r="T958" s="556"/>
      <c r="U958" s="556"/>
      <c r="V958" s="807"/>
      <c r="W958" s="556"/>
      <c r="X958" s="556"/>
      <c r="Y958" s="556"/>
      <c r="Z958" s="579"/>
      <c r="AA958" s="556"/>
      <c r="AB958" s="556"/>
      <c r="AC958" s="556"/>
      <c r="AD958" s="556"/>
    </row>
    <row r="959" ht="15.75" customHeight="1">
      <c r="A959" s="556"/>
      <c r="B959" s="556"/>
      <c r="C959" s="596"/>
      <c r="D959" s="556"/>
      <c r="E959" s="596"/>
      <c r="F959" s="556"/>
      <c r="G959" s="556"/>
      <c r="H959" s="556"/>
      <c r="I959" s="556"/>
      <c r="J959" s="556"/>
      <c r="K959" s="556"/>
      <c r="L959" s="556"/>
      <c r="M959" s="556"/>
      <c r="N959" s="556"/>
      <c r="O959" s="556"/>
      <c r="P959" s="556"/>
      <c r="Q959" s="556"/>
      <c r="R959" s="596"/>
      <c r="S959" s="596"/>
      <c r="T959" s="556"/>
      <c r="U959" s="556"/>
      <c r="V959" s="807"/>
      <c r="W959" s="556"/>
      <c r="X959" s="556"/>
      <c r="Y959" s="556"/>
      <c r="Z959" s="579"/>
      <c r="AA959" s="556"/>
      <c r="AB959" s="556"/>
      <c r="AC959" s="556"/>
      <c r="AD959" s="556"/>
    </row>
    <row r="960" ht="15.75" customHeight="1">
      <c r="A960" s="556"/>
      <c r="B960" s="556"/>
      <c r="C960" s="596"/>
      <c r="D960" s="556"/>
      <c r="E960" s="596"/>
      <c r="F960" s="556"/>
      <c r="G960" s="556"/>
      <c r="H960" s="556"/>
      <c r="I960" s="556"/>
      <c r="J960" s="556"/>
      <c r="K960" s="556"/>
      <c r="L960" s="556"/>
      <c r="M960" s="556"/>
      <c r="N960" s="556"/>
      <c r="O960" s="556"/>
      <c r="P960" s="556"/>
      <c r="Q960" s="556"/>
      <c r="R960" s="596"/>
      <c r="S960" s="596"/>
      <c r="T960" s="556"/>
      <c r="U960" s="556"/>
      <c r="V960" s="807"/>
      <c r="W960" s="556"/>
      <c r="X960" s="556"/>
      <c r="Y960" s="556"/>
      <c r="Z960" s="579"/>
      <c r="AA960" s="556"/>
      <c r="AB960" s="556"/>
      <c r="AC960" s="556"/>
      <c r="AD960" s="556"/>
    </row>
    <row r="961" ht="15.75" customHeight="1">
      <c r="A961" s="556"/>
      <c r="B961" s="556"/>
      <c r="C961" s="596"/>
      <c r="D961" s="556"/>
      <c r="E961" s="596"/>
      <c r="F961" s="556"/>
      <c r="G961" s="556"/>
      <c r="H961" s="556"/>
      <c r="I961" s="556"/>
      <c r="J961" s="556"/>
      <c r="K961" s="556"/>
      <c r="L961" s="556"/>
      <c r="M961" s="556"/>
      <c r="N961" s="556"/>
      <c r="O961" s="556"/>
      <c r="P961" s="556"/>
      <c r="Q961" s="556"/>
      <c r="R961" s="596"/>
      <c r="S961" s="596"/>
      <c r="T961" s="556"/>
      <c r="U961" s="556"/>
      <c r="V961" s="807"/>
      <c r="W961" s="556"/>
      <c r="X961" s="556"/>
      <c r="Y961" s="556"/>
      <c r="Z961" s="579"/>
      <c r="AA961" s="556"/>
      <c r="AB961" s="556"/>
      <c r="AC961" s="556"/>
      <c r="AD961" s="556"/>
    </row>
    <row r="962" ht="15.75" customHeight="1">
      <c r="A962" s="556"/>
      <c r="B962" s="556"/>
      <c r="C962" s="596"/>
      <c r="D962" s="556"/>
      <c r="E962" s="596"/>
      <c r="F962" s="556"/>
      <c r="G962" s="556"/>
      <c r="H962" s="556"/>
      <c r="I962" s="556"/>
      <c r="J962" s="556"/>
      <c r="K962" s="556"/>
      <c r="L962" s="556"/>
      <c r="M962" s="556"/>
      <c r="N962" s="556"/>
      <c r="O962" s="556"/>
      <c r="P962" s="556"/>
      <c r="Q962" s="556"/>
      <c r="R962" s="596"/>
      <c r="S962" s="596"/>
      <c r="T962" s="556"/>
      <c r="U962" s="556"/>
      <c r="V962" s="807"/>
      <c r="W962" s="556"/>
      <c r="X962" s="556"/>
      <c r="Y962" s="556"/>
      <c r="Z962" s="579"/>
      <c r="AA962" s="556"/>
      <c r="AB962" s="556"/>
      <c r="AC962" s="556"/>
      <c r="AD962" s="556"/>
    </row>
    <row r="963" ht="15.75" customHeight="1">
      <c r="A963" s="556"/>
      <c r="B963" s="556"/>
      <c r="C963" s="596"/>
      <c r="D963" s="556"/>
      <c r="E963" s="596"/>
      <c r="F963" s="556"/>
      <c r="G963" s="556"/>
      <c r="H963" s="556"/>
      <c r="I963" s="556"/>
      <c r="J963" s="556"/>
      <c r="K963" s="556"/>
      <c r="L963" s="556"/>
      <c r="M963" s="556"/>
      <c r="N963" s="556"/>
      <c r="O963" s="556"/>
      <c r="P963" s="556"/>
      <c r="Q963" s="556"/>
      <c r="R963" s="596"/>
      <c r="S963" s="596"/>
      <c r="T963" s="556"/>
      <c r="U963" s="556"/>
      <c r="V963" s="807"/>
      <c r="W963" s="556"/>
      <c r="X963" s="556"/>
      <c r="Y963" s="556"/>
      <c r="Z963" s="579"/>
      <c r="AA963" s="556"/>
      <c r="AB963" s="556"/>
      <c r="AC963" s="556"/>
      <c r="AD963" s="556"/>
    </row>
    <row r="964" ht="15.75" customHeight="1">
      <c r="A964" s="556"/>
      <c r="B964" s="556"/>
      <c r="C964" s="596"/>
      <c r="D964" s="556"/>
      <c r="E964" s="596"/>
      <c r="F964" s="556"/>
      <c r="G964" s="556"/>
      <c r="H964" s="556"/>
      <c r="I964" s="556"/>
      <c r="J964" s="556"/>
      <c r="K964" s="556"/>
      <c r="L964" s="556"/>
      <c r="M964" s="556"/>
      <c r="N964" s="556"/>
      <c r="O964" s="556"/>
      <c r="P964" s="556"/>
      <c r="Q964" s="556"/>
      <c r="R964" s="596"/>
      <c r="S964" s="596"/>
      <c r="T964" s="556"/>
      <c r="U964" s="556"/>
      <c r="V964" s="807"/>
      <c r="W964" s="556"/>
      <c r="X964" s="556"/>
      <c r="Y964" s="556"/>
      <c r="Z964" s="579"/>
      <c r="AA964" s="556"/>
      <c r="AB964" s="556"/>
      <c r="AC964" s="556"/>
      <c r="AD964" s="556"/>
    </row>
    <row r="965" ht="15.75" customHeight="1">
      <c r="A965" s="556"/>
      <c r="B965" s="556"/>
      <c r="C965" s="596"/>
      <c r="D965" s="556"/>
      <c r="E965" s="596"/>
      <c r="F965" s="556"/>
      <c r="G965" s="556"/>
      <c r="H965" s="556"/>
      <c r="I965" s="556"/>
      <c r="J965" s="556"/>
      <c r="K965" s="556"/>
      <c r="L965" s="556"/>
      <c r="M965" s="556"/>
      <c r="N965" s="556"/>
      <c r="O965" s="556"/>
      <c r="P965" s="556"/>
      <c r="Q965" s="556"/>
      <c r="R965" s="596"/>
      <c r="S965" s="596"/>
      <c r="T965" s="556"/>
      <c r="U965" s="556"/>
      <c r="V965" s="807"/>
      <c r="W965" s="556"/>
      <c r="X965" s="556"/>
      <c r="Y965" s="556"/>
      <c r="Z965" s="579"/>
      <c r="AA965" s="556"/>
      <c r="AB965" s="556"/>
      <c r="AC965" s="556"/>
      <c r="AD965" s="556"/>
    </row>
    <row r="966" ht="15.75" customHeight="1">
      <c r="A966" s="556"/>
      <c r="B966" s="556"/>
      <c r="C966" s="596"/>
      <c r="D966" s="556"/>
      <c r="E966" s="596"/>
      <c r="F966" s="556"/>
      <c r="G966" s="556"/>
      <c r="H966" s="556"/>
      <c r="I966" s="556"/>
      <c r="J966" s="556"/>
      <c r="K966" s="556"/>
      <c r="L966" s="556"/>
      <c r="M966" s="556"/>
      <c r="N966" s="556"/>
      <c r="O966" s="556"/>
      <c r="P966" s="556"/>
      <c r="Q966" s="556"/>
      <c r="R966" s="596"/>
      <c r="S966" s="596"/>
      <c r="T966" s="556"/>
      <c r="U966" s="556"/>
      <c r="V966" s="807"/>
      <c r="W966" s="556"/>
      <c r="X966" s="556"/>
      <c r="Y966" s="556"/>
      <c r="Z966" s="579"/>
      <c r="AA966" s="556"/>
      <c r="AB966" s="556"/>
      <c r="AC966" s="556"/>
      <c r="AD966" s="556"/>
    </row>
    <row r="967" ht="15.75" customHeight="1">
      <c r="A967" s="556"/>
      <c r="B967" s="556"/>
      <c r="C967" s="596"/>
      <c r="D967" s="556"/>
      <c r="E967" s="596"/>
      <c r="F967" s="556"/>
      <c r="G967" s="556"/>
      <c r="H967" s="556"/>
      <c r="I967" s="556"/>
      <c r="J967" s="556"/>
      <c r="K967" s="556"/>
      <c r="L967" s="556"/>
      <c r="M967" s="556"/>
      <c r="N967" s="556"/>
      <c r="O967" s="556"/>
      <c r="P967" s="556"/>
      <c r="Q967" s="556"/>
      <c r="R967" s="596"/>
      <c r="S967" s="596"/>
      <c r="T967" s="556"/>
      <c r="U967" s="556"/>
      <c r="V967" s="807"/>
      <c r="W967" s="556"/>
      <c r="X967" s="556"/>
      <c r="Y967" s="556"/>
      <c r="Z967" s="579"/>
      <c r="AA967" s="556"/>
      <c r="AB967" s="556"/>
      <c r="AC967" s="556"/>
      <c r="AD967" s="556"/>
    </row>
    <row r="968" ht="15.75" customHeight="1">
      <c r="A968" s="556"/>
      <c r="B968" s="556"/>
      <c r="C968" s="596"/>
      <c r="D968" s="556"/>
      <c r="E968" s="596"/>
      <c r="F968" s="556"/>
      <c r="G968" s="556"/>
      <c r="H968" s="556"/>
      <c r="I968" s="556"/>
      <c r="J968" s="556"/>
      <c r="K968" s="556"/>
      <c r="L968" s="556"/>
      <c r="M968" s="556"/>
      <c r="N968" s="556"/>
      <c r="O968" s="556"/>
      <c r="P968" s="556"/>
      <c r="Q968" s="556"/>
      <c r="R968" s="596"/>
      <c r="S968" s="596"/>
      <c r="T968" s="556"/>
      <c r="U968" s="556"/>
      <c r="V968" s="807"/>
      <c r="W968" s="556"/>
      <c r="X968" s="556"/>
      <c r="Y968" s="556"/>
      <c r="Z968" s="579"/>
      <c r="AA968" s="556"/>
      <c r="AB968" s="556"/>
      <c r="AC968" s="556"/>
      <c r="AD968" s="556"/>
    </row>
    <row r="969" ht="15.75" customHeight="1">
      <c r="A969" s="556"/>
      <c r="B969" s="556"/>
      <c r="C969" s="596"/>
      <c r="D969" s="556"/>
      <c r="E969" s="596"/>
      <c r="F969" s="556"/>
      <c r="G969" s="556"/>
      <c r="H969" s="556"/>
      <c r="I969" s="556"/>
      <c r="J969" s="556"/>
      <c r="K969" s="556"/>
      <c r="L969" s="556"/>
      <c r="M969" s="556"/>
      <c r="N969" s="556"/>
      <c r="O969" s="556"/>
      <c r="P969" s="556"/>
      <c r="Q969" s="556"/>
      <c r="R969" s="596"/>
      <c r="S969" s="596"/>
      <c r="T969" s="556"/>
      <c r="U969" s="556"/>
      <c r="V969" s="807"/>
      <c r="W969" s="556"/>
      <c r="X969" s="556"/>
      <c r="Y969" s="556"/>
      <c r="Z969" s="579"/>
      <c r="AA969" s="556"/>
      <c r="AB969" s="556"/>
      <c r="AC969" s="556"/>
      <c r="AD969" s="556"/>
    </row>
    <row r="970" ht="15.75" customHeight="1">
      <c r="A970" s="556"/>
      <c r="B970" s="556"/>
      <c r="C970" s="596"/>
      <c r="D970" s="556"/>
      <c r="E970" s="596"/>
      <c r="F970" s="556"/>
      <c r="G970" s="556"/>
      <c r="H970" s="556"/>
      <c r="I970" s="556"/>
      <c r="J970" s="556"/>
      <c r="K970" s="556"/>
      <c r="L970" s="556"/>
      <c r="M970" s="556"/>
      <c r="N970" s="556"/>
      <c r="O970" s="556"/>
      <c r="P970" s="556"/>
      <c r="Q970" s="556"/>
      <c r="R970" s="596"/>
      <c r="S970" s="596"/>
      <c r="T970" s="556"/>
      <c r="U970" s="556"/>
      <c r="V970" s="807"/>
      <c r="W970" s="556"/>
      <c r="X970" s="556"/>
      <c r="Y970" s="556"/>
      <c r="Z970" s="579"/>
      <c r="AA970" s="556"/>
      <c r="AB970" s="556"/>
      <c r="AC970" s="556"/>
      <c r="AD970" s="556"/>
    </row>
    <row r="971" ht="15.75" customHeight="1">
      <c r="A971" s="556"/>
      <c r="B971" s="556"/>
      <c r="C971" s="596"/>
      <c r="D971" s="556"/>
      <c r="E971" s="596"/>
      <c r="F971" s="556"/>
      <c r="G971" s="556"/>
      <c r="H971" s="556"/>
      <c r="I971" s="556"/>
      <c r="J971" s="556"/>
      <c r="K971" s="556"/>
      <c r="L971" s="556"/>
      <c r="M971" s="556"/>
      <c r="N971" s="556"/>
      <c r="O971" s="556"/>
      <c r="P971" s="556"/>
      <c r="Q971" s="556"/>
      <c r="R971" s="596"/>
      <c r="S971" s="596"/>
      <c r="T971" s="556"/>
      <c r="U971" s="556"/>
      <c r="V971" s="807"/>
      <c r="W971" s="556"/>
      <c r="X971" s="556"/>
      <c r="Y971" s="556"/>
      <c r="Z971" s="579"/>
      <c r="AA971" s="556"/>
      <c r="AB971" s="556"/>
      <c r="AC971" s="556"/>
      <c r="AD971" s="556"/>
    </row>
    <row r="972" ht="15.75" customHeight="1">
      <c r="A972" s="556"/>
      <c r="B972" s="556"/>
      <c r="C972" s="596"/>
      <c r="D972" s="556"/>
      <c r="E972" s="596"/>
      <c r="F972" s="556"/>
      <c r="G972" s="556"/>
      <c r="H972" s="556"/>
      <c r="I972" s="556"/>
      <c r="J972" s="556"/>
      <c r="K972" s="556"/>
      <c r="L972" s="556"/>
      <c r="M972" s="556"/>
      <c r="N972" s="556"/>
      <c r="O972" s="556"/>
      <c r="P972" s="556"/>
      <c r="Q972" s="556"/>
      <c r="R972" s="596"/>
      <c r="S972" s="596"/>
      <c r="T972" s="556"/>
      <c r="U972" s="556"/>
      <c r="V972" s="807"/>
      <c r="W972" s="556"/>
      <c r="X972" s="556"/>
      <c r="Y972" s="556"/>
      <c r="Z972" s="579"/>
      <c r="AA972" s="556"/>
      <c r="AB972" s="556"/>
      <c r="AC972" s="556"/>
      <c r="AD972" s="556"/>
    </row>
    <row r="973" ht="15.75" customHeight="1">
      <c r="A973" s="556"/>
      <c r="B973" s="556"/>
      <c r="C973" s="596"/>
      <c r="D973" s="556"/>
      <c r="E973" s="596"/>
      <c r="F973" s="556"/>
      <c r="G973" s="556"/>
      <c r="H973" s="556"/>
      <c r="I973" s="556"/>
      <c r="J973" s="556"/>
      <c r="K973" s="556"/>
      <c r="L973" s="556"/>
      <c r="M973" s="556"/>
      <c r="N973" s="556"/>
      <c r="O973" s="556"/>
      <c r="P973" s="556"/>
      <c r="Q973" s="556"/>
      <c r="R973" s="596"/>
      <c r="S973" s="596"/>
      <c r="T973" s="556"/>
      <c r="U973" s="556"/>
      <c r="V973" s="807"/>
      <c r="W973" s="556"/>
      <c r="X973" s="556"/>
      <c r="Y973" s="556"/>
      <c r="Z973" s="579"/>
      <c r="AA973" s="556"/>
      <c r="AB973" s="556"/>
      <c r="AC973" s="556"/>
      <c r="AD973" s="556"/>
    </row>
    <row r="974" ht="15.75" customHeight="1">
      <c r="A974" s="556"/>
      <c r="B974" s="556"/>
      <c r="C974" s="596"/>
      <c r="D974" s="556"/>
      <c r="E974" s="596"/>
      <c r="F974" s="556"/>
      <c r="G974" s="556"/>
      <c r="H974" s="556"/>
      <c r="I974" s="556"/>
      <c r="J974" s="556"/>
      <c r="K974" s="556"/>
      <c r="L974" s="556"/>
      <c r="M974" s="556"/>
      <c r="N974" s="556"/>
      <c r="O974" s="556"/>
      <c r="P974" s="556"/>
      <c r="Q974" s="556"/>
      <c r="R974" s="596"/>
      <c r="S974" s="596"/>
      <c r="T974" s="556"/>
      <c r="U974" s="556"/>
      <c r="V974" s="807"/>
      <c r="W974" s="556"/>
      <c r="X974" s="556"/>
      <c r="Y974" s="556"/>
      <c r="Z974" s="579"/>
      <c r="AA974" s="556"/>
      <c r="AB974" s="556"/>
      <c r="AC974" s="556"/>
      <c r="AD974" s="556"/>
    </row>
    <row r="975" ht="15.75" customHeight="1">
      <c r="A975" s="556"/>
      <c r="B975" s="556"/>
      <c r="C975" s="596"/>
      <c r="D975" s="556"/>
      <c r="E975" s="596"/>
      <c r="F975" s="556"/>
      <c r="G975" s="556"/>
      <c r="H975" s="556"/>
      <c r="I975" s="556"/>
      <c r="J975" s="556"/>
      <c r="K975" s="556"/>
      <c r="L975" s="556"/>
      <c r="M975" s="556"/>
      <c r="N975" s="556"/>
      <c r="O975" s="556"/>
      <c r="P975" s="556"/>
      <c r="Q975" s="556"/>
      <c r="R975" s="596"/>
      <c r="S975" s="596"/>
      <c r="T975" s="556"/>
      <c r="U975" s="556"/>
      <c r="V975" s="807"/>
      <c r="W975" s="556"/>
      <c r="X975" s="556"/>
      <c r="Y975" s="556"/>
      <c r="Z975" s="579"/>
      <c r="AA975" s="556"/>
      <c r="AB975" s="556"/>
      <c r="AC975" s="556"/>
      <c r="AD975" s="556"/>
    </row>
    <row r="976" ht="15.75" customHeight="1">
      <c r="A976" s="556"/>
      <c r="B976" s="556"/>
      <c r="C976" s="596"/>
      <c r="D976" s="556"/>
      <c r="E976" s="596"/>
      <c r="F976" s="556"/>
      <c r="G976" s="556"/>
      <c r="H976" s="556"/>
      <c r="I976" s="556"/>
      <c r="J976" s="556"/>
      <c r="K976" s="556"/>
      <c r="L976" s="556"/>
      <c r="M976" s="556"/>
      <c r="N976" s="556"/>
      <c r="O976" s="556"/>
      <c r="P976" s="556"/>
      <c r="Q976" s="556"/>
      <c r="R976" s="596"/>
      <c r="S976" s="596"/>
      <c r="T976" s="556"/>
      <c r="U976" s="556"/>
      <c r="V976" s="807"/>
      <c r="W976" s="556"/>
      <c r="X976" s="556"/>
      <c r="Y976" s="556"/>
      <c r="Z976" s="579"/>
      <c r="AA976" s="556"/>
      <c r="AB976" s="556"/>
      <c r="AC976" s="556"/>
      <c r="AD976" s="556"/>
    </row>
    <row r="977" ht="15.75" customHeight="1">
      <c r="A977" s="556"/>
      <c r="B977" s="556"/>
      <c r="C977" s="596"/>
      <c r="D977" s="556"/>
      <c r="E977" s="596"/>
      <c r="F977" s="556"/>
      <c r="G977" s="556"/>
      <c r="H977" s="556"/>
      <c r="I977" s="556"/>
      <c r="J977" s="556"/>
      <c r="K977" s="556"/>
      <c r="L977" s="556"/>
      <c r="M977" s="556"/>
      <c r="N977" s="556"/>
      <c r="O977" s="556"/>
      <c r="P977" s="556"/>
      <c r="Q977" s="556"/>
      <c r="R977" s="596"/>
      <c r="S977" s="596"/>
      <c r="T977" s="556"/>
      <c r="U977" s="556"/>
      <c r="V977" s="807"/>
      <c r="W977" s="556"/>
      <c r="X977" s="556"/>
      <c r="Y977" s="556"/>
      <c r="Z977" s="579"/>
      <c r="AA977" s="556"/>
      <c r="AB977" s="556"/>
      <c r="AC977" s="556"/>
      <c r="AD977" s="556"/>
    </row>
    <row r="978" ht="15.75" customHeight="1">
      <c r="A978" s="556"/>
      <c r="B978" s="556"/>
      <c r="C978" s="596"/>
      <c r="D978" s="556"/>
      <c r="E978" s="596"/>
      <c r="F978" s="556"/>
      <c r="G978" s="556"/>
      <c r="H978" s="556"/>
      <c r="I978" s="556"/>
      <c r="J978" s="556"/>
      <c r="K978" s="556"/>
      <c r="L978" s="556"/>
      <c r="M978" s="556"/>
      <c r="N978" s="556"/>
      <c r="O978" s="556"/>
      <c r="P978" s="556"/>
      <c r="Q978" s="556"/>
      <c r="R978" s="596"/>
      <c r="S978" s="596"/>
      <c r="T978" s="556"/>
      <c r="U978" s="556"/>
      <c r="V978" s="807"/>
      <c r="W978" s="556"/>
      <c r="X978" s="556"/>
      <c r="Y978" s="556"/>
      <c r="Z978" s="579"/>
      <c r="AA978" s="556"/>
      <c r="AB978" s="556"/>
      <c r="AC978" s="556"/>
      <c r="AD978" s="556"/>
    </row>
    <row r="979" ht="15.75" customHeight="1">
      <c r="A979" s="556"/>
      <c r="B979" s="556"/>
      <c r="C979" s="596"/>
      <c r="D979" s="556"/>
      <c r="E979" s="596"/>
      <c r="F979" s="556"/>
      <c r="G979" s="556"/>
      <c r="H979" s="556"/>
      <c r="I979" s="556"/>
      <c r="J979" s="556"/>
      <c r="K979" s="556"/>
      <c r="L979" s="556"/>
      <c r="M979" s="556"/>
      <c r="N979" s="556"/>
      <c r="O979" s="556"/>
      <c r="P979" s="556"/>
      <c r="Q979" s="556"/>
      <c r="R979" s="596"/>
      <c r="S979" s="596"/>
      <c r="T979" s="556"/>
      <c r="U979" s="556"/>
      <c r="V979" s="807"/>
      <c r="W979" s="556"/>
      <c r="X979" s="556"/>
      <c r="Y979" s="556"/>
      <c r="Z979" s="579"/>
      <c r="AA979" s="556"/>
      <c r="AB979" s="556"/>
      <c r="AC979" s="556"/>
      <c r="AD979" s="556"/>
    </row>
    <row r="980" ht="15.75" customHeight="1">
      <c r="A980" s="556"/>
      <c r="B980" s="556"/>
      <c r="C980" s="596"/>
      <c r="D980" s="556"/>
      <c r="E980" s="596"/>
      <c r="F980" s="556"/>
      <c r="G980" s="556"/>
      <c r="H980" s="556"/>
      <c r="I980" s="556"/>
      <c r="J980" s="556"/>
      <c r="K980" s="556"/>
      <c r="L980" s="556"/>
      <c r="M980" s="556"/>
      <c r="N980" s="556"/>
      <c r="O980" s="556"/>
      <c r="P980" s="556"/>
      <c r="Q980" s="556"/>
      <c r="R980" s="596"/>
      <c r="S980" s="596"/>
      <c r="T980" s="556"/>
      <c r="U980" s="556"/>
      <c r="V980" s="807"/>
      <c r="W980" s="556"/>
      <c r="X980" s="556"/>
      <c r="Y980" s="556"/>
      <c r="Z980" s="579"/>
      <c r="AA980" s="556"/>
      <c r="AB980" s="556"/>
      <c r="AC980" s="556"/>
      <c r="AD980" s="556"/>
    </row>
    <row r="981" ht="15.75" customHeight="1">
      <c r="A981" s="556"/>
      <c r="B981" s="556"/>
      <c r="C981" s="596"/>
      <c r="D981" s="556"/>
      <c r="E981" s="596"/>
      <c r="F981" s="556"/>
      <c r="G981" s="556"/>
      <c r="H981" s="556"/>
      <c r="I981" s="556"/>
      <c r="J981" s="556"/>
      <c r="K981" s="556"/>
      <c r="L981" s="556"/>
      <c r="M981" s="556"/>
      <c r="N981" s="556"/>
      <c r="O981" s="556"/>
      <c r="P981" s="556"/>
      <c r="Q981" s="556"/>
      <c r="R981" s="596"/>
      <c r="S981" s="596"/>
      <c r="T981" s="556"/>
      <c r="U981" s="556"/>
      <c r="V981" s="807"/>
      <c r="W981" s="556"/>
      <c r="X981" s="556"/>
      <c r="Y981" s="556"/>
      <c r="Z981" s="579"/>
      <c r="AA981" s="556"/>
      <c r="AB981" s="556"/>
      <c r="AC981" s="556"/>
      <c r="AD981" s="556"/>
    </row>
    <row r="982" ht="15.75" customHeight="1">
      <c r="A982" s="556"/>
      <c r="B982" s="556"/>
      <c r="C982" s="596"/>
      <c r="D982" s="556"/>
      <c r="E982" s="596"/>
      <c r="F982" s="556"/>
      <c r="G982" s="556"/>
      <c r="H982" s="556"/>
      <c r="I982" s="556"/>
      <c r="J982" s="556"/>
      <c r="K982" s="556"/>
      <c r="L982" s="556"/>
      <c r="M982" s="556"/>
      <c r="N982" s="556"/>
      <c r="O982" s="556"/>
      <c r="P982" s="556"/>
      <c r="Q982" s="556"/>
      <c r="R982" s="596"/>
      <c r="S982" s="596"/>
      <c r="T982" s="556"/>
      <c r="U982" s="556"/>
      <c r="V982" s="807"/>
      <c r="W982" s="556"/>
      <c r="X982" s="556"/>
      <c r="Y982" s="556"/>
      <c r="Z982" s="579"/>
      <c r="AA982" s="556"/>
      <c r="AB982" s="556"/>
      <c r="AC982" s="556"/>
      <c r="AD982" s="556"/>
    </row>
    <row r="983" ht="15.75" customHeight="1">
      <c r="A983" s="556"/>
      <c r="B983" s="556"/>
      <c r="C983" s="596"/>
      <c r="D983" s="556"/>
      <c r="E983" s="596"/>
      <c r="F983" s="556"/>
      <c r="G983" s="556"/>
      <c r="H983" s="556"/>
      <c r="I983" s="556"/>
      <c r="J983" s="556"/>
      <c r="K983" s="556"/>
      <c r="L983" s="556"/>
      <c r="M983" s="556"/>
      <c r="N983" s="556"/>
      <c r="O983" s="556"/>
      <c r="P983" s="556"/>
      <c r="Q983" s="556"/>
      <c r="R983" s="596"/>
      <c r="S983" s="596"/>
      <c r="T983" s="556"/>
      <c r="U983" s="556"/>
      <c r="V983" s="807"/>
      <c r="W983" s="556"/>
      <c r="X983" s="556"/>
      <c r="Y983" s="556"/>
      <c r="Z983" s="579"/>
      <c r="AA983" s="556"/>
      <c r="AB983" s="556"/>
      <c r="AC983" s="556"/>
      <c r="AD983" s="556"/>
    </row>
    <row r="984" ht="15.75" customHeight="1">
      <c r="A984" s="556"/>
      <c r="B984" s="556"/>
      <c r="C984" s="596"/>
      <c r="D984" s="556"/>
      <c r="E984" s="596"/>
      <c r="F984" s="556"/>
      <c r="G984" s="556"/>
      <c r="H984" s="556"/>
      <c r="I984" s="556"/>
      <c r="J984" s="556"/>
      <c r="K984" s="556"/>
      <c r="L984" s="556"/>
      <c r="M984" s="556"/>
      <c r="N984" s="556"/>
      <c r="O984" s="556"/>
      <c r="P984" s="556"/>
      <c r="Q984" s="556"/>
      <c r="R984" s="596"/>
      <c r="S984" s="596"/>
      <c r="T984" s="556"/>
      <c r="U984" s="556"/>
      <c r="V984" s="807"/>
      <c r="W984" s="556"/>
      <c r="X984" s="556"/>
      <c r="Y984" s="556"/>
      <c r="Z984" s="579"/>
      <c r="AA984" s="556"/>
      <c r="AB984" s="556"/>
      <c r="AC984" s="556"/>
      <c r="AD984" s="556"/>
    </row>
    <row r="985" ht="15.75" customHeight="1">
      <c r="A985" s="556"/>
      <c r="B985" s="556"/>
      <c r="C985" s="596"/>
      <c r="D985" s="556"/>
      <c r="E985" s="596"/>
      <c r="F985" s="556"/>
      <c r="G985" s="556"/>
      <c r="H985" s="556"/>
      <c r="I985" s="556"/>
      <c r="J985" s="556"/>
      <c r="K985" s="556"/>
      <c r="L985" s="556"/>
      <c r="M985" s="556"/>
      <c r="N985" s="556"/>
      <c r="O985" s="556"/>
      <c r="P985" s="556"/>
      <c r="Q985" s="556"/>
      <c r="R985" s="596"/>
      <c r="S985" s="596"/>
      <c r="T985" s="556"/>
      <c r="U985" s="556"/>
      <c r="V985" s="807"/>
      <c r="W985" s="556"/>
      <c r="X985" s="556"/>
      <c r="Y985" s="556"/>
      <c r="Z985" s="579"/>
      <c r="AA985" s="556"/>
      <c r="AB985" s="556"/>
      <c r="AC985" s="556"/>
      <c r="AD985" s="556"/>
    </row>
    <row r="986" ht="15.75" customHeight="1">
      <c r="A986" s="556"/>
      <c r="B986" s="556"/>
      <c r="C986" s="596"/>
      <c r="D986" s="556"/>
      <c r="E986" s="596"/>
      <c r="F986" s="556"/>
      <c r="G986" s="556"/>
      <c r="H986" s="556"/>
      <c r="I986" s="556"/>
      <c r="J986" s="556"/>
      <c r="K986" s="556"/>
      <c r="L986" s="556"/>
      <c r="M986" s="556"/>
      <c r="N986" s="556"/>
      <c r="O986" s="556"/>
      <c r="P986" s="556"/>
      <c r="Q986" s="556"/>
      <c r="R986" s="596"/>
      <c r="S986" s="596"/>
      <c r="T986" s="556"/>
      <c r="U986" s="556"/>
      <c r="V986" s="807"/>
      <c r="W986" s="556"/>
      <c r="X986" s="556"/>
      <c r="Y986" s="556"/>
      <c r="Z986" s="579"/>
      <c r="AA986" s="556"/>
      <c r="AB986" s="556"/>
      <c r="AC986" s="556"/>
      <c r="AD986" s="556"/>
    </row>
    <row r="987" ht="15.75" customHeight="1">
      <c r="A987" s="556"/>
      <c r="B987" s="556"/>
      <c r="C987" s="596"/>
      <c r="D987" s="556"/>
      <c r="E987" s="596"/>
      <c r="F987" s="556"/>
      <c r="G987" s="556"/>
      <c r="H987" s="556"/>
      <c r="I987" s="556"/>
      <c r="J987" s="556"/>
      <c r="K987" s="556"/>
      <c r="L987" s="556"/>
      <c r="M987" s="556"/>
      <c r="N987" s="556"/>
      <c r="O987" s="556"/>
      <c r="P987" s="556"/>
      <c r="Q987" s="556"/>
      <c r="R987" s="596"/>
      <c r="S987" s="596"/>
      <c r="T987" s="556"/>
      <c r="U987" s="556"/>
      <c r="V987" s="807"/>
      <c r="W987" s="556"/>
      <c r="X987" s="556"/>
      <c r="Y987" s="556"/>
      <c r="Z987" s="579"/>
      <c r="AA987" s="556"/>
      <c r="AB987" s="556"/>
      <c r="AC987" s="556"/>
      <c r="AD987" s="556"/>
    </row>
    <row r="988" ht="15.75" customHeight="1">
      <c r="A988" s="556"/>
      <c r="B988" s="556"/>
      <c r="C988" s="596"/>
      <c r="D988" s="556"/>
      <c r="E988" s="596"/>
      <c r="F988" s="556"/>
      <c r="G988" s="556"/>
      <c r="H988" s="556"/>
      <c r="I988" s="556"/>
      <c r="J988" s="556"/>
      <c r="K988" s="556"/>
      <c r="L988" s="556"/>
      <c r="M988" s="556"/>
      <c r="N988" s="556"/>
      <c r="O988" s="556"/>
      <c r="P988" s="556"/>
      <c r="Q988" s="556"/>
      <c r="R988" s="596"/>
      <c r="S988" s="596"/>
      <c r="T988" s="556"/>
      <c r="U988" s="556"/>
      <c r="V988" s="807"/>
      <c r="W988" s="556"/>
      <c r="X988" s="556"/>
      <c r="Y988" s="556"/>
      <c r="Z988" s="579"/>
      <c r="AA988" s="556"/>
      <c r="AB988" s="556"/>
      <c r="AC988" s="556"/>
      <c r="AD988" s="556"/>
    </row>
    <row r="989" ht="15.75" customHeight="1">
      <c r="A989" s="556"/>
      <c r="B989" s="556"/>
      <c r="C989" s="596"/>
      <c r="D989" s="556"/>
      <c r="E989" s="596"/>
      <c r="F989" s="556"/>
      <c r="G989" s="556"/>
      <c r="H989" s="556"/>
      <c r="I989" s="556"/>
      <c r="J989" s="556"/>
      <c r="K989" s="556"/>
      <c r="L989" s="556"/>
      <c r="M989" s="556"/>
      <c r="N989" s="556"/>
      <c r="O989" s="556"/>
      <c r="P989" s="556"/>
      <c r="Q989" s="556"/>
      <c r="R989" s="596"/>
      <c r="S989" s="596"/>
      <c r="T989" s="556"/>
      <c r="U989" s="556"/>
      <c r="V989" s="807"/>
      <c r="W989" s="556"/>
      <c r="X989" s="556"/>
      <c r="Y989" s="556"/>
      <c r="Z989" s="579"/>
      <c r="AA989" s="556"/>
      <c r="AB989" s="556"/>
      <c r="AC989" s="556"/>
      <c r="AD989" s="556"/>
    </row>
    <row r="990" ht="15.75" customHeight="1">
      <c r="A990" s="556"/>
      <c r="B990" s="556"/>
      <c r="C990" s="596"/>
      <c r="D990" s="556"/>
      <c r="E990" s="596"/>
      <c r="F990" s="556"/>
      <c r="G990" s="556"/>
      <c r="H990" s="556"/>
      <c r="I990" s="556"/>
      <c r="J990" s="556"/>
      <c r="K990" s="556"/>
      <c r="L990" s="556"/>
      <c r="M990" s="556"/>
      <c r="N990" s="556"/>
      <c r="O990" s="556"/>
      <c r="P990" s="556"/>
      <c r="Q990" s="556"/>
      <c r="R990" s="596"/>
      <c r="S990" s="596"/>
      <c r="T990" s="556"/>
      <c r="U990" s="556"/>
      <c r="V990" s="807"/>
      <c r="W990" s="556"/>
      <c r="X990" s="556"/>
      <c r="Y990" s="556"/>
      <c r="Z990" s="579"/>
      <c r="AA990" s="556"/>
      <c r="AB990" s="556"/>
      <c r="AC990" s="556"/>
      <c r="AD990" s="556"/>
    </row>
    <row r="991" ht="15.75" customHeight="1">
      <c r="A991" s="556"/>
      <c r="B991" s="556"/>
      <c r="C991" s="596"/>
      <c r="D991" s="556"/>
      <c r="E991" s="596"/>
      <c r="F991" s="556"/>
      <c r="G991" s="556"/>
      <c r="H991" s="556"/>
      <c r="I991" s="556"/>
      <c r="J991" s="556"/>
      <c r="K991" s="556"/>
      <c r="L991" s="556"/>
      <c r="M991" s="556"/>
      <c r="N991" s="556"/>
      <c r="O991" s="556"/>
      <c r="P991" s="556"/>
      <c r="Q991" s="556"/>
      <c r="R991" s="596"/>
      <c r="S991" s="596"/>
      <c r="T991" s="556"/>
      <c r="U991" s="556"/>
      <c r="V991" s="807"/>
      <c r="W991" s="556"/>
      <c r="X991" s="556"/>
      <c r="Y991" s="556"/>
      <c r="Z991" s="579"/>
      <c r="AA991" s="556"/>
      <c r="AB991" s="556"/>
      <c r="AC991" s="556"/>
      <c r="AD991" s="556"/>
    </row>
    <row r="992" ht="15.75" customHeight="1">
      <c r="A992" s="556"/>
      <c r="B992" s="556"/>
      <c r="C992" s="596"/>
      <c r="D992" s="556"/>
      <c r="E992" s="596"/>
      <c r="F992" s="556"/>
      <c r="G992" s="556"/>
      <c r="H992" s="556"/>
      <c r="I992" s="556"/>
      <c r="J992" s="556"/>
      <c r="K992" s="556"/>
      <c r="L992" s="556"/>
      <c r="M992" s="556"/>
      <c r="N992" s="556"/>
      <c r="O992" s="556"/>
      <c r="P992" s="556"/>
      <c r="Q992" s="556"/>
      <c r="R992" s="596"/>
      <c r="S992" s="596"/>
      <c r="T992" s="556"/>
      <c r="U992" s="556"/>
      <c r="V992" s="807"/>
      <c r="W992" s="556"/>
      <c r="X992" s="556"/>
      <c r="Y992" s="556"/>
      <c r="Z992" s="579"/>
      <c r="AA992" s="556"/>
      <c r="AB992" s="556"/>
      <c r="AC992" s="556"/>
      <c r="AD992" s="556"/>
    </row>
    <row r="993" ht="15.75" customHeight="1">
      <c r="A993" s="556"/>
      <c r="B993" s="556"/>
      <c r="C993" s="596"/>
      <c r="D993" s="556"/>
      <c r="E993" s="596"/>
      <c r="F993" s="556"/>
      <c r="G993" s="556"/>
      <c r="H993" s="556"/>
      <c r="I993" s="556"/>
      <c r="J993" s="556"/>
      <c r="K993" s="556"/>
      <c r="L993" s="556"/>
      <c r="M993" s="556"/>
      <c r="N993" s="556"/>
      <c r="O993" s="556"/>
      <c r="P993" s="556"/>
      <c r="Q993" s="556"/>
      <c r="R993" s="596"/>
      <c r="S993" s="596"/>
      <c r="T993" s="556"/>
      <c r="U993" s="556"/>
      <c r="V993" s="807"/>
      <c r="W993" s="556"/>
      <c r="X993" s="556"/>
      <c r="Y993" s="556"/>
      <c r="Z993" s="579"/>
      <c r="AA993" s="556"/>
      <c r="AB993" s="556"/>
      <c r="AC993" s="556"/>
      <c r="AD993" s="556"/>
    </row>
    <row r="994" ht="15.75" customHeight="1">
      <c r="A994" s="556"/>
      <c r="B994" s="556"/>
      <c r="C994" s="596"/>
      <c r="D994" s="556"/>
      <c r="E994" s="596"/>
      <c r="F994" s="556"/>
      <c r="G994" s="556"/>
      <c r="H994" s="556"/>
      <c r="I994" s="556"/>
      <c r="J994" s="556"/>
      <c r="K994" s="556"/>
      <c r="L994" s="556"/>
      <c r="M994" s="556"/>
      <c r="N994" s="556"/>
      <c r="O994" s="556"/>
      <c r="P994" s="556"/>
      <c r="Q994" s="556"/>
      <c r="R994" s="596"/>
      <c r="S994" s="596"/>
      <c r="T994" s="556"/>
      <c r="U994" s="556"/>
      <c r="V994" s="807"/>
      <c r="W994" s="556"/>
      <c r="X994" s="556"/>
      <c r="Y994" s="556"/>
      <c r="Z994" s="579"/>
      <c r="AA994" s="556"/>
      <c r="AB994" s="556"/>
      <c r="AC994" s="556"/>
      <c r="AD994" s="556"/>
    </row>
    <row r="995" ht="15.75" customHeight="1">
      <c r="A995" s="556"/>
      <c r="B995" s="556"/>
      <c r="C995" s="596"/>
      <c r="D995" s="556"/>
      <c r="E995" s="596"/>
      <c r="F995" s="556"/>
      <c r="G995" s="556"/>
      <c r="H995" s="556"/>
      <c r="I995" s="556"/>
      <c r="J995" s="556"/>
      <c r="K995" s="556"/>
      <c r="L995" s="556"/>
      <c r="M995" s="556"/>
      <c r="N995" s="556"/>
      <c r="O995" s="556"/>
      <c r="P995" s="556"/>
      <c r="Q995" s="556"/>
      <c r="R995" s="596"/>
      <c r="S995" s="596"/>
      <c r="T995" s="556"/>
      <c r="U995" s="556"/>
      <c r="V995" s="807"/>
      <c r="W995" s="556"/>
      <c r="X995" s="556"/>
      <c r="Y995" s="556"/>
      <c r="Z995" s="579"/>
      <c r="AA995" s="556"/>
      <c r="AB995" s="556"/>
      <c r="AC995" s="556"/>
      <c r="AD995" s="556"/>
    </row>
    <row r="996" ht="15.75" customHeight="1">
      <c r="A996" s="556"/>
      <c r="B996" s="556"/>
      <c r="C996" s="596"/>
      <c r="D996" s="556"/>
      <c r="E996" s="596"/>
      <c r="F996" s="556"/>
      <c r="G996" s="556"/>
      <c r="H996" s="556"/>
      <c r="I996" s="556"/>
      <c r="J996" s="556"/>
      <c r="K996" s="556"/>
      <c r="L996" s="556"/>
      <c r="M996" s="556"/>
      <c r="N996" s="556"/>
      <c r="O996" s="556"/>
      <c r="P996" s="556"/>
      <c r="Q996" s="556"/>
      <c r="R996" s="596"/>
      <c r="S996" s="596"/>
      <c r="T996" s="556"/>
      <c r="U996" s="556"/>
      <c r="V996" s="807"/>
      <c r="W996" s="556"/>
      <c r="X996" s="556"/>
      <c r="Y996" s="556"/>
      <c r="Z996" s="579"/>
      <c r="AA996" s="556"/>
      <c r="AB996" s="556"/>
      <c r="AC996" s="556"/>
      <c r="AD996" s="556"/>
    </row>
    <row r="997" ht="15.75" customHeight="1">
      <c r="A997" s="556"/>
      <c r="B997" s="556"/>
      <c r="C997" s="596"/>
      <c r="D997" s="556"/>
      <c r="E997" s="596"/>
      <c r="F997" s="556"/>
      <c r="G997" s="556"/>
      <c r="H997" s="556"/>
      <c r="I997" s="556"/>
      <c r="J997" s="556"/>
      <c r="K997" s="556"/>
      <c r="L997" s="556"/>
      <c r="M997" s="556"/>
      <c r="N997" s="556"/>
      <c r="O997" s="556"/>
      <c r="P997" s="556"/>
      <c r="Q997" s="556"/>
      <c r="R997" s="596"/>
      <c r="S997" s="596"/>
      <c r="T997" s="556"/>
      <c r="U997" s="556"/>
      <c r="V997" s="807"/>
      <c r="W997" s="556"/>
      <c r="X997" s="556"/>
      <c r="Y997" s="556"/>
      <c r="Z997" s="579"/>
      <c r="AA997" s="556"/>
      <c r="AB997" s="556"/>
      <c r="AC997" s="556"/>
      <c r="AD997" s="556"/>
    </row>
    <row r="998" ht="15.75" customHeight="1">
      <c r="A998" s="556"/>
      <c r="B998" s="556"/>
      <c r="C998" s="596"/>
      <c r="D998" s="556"/>
      <c r="E998" s="596"/>
      <c r="F998" s="556"/>
      <c r="G998" s="556"/>
      <c r="H998" s="556"/>
      <c r="I998" s="556"/>
      <c r="J998" s="556"/>
      <c r="K998" s="556"/>
      <c r="L998" s="556"/>
      <c r="M998" s="556"/>
      <c r="N998" s="556"/>
      <c r="O998" s="556"/>
      <c r="P998" s="556"/>
      <c r="Q998" s="556"/>
      <c r="R998" s="596"/>
      <c r="S998" s="596"/>
      <c r="T998" s="556"/>
      <c r="U998" s="556"/>
      <c r="V998" s="807"/>
      <c r="W998" s="556"/>
      <c r="X998" s="556"/>
      <c r="Y998" s="556"/>
      <c r="Z998" s="579"/>
      <c r="AA998" s="556"/>
      <c r="AB998" s="556"/>
      <c r="AC998" s="556"/>
      <c r="AD998" s="556"/>
    </row>
    <row r="999" ht="15.75" customHeight="1">
      <c r="A999" s="556"/>
      <c r="B999" s="556"/>
      <c r="C999" s="596"/>
      <c r="D999" s="556"/>
      <c r="E999" s="596"/>
      <c r="F999" s="556"/>
      <c r="G999" s="556"/>
      <c r="H999" s="556"/>
      <c r="I999" s="556"/>
      <c r="J999" s="556"/>
      <c r="K999" s="556"/>
      <c r="L999" s="556"/>
      <c r="M999" s="556"/>
      <c r="N999" s="556"/>
      <c r="O999" s="556"/>
      <c r="P999" s="556"/>
      <c r="Q999" s="556"/>
      <c r="R999" s="596"/>
      <c r="S999" s="596"/>
      <c r="T999" s="556"/>
      <c r="U999" s="556"/>
      <c r="V999" s="807"/>
      <c r="W999" s="556"/>
      <c r="X999" s="556"/>
      <c r="Y999" s="556"/>
      <c r="Z999" s="579"/>
      <c r="AA999" s="556"/>
      <c r="AB999" s="556"/>
      <c r="AC999" s="556"/>
      <c r="AD999" s="556"/>
    </row>
    <row r="1000" ht="15.75" customHeight="1">
      <c r="A1000" s="556"/>
      <c r="B1000" s="556"/>
      <c r="C1000" s="596"/>
      <c r="D1000" s="556"/>
      <c r="E1000" s="596"/>
      <c r="F1000" s="556"/>
      <c r="G1000" s="556"/>
      <c r="H1000" s="556"/>
      <c r="I1000" s="556"/>
      <c r="J1000" s="556"/>
      <c r="K1000" s="556"/>
      <c r="L1000" s="556"/>
      <c r="M1000" s="556"/>
      <c r="N1000" s="556"/>
      <c r="O1000" s="556"/>
      <c r="P1000" s="556"/>
      <c r="Q1000" s="556"/>
      <c r="R1000" s="596"/>
      <c r="S1000" s="596"/>
      <c r="T1000" s="556"/>
      <c r="U1000" s="556"/>
      <c r="V1000" s="807"/>
      <c r="W1000" s="556"/>
      <c r="X1000" s="556"/>
      <c r="Y1000" s="556"/>
      <c r="Z1000" s="579"/>
      <c r="AA1000" s="556"/>
      <c r="AB1000" s="556"/>
      <c r="AC1000" s="556"/>
      <c r="AD1000" s="556"/>
    </row>
    <row r="1001" ht="15.75" customHeight="1">
      <c r="A1001" s="556"/>
      <c r="B1001" s="556"/>
      <c r="C1001" s="596"/>
      <c r="D1001" s="556"/>
      <c r="E1001" s="596"/>
      <c r="F1001" s="556"/>
      <c r="G1001" s="556"/>
      <c r="H1001" s="556"/>
      <c r="I1001" s="556"/>
      <c r="J1001" s="556"/>
      <c r="K1001" s="556"/>
      <c r="L1001" s="556"/>
      <c r="M1001" s="556"/>
      <c r="N1001" s="556"/>
      <c r="O1001" s="556"/>
      <c r="P1001" s="556"/>
      <c r="Q1001" s="556"/>
      <c r="R1001" s="596"/>
      <c r="S1001" s="596"/>
      <c r="T1001" s="556"/>
      <c r="U1001" s="556"/>
      <c r="V1001" s="807"/>
      <c r="W1001" s="556"/>
      <c r="X1001" s="556"/>
      <c r="Y1001" s="556"/>
      <c r="Z1001" s="579"/>
      <c r="AA1001" s="556"/>
      <c r="AB1001" s="556"/>
      <c r="AC1001" s="556"/>
      <c r="AD1001" s="556"/>
    </row>
    <row r="1002" ht="15.75" customHeight="1">
      <c r="A1002" s="556"/>
      <c r="B1002" s="556"/>
      <c r="C1002" s="596"/>
      <c r="D1002" s="556"/>
      <c r="E1002" s="596"/>
      <c r="F1002" s="556"/>
      <c r="G1002" s="556"/>
      <c r="H1002" s="556"/>
      <c r="I1002" s="556"/>
      <c r="J1002" s="556"/>
      <c r="K1002" s="556"/>
      <c r="L1002" s="556"/>
      <c r="M1002" s="556"/>
      <c r="N1002" s="556"/>
      <c r="O1002" s="556"/>
      <c r="P1002" s="556"/>
      <c r="Q1002" s="556"/>
      <c r="R1002" s="596"/>
      <c r="S1002" s="596"/>
      <c r="T1002" s="556"/>
      <c r="U1002" s="556"/>
      <c r="V1002" s="807"/>
      <c r="W1002" s="556"/>
      <c r="X1002" s="556"/>
      <c r="Y1002" s="556"/>
      <c r="Z1002" s="579"/>
      <c r="AA1002" s="556"/>
      <c r="AB1002" s="556"/>
      <c r="AC1002" s="556"/>
      <c r="AD1002" s="556"/>
    </row>
    <row r="1003" ht="15.75" customHeight="1">
      <c r="A1003" s="556"/>
      <c r="B1003" s="556"/>
      <c r="C1003" s="596"/>
      <c r="D1003" s="556"/>
      <c r="E1003" s="596"/>
      <c r="F1003" s="556"/>
      <c r="G1003" s="556"/>
      <c r="H1003" s="556"/>
      <c r="I1003" s="556"/>
      <c r="J1003" s="556"/>
      <c r="K1003" s="556"/>
      <c r="L1003" s="556"/>
      <c r="M1003" s="556"/>
      <c r="N1003" s="556"/>
      <c r="O1003" s="556"/>
      <c r="P1003" s="556"/>
      <c r="Q1003" s="556"/>
      <c r="R1003" s="596"/>
      <c r="S1003" s="596"/>
      <c r="T1003" s="556"/>
      <c r="U1003" s="556"/>
      <c r="V1003" s="807"/>
      <c r="W1003" s="556"/>
      <c r="X1003" s="556"/>
      <c r="Y1003" s="556"/>
      <c r="Z1003" s="579"/>
      <c r="AA1003" s="556"/>
      <c r="AB1003" s="556"/>
      <c r="AC1003" s="556"/>
      <c r="AD1003" s="556"/>
    </row>
    <row r="1004" ht="15.75" customHeight="1">
      <c r="A1004" s="556"/>
      <c r="B1004" s="556"/>
      <c r="C1004" s="596"/>
      <c r="D1004" s="556"/>
      <c r="E1004" s="596"/>
      <c r="F1004" s="556"/>
      <c r="G1004" s="556"/>
      <c r="H1004" s="556"/>
      <c r="I1004" s="556"/>
      <c r="J1004" s="556"/>
      <c r="K1004" s="556"/>
      <c r="L1004" s="556"/>
      <c r="M1004" s="556"/>
      <c r="N1004" s="556"/>
      <c r="O1004" s="556"/>
      <c r="P1004" s="556"/>
      <c r="Q1004" s="556"/>
      <c r="R1004" s="596"/>
      <c r="S1004" s="596"/>
      <c r="T1004" s="556"/>
      <c r="U1004" s="556"/>
      <c r="V1004" s="807"/>
      <c r="W1004" s="556"/>
      <c r="X1004" s="556"/>
      <c r="Y1004" s="556"/>
      <c r="Z1004" s="579"/>
      <c r="AA1004" s="556"/>
      <c r="AB1004" s="556"/>
      <c r="AC1004" s="556"/>
      <c r="AD1004" s="556"/>
    </row>
    <row r="1005" ht="15.75" customHeight="1">
      <c r="A1005" s="556"/>
      <c r="B1005" s="556"/>
      <c r="C1005" s="596"/>
      <c r="D1005" s="556"/>
      <c r="E1005" s="596"/>
      <c r="F1005" s="556"/>
      <c r="G1005" s="556"/>
      <c r="H1005" s="556"/>
      <c r="I1005" s="556"/>
      <c r="J1005" s="556"/>
      <c r="K1005" s="556"/>
      <c r="L1005" s="556"/>
      <c r="M1005" s="556"/>
      <c r="N1005" s="556"/>
      <c r="O1005" s="556"/>
      <c r="P1005" s="556"/>
      <c r="Q1005" s="556"/>
      <c r="R1005" s="596"/>
      <c r="S1005" s="596"/>
      <c r="T1005" s="556"/>
      <c r="U1005" s="556"/>
      <c r="V1005" s="807"/>
      <c r="W1005" s="556"/>
      <c r="X1005" s="556"/>
      <c r="Y1005" s="556"/>
      <c r="Z1005" s="579"/>
      <c r="AA1005" s="556"/>
      <c r="AB1005" s="556"/>
      <c r="AC1005" s="556"/>
      <c r="AD1005" s="556"/>
    </row>
    <row r="1006" ht="15.75" customHeight="1">
      <c r="A1006" s="556"/>
      <c r="B1006" s="556"/>
      <c r="C1006" s="596"/>
      <c r="D1006" s="556"/>
      <c r="E1006" s="596"/>
      <c r="F1006" s="556"/>
      <c r="G1006" s="556"/>
      <c r="H1006" s="556"/>
      <c r="I1006" s="556"/>
      <c r="J1006" s="556"/>
      <c r="K1006" s="556"/>
      <c r="L1006" s="556"/>
      <c r="M1006" s="556"/>
      <c r="N1006" s="556"/>
      <c r="O1006" s="556"/>
      <c r="P1006" s="556"/>
      <c r="Q1006" s="556"/>
      <c r="R1006" s="596"/>
      <c r="S1006" s="596"/>
      <c r="T1006" s="556"/>
      <c r="U1006" s="556"/>
      <c r="V1006" s="807"/>
      <c r="W1006" s="556"/>
      <c r="X1006" s="556"/>
      <c r="Y1006" s="556"/>
      <c r="Z1006" s="579"/>
      <c r="AA1006" s="556"/>
      <c r="AB1006" s="556"/>
      <c r="AC1006" s="556"/>
      <c r="AD1006" s="556"/>
    </row>
    <row r="1007" ht="15.75" customHeight="1">
      <c r="A1007" s="556"/>
      <c r="B1007" s="556"/>
      <c r="C1007" s="596"/>
      <c r="D1007" s="556"/>
      <c r="E1007" s="596"/>
      <c r="F1007" s="556"/>
      <c r="G1007" s="556"/>
      <c r="H1007" s="556"/>
      <c r="I1007" s="556"/>
      <c r="J1007" s="556"/>
      <c r="K1007" s="556"/>
      <c r="L1007" s="556"/>
      <c r="M1007" s="556"/>
      <c r="N1007" s="556"/>
      <c r="O1007" s="556"/>
      <c r="P1007" s="556"/>
      <c r="Q1007" s="556"/>
      <c r="R1007" s="596"/>
      <c r="S1007" s="596"/>
      <c r="T1007" s="556"/>
      <c r="U1007" s="556"/>
      <c r="V1007" s="807"/>
      <c r="W1007" s="556"/>
      <c r="X1007" s="556"/>
      <c r="Y1007" s="556"/>
      <c r="Z1007" s="579"/>
      <c r="AA1007" s="556"/>
      <c r="AB1007" s="556"/>
      <c r="AC1007" s="556"/>
      <c r="AD1007" s="556"/>
    </row>
    <row r="1008" ht="15.75" customHeight="1">
      <c r="A1008" s="556"/>
      <c r="B1008" s="556"/>
      <c r="C1008" s="596"/>
      <c r="D1008" s="556"/>
      <c r="E1008" s="596"/>
      <c r="F1008" s="556"/>
      <c r="G1008" s="556"/>
      <c r="H1008" s="556"/>
      <c r="I1008" s="556"/>
      <c r="J1008" s="556"/>
      <c r="K1008" s="556"/>
      <c r="L1008" s="556"/>
      <c r="M1008" s="556"/>
      <c r="N1008" s="556"/>
      <c r="O1008" s="556"/>
      <c r="P1008" s="556"/>
      <c r="Q1008" s="556"/>
      <c r="R1008" s="596"/>
      <c r="S1008" s="596"/>
      <c r="T1008" s="556"/>
      <c r="U1008" s="556"/>
      <c r="V1008" s="807"/>
      <c r="W1008" s="556"/>
      <c r="X1008" s="556"/>
      <c r="Y1008" s="556"/>
      <c r="Z1008" s="579"/>
      <c r="AA1008" s="556"/>
      <c r="AB1008" s="556"/>
      <c r="AC1008" s="556"/>
      <c r="AD1008" s="556"/>
    </row>
    <row r="1009" ht="15.75" customHeight="1">
      <c r="A1009" s="556"/>
      <c r="B1009" s="556"/>
      <c r="C1009" s="596"/>
      <c r="D1009" s="556"/>
      <c r="E1009" s="596"/>
      <c r="F1009" s="556"/>
      <c r="G1009" s="556"/>
      <c r="H1009" s="556"/>
      <c r="I1009" s="556"/>
      <c r="J1009" s="556"/>
      <c r="K1009" s="556"/>
      <c r="L1009" s="556"/>
      <c r="M1009" s="556"/>
      <c r="N1009" s="556"/>
      <c r="O1009" s="556"/>
      <c r="P1009" s="556"/>
      <c r="Q1009" s="556"/>
      <c r="R1009" s="596"/>
      <c r="S1009" s="596"/>
      <c r="T1009" s="556"/>
      <c r="U1009" s="556"/>
      <c r="V1009" s="807"/>
      <c r="W1009" s="556"/>
      <c r="X1009" s="556"/>
      <c r="Y1009" s="556"/>
      <c r="Z1009" s="579"/>
      <c r="AA1009" s="556"/>
      <c r="AB1009" s="556"/>
      <c r="AC1009" s="556"/>
      <c r="AD1009" s="556"/>
    </row>
    <row r="1010" ht="15.75" customHeight="1">
      <c r="A1010" s="556"/>
      <c r="B1010" s="556"/>
      <c r="C1010" s="596"/>
      <c r="D1010" s="556"/>
      <c r="E1010" s="596"/>
      <c r="F1010" s="556"/>
      <c r="G1010" s="556"/>
      <c r="H1010" s="556"/>
      <c r="I1010" s="556"/>
      <c r="J1010" s="556"/>
      <c r="K1010" s="556"/>
      <c r="L1010" s="556"/>
      <c r="M1010" s="556"/>
      <c r="N1010" s="556"/>
      <c r="O1010" s="556"/>
      <c r="P1010" s="556"/>
      <c r="Q1010" s="556"/>
      <c r="R1010" s="596"/>
      <c r="S1010" s="596"/>
      <c r="T1010" s="556"/>
      <c r="U1010" s="556"/>
      <c r="V1010" s="807"/>
      <c r="W1010" s="556"/>
      <c r="X1010" s="556"/>
      <c r="Y1010" s="556"/>
      <c r="Z1010" s="579"/>
      <c r="AA1010" s="556"/>
      <c r="AB1010" s="556"/>
      <c r="AC1010" s="556"/>
      <c r="AD1010" s="556"/>
    </row>
    <row r="1011" ht="15.75" customHeight="1">
      <c r="A1011" s="556"/>
      <c r="B1011" s="556"/>
      <c r="C1011" s="596"/>
      <c r="D1011" s="556"/>
      <c r="E1011" s="596"/>
      <c r="F1011" s="556"/>
      <c r="G1011" s="556"/>
      <c r="H1011" s="556"/>
      <c r="I1011" s="556"/>
      <c r="J1011" s="556"/>
      <c r="K1011" s="556"/>
      <c r="L1011" s="556"/>
      <c r="M1011" s="556"/>
      <c r="N1011" s="556"/>
      <c r="O1011" s="556"/>
      <c r="P1011" s="556"/>
      <c r="Q1011" s="556"/>
      <c r="R1011" s="596"/>
      <c r="S1011" s="596"/>
      <c r="T1011" s="556"/>
      <c r="U1011" s="556"/>
      <c r="V1011" s="807"/>
      <c r="W1011" s="556"/>
      <c r="X1011" s="556"/>
      <c r="Y1011" s="556"/>
      <c r="Z1011" s="579"/>
      <c r="AA1011" s="556"/>
      <c r="AB1011" s="556"/>
      <c r="AC1011" s="556"/>
      <c r="AD1011" s="556"/>
    </row>
    <row r="1012" ht="15.75" customHeight="1">
      <c r="A1012" s="556"/>
      <c r="B1012" s="556"/>
      <c r="C1012" s="596"/>
      <c r="D1012" s="556"/>
      <c r="E1012" s="596"/>
      <c r="F1012" s="556"/>
      <c r="G1012" s="556"/>
      <c r="H1012" s="556"/>
      <c r="I1012" s="556"/>
      <c r="J1012" s="556"/>
      <c r="K1012" s="556"/>
      <c r="L1012" s="556"/>
      <c r="M1012" s="556"/>
      <c r="N1012" s="556"/>
      <c r="O1012" s="556"/>
      <c r="P1012" s="556"/>
      <c r="Q1012" s="556"/>
      <c r="R1012" s="596"/>
      <c r="S1012" s="596"/>
      <c r="T1012" s="556"/>
      <c r="U1012" s="556"/>
      <c r="V1012" s="807"/>
      <c r="W1012" s="556"/>
      <c r="X1012" s="556"/>
      <c r="Y1012" s="556"/>
      <c r="Z1012" s="579"/>
      <c r="AA1012" s="556"/>
      <c r="AB1012" s="556"/>
      <c r="AC1012" s="556"/>
      <c r="AD1012" s="556"/>
    </row>
    <row r="1013" ht="15.75" customHeight="1">
      <c r="A1013" s="556"/>
      <c r="B1013" s="556"/>
      <c r="C1013" s="596"/>
      <c r="D1013" s="556"/>
      <c r="E1013" s="596"/>
      <c r="F1013" s="556"/>
      <c r="G1013" s="556"/>
      <c r="H1013" s="556"/>
      <c r="I1013" s="556"/>
      <c r="J1013" s="556"/>
      <c r="K1013" s="556"/>
      <c r="L1013" s="556"/>
      <c r="M1013" s="556"/>
      <c r="N1013" s="556"/>
      <c r="O1013" s="556"/>
      <c r="P1013" s="556"/>
      <c r="Q1013" s="556"/>
      <c r="R1013" s="596"/>
      <c r="S1013" s="596"/>
      <c r="T1013" s="556"/>
      <c r="U1013" s="556"/>
      <c r="V1013" s="807"/>
      <c r="W1013" s="556"/>
      <c r="X1013" s="556"/>
      <c r="Y1013" s="556"/>
      <c r="Z1013" s="579"/>
      <c r="AA1013" s="556"/>
      <c r="AB1013" s="556"/>
      <c r="AC1013" s="556"/>
      <c r="AD1013" s="556"/>
    </row>
    <row r="1014" ht="15.75" customHeight="1">
      <c r="A1014" s="556"/>
      <c r="B1014" s="556"/>
      <c r="C1014" s="596"/>
      <c r="D1014" s="556"/>
      <c r="E1014" s="596"/>
      <c r="F1014" s="556"/>
      <c r="G1014" s="556"/>
      <c r="H1014" s="556"/>
      <c r="I1014" s="556"/>
      <c r="J1014" s="556"/>
      <c r="K1014" s="556"/>
      <c r="L1014" s="556"/>
      <c r="M1014" s="556"/>
      <c r="N1014" s="556"/>
      <c r="O1014" s="556"/>
      <c r="P1014" s="556"/>
      <c r="Q1014" s="556"/>
      <c r="R1014" s="596"/>
      <c r="S1014" s="596"/>
      <c r="T1014" s="556"/>
      <c r="U1014" s="556"/>
      <c r="V1014" s="807"/>
      <c r="W1014" s="556"/>
      <c r="X1014" s="556"/>
      <c r="Y1014" s="556"/>
      <c r="Z1014" s="579"/>
      <c r="AA1014" s="556"/>
      <c r="AB1014" s="556"/>
      <c r="AC1014" s="556"/>
      <c r="AD1014" s="556"/>
    </row>
    <row r="1015" ht="15.75" customHeight="1">
      <c r="A1015" s="556"/>
      <c r="B1015" s="556"/>
      <c r="C1015" s="596"/>
      <c r="D1015" s="556"/>
      <c r="E1015" s="596"/>
      <c r="F1015" s="556"/>
      <c r="G1015" s="556"/>
      <c r="H1015" s="556"/>
      <c r="I1015" s="556"/>
      <c r="J1015" s="556"/>
      <c r="K1015" s="556"/>
      <c r="L1015" s="556"/>
      <c r="M1015" s="556"/>
      <c r="N1015" s="556"/>
      <c r="O1015" s="556"/>
      <c r="P1015" s="556"/>
      <c r="Q1015" s="556"/>
      <c r="R1015" s="596"/>
      <c r="S1015" s="596"/>
      <c r="T1015" s="556"/>
      <c r="U1015" s="556"/>
      <c r="V1015" s="807"/>
      <c r="W1015" s="556"/>
      <c r="X1015" s="556"/>
      <c r="Y1015" s="556"/>
      <c r="Z1015" s="579"/>
      <c r="AA1015" s="556"/>
      <c r="AB1015" s="556"/>
      <c r="AC1015" s="556"/>
      <c r="AD1015" s="556"/>
    </row>
    <row r="1016" ht="15.75" customHeight="1">
      <c r="A1016" s="556"/>
      <c r="B1016" s="556"/>
      <c r="C1016" s="596"/>
      <c r="D1016" s="556"/>
      <c r="E1016" s="596"/>
      <c r="F1016" s="556"/>
      <c r="G1016" s="556"/>
      <c r="H1016" s="556"/>
      <c r="I1016" s="556"/>
      <c r="J1016" s="556"/>
      <c r="K1016" s="556"/>
      <c r="L1016" s="556"/>
      <c r="M1016" s="556"/>
      <c r="N1016" s="556"/>
      <c r="O1016" s="556"/>
      <c r="P1016" s="556"/>
      <c r="Q1016" s="556"/>
      <c r="R1016" s="596"/>
      <c r="S1016" s="596"/>
      <c r="T1016" s="556"/>
      <c r="U1016" s="556"/>
      <c r="V1016" s="807"/>
      <c r="W1016" s="556"/>
      <c r="X1016" s="556"/>
      <c r="Y1016" s="556"/>
      <c r="Z1016" s="579"/>
      <c r="AA1016" s="556"/>
      <c r="AB1016" s="556"/>
      <c r="AC1016" s="556"/>
      <c r="AD1016" s="556"/>
    </row>
    <row r="1017" ht="15.75" customHeight="1">
      <c r="A1017" s="556"/>
      <c r="B1017" s="556"/>
      <c r="C1017" s="596"/>
      <c r="D1017" s="556"/>
      <c r="E1017" s="596"/>
      <c r="F1017" s="556"/>
      <c r="G1017" s="556"/>
      <c r="H1017" s="556"/>
      <c r="I1017" s="556"/>
      <c r="J1017" s="556"/>
      <c r="K1017" s="556"/>
      <c r="L1017" s="556"/>
      <c r="M1017" s="556"/>
      <c r="N1017" s="556"/>
      <c r="O1017" s="556"/>
      <c r="P1017" s="556"/>
      <c r="Q1017" s="556"/>
      <c r="R1017" s="596"/>
      <c r="S1017" s="596"/>
      <c r="T1017" s="556"/>
      <c r="U1017" s="556"/>
      <c r="V1017" s="807"/>
      <c r="W1017" s="556"/>
      <c r="X1017" s="556"/>
      <c r="Y1017" s="556"/>
      <c r="Z1017" s="579"/>
      <c r="AA1017" s="556"/>
      <c r="AB1017" s="556"/>
      <c r="AC1017" s="556"/>
      <c r="AD1017" s="556"/>
    </row>
    <row r="1018" ht="15.75" customHeight="1">
      <c r="A1018" s="556"/>
      <c r="B1018" s="556"/>
      <c r="C1018" s="596"/>
      <c r="D1018" s="556"/>
      <c r="E1018" s="596"/>
      <c r="F1018" s="556"/>
      <c r="G1018" s="556"/>
      <c r="H1018" s="556"/>
      <c r="I1018" s="556"/>
      <c r="J1018" s="556"/>
      <c r="K1018" s="556"/>
      <c r="L1018" s="556"/>
      <c r="M1018" s="556"/>
      <c r="N1018" s="556"/>
      <c r="O1018" s="556"/>
      <c r="P1018" s="556"/>
      <c r="Q1018" s="556"/>
      <c r="R1018" s="596"/>
      <c r="S1018" s="596"/>
      <c r="T1018" s="556"/>
      <c r="U1018" s="556"/>
      <c r="V1018" s="807"/>
      <c r="W1018" s="556"/>
      <c r="X1018" s="556"/>
      <c r="Y1018" s="556"/>
      <c r="Z1018" s="579"/>
      <c r="AA1018" s="556"/>
      <c r="AB1018" s="556"/>
      <c r="AC1018" s="556"/>
      <c r="AD1018" s="556"/>
    </row>
    <row r="1019" ht="15.75" customHeight="1">
      <c r="A1019" s="556"/>
      <c r="B1019" s="556"/>
      <c r="C1019" s="596"/>
      <c r="D1019" s="556"/>
      <c r="E1019" s="596"/>
      <c r="F1019" s="556"/>
      <c r="G1019" s="556"/>
      <c r="H1019" s="556"/>
      <c r="I1019" s="556"/>
      <c r="J1019" s="556"/>
      <c r="K1019" s="556"/>
      <c r="L1019" s="556"/>
      <c r="M1019" s="556"/>
      <c r="N1019" s="556"/>
      <c r="O1019" s="556"/>
      <c r="P1019" s="556"/>
      <c r="Q1019" s="556"/>
      <c r="R1019" s="596"/>
      <c r="S1019" s="596"/>
      <c r="T1019" s="556"/>
      <c r="U1019" s="556"/>
      <c r="V1019" s="807"/>
      <c r="W1019" s="556"/>
      <c r="X1019" s="556"/>
      <c r="Y1019" s="556"/>
      <c r="Z1019" s="579"/>
      <c r="AA1019" s="556"/>
      <c r="AB1019" s="556"/>
      <c r="AC1019" s="556"/>
      <c r="AD1019" s="556"/>
    </row>
    <row r="1020" ht="15.75" customHeight="1">
      <c r="A1020" s="556"/>
      <c r="B1020" s="556"/>
      <c r="C1020" s="596"/>
      <c r="D1020" s="556"/>
      <c r="E1020" s="596"/>
      <c r="F1020" s="556"/>
      <c r="G1020" s="556"/>
      <c r="H1020" s="556"/>
      <c r="I1020" s="556"/>
      <c r="J1020" s="556"/>
      <c r="K1020" s="556"/>
      <c r="L1020" s="556"/>
      <c r="M1020" s="556"/>
      <c r="N1020" s="556"/>
      <c r="O1020" s="556"/>
      <c r="P1020" s="556"/>
      <c r="Q1020" s="556"/>
      <c r="R1020" s="596"/>
      <c r="S1020" s="596"/>
      <c r="T1020" s="556"/>
      <c r="U1020" s="556"/>
      <c r="V1020" s="807"/>
      <c r="W1020" s="556"/>
      <c r="X1020" s="556"/>
      <c r="Y1020" s="556"/>
      <c r="Z1020" s="579"/>
      <c r="AA1020" s="556"/>
      <c r="AB1020" s="556"/>
      <c r="AC1020" s="556"/>
      <c r="AD1020" s="556"/>
    </row>
    <row r="1021" ht="15.75" customHeight="1">
      <c r="A1021" s="556"/>
      <c r="B1021" s="556"/>
      <c r="C1021" s="596"/>
      <c r="D1021" s="556"/>
      <c r="E1021" s="596"/>
      <c r="F1021" s="556"/>
      <c r="G1021" s="556"/>
      <c r="H1021" s="556"/>
      <c r="I1021" s="556"/>
      <c r="J1021" s="556"/>
      <c r="K1021" s="556"/>
      <c r="L1021" s="556"/>
      <c r="M1021" s="556"/>
      <c r="N1021" s="556"/>
      <c r="O1021" s="556"/>
      <c r="P1021" s="556"/>
      <c r="Q1021" s="556"/>
      <c r="R1021" s="596"/>
      <c r="S1021" s="596"/>
      <c r="T1021" s="556"/>
      <c r="U1021" s="556"/>
      <c r="V1021" s="807"/>
      <c r="W1021" s="556"/>
      <c r="X1021" s="556"/>
      <c r="Y1021" s="556"/>
      <c r="Z1021" s="579"/>
      <c r="AA1021" s="556"/>
      <c r="AB1021" s="556"/>
      <c r="AC1021" s="556"/>
      <c r="AD1021" s="556"/>
    </row>
    <row r="1022" ht="15.75" customHeight="1">
      <c r="A1022" s="556"/>
      <c r="B1022" s="556"/>
      <c r="C1022" s="596"/>
      <c r="D1022" s="556"/>
      <c r="E1022" s="596"/>
      <c r="F1022" s="556"/>
      <c r="G1022" s="556"/>
      <c r="H1022" s="556"/>
      <c r="I1022" s="556"/>
      <c r="J1022" s="556"/>
      <c r="K1022" s="556"/>
      <c r="L1022" s="556"/>
      <c r="M1022" s="556"/>
      <c r="N1022" s="556"/>
      <c r="O1022" s="556"/>
      <c r="P1022" s="556"/>
      <c r="Q1022" s="556"/>
      <c r="R1022" s="596"/>
      <c r="S1022" s="596"/>
      <c r="T1022" s="556"/>
      <c r="U1022" s="556"/>
      <c r="V1022" s="807"/>
      <c r="W1022" s="556"/>
      <c r="X1022" s="556"/>
      <c r="Y1022" s="556"/>
      <c r="Z1022" s="579"/>
      <c r="AA1022" s="556"/>
      <c r="AB1022" s="556"/>
      <c r="AC1022" s="556"/>
      <c r="AD1022" s="556"/>
    </row>
    <row r="1023" ht="15.75" customHeight="1">
      <c r="A1023" s="556"/>
      <c r="B1023" s="556"/>
      <c r="C1023" s="596"/>
      <c r="D1023" s="556"/>
      <c r="E1023" s="596"/>
      <c r="F1023" s="556"/>
      <c r="G1023" s="556"/>
      <c r="H1023" s="556"/>
      <c r="I1023" s="556"/>
      <c r="J1023" s="556"/>
      <c r="K1023" s="556"/>
      <c r="L1023" s="556"/>
      <c r="M1023" s="556"/>
      <c r="N1023" s="556"/>
      <c r="O1023" s="556"/>
      <c r="P1023" s="556"/>
      <c r="Q1023" s="556"/>
      <c r="R1023" s="596"/>
      <c r="S1023" s="596"/>
      <c r="T1023" s="556"/>
      <c r="U1023" s="556"/>
      <c r="V1023" s="807"/>
      <c r="W1023" s="556"/>
      <c r="X1023" s="556"/>
      <c r="Y1023" s="556"/>
      <c r="Z1023" s="579"/>
      <c r="AA1023" s="556"/>
      <c r="AB1023" s="556"/>
      <c r="AC1023" s="556"/>
      <c r="AD1023" s="556"/>
    </row>
    <row r="1024" ht="15.75" customHeight="1">
      <c r="A1024" s="556"/>
      <c r="B1024" s="556"/>
      <c r="C1024" s="596"/>
      <c r="D1024" s="556"/>
      <c r="E1024" s="596"/>
      <c r="F1024" s="556"/>
      <c r="G1024" s="556"/>
      <c r="H1024" s="556"/>
      <c r="I1024" s="556"/>
      <c r="J1024" s="556"/>
      <c r="K1024" s="556"/>
      <c r="L1024" s="556"/>
      <c r="M1024" s="556"/>
      <c r="N1024" s="556"/>
      <c r="O1024" s="556"/>
      <c r="P1024" s="556"/>
      <c r="Q1024" s="556"/>
      <c r="R1024" s="596"/>
      <c r="S1024" s="596"/>
      <c r="T1024" s="556"/>
      <c r="U1024" s="556"/>
      <c r="V1024" s="807"/>
      <c r="W1024" s="556"/>
      <c r="X1024" s="556"/>
      <c r="Y1024" s="556"/>
      <c r="Z1024" s="579"/>
      <c r="AA1024" s="556"/>
      <c r="AB1024" s="556"/>
      <c r="AC1024" s="556"/>
      <c r="AD1024" s="556"/>
    </row>
    <row r="1025" ht="15.75" customHeight="1">
      <c r="A1025" s="556"/>
      <c r="B1025" s="556"/>
      <c r="C1025" s="596"/>
      <c r="D1025" s="556"/>
      <c r="E1025" s="596"/>
      <c r="F1025" s="556"/>
      <c r="G1025" s="556"/>
      <c r="H1025" s="556"/>
      <c r="I1025" s="556"/>
      <c r="J1025" s="556"/>
      <c r="K1025" s="556"/>
      <c r="L1025" s="556"/>
      <c r="M1025" s="556"/>
      <c r="N1025" s="556"/>
      <c r="O1025" s="556"/>
      <c r="P1025" s="556"/>
      <c r="Q1025" s="556"/>
      <c r="R1025" s="596"/>
      <c r="S1025" s="596"/>
      <c r="T1025" s="556"/>
      <c r="U1025" s="556"/>
      <c r="V1025" s="807"/>
      <c r="W1025" s="556"/>
      <c r="X1025" s="556"/>
      <c r="Y1025" s="556"/>
      <c r="Z1025" s="579"/>
      <c r="AA1025" s="556"/>
      <c r="AB1025" s="556"/>
      <c r="AC1025" s="556"/>
      <c r="AD1025" s="556"/>
    </row>
    <row r="1026" ht="15.75" customHeight="1">
      <c r="A1026" s="556"/>
      <c r="B1026" s="556"/>
      <c r="C1026" s="596"/>
      <c r="D1026" s="556"/>
      <c r="E1026" s="596"/>
      <c r="F1026" s="556"/>
      <c r="G1026" s="556"/>
      <c r="H1026" s="556"/>
      <c r="I1026" s="556"/>
      <c r="J1026" s="556"/>
      <c r="K1026" s="556"/>
      <c r="L1026" s="556"/>
      <c r="M1026" s="556"/>
      <c r="N1026" s="556"/>
      <c r="O1026" s="556"/>
      <c r="P1026" s="556"/>
      <c r="Q1026" s="556"/>
      <c r="R1026" s="596"/>
      <c r="S1026" s="596"/>
      <c r="T1026" s="556"/>
      <c r="U1026" s="556"/>
      <c r="V1026" s="807"/>
      <c r="W1026" s="556"/>
      <c r="X1026" s="556"/>
      <c r="Y1026" s="556"/>
      <c r="Z1026" s="579"/>
      <c r="AA1026" s="556"/>
      <c r="AB1026" s="556"/>
      <c r="AC1026" s="556"/>
      <c r="AD1026" s="556"/>
    </row>
    <row r="1027" ht="15.75" customHeight="1">
      <c r="A1027" s="556"/>
      <c r="B1027" s="556"/>
      <c r="C1027" s="596"/>
      <c r="D1027" s="556"/>
      <c r="E1027" s="596"/>
      <c r="F1027" s="556"/>
      <c r="G1027" s="556"/>
      <c r="H1027" s="556"/>
      <c r="I1027" s="556"/>
      <c r="J1027" s="556"/>
      <c r="K1027" s="556"/>
      <c r="L1027" s="556"/>
      <c r="M1027" s="556"/>
      <c r="N1027" s="556"/>
      <c r="O1027" s="556"/>
      <c r="P1027" s="556"/>
      <c r="Q1027" s="556"/>
      <c r="R1027" s="596"/>
      <c r="S1027" s="596"/>
      <c r="T1027" s="556"/>
      <c r="U1027" s="556"/>
      <c r="V1027" s="807"/>
      <c r="W1027" s="556"/>
      <c r="X1027" s="556"/>
      <c r="Y1027" s="556"/>
      <c r="Z1027" s="579"/>
      <c r="AA1027" s="556"/>
      <c r="AB1027" s="556"/>
      <c r="AC1027" s="556"/>
      <c r="AD1027" s="556"/>
    </row>
    <row r="1028" ht="15.75" customHeight="1">
      <c r="A1028" s="556"/>
      <c r="B1028" s="556"/>
      <c r="C1028" s="596"/>
      <c r="D1028" s="556"/>
      <c r="E1028" s="596"/>
      <c r="F1028" s="556"/>
      <c r="G1028" s="556"/>
      <c r="H1028" s="556"/>
      <c r="I1028" s="556"/>
      <c r="J1028" s="556"/>
      <c r="K1028" s="556"/>
      <c r="L1028" s="556"/>
      <c r="M1028" s="556"/>
      <c r="N1028" s="556"/>
      <c r="O1028" s="556"/>
      <c r="P1028" s="556"/>
      <c r="Q1028" s="556"/>
      <c r="R1028" s="596"/>
      <c r="S1028" s="596"/>
      <c r="T1028" s="556"/>
      <c r="U1028" s="556"/>
      <c r="V1028" s="807"/>
      <c r="W1028" s="556"/>
      <c r="X1028" s="556"/>
      <c r="Y1028" s="556"/>
      <c r="Z1028" s="579"/>
      <c r="AA1028" s="556"/>
      <c r="AB1028" s="556"/>
      <c r="AC1028" s="556"/>
      <c r="AD1028" s="556"/>
    </row>
    <row r="1029" ht="15.75" customHeight="1">
      <c r="A1029" s="556"/>
      <c r="B1029" s="556"/>
      <c r="C1029" s="596"/>
      <c r="D1029" s="556"/>
      <c r="E1029" s="596"/>
      <c r="F1029" s="556"/>
      <c r="G1029" s="556"/>
      <c r="H1029" s="556"/>
      <c r="I1029" s="556"/>
      <c r="J1029" s="556"/>
      <c r="K1029" s="556"/>
      <c r="L1029" s="556"/>
      <c r="M1029" s="556"/>
      <c r="N1029" s="556"/>
      <c r="O1029" s="556"/>
      <c r="P1029" s="556"/>
      <c r="Q1029" s="556"/>
      <c r="R1029" s="596"/>
      <c r="S1029" s="596"/>
      <c r="T1029" s="556"/>
      <c r="U1029" s="556"/>
      <c r="V1029" s="807"/>
      <c r="W1029" s="556"/>
      <c r="X1029" s="556"/>
      <c r="Y1029" s="556"/>
      <c r="Z1029" s="579"/>
      <c r="AA1029" s="556"/>
      <c r="AB1029" s="556"/>
      <c r="AC1029" s="556"/>
      <c r="AD1029" s="556"/>
    </row>
    <row r="1030" ht="15.75" customHeight="1">
      <c r="A1030" s="556"/>
      <c r="B1030" s="556"/>
      <c r="C1030" s="596"/>
      <c r="D1030" s="556"/>
      <c r="E1030" s="596"/>
      <c r="F1030" s="556"/>
      <c r="G1030" s="556"/>
      <c r="H1030" s="556"/>
      <c r="I1030" s="556"/>
      <c r="J1030" s="556"/>
      <c r="K1030" s="556"/>
      <c r="L1030" s="556"/>
      <c r="M1030" s="556"/>
      <c r="N1030" s="556"/>
      <c r="O1030" s="556"/>
      <c r="P1030" s="556"/>
      <c r="Q1030" s="556"/>
      <c r="R1030" s="596"/>
      <c r="S1030" s="596"/>
      <c r="T1030" s="556"/>
      <c r="U1030" s="556"/>
      <c r="V1030" s="807"/>
      <c r="W1030" s="556"/>
      <c r="X1030" s="556"/>
      <c r="Y1030" s="556"/>
      <c r="Z1030" s="579"/>
      <c r="AA1030" s="556"/>
      <c r="AB1030" s="556"/>
      <c r="AC1030" s="556"/>
      <c r="AD1030" s="556"/>
    </row>
    <row r="1031" ht="15.75" customHeight="1">
      <c r="A1031" s="556"/>
      <c r="B1031" s="556"/>
      <c r="C1031" s="596"/>
      <c r="D1031" s="556"/>
      <c r="E1031" s="596"/>
      <c r="F1031" s="556"/>
      <c r="G1031" s="556"/>
      <c r="H1031" s="556"/>
      <c r="I1031" s="556"/>
      <c r="J1031" s="556"/>
      <c r="K1031" s="556"/>
      <c r="L1031" s="556"/>
      <c r="M1031" s="556"/>
      <c r="N1031" s="556"/>
      <c r="O1031" s="556"/>
      <c r="P1031" s="556"/>
      <c r="Q1031" s="556"/>
      <c r="R1031" s="596"/>
      <c r="S1031" s="596"/>
      <c r="T1031" s="556"/>
      <c r="U1031" s="556"/>
      <c r="V1031" s="807"/>
      <c r="W1031" s="556"/>
      <c r="X1031" s="556"/>
      <c r="Y1031" s="556"/>
      <c r="Z1031" s="579"/>
      <c r="AA1031" s="556"/>
      <c r="AB1031" s="556"/>
      <c r="AC1031" s="556"/>
      <c r="AD1031" s="556"/>
    </row>
    <row r="1032" ht="15.75" customHeight="1">
      <c r="A1032" s="556"/>
      <c r="B1032" s="556"/>
      <c r="C1032" s="596"/>
      <c r="D1032" s="556"/>
      <c r="E1032" s="596"/>
      <c r="F1032" s="556"/>
      <c r="G1032" s="556"/>
      <c r="H1032" s="556"/>
      <c r="I1032" s="556"/>
      <c r="J1032" s="556"/>
      <c r="K1032" s="556"/>
      <c r="L1032" s="556"/>
      <c r="M1032" s="556"/>
      <c r="N1032" s="556"/>
      <c r="O1032" s="556"/>
      <c r="P1032" s="556"/>
      <c r="Q1032" s="556"/>
      <c r="R1032" s="596"/>
      <c r="S1032" s="596"/>
      <c r="T1032" s="556"/>
      <c r="U1032" s="556"/>
      <c r="V1032" s="807"/>
      <c r="W1032" s="556"/>
      <c r="X1032" s="556"/>
      <c r="Y1032" s="556"/>
      <c r="Z1032" s="579"/>
      <c r="AA1032" s="556"/>
      <c r="AB1032" s="556"/>
      <c r="AC1032" s="556"/>
      <c r="AD1032" s="556"/>
    </row>
    <row r="1033" ht="15.75" customHeight="1">
      <c r="A1033" s="556"/>
      <c r="B1033" s="556"/>
      <c r="C1033" s="596"/>
      <c r="D1033" s="556"/>
      <c r="E1033" s="596"/>
      <c r="F1033" s="556"/>
      <c r="G1033" s="556"/>
      <c r="H1033" s="556"/>
      <c r="I1033" s="556"/>
      <c r="J1033" s="556"/>
      <c r="K1033" s="556"/>
      <c r="L1033" s="556"/>
      <c r="M1033" s="556"/>
      <c r="N1033" s="556"/>
      <c r="O1033" s="556"/>
      <c r="P1033" s="556"/>
      <c r="Q1033" s="556"/>
      <c r="R1033" s="596"/>
      <c r="S1033" s="596"/>
      <c r="T1033" s="556"/>
      <c r="U1033" s="556"/>
      <c r="V1033" s="807"/>
      <c r="W1033" s="556"/>
      <c r="X1033" s="556"/>
      <c r="Y1033" s="556"/>
      <c r="Z1033" s="579"/>
      <c r="AA1033" s="556"/>
      <c r="AB1033" s="556"/>
      <c r="AC1033" s="556"/>
      <c r="AD1033" s="556"/>
    </row>
    <row r="1034" ht="15.75" customHeight="1">
      <c r="A1034" s="556"/>
      <c r="B1034" s="556"/>
      <c r="C1034" s="596"/>
      <c r="D1034" s="556"/>
      <c r="E1034" s="596"/>
      <c r="F1034" s="556"/>
      <c r="G1034" s="556"/>
      <c r="H1034" s="556"/>
      <c r="I1034" s="556"/>
      <c r="J1034" s="556"/>
      <c r="K1034" s="556"/>
      <c r="L1034" s="556"/>
      <c r="M1034" s="556"/>
      <c r="N1034" s="556"/>
      <c r="O1034" s="556"/>
      <c r="P1034" s="556"/>
      <c r="Q1034" s="556"/>
      <c r="R1034" s="596"/>
      <c r="S1034" s="596"/>
      <c r="T1034" s="556"/>
      <c r="U1034" s="556"/>
      <c r="V1034" s="807"/>
      <c r="W1034" s="556"/>
      <c r="X1034" s="556"/>
      <c r="Y1034" s="556"/>
      <c r="Z1034" s="579"/>
      <c r="AA1034" s="556"/>
      <c r="AB1034" s="556"/>
      <c r="AC1034" s="556"/>
      <c r="AD1034" s="556"/>
    </row>
    <row r="1035" ht="15.75" customHeight="1">
      <c r="A1035" s="556"/>
      <c r="B1035" s="556"/>
      <c r="C1035" s="596"/>
      <c r="D1035" s="556"/>
      <c r="E1035" s="596"/>
      <c r="F1035" s="556"/>
      <c r="G1035" s="556"/>
      <c r="H1035" s="556"/>
      <c r="I1035" s="556"/>
      <c r="J1035" s="556"/>
      <c r="K1035" s="556"/>
      <c r="L1035" s="556"/>
      <c r="M1035" s="556"/>
      <c r="N1035" s="556"/>
      <c r="O1035" s="556"/>
      <c r="P1035" s="556"/>
      <c r="Q1035" s="556"/>
      <c r="R1035" s="596"/>
      <c r="S1035" s="596"/>
      <c r="T1035" s="556"/>
      <c r="U1035" s="556"/>
      <c r="V1035" s="807"/>
      <c r="W1035" s="556"/>
      <c r="X1035" s="556"/>
      <c r="Y1035" s="556"/>
      <c r="Z1035" s="579"/>
      <c r="AA1035" s="556"/>
      <c r="AB1035" s="556"/>
      <c r="AC1035" s="556"/>
      <c r="AD1035" s="556"/>
    </row>
    <row r="1036" ht="15.75" customHeight="1">
      <c r="A1036" s="556"/>
      <c r="B1036" s="556"/>
      <c r="C1036" s="596"/>
      <c r="D1036" s="556"/>
      <c r="E1036" s="596"/>
      <c r="F1036" s="556"/>
      <c r="G1036" s="556"/>
      <c r="H1036" s="556"/>
      <c r="I1036" s="556"/>
      <c r="J1036" s="556"/>
      <c r="K1036" s="556"/>
      <c r="L1036" s="556"/>
      <c r="M1036" s="556"/>
      <c r="N1036" s="556"/>
      <c r="O1036" s="556"/>
      <c r="P1036" s="556"/>
      <c r="Q1036" s="556"/>
      <c r="R1036" s="596"/>
      <c r="S1036" s="596"/>
      <c r="T1036" s="556"/>
      <c r="U1036" s="556"/>
      <c r="V1036" s="807"/>
      <c r="W1036" s="556"/>
      <c r="X1036" s="556"/>
      <c r="Y1036" s="556"/>
      <c r="Z1036" s="579"/>
      <c r="AA1036" s="556"/>
      <c r="AB1036" s="556"/>
      <c r="AC1036" s="556"/>
      <c r="AD1036" s="556"/>
    </row>
    <row r="1037" ht="15.75" customHeight="1">
      <c r="A1037" s="556"/>
      <c r="B1037" s="556"/>
      <c r="C1037" s="596"/>
      <c r="D1037" s="556"/>
      <c r="E1037" s="596"/>
      <c r="F1037" s="556"/>
      <c r="G1037" s="556"/>
      <c r="H1037" s="556"/>
      <c r="I1037" s="556"/>
      <c r="J1037" s="556"/>
      <c r="K1037" s="556"/>
      <c r="L1037" s="556"/>
      <c r="M1037" s="556"/>
      <c r="N1037" s="556"/>
      <c r="O1037" s="556"/>
      <c r="P1037" s="556"/>
      <c r="Q1037" s="556"/>
      <c r="R1037" s="596"/>
      <c r="S1037" s="596"/>
      <c r="T1037" s="556"/>
      <c r="U1037" s="556"/>
      <c r="V1037" s="807"/>
      <c r="W1037" s="556"/>
      <c r="X1037" s="556"/>
      <c r="Y1037" s="556"/>
      <c r="Z1037" s="579"/>
      <c r="AA1037" s="556"/>
      <c r="AB1037" s="556"/>
      <c r="AC1037" s="556"/>
      <c r="AD1037" s="556"/>
    </row>
    <row r="1038" ht="15.75" customHeight="1">
      <c r="A1038" s="556"/>
      <c r="B1038" s="556"/>
      <c r="C1038" s="596"/>
      <c r="D1038" s="556"/>
      <c r="E1038" s="596"/>
      <c r="F1038" s="556"/>
      <c r="G1038" s="556"/>
      <c r="H1038" s="556"/>
      <c r="I1038" s="556"/>
      <c r="J1038" s="556"/>
      <c r="K1038" s="556"/>
      <c r="L1038" s="556"/>
      <c r="M1038" s="556"/>
      <c r="N1038" s="556"/>
      <c r="O1038" s="556"/>
      <c r="P1038" s="556"/>
      <c r="Q1038" s="556"/>
      <c r="R1038" s="596"/>
      <c r="S1038" s="596"/>
      <c r="T1038" s="556"/>
      <c r="U1038" s="556"/>
      <c r="V1038" s="807"/>
      <c r="W1038" s="556"/>
      <c r="X1038" s="556"/>
      <c r="Y1038" s="556"/>
      <c r="Z1038" s="579"/>
      <c r="AA1038" s="556"/>
      <c r="AB1038" s="556"/>
      <c r="AC1038" s="556"/>
      <c r="AD1038" s="556"/>
    </row>
    <row r="1039" ht="15.75" customHeight="1">
      <c r="A1039" s="556"/>
      <c r="B1039" s="556"/>
      <c r="C1039" s="596"/>
      <c r="D1039" s="556"/>
      <c r="E1039" s="596"/>
      <c r="F1039" s="556"/>
      <c r="G1039" s="556"/>
      <c r="H1039" s="556"/>
      <c r="I1039" s="556"/>
      <c r="J1039" s="556"/>
      <c r="K1039" s="556"/>
      <c r="L1039" s="556"/>
      <c r="M1039" s="556"/>
      <c r="N1039" s="556"/>
      <c r="O1039" s="556"/>
      <c r="P1039" s="556"/>
      <c r="Q1039" s="556"/>
      <c r="R1039" s="596"/>
      <c r="S1039" s="596"/>
      <c r="T1039" s="556"/>
      <c r="U1039" s="556"/>
      <c r="V1039" s="807"/>
      <c r="W1039" s="556"/>
      <c r="X1039" s="556"/>
      <c r="Y1039" s="556"/>
      <c r="Z1039" s="579"/>
      <c r="AA1039" s="556"/>
      <c r="AB1039" s="556"/>
      <c r="AC1039" s="556"/>
      <c r="AD1039" s="556"/>
    </row>
    <row r="1040" ht="15.75" customHeight="1">
      <c r="A1040" s="556"/>
      <c r="B1040" s="556"/>
      <c r="C1040" s="596"/>
      <c r="D1040" s="556"/>
      <c r="E1040" s="596"/>
      <c r="F1040" s="556"/>
      <c r="G1040" s="556"/>
      <c r="H1040" s="556"/>
      <c r="I1040" s="556"/>
      <c r="J1040" s="556"/>
      <c r="K1040" s="556"/>
      <c r="L1040" s="556"/>
      <c r="M1040" s="556"/>
      <c r="N1040" s="556"/>
      <c r="O1040" s="556"/>
      <c r="P1040" s="556"/>
      <c r="Q1040" s="556"/>
      <c r="R1040" s="596"/>
      <c r="S1040" s="596"/>
      <c r="T1040" s="556"/>
      <c r="U1040" s="556"/>
      <c r="V1040" s="807"/>
      <c r="W1040" s="556"/>
      <c r="X1040" s="556"/>
      <c r="Y1040" s="556"/>
      <c r="Z1040" s="579"/>
      <c r="AA1040" s="556"/>
      <c r="AB1040" s="556"/>
      <c r="AC1040" s="556"/>
      <c r="AD1040" s="556"/>
    </row>
    <row r="1041" ht="15.75" customHeight="1">
      <c r="A1041" s="556"/>
      <c r="B1041" s="556"/>
      <c r="C1041" s="596"/>
      <c r="D1041" s="556"/>
      <c r="E1041" s="596"/>
      <c r="F1041" s="556"/>
      <c r="G1041" s="556"/>
      <c r="H1041" s="556"/>
      <c r="I1041" s="556"/>
      <c r="J1041" s="556"/>
      <c r="K1041" s="556"/>
      <c r="L1041" s="556"/>
      <c r="M1041" s="556"/>
      <c r="N1041" s="556"/>
      <c r="O1041" s="556"/>
      <c r="P1041" s="556"/>
      <c r="Q1041" s="556"/>
      <c r="R1041" s="596"/>
      <c r="S1041" s="596"/>
      <c r="T1041" s="556"/>
      <c r="U1041" s="556"/>
      <c r="V1041" s="807"/>
      <c r="W1041" s="556"/>
      <c r="X1041" s="556"/>
      <c r="Y1041" s="556"/>
      <c r="Z1041" s="579"/>
      <c r="AA1041" s="556"/>
      <c r="AB1041" s="556"/>
      <c r="AC1041" s="556"/>
      <c r="AD1041" s="556"/>
    </row>
    <row r="1042" ht="15.75" customHeight="1">
      <c r="A1042" s="556"/>
      <c r="B1042" s="556"/>
      <c r="C1042" s="596"/>
      <c r="D1042" s="556"/>
      <c r="E1042" s="596"/>
      <c r="F1042" s="556"/>
      <c r="G1042" s="556"/>
      <c r="H1042" s="556"/>
      <c r="I1042" s="556"/>
      <c r="J1042" s="556"/>
      <c r="K1042" s="556"/>
      <c r="L1042" s="556"/>
      <c r="M1042" s="556"/>
      <c r="N1042" s="556"/>
      <c r="O1042" s="556"/>
      <c r="P1042" s="556"/>
      <c r="Q1042" s="556"/>
      <c r="R1042" s="596"/>
      <c r="S1042" s="596"/>
      <c r="T1042" s="556"/>
      <c r="U1042" s="556"/>
      <c r="V1042" s="807"/>
      <c r="W1042" s="556"/>
      <c r="X1042" s="556"/>
      <c r="Y1042" s="556"/>
      <c r="Z1042" s="579"/>
      <c r="AA1042" s="556"/>
      <c r="AB1042" s="556"/>
      <c r="AC1042" s="556"/>
      <c r="AD1042" s="556"/>
    </row>
    <row r="1043" ht="15.75" customHeight="1">
      <c r="A1043" s="556"/>
      <c r="B1043" s="556"/>
      <c r="C1043" s="596"/>
      <c r="D1043" s="556"/>
      <c r="E1043" s="596"/>
      <c r="F1043" s="556"/>
      <c r="G1043" s="556"/>
      <c r="H1043" s="556"/>
      <c r="I1043" s="556"/>
      <c r="J1043" s="556"/>
      <c r="K1043" s="556"/>
      <c r="L1043" s="556"/>
      <c r="M1043" s="556"/>
      <c r="N1043" s="556"/>
      <c r="O1043" s="556"/>
      <c r="P1043" s="556"/>
      <c r="Q1043" s="556"/>
      <c r="R1043" s="596"/>
      <c r="S1043" s="596"/>
      <c r="T1043" s="556"/>
      <c r="U1043" s="556"/>
      <c r="V1043" s="807"/>
      <c r="W1043" s="556"/>
      <c r="X1043" s="556"/>
      <c r="Y1043" s="556"/>
      <c r="Z1043" s="579"/>
      <c r="AA1043" s="556"/>
      <c r="AB1043" s="556"/>
      <c r="AC1043" s="556"/>
      <c r="AD1043" s="556"/>
    </row>
    <row r="1044" ht="15.75" customHeight="1">
      <c r="A1044" s="556"/>
      <c r="B1044" s="556"/>
      <c r="C1044" s="596"/>
      <c r="D1044" s="556"/>
      <c r="E1044" s="596"/>
      <c r="F1044" s="556"/>
      <c r="G1044" s="556"/>
      <c r="H1044" s="556"/>
      <c r="I1044" s="556"/>
      <c r="J1044" s="556"/>
      <c r="K1044" s="556"/>
      <c r="L1044" s="556"/>
      <c r="M1044" s="556"/>
      <c r="N1044" s="556"/>
      <c r="O1044" s="556"/>
      <c r="P1044" s="556"/>
      <c r="Q1044" s="556"/>
      <c r="R1044" s="596"/>
      <c r="S1044" s="596"/>
      <c r="T1044" s="556"/>
      <c r="U1044" s="556"/>
      <c r="V1044" s="807"/>
      <c r="W1044" s="556"/>
      <c r="X1044" s="556"/>
      <c r="Y1044" s="556"/>
      <c r="Z1044" s="579"/>
      <c r="AA1044" s="556"/>
      <c r="AB1044" s="556"/>
      <c r="AC1044" s="556"/>
      <c r="AD1044" s="556"/>
    </row>
    <row r="1045" ht="15.75" customHeight="1">
      <c r="A1045" s="556"/>
      <c r="B1045" s="556"/>
      <c r="C1045" s="596"/>
      <c r="D1045" s="556"/>
      <c r="E1045" s="596"/>
      <c r="F1045" s="556"/>
      <c r="G1045" s="556"/>
      <c r="H1045" s="556"/>
      <c r="I1045" s="556"/>
      <c r="J1045" s="556"/>
      <c r="K1045" s="556"/>
      <c r="L1045" s="556"/>
      <c r="M1045" s="556"/>
      <c r="N1045" s="556"/>
      <c r="O1045" s="556"/>
      <c r="P1045" s="556"/>
      <c r="Q1045" s="556"/>
      <c r="R1045" s="596"/>
      <c r="S1045" s="596"/>
      <c r="T1045" s="556"/>
      <c r="U1045" s="556"/>
      <c r="V1045" s="807"/>
      <c r="W1045" s="556"/>
      <c r="X1045" s="556"/>
      <c r="Y1045" s="556"/>
      <c r="Z1045" s="579"/>
      <c r="AA1045" s="556"/>
      <c r="AB1045" s="556"/>
      <c r="AC1045" s="556"/>
      <c r="AD1045" s="556"/>
    </row>
    <row r="1046" ht="15.75" customHeight="1">
      <c r="A1046" s="556"/>
      <c r="B1046" s="556"/>
      <c r="C1046" s="596"/>
      <c r="D1046" s="556"/>
      <c r="E1046" s="596"/>
      <c r="F1046" s="556"/>
      <c r="G1046" s="556"/>
      <c r="H1046" s="556"/>
      <c r="I1046" s="556"/>
      <c r="J1046" s="556"/>
      <c r="K1046" s="556"/>
      <c r="L1046" s="556"/>
      <c r="M1046" s="556"/>
      <c r="N1046" s="556"/>
      <c r="O1046" s="556"/>
      <c r="P1046" s="556"/>
      <c r="Q1046" s="556"/>
      <c r="R1046" s="596"/>
      <c r="S1046" s="596"/>
      <c r="T1046" s="556"/>
      <c r="U1046" s="556"/>
      <c r="V1046" s="807"/>
      <c r="W1046" s="556"/>
      <c r="X1046" s="556"/>
      <c r="Y1046" s="556"/>
      <c r="Z1046" s="579"/>
      <c r="AA1046" s="556"/>
      <c r="AB1046" s="556"/>
      <c r="AC1046" s="556"/>
      <c r="AD1046" s="556"/>
    </row>
    <row r="1047" ht="15.75" customHeight="1">
      <c r="A1047" s="556"/>
      <c r="B1047" s="556"/>
      <c r="C1047" s="596"/>
      <c r="D1047" s="556"/>
      <c r="E1047" s="596"/>
      <c r="F1047" s="556"/>
      <c r="G1047" s="556"/>
      <c r="H1047" s="556"/>
      <c r="I1047" s="556"/>
      <c r="J1047" s="556"/>
      <c r="K1047" s="556"/>
      <c r="L1047" s="556"/>
      <c r="M1047" s="556"/>
      <c r="N1047" s="556"/>
      <c r="O1047" s="556"/>
      <c r="P1047" s="556"/>
      <c r="Q1047" s="556"/>
      <c r="R1047" s="596"/>
      <c r="S1047" s="596"/>
      <c r="T1047" s="556"/>
      <c r="U1047" s="556"/>
      <c r="V1047" s="807"/>
      <c r="W1047" s="556"/>
      <c r="X1047" s="556"/>
      <c r="Y1047" s="556"/>
      <c r="Z1047" s="579"/>
      <c r="AA1047" s="556"/>
      <c r="AB1047" s="556"/>
      <c r="AC1047" s="556"/>
      <c r="AD1047" s="556"/>
    </row>
    <row r="1048" ht="15.75" customHeight="1">
      <c r="A1048" s="556"/>
      <c r="B1048" s="556"/>
      <c r="C1048" s="596"/>
      <c r="D1048" s="556"/>
      <c r="E1048" s="596"/>
      <c r="F1048" s="556"/>
      <c r="G1048" s="556"/>
      <c r="H1048" s="556"/>
      <c r="I1048" s="556"/>
      <c r="J1048" s="556"/>
      <c r="K1048" s="556"/>
      <c r="L1048" s="556"/>
      <c r="M1048" s="556"/>
      <c r="N1048" s="556"/>
      <c r="O1048" s="556"/>
      <c r="P1048" s="556"/>
      <c r="Q1048" s="556"/>
      <c r="R1048" s="596"/>
      <c r="S1048" s="596"/>
      <c r="T1048" s="556"/>
      <c r="U1048" s="556"/>
      <c r="V1048" s="807"/>
      <c r="W1048" s="556"/>
      <c r="X1048" s="556"/>
      <c r="Y1048" s="556"/>
      <c r="Z1048" s="579"/>
      <c r="AA1048" s="556"/>
      <c r="AB1048" s="556"/>
      <c r="AC1048" s="556"/>
      <c r="AD1048" s="556"/>
    </row>
    <row r="1049" ht="15.75" customHeight="1">
      <c r="A1049" s="556"/>
      <c r="B1049" s="556"/>
      <c r="C1049" s="596"/>
      <c r="D1049" s="556"/>
      <c r="E1049" s="596"/>
      <c r="F1049" s="556"/>
      <c r="G1049" s="556"/>
      <c r="H1049" s="556"/>
      <c r="I1049" s="556"/>
      <c r="J1049" s="556"/>
      <c r="K1049" s="556"/>
      <c r="L1049" s="556"/>
      <c r="M1049" s="556"/>
      <c r="N1049" s="556"/>
      <c r="O1049" s="556"/>
      <c r="P1049" s="556"/>
      <c r="Q1049" s="556"/>
      <c r="R1049" s="596"/>
      <c r="S1049" s="596"/>
      <c r="T1049" s="556"/>
      <c r="U1049" s="556"/>
      <c r="V1049" s="807"/>
      <c r="W1049" s="556"/>
      <c r="X1049" s="556"/>
      <c r="Y1049" s="556"/>
      <c r="Z1049" s="579"/>
      <c r="AA1049" s="556"/>
      <c r="AB1049" s="556"/>
      <c r="AC1049" s="556"/>
      <c r="AD1049" s="556"/>
    </row>
    <row r="1050" ht="15.75" customHeight="1">
      <c r="A1050" s="556"/>
      <c r="B1050" s="556"/>
      <c r="C1050" s="596"/>
      <c r="D1050" s="556"/>
      <c r="E1050" s="596"/>
      <c r="F1050" s="556"/>
      <c r="G1050" s="556"/>
      <c r="H1050" s="556"/>
      <c r="I1050" s="556"/>
      <c r="J1050" s="556"/>
      <c r="K1050" s="556"/>
      <c r="L1050" s="556"/>
      <c r="M1050" s="556"/>
      <c r="N1050" s="556"/>
      <c r="O1050" s="556"/>
      <c r="P1050" s="556"/>
      <c r="Q1050" s="556"/>
      <c r="R1050" s="596"/>
      <c r="S1050" s="596"/>
      <c r="T1050" s="556"/>
      <c r="U1050" s="556"/>
      <c r="V1050" s="807"/>
      <c r="W1050" s="556"/>
      <c r="X1050" s="556"/>
      <c r="Y1050" s="556"/>
      <c r="Z1050" s="579"/>
      <c r="AA1050" s="556"/>
      <c r="AB1050" s="556"/>
      <c r="AC1050" s="556"/>
      <c r="AD1050" s="556"/>
    </row>
    <row r="1051" ht="15.75" customHeight="1">
      <c r="A1051" s="556"/>
      <c r="B1051" s="556"/>
      <c r="C1051" s="596"/>
      <c r="D1051" s="556"/>
      <c r="E1051" s="596"/>
      <c r="F1051" s="556"/>
      <c r="G1051" s="556"/>
      <c r="H1051" s="556"/>
      <c r="I1051" s="556"/>
      <c r="J1051" s="556"/>
      <c r="K1051" s="556"/>
      <c r="L1051" s="556"/>
      <c r="M1051" s="556"/>
      <c r="N1051" s="556"/>
      <c r="O1051" s="556"/>
      <c r="P1051" s="556"/>
      <c r="Q1051" s="556"/>
      <c r="R1051" s="596"/>
      <c r="S1051" s="596"/>
      <c r="T1051" s="556"/>
      <c r="U1051" s="556"/>
      <c r="V1051" s="807"/>
      <c r="W1051" s="556"/>
      <c r="X1051" s="556"/>
      <c r="Y1051" s="556"/>
      <c r="Z1051" s="579"/>
      <c r="AA1051" s="556"/>
      <c r="AB1051" s="556"/>
      <c r="AC1051" s="556"/>
      <c r="AD1051" s="556"/>
    </row>
    <row r="1052" ht="15.75" customHeight="1">
      <c r="A1052" s="556"/>
      <c r="B1052" s="556"/>
      <c r="C1052" s="596"/>
      <c r="D1052" s="556"/>
      <c r="E1052" s="596"/>
      <c r="F1052" s="556"/>
      <c r="G1052" s="556"/>
      <c r="H1052" s="556"/>
      <c r="I1052" s="556"/>
      <c r="J1052" s="556"/>
      <c r="K1052" s="556"/>
      <c r="L1052" s="556"/>
      <c r="M1052" s="556"/>
      <c r="N1052" s="556"/>
      <c r="O1052" s="556"/>
      <c r="P1052" s="556"/>
      <c r="Q1052" s="556"/>
      <c r="R1052" s="596"/>
      <c r="S1052" s="596"/>
      <c r="T1052" s="556"/>
      <c r="U1052" s="556"/>
      <c r="V1052" s="807"/>
      <c r="W1052" s="556"/>
      <c r="X1052" s="556"/>
      <c r="Y1052" s="556"/>
      <c r="Z1052" s="579"/>
      <c r="AA1052" s="556"/>
      <c r="AB1052" s="556"/>
      <c r="AC1052" s="556"/>
      <c r="AD1052" s="556"/>
    </row>
    <row r="1053" ht="15.75" customHeight="1">
      <c r="A1053" s="556"/>
      <c r="B1053" s="556"/>
      <c r="C1053" s="596"/>
      <c r="D1053" s="556"/>
      <c r="E1053" s="596"/>
      <c r="F1053" s="556"/>
      <c r="G1053" s="556"/>
      <c r="H1053" s="556"/>
      <c r="I1053" s="556"/>
      <c r="J1053" s="556"/>
      <c r="K1053" s="556"/>
      <c r="L1053" s="556"/>
      <c r="M1053" s="556"/>
      <c r="N1053" s="556"/>
      <c r="O1053" s="556"/>
      <c r="P1053" s="556"/>
      <c r="Q1053" s="556"/>
      <c r="R1053" s="596"/>
      <c r="S1053" s="596"/>
      <c r="T1053" s="556"/>
      <c r="U1053" s="556"/>
      <c r="V1053" s="807"/>
      <c r="W1053" s="556"/>
      <c r="X1053" s="556"/>
      <c r="Y1053" s="556"/>
      <c r="Z1053" s="579"/>
      <c r="AA1053" s="556"/>
      <c r="AB1053" s="556"/>
      <c r="AC1053" s="556"/>
      <c r="AD1053" s="556"/>
    </row>
    <row r="1054" ht="15.75" customHeight="1">
      <c r="A1054" s="556"/>
      <c r="B1054" s="556"/>
      <c r="C1054" s="596"/>
      <c r="D1054" s="556"/>
      <c r="E1054" s="596"/>
      <c r="F1054" s="556"/>
      <c r="G1054" s="556"/>
      <c r="H1054" s="556"/>
      <c r="I1054" s="556"/>
      <c r="J1054" s="556"/>
      <c r="K1054" s="556"/>
      <c r="L1054" s="556"/>
      <c r="M1054" s="556"/>
      <c r="N1054" s="556"/>
      <c r="O1054" s="556"/>
      <c r="P1054" s="556"/>
      <c r="Q1054" s="556"/>
      <c r="R1054" s="596"/>
      <c r="S1054" s="596"/>
      <c r="T1054" s="556"/>
      <c r="U1054" s="556"/>
      <c r="V1054" s="807"/>
      <c r="W1054" s="556"/>
      <c r="X1054" s="556"/>
      <c r="Y1054" s="556"/>
      <c r="Z1054" s="579"/>
      <c r="AA1054" s="556"/>
      <c r="AB1054" s="556"/>
      <c r="AC1054" s="556"/>
      <c r="AD1054" s="556"/>
    </row>
    <row r="1055" ht="15.75" customHeight="1">
      <c r="A1055" s="556"/>
      <c r="B1055" s="556"/>
      <c r="C1055" s="596"/>
      <c r="D1055" s="556"/>
      <c r="E1055" s="596"/>
      <c r="F1055" s="556"/>
      <c r="G1055" s="556"/>
      <c r="H1055" s="556"/>
      <c r="I1055" s="556"/>
      <c r="J1055" s="556"/>
      <c r="K1055" s="556"/>
      <c r="L1055" s="556"/>
      <c r="M1055" s="556"/>
      <c r="N1055" s="556"/>
      <c r="O1055" s="556"/>
      <c r="P1055" s="556"/>
      <c r="Q1055" s="556"/>
      <c r="R1055" s="596"/>
      <c r="S1055" s="596"/>
      <c r="T1055" s="556"/>
      <c r="U1055" s="556"/>
      <c r="V1055" s="807"/>
      <c r="W1055" s="556"/>
      <c r="X1055" s="556"/>
      <c r="Y1055" s="556"/>
      <c r="Z1055" s="579"/>
      <c r="AA1055" s="556"/>
      <c r="AB1055" s="556"/>
      <c r="AC1055" s="556"/>
      <c r="AD1055" s="556"/>
    </row>
    <row r="1056" ht="15.75" customHeight="1">
      <c r="A1056" s="556"/>
      <c r="B1056" s="556"/>
      <c r="C1056" s="596"/>
      <c r="D1056" s="556"/>
      <c r="E1056" s="596"/>
      <c r="F1056" s="556"/>
      <c r="G1056" s="556"/>
      <c r="H1056" s="556"/>
      <c r="I1056" s="556"/>
      <c r="J1056" s="556"/>
      <c r="K1056" s="556"/>
      <c r="L1056" s="556"/>
      <c r="M1056" s="556"/>
      <c r="N1056" s="556"/>
      <c r="O1056" s="556"/>
      <c r="P1056" s="556"/>
      <c r="Q1056" s="556"/>
      <c r="R1056" s="596"/>
      <c r="S1056" s="596"/>
      <c r="T1056" s="556"/>
      <c r="U1056" s="556"/>
      <c r="V1056" s="807"/>
      <c r="W1056" s="556"/>
      <c r="X1056" s="556"/>
      <c r="Y1056" s="556"/>
      <c r="Z1056" s="579"/>
      <c r="AA1056" s="556"/>
      <c r="AB1056" s="556"/>
      <c r="AC1056" s="556"/>
      <c r="AD1056" s="556"/>
    </row>
    <row r="1057" ht="15.75" customHeight="1">
      <c r="A1057" s="556"/>
      <c r="B1057" s="556"/>
      <c r="C1057" s="596"/>
      <c r="D1057" s="556"/>
      <c r="E1057" s="596"/>
      <c r="F1057" s="556"/>
      <c r="G1057" s="556"/>
      <c r="H1057" s="556"/>
      <c r="I1057" s="556"/>
      <c r="J1057" s="556"/>
      <c r="K1057" s="556"/>
      <c r="L1057" s="556"/>
      <c r="M1057" s="556"/>
      <c r="N1057" s="556"/>
      <c r="O1057" s="556"/>
      <c r="P1057" s="556"/>
      <c r="Q1057" s="556"/>
      <c r="R1057" s="596"/>
      <c r="S1057" s="596"/>
      <c r="T1057" s="556"/>
      <c r="U1057" s="556"/>
      <c r="V1057" s="807"/>
      <c r="W1057" s="556"/>
      <c r="X1057" s="556"/>
      <c r="Y1057" s="556"/>
      <c r="Z1057" s="579"/>
      <c r="AA1057" s="556"/>
      <c r="AB1057" s="556"/>
      <c r="AC1057" s="556"/>
      <c r="AD1057" s="556"/>
    </row>
    <row r="1058" ht="15.75" customHeight="1">
      <c r="A1058" s="556"/>
      <c r="B1058" s="556"/>
      <c r="C1058" s="596"/>
      <c r="D1058" s="556"/>
      <c r="E1058" s="596"/>
      <c r="F1058" s="556"/>
      <c r="G1058" s="556"/>
      <c r="H1058" s="556"/>
      <c r="I1058" s="556"/>
      <c r="J1058" s="556"/>
      <c r="K1058" s="556"/>
      <c r="L1058" s="556"/>
      <c r="M1058" s="556"/>
      <c r="N1058" s="556"/>
      <c r="O1058" s="556"/>
      <c r="P1058" s="556"/>
      <c r="Q1058" s="556"/>
      <c r="R1058" s="596"/>
      <c r="S1058" s="596"/>
      <c r="T1058" s="556"/>
      <c r="U1058" s="556"/>
      <c r="V1058" s="807"/>
      <c r="W1058" s="556"/>
      <c r="X1058" s="556"/>
      <c r="Y1058" s="556"/>
      <c r="Z1058" s="579"/>
      <c r="AA1058" s="556"/>
      <c r="AB1058" s="556"/>
      <c r="AC1058" s="556"/>
      <c r="AD1058" s="556"/>
    </row>
    <row r="1059" ht="15.75" customHeight="1">
      <c r="A1059" s="556"/>
      <c r="B1059" s="556"/>
      <c r="C1059" s="596"/>
      <c r="D1059" s="556"/>
      <c r="E1059" s="596"/>
      <c r="F1059" s="556"/>
      <c r="G1059" s="556"/>
      <c r="H1059" s="556"/>
      <c r="I1059" s="556"/>
      <c r="J1059" s="556"/>
      <c r="K1059" s="556"/>
      <c r="L1059" s="556"/>
      <c r="M1059" s="556"/>
      <c r="N1059" s="556"/>
      <c r="O1059" s="556"/>
      <c r="P1059" s="556"/>
      <c r="Q1059" s="556"/>
      <c r="R1059" s="596"/>
      <c r="S1059" s="596"/>
      <c r="T1059" s="556"/>
      <c r="U1059" s="556"/>
      <c r="V1059" s="807"/>
      <c r="W1059" s="556"/>
      <c r="X1059" s="556"/>
      <c r="Y1059" s="556"/>
      <c r="Z1059" s="579"/>
      <c r="AA1059" s="556"/>
      <c r="AB1059" s="556"/>
      <c r="AC1059" s="556"/>
      <c r="AD1059" s="556"/>
    </row>
    <row r="1060" ht="15.75" customHeight="1">
      <c r="A1060" s="556"/>
      <c r="B1060" s="556"/>
      <c r="C1060" s="596"/>
      <c r="D1060" s="556"/>
      <c r="E1060" s="596"/>
      <c r="F1060" s="556"/>
      <c r="G1060" s="556"/>
      <c r="H1060" s="556"/>
      <c r="I1060" s="556"/>
      <c r="J1060" s="556"/>
      <c r="K1060" s="556"/>
      <c r="L1060" s="556"/>
      <c r="M1060" s="556"/>
      <c r="N1060" s="556"/>
      <c r="O1060" s="556"/>
      <c r="P1060" s="556"/>
      <c r="Q1060" s="556"/>
      <c r="R1060" s="596"/>
      <c r="S1060" s="596"/>
      <c r="T1060" s="556"/>
      <c r="U1060" s="556"/>
      <c r="V1060" s="807"/>
      <c r="W1060" s="556"/>
      <c r="X1060" s="556"/>
      <c r="Y1060" s="556"/>
      <c r="Z1060" s="579"/>
      <c r="AA1060" s="556"/>
      <c r="AB1060" s="556"/>
      <c r="AC1060" s="556"/>
      <c r="AD1060" s="556"/>
    </row>
    <row r="1061" ht="15.75" customHeight="1">
      <c r="A1061" s="556"/>
      <c r="B1061" s="556"/>
      <c r="C1061" s="596"/>
      <c r="D1061" s="556"/>
      <c r="E1061" s="596"/>
      <c r="F1061" s="556"/>
      <c r="G1061" s="556"/>
      <c r="H1061" s="556"/>
      <c r="I1061" s="556"/>
      <c r="J1061" s="556"/>
      <c r="K1061" s="556"/>
      <c r="L1061" s="556"/>
      <c r="M1061" s="556"/>
      <c r="N1061" s="556"/>
      <c r="O1061" s="556"/>
      <c r="P1061" s="556"/>
      <c r="Q1061" s="556"/>
      <c r="R1061" s="596"/>
      <c r="S1061" s="596"/>
      <c r="T1061" s="556"/>
      <c r="U1061" s="556"/>
      <c r="V1061" s="807"/>
      <c r="W1061" s="556"/>
      <c r="X1061" s="556"/>
      <c r="Y1061" s="556"/>
      <c r="Z1061" s="579"/>
      <c r="AA1061" s="556"/>
      <c r="AB1061" s="556"/>
      <c r="AC1061" s="556"/>
      <c r="AD1061" s="556"/>
    </row>
    <row r="1062" ht="15.75" customHeight="1">
      <c r="A1062" s="556"/>
      <c r="B1062" s="556"/>
      <c r="C1062" s="596"/>
      <c r="D1062" s="556"/>
      <c r="E1062" s="596"/>
      <c r="F1062" s="556"/>
      <c r="G1062" s="556"/>
      <c r="H1062" s="556"/>
      <c r="I1062" s="556"/>
      <c r="J1062" s="556"/>
      <c r="K1062" s="556"/>
      <c r="L1062" s="556"/>
      <c r="M1062" s="556"/>
      <c r="N1062" s="556"/>
      <c r="O1062" s="556"/>
      <c r="P1062" s="556"/>
      <c r="Q1062" s="556"/>
      <c r="R1062" s="596"/>
      <c r="S1062" s="596"/>
      <c r="T1062" s="556"/>
      <c r="U1062" s="556"/>
      <c r="V1062" s="807"/>
      <c r="W1062" s="556"/>
      <c r="X1062" s="556"/>
      <c r="Y1062" s="556"/>
      <c r="Z1062" s="579"/>
      <c r="AA1062" s="556"/>
      <c r="AB1062" s="556"/>
      <c r="AC1062" s="556"/>
      <c r="AD1062" s="556"/>
    </row>
    <row r="1063" ht="15.75" customHeight="1">
      <c r="A1063" s="556"/>
      <c r="B1063" s="556"/>
      <c r="C1063" s="596"/>
      <c r="D1063" s="556"/>
      <c r="E1063" s="596"/>
      <c r="F1063" s="556"/>
      <c r="G1063" s="556"/>
      <c r="H1063" s="556"/>
      <c r="I1063" s="556"/>
      <c r="J1063" s="556"/>
      <c r="K1063" s="556"/>
      <c r="L1063" s="556"/>
      <c r="M1063" s="556"/>
      <c r="N1063" s="556"/>
      <c r="O1063" s="556"/>
      <c r="P1063" s="556"/>
      <c r="Q1063" s="556"/>
      <c r="R1063" s="596"/>
      <c r="S1063" s="596"/>
      <c r="T1063" s="556"/>
      <c r="U1063" s="556"/>
      <c r="V1063" s="807"/>
      <c r="W1063" s="556"/>
      <c r="X1063" s="556"/>
      <c r="Y1063" s="556"/>
      <c r="Z1063" s="579"/>
      <c r="AA1063" s="556"/>
      <c r="AB1063" s="556"/>
      <c r="AC1063" s="556"/>
      <c r="AD1063" s="556"/>
    </row>
    <row r="1064" ht="15.75" customHeight="1">
      <c r="A1064" s="556"/>
      <c r="B1064" s="556"/>
      <c r="C1064" s="596"/>
      <c r="D1064" s="556"/>
      <c r="E1064" s="596"/>
      <c r="F1064" s="556"/>
      <c r="G1064" s="556"/>
      <c r="H1064" s="556"/>
      <c r="I1064" s="556"/>
      <c r="J1064" s="556"/>
      <c r="K1064" s="556"/>
      <c r="L1064" s="556"/>
      <c r="M1064" s="556"/>
      <c r="N1064" s="556"/>
      <c r="O1064" s="556"/>
      <c r="P1064" s="556"/>
      <c r="Q1064" s="556"/>
      <c r="R1064" s="596"/>
      <c r="S1064" s="596"/>
      <c r="T1064" s="556"/>
      <c r="U1064" s="556"/>
      <c r="V1064" s="807"/>
      <c r="W1064" s="556"/>
      <c r="X1064" s="556"/>
      <c r="Y1064" s="556"/>
      <c r="Z1064" s="579"/>
      <c r="AA1064" s="556"/>
      <c r="AB1064" s="556"/>
      <c r="AC1064" s="556"/>
      <c r="AD1064" s="556"/>
    </row>
    <row r="1065" ht="15.75" customHeight="1">
      <c r="A1065" s="556"/>
      <c r="B1065" s="556"/>
      <c r="C1065" s="596"/>
      <c r="D1065" s="556"/>
      <c r="E1065" s="596"/>
      <c r="F1065" s="556"/>
      <c r="G1065" s="556"/>
      <c r="H1065" s="556"/>
      <c r="I1065" s="556"/>
      <c r="J1065" s="556"/>
      <c r="K1065" s="556"/>
      <c r="L1065" s="556"/>
      <c r="M1065" s="556"/>
      <c r="N1065" s="556"/>
      <c r="O1065" s="556"/>
      <c r="P1065" s="556"/>
      <c r="Q1065" s="556"/>
      <c r="R1065" s="596"/>
      <c r="S1065" s="596"/>
      <c r="T1065" s="556"/>
      <c r="U1065" s="556"/>
      <c r="V1065" s="807"/>
      <c r="W1065" s="556"/>
      <c r="X1065" s="556"/>
      <c r="Y1065" s="556"/>
      <c r="Z1065" s="579"/>
      <c r="AA1065" s="556"/>
      <c r="AB1065" s="556"/>
      <c r="AC1065" s="556"/>
      <c r="AD1065" s="556"/>
    </row>
    <row r="1066" ht="15.75" customHeight="1">
      <c r="A1066" s="556"/>
      <c r="B1066" s="556"/>
      <c r="C1066" s="596"/>
      <c r="D1066" s="556"/>
      <c r="E1066" s="596"/>
      <c r="F1066" s="556"/>
      <c r="G1066" s="556"/>
      <c r="H1066" s="556"/>
      <c r="I1066" s="556"/>
      <c r="J1066" s="556"/>
      <c r="K1066" s="556"/>
      <c r="L1066" s="556"/>
      <c r="M1066" s="556"/>
      <c r="N1066" s="556"/>
      <c r="O1066" s="556"/>
      <c r="P1066" s="556"/>
      <c r="Q1066" s="556"/>
      <c r="R1066" s="596"/>
      <c r="S1066" s="596"/>
      <c r="T1066" s="556"/>
      <c r="U1066" s="556"/>
      <c r="V1066" s="807"/>
      <c r="W1066" s="556"/>
      <c r="X1066" s="556"/>
      <c r="Y1066" s="556"/>
      <c r="Z1066" s="579"/>
      <c r="AA1066" s="556"/>
      <c r="AB1066" s="556"/>
      <c r="AC1066" s="556"/>
      <c r="AD1066" s="556"/>
    </row>
    <row r="1067" ht="15.75" customHeight="1">
      <c r="A1067" s="556"/>
      <c r="B1067" s="556"/>
      <c r="C1067" s="596"/>
      <c r="D1067" s="556"/>
      <c r="E1067" s="596"/>
      <c r="F1067" s="556"/>
      <c r="G1067" s="556"/>
      <c r="H1067" s="556"/>
      <c r="I1067" s="556"/>
      <c r="J1067" s="556"/>
      <c r="K1067" s="556"/>
      <c r="L1067" s="556"/>
      <c r="M1067" s="556"/>
      <c r="N1067" s="556"/>
      <c r="O1067" s="556"/>
      <c r="P1067" s="556"/>
      <c r="Q1067" s="556"/>
      <c r="R1067" s="596"/>
      <c r="S1067" s="596"/>
      <c r="T1067" s="556"/>
      <c r="U1067" s="556"/>
      <c r="V1067" s="807"/>
      <c r="W1067" s="556"/>
      <c r="X1067" s="556"/>
      <c r="Y1067" s="556"/>
      <c r="Z1067" s="579"/>
      <c r="AA1067" s="556"/>
      <c r="AB1067" s="556"/>
      <c r="AC1067" s="556"/>
      <c r="AD1067" s="556"/>
    </row>
    <row r="1068" ht="15.75" customHeight="1">
      <c r="A1068" s="556"/>
      <c r="B1068" s="556"/>
      <c r="C1068" s="596"/>
      <c r="D1068" s="556"/>
      <c r="E1068" s="596"/>
      <c r="F1068" s="556"/>
      <c r="G1068" s="556"/>
      <c r="H1068" s="556"/>
      <c r="I1068" s="556"/>
      <c r="J1068" s="556"/>
      <c r="K1068" s="556"/>
      <c r="L1068" s="556"/>
      <c r="M1068" s="556"/>
      <c r="N1068" s="556"/>
      <c r="O1068" s="556"/>
      <c r="P1068" s="556"/>
      <c r="Q1068" s="556"/>
      <c r="R1068" s="596"/>
      <c r="S1068" s="596"/>
      <c r="T1068" s="556"/>
      <c r="U1068" s="556"/>
      <c r="V1068" s="807"/>
      <c r="W1068" s="556"/>
      <c r="X1068" s="556"/>
      <c r="Y1068" s="556"/>
      <c r="Z1068" s="579"/>
      <c r="AA1068" s="556"/>
      <c r="AB1068" s="556"/>
      <c r="AC1068" s="556"/>
      <c r="AD1068" s="556"/>
    </row>
    <row r="1069" ht="15.75" customHeight="1">
      <c r="A1069" s="556"/>
      <c r="B1069" s="556"/>
      <c r="C1069" s="596"/>
      <c r="D1069" s="556"/>
      <c r="E1069" s="596"/>
      <c r="F1069" s="556"/>
      <c r="G1069" s="556"/>
      <c r="H1069" s="556"/>
      <c r="I1069" s="556"/>
      <c r="J1069" s="556"/>
      <c r="K1069" s="556"/>
      <c r="L1069" s="556"/>
      <c r="M1069" s="556"/>
      <c r="N1069" s="556"/>
      <c r="O1069" s="556"/>
      <c r="P1069" s="556"/>
      <c r="Q1069" s="556"/>
      <c r="R1069" s="596"/>
      <c r="S1069" s="596"/>
      <c r="T1069" s="556"/>
      <c r="U1069" s="556"/>
      <c r="V1069" s="807"/>
      <c r="W1069" s="556"/>
      <c r="X1069" s="556"/>
      <c r="Y1069" s="556"/>
      <c r="Z1069" s="579"/>
      <c r="AA1069" s="556"/>
      <c r="AB1069" s="556"/>
      <c r="AC1069" s="556"/>
      <c r="AD1069" s="556"/>
    </row>
    <row r="1070" ht="15.75" customHeight="1">
      <c r="A1070" s="556"/>
      <c r="B1070" s="556"/>
      <c r="C1070" s="596"/>
      <c r="D1070" s="556"/>
      <c r="E1070" s="596"/>
      <c r="F1070" s="556"/>
      <c r="G1070" s="556"/>
      <c r="H1070" s="556"/>
      <c r="I1070" s="556"/>
      <c r="J1070" s="556"/>
      <c r="K1070" s="556"/>
      <c r="L1070" s="556"/>
      <c r="M1070" s="556"/>
      <c r="N1070" s="556"/>
      <c r="O1070" s="556"/>
      <c r="P1070" s="556"/>
      <c r="Q1070" s="556"/>
      <c r="R1070" s="596"/>
      <c r="S1070" s="596"/>
      <c r="T1070" s="556"/>
      <c r="U1070" s="556"/>
      <c r="V1070" s="807"/>
      <c r="W1070" s="556"/>
      <c r="X1070" s="556"/>
      <c r="Y1070" s="556"/>
      <c r="Z1070" s="579"/>
      <c r="AA1070" s="556"/>
      <c r="AB1070" s="556"/>
      <c r="AC1070" s="556"/>
      <c r="AD1070" s="556"/>
    </row>
    <row r="1071" ht="15.75" customHeight="1">
      <c r="A1071" s="556"/>
      <c r="B1071" s="556"/>
      <c r="C1071" s="596"/>
      <c r="D1071" s="556"/>
      <c r="E1071" s="596"/>
      <c r="F1071" s="556"/>
      <c r="G1071" s="556"/>
      <c r="H1071" s="556"/>
      <c r="I1071" s="556"/>
      <c r="J1071" s="556"/>
      <c r="K1071" s="556"/>
      <c r="L1071" s="556"/>
      <c r="M1071" s="556"/>
      <c r="N1071" s="556"/>
      <c r="O1071" s="556"/>
      <c r="P1071" s="556"/>
      <c r="Q1071" s="556"/>
      <c r="R1071" s="596"/>
      <c r="S1071" s="596"/>
      <c r="T1071" s="556"/>
      <c r="U1071" s="556"/>
      <c r="V1071" s="807"/>
      <c r="W1071" s="556"/>
      <c r="X1071" s="556"/>
      <c r="Y1071" s="556"/>
      <c r="Z1071" s="579"/>
      <c r="AA1071" s="556"/>
      <c r="AB1071" s="556"/>
      <c r="AC1071" s="556"/>
      <c r="AD1071" s="556"/>
    </row>
    <row r="1072" ht="15.75" customHeight="1">
      <c r="A1072" s="556"/>
      <c r="B1072" s="556"/>
      <c r="C1072" s="596"/>
      <c r="D1072" s="556"/>
      <c r="E1072" s="596"/>
      <c r="F1072" s="556"/>
      <c r="G1072" s="556"/>
      <c r="H1072" s="556"/>
      <c r="I1072" s="556"/>
      <c r="J1072" s="556"/>
      <c r="K1072" s="556"/>
      <c r="L1072" s="556"/>
      <c r="M1072" s="556"/>
      <c r="N1072" s="556"/>
      <c r="O1072" s="556"/>
      <c r="P1072" s="556"/>
      <c r="Q1072" s="556"/>
      <c r="R1072" s="596"/>
      <c r="S1072" s="596"/>
      <c r="T1072" s="556"/>
      <c r="U1072" s="556"/>
      <c r="V1072" s="807"/>
      <c r="W1072" s="556"/>
      <c r="X1072" s="556"/>
      <c r="Y1072" s="556"/>
      <c r="Z1072" s="579"/>
      <c r="AA1072" s="556"/>
      <c r="AB1072" s="556"/>
      <c r="AC1072" s="556"/>
      <c r="AD1072" s="556"/>
    </row>
    <row r="1073" ht="15.75" customHeight="1">
      <c r="A1073" s="556"/>
      <c r="B1073" s="556"/>
      <c r="C1073" s="596"/>
      <c r="D1073" s="556"/>
      <c r="E1073" s="596"/>
      <c r="F1073" s="556"/>
      <c r="G1073" s="556"/>
      <c r="H1073" s="556"/>
      <c r="I1073" s="556"/>
      <c r="J1073" s="556"/>
      <c r="K1073" s="556"/>
      <c r="L1073" s="556"/>
      <c r="M1073" s="556"/>
      <c r="N1073" s="556"/>
      <c r="O1073" s="556"/>
      <c r="P1073" s="556"/>
      <c r="Q1073" s="556"/>
      <c r="R1073" s="596"/>
      <c r="S1073" s="596"/>
      <c r="T1073" s="556"/>
      <c r="U1073" s="556"/>
      <c r="V1073" s="807"/>
      <c r="W1073" s="556"/>
      <c r="X1073" s="556"/>
      <c r="Y1073" s="556"/>
      <c r="Z1073" s="579"/>
      <c r="AA1073" s="556"/>
      <c r="AB1073" s="556"/>
      <c r="AC1073" s="556"/>
      <c r="AD1073" s="556"/>
    </row>
    <row r="1074" ht="15.75" customHeight="1">
      <c r="A1074" s="556"/>
      <c r="B1074" s="556"/>
      <c r="C1074" s="596"/>
      <c r="D1074" s="556"/>
      <c r="E1074" s="596"/>
      <c r="F1074" s="556"/>
      <c r="G1074" s="556"/>
      <c r="H1074" s="556"/>
      <c r="I1074" s="556"/>
      <c r="J1074" s="556"/>
      <c r="K1074" s="556"/>
      <c r="L1074" s="556"/>
      <c r="M1074" s="556"/>
      <c r="N1074" s="556"/>
      <c r="O1074" s="556"/>
      <c r="P1074" s="556"/>
      <c r="Q1074" s="556"/>
      <c r="R1074" s="596"/>
      <c r="S1074" s="596"/>
      <c r="T1074" s="556"/>
      <c r="U1074" s="556"/>
      <c r="V1074" s="807"/>
      <c r="W1074" s="556"/>
      <c r="X1074" s="556"/>
      <c r="Y1074" s="556"/>
      <c r="Z1074" s="579"/>
      <c r="AA1074" s="556"/>
      <c r="AB1074" s="556"/>
      <c r="AC1074" s="556"/>
      <c r="AD1074" s="556"/>
    </row>
    <row r="1075" ht="15.75" customHeight="1">
      <c r="A1075" s="556"/>
      <c r="B1075" s="556"/>
      <c r="C1075" s="596"/>
      <c r="D1075" s="556"/>
      <c r="E1075" s="596"/>
      <c r="F1075" s="556"/>
      <c r="G1075" s="556"/>
      <c r="H1075" s="556"/>
      <c r="I1075" s="556"/>
      <c r="J1075" s="556"/>
      <c r="K1075" s="556"/>
      <c r="L1075" s="556"/>
      <c r="M1075" s="556"/>
      <c r="N1075" s="556"/>
      <c r="O1075" s="556"/>
      <c r="P1075" s="556"/>
      <c r="Q1075" s="556"/>
      <c r="R1075" s="596"/>
      <c r="S1075" s="596"/>
      <c r="T1075" s="556"/>
      <c r="U1075" s="556"/>
      <c r="V1075" s="807"/>
      <c r="W1075" s="556"/>
      <c r="X1075" s="556"/>
      <c r="Y1075" s="556"/>
      <c r="Z1075" s="579"/>
      <c r="AA1075" s="556"/>
      <c r="AB1075" s="556"/>
      <c r="AC1075" s="556"/>
      <c r="AD1075" s="556"/>
    </row>
    <row r="1076" ht="15.75" customHeight="1">
      <c r="A1076" s="556"/>
      <c r="B1076" s="556"/>
      <c r="C1076" s="596"/>
      <c r="D1076" s="556"/>
      <c r="E1076" s="596"/>
      <c r="F1076" s="556"/>
      <c r="G1076" s="556"/>
      <c r="H1076" s="556"/>
      <c r="I1076" s="556"/>
      <c r="J1076" s="556"/>
      <c r="K1076" s="556"/>
      <c r="L1076" s="556"/>
      <c r="M1076" s="556"/>
      <c r="N1076" s="556"/>
      <c r="O1076" s="556"/>
      <c r="P1076" s="556"/>
      <c r="Q1076" s="556"/>
      <c r="R1076" s="596"/>
      <c r="S1076" s="596"/>
      <c r="T1076" s="556"/>
      <c r="U1076" s="556"/>
      <c r="V1076" s="807"/>
      <c r="W1076" s="556"/>
      <c r="X1076" s="556"/>
      <c r="Y1076" s="556"/>
      <c r="Z1076" s="579"/>
      <c r="AA1076" s="556"/>
      <c r="AB1076" s="556"/>
      <c r="AC1076" s="556"/>
      <c r="AD1076" s="556"/>
    </row>
    <row r="1077" ht="15.75" customHeight="1">
      <c r="A1077" s="556"/>
      <c r="B1077" s="556"/>
      <c r="C1077" s="596"/>
      <c r="D1077" s="556"/>
      <c r="E1077" s="596"/>
      <c r="F1077" s="556"/>
      <c r="G1077" s="556"/>
      <c r="H1077" s="556"/>
      <c r="I1077" s="556"/>
      <c r="J1077" s="556"/>
      <c r="K1077" s="556"/>
      <c r="L1077" s="556"/>
      <c r="M1077" s="556"/>
      <c r="N1077" s="556"/>
      <c r="O1077" s="556"/>
      <c r="P1077" s="556"/>
      <c r="Q1077" s="556"/>
      <c r="R1077" s="596"/>
      <c r="S1077" s="596"/>
      <c r="T1077" s="556"/>
      <c r="U1077" s="556"/>
      <c r="V1077" s="807"/>
      <c r="W1077" s="556"/>
      <c r="X1077" s="556"/>
      <c r="Y1077" s="556"/>
      <c r="Z1077" s="579"/>
      <c r="AA1077" s="556"/>
      <c r="AB1077" s="556"/>
      <c r="AC1077" s="556"/>
      <c r="AD1077" s="556"/>
    </row>
    <row r="1078" ht="15.75" customHeight="1">
      <c r="A1078" s="556"/>
      <c r="B1078" s="556"/>
      <c r="C1078" s="596"/>
      <c r="D1078" s="556"/>
      <c r="E1078" s="596"/>
      <c r="F1078" s="556"/>
      <c r="G1078" s="556"/>
      <c r="H1078" s="556"/>
      <c r="I1078" s="556"/>
      <c r="J1078" s="556"/>
      <c r="K1078" s="556"/>
      <c r="L1078" s="556"/>
      <c r="M1078" s="556"/>
      <c r="N1078" s="556"/>
      <c r="O1078" s="556"/>
      <c r="P1078" s="556"/>
      <c r="Q1078" s="556"/>
      <c r="R1078" s="596"/>
      <c r="S1078" s="596"/>
      <c r="T1078" s="556"/>
      <c r="U1078" s="556"/>
      <c r="V1078" s="807"/>
      <c r="W1078" s="556"/>
      <c r="X1078" s="556"/>
      <c r="Y1078" s="556"/>
      <c r="Z1078" s="579"/>
      <c r="AA1078" s="556"/>
      <c r="AB1078" s="556"/>
      <c r="AC1078" s="556"/>
      <c r="AD1078" s="556"/>
    </row>
    <row r="1079" ht="15.75" customHeight="1">
      <c r="A1079" s="556"/>
      <c r="B1079" s="556"/>
      <c r="C1079" s="596"/>
      <c r="D1079" s="556"/>
      <c r="E1079" s="596"/>
      <c r="F1079" s="556"/>
      <c r="G1079" s="556"/>
      <c r="H1079" s="556"/>
      <c r="I1079" s="556"/>
      <c r="J1079" s="556"/>
      <c r="K1079" s="556"/>
      <c r="L1079" s="556"/>
      <c r="M1079" s="556"/>
      <c r="N1079" s="556"/>
      <c r="O1079" s="556"/>
      <c r="P1079" s="556"/>
      <c r="Q1079" s="556"/>
      <c r="R1079" s="596"/>
      <c r="S1079" s="596"/>
      <c r="T1079" s="556"/>
      <c r="U1079" s="556"/>
      <c r="V1079" s="807"/>
      <c r="W1079" s="556"/>
      <c r="X1079" s="556"/>
      <c r="Y1079" s="556"/>
      <c r="Z1079" s="579"/>
      <c r="AA1079" s="556"/>
      <c r="AB1079" s="556"/>
      <c r="AC1079" s="556"/>
      <c r="AD1079" s="556"/>
    </row>
    <row r="1080" ht="15.75" customHeight="1">
      <c r="A1080" s="556"/>
      <c r="B1080" s="556"/>
      <c r="C1080" s="596"/>
      <c r="D1080" s="556"/>
      <c r="E1080" s="596"/>
      <c r="F1080" s="556"/>
      <c r="G1080" s="556"/>
      <c r="H1080" s="556"/>
      <c r="I1080" s="556"/>
      <c r="J1080" s="556"/>
      <c r="K1080" s="556"/>
      <c r="L1080" s="556"/>
      <c r="M1080" s="556"/>
      <c r="N1080" s="556"/>
      <c r="O1080" s="556"/>
      <c r="P1080" s="556"/>
      <c r="Q1080" s="556"/>
      <c r="R1080" s="596"/>
      <c r="S1080" s="596"/>
      <c r="T1080" s="556"/>
      <c r="U1080" s="556"/>
      <c r="V1080" s="807"/>
      <c r="W1080" s="556"/>
      <c r="X1080" s="556"/>
      <c r="Y1080" s="556"/>
      <c r="Z1080" s="579"/>
      <c r="AA1080" s="556"/>
      <c r="AB1080" s="556"/>
      <c r="AC1080" s="556"/>
      <c r="AD1080" s="556"/>
    </row>
    <row r="1081" ht="15.75" customHeight="1">
      <c r="A1081" s="556"/>
      <c r="B1081" s="556"/>
      <c r="C1081" s="596"/>
      <c r="D1081" s="556"/>
      <c r="E1081" s="596"/>
      <c r="F1081" s="556"/>
      <c r="G1081" s="556"/>
      <c r="H1081" s="556"/>
      <c r="I1081" s="556"/>
      <c r="J1081" s="556"/>
      <c r="K1081" s="556"/>
      <c r="L1081" s="556"/>
      <c r="M1081" s="556"/>
      <c r="N1081" s="556"/>
      <c r="O1081" s="556"/>
      <c r="P1081" s="556"/>
      <c r="Q1081" s="556"/>
      <c r="R1081" s="596"/>
      <c r="S1081" s="596"/>
      <c r="T1081" s="556"/>
      <c r="U1081" s="556"/>
      <c r="V1081" s="807"/>
      <c r="W1081" s="556"/>
      <c r="X1081" s="556"/>
      <c r="Y1081" s="556"/>
      <c r="Z1081" s="579"/>
      <c r="AA1081" s="556"/>
      <c r="AB1081" s="556"/>
      <c r="AC1081" s="556"/>
      <c r="AD1081" s="556"/>
    </row>
    <row r="1082" ht="15.75" customHeight="1">
      <c r="A1082" s="556"/>
      <c r="B1082" s="556"/>
      <c r="C1082" s="596"/>
      <c r="D1082" s="556"/>
      <c r="E1082" s="596"/>
      <c r="F1082" s="556"/>
      <c r="G1082" s="556"/>
      <c r="H1082" s="556"/>
      <c r="I1082" s="556"/>
      <c r="J1082" s="556"/>
      <c r="K1082" s="556"/>
      <c r="L1082" s="556"/>
      <c r="M1082" s="556"/>
      <c r="N1082" s="556"/>
      <c r="O1082" s="556"/>
      <c r="P1082" s="556"/>
      <c r="Q1082" s="556"/>
      <c r="R1082" s="596"/>
      <c r="S1082" s="596"/>
      <c r="T1082" s="556"/>
      <c r="U1082" s="556"/>
      <c r="V1082" s="807"/>
      <c r="W1082" s="556"/>
      <c r="X1082" s="556"/>
      <c r="Y1082" s="556"/>
      <c r="Z1082" s="579"/>
      <c r="AA1082" s="556"/>
      <c r="AB1082" s="556"/>
      <c r="AC1082" s="556"/>
      <c r="AD1082" s="556"/>
    </row>
    <row r="1083" ht="15.75" customHeight="1">
      <c r="A1083" s="556"/>
      <c r="B1083" s="556"/>
      <c r="C1083" s="596"/>
      <c r="D1083" s="556"/>
      <c r="E1083" s="596"/>
      <c r="F1083" s="556"/>
      <c r="G1083" s="556"/>
      <c r="H1083" s="556"/>
      <c r="I1083" s="556"/>
      <c r="J1083" s="556"/>
      <c r="K1083" s="556"/>
      <c r="L1083" s="556"/>
      <c r="M1083" s="556"/>
      <c r="N1083" s="556"/>
      <c r="O1083" s="556"/>
      <c r="P1083" s="556"/>
      <c r="Q1083" s="556"/>
      <c r="R1083" s="596"/>
      <c r="S1083" s="596"/>
      <c r="T1083" s="556"/>
      <c r="U1083" s="556"/>
      <c r="V1083" s="807"/>
      <c r="W1083" s="556"/>
      <c r="X1083" s="556"/>
      <c r="Y1083" s="556"/>
      <c r="Z1083" s="579"/>
      <c r="AA1083" s="556"/>
      <c r="AB1083" s="556"/>
      <c r="AC1083" s="556"/>
      <c r="AD1083" s="556"/>
    </row>
    <row r="1084" ht="15.75" customHeight="1">
      <c r="A1084" s="556"/>
      <c r="B1084" s="556"/>
      <c r="C1084" s="596"/>
      <c r="D1084" s="556"/>
      <c r="E1084" s="596"/>
      <c r="F1084" s="556"/>
      <c r="G1084" s="556"/>
      <c r="H1084" s="556"/>
      <c r="I1084" s="556"/>
      <c r="J1084" s="556"/>
      <c r="K1084" s="556"/>
      <c r="L1084" s="556"/>
      <c r="M1084" s="556"/>
      <c r="N1084" s="556"/>
      <c r="O1084" s="556"/>
      <c r="P1084" s="556"/>
      <c r="Q1084" s="556"/>
      <c r="R1084" s="596"/>
      <c r="S1084" s="596"/>
      <c r="T1084" s="556"/>
      <c r="U1084" s="556"/>
      <c r="V1084" s="807"/>
      <c r="W1084" s="556"/>
      <c r="X1084" s="556"/>
      <c r="Y1084" s="556"/>
      <c r="Z1084" s="579"/>
      <c r="AA1084" s="556"/>
      <c r="AB1084" s="556"/>
      <c r="AC1084" s="556"/>
      <c r="AD1084" s="556"/>
    </row>
    <row r="1085" ht="15.75" customHeight="1">
      <c r="A1085" s="556"/>
      <c r="B1085" s="556"/>
      <c r="C1085" s="596"/>
      <c r="D1085" s="556"/>
      <c r="E1085" s="596"/>
      <c r="F1085" s="556"/>
      <c r="G1085" s="556"/>
      <c r="H1085" s="556"/>
      <c r="I1085" s="556"/>
      <c r="J1085" s="556"/>
      <c r="K1085" s="556"/>
      <c r="L1085" s="556"/>
      <c r="M1085" s="556"/>
      <c r="N1085" s="556"/>
      <c r="O1085" s="556"/>
      <c r="P1085" s="556"/>
      <c r="Q1085" s="556"/>
      <c r="R1085" s="596"/>
      <c r="S1085" s="596"/>
      <c r="T1085" s="556"/>
      <c r="U1085" s="556"/>
      <c r="V1085" s="807"/>
      <c r="W1085" s="556"/>
      <c r="X1085" s="556"/>
      <c r="Y1085" s="556"/>
      <c r="Z1085" s="579"/>
      <c r="AA1085" s="556"/>
      <c r="AB1085" s="556"/>
      <c r="AC1085" s="556"/>
      <c r="AD1085" s="556"/>
    </row>
    <row r="1086" ht="15.75" customHeight="1">
      <c r="A1086" s="556"/>
      <c r="B1086" s="556"/>
      <c r="C1086" s="596"/>
      <c r="D1086" s="556"/>
      <c r="E1086" s="596"/>
      <c r="F1086" s="556"/>
      <c r="G1086" s="556"/>
      <c r="H1086" s="556"/>
      <c r="I1086" s="556"/>
      <c r="J1086" s="556"/>
      <c r="K1086" s="556"/>
      <c r="L1086" s="556"/>
      <c r="M1086" s="556"/>
      <c r="N1086" s="556"/>
      <c r="O1086" s="556"/>
      <c r="P1086" s="556"/>
      <c r="Q1086" s="556"/>
      <c r="R1086" s="596"/>
      <c r="S1086" s="596"/>
      <c r="T1086" s="556"/>
      <c r="U1086" s="556"/>
      <c r="V1086" s="807"/>
      <c r="W1086" s="556"/>
      <c r="X1086" s="556"/>
      <c r="Y1086" s="556"/>
      <c r="Z1086" s="579"/>
      <c r="AA1086" s="556"/>
      <c r="AB1086" s="556"/>
      <c r="AC1086" s="556"/>
      <c r="AD1086" s="556"/>
    </row>
    <row r="1087" ht="15.75" customHeight="1">
      <c r="A1087" s="556"/>
      <c r="B1087" s="556"/>
      <c r="C1087" s="596"/>
      <c r="D1087" s="556"/>
      <c r="E1087" s="596"/>
      <c r="F1087" s="556"/>
      <c r="G1087" s="556"/>
      <c r="H1087" s="556"/>
      <c r="I1087" s="556"/>
      <c r="J1087" s="556"/>
      <c r="K1087" s="556"/>
      <c r="L1087" s="556"/>
      <c r="M1087" s="556"/>
      <c r="N1087" s="556"/>
      <c r="O1087" s="556"/>
      <c r="P1087" s="556"/>
      <c r="Q1087" s="556"/>
      <c r="R1087" s="596"/>
      <c r="S1087" s="596"/>
      <c r="T1087" s="556"/>
      <c r="U1087" s="556"/>
      <c r="V1087" s="807"/>
      <c r="W1087" s="556"/>
      <c r="X1087" s="556"/>
      <c r="Y1087" s="556"/>
      <c r="Z1087" s="579"/>
      <c r="AA1087" s="556"/>
      <c r="AB1087" s="556"/>
      <c r="AC1087" s="556"/>
      <c r="AD1087" s="556"/>
    </row>
    <row r="1088" ht="15.75" customHeight="1">
      <c r="A1088" s="556"/>
      <c r="B1088" s="556"/>
      <c r="C1088" s="596"/>
      <c r="D1088" s="556"/>
      <c r="E1088" s="596"/>
      <c r="F1088" s="556"/>
      <c r="G1088" s="556"/>
      <c r="H1088" s="556"/>
      <c r="I1088" s="556"/>
      <c r="J1088" s="556"/>
      <c r="K1088" s="556"/>
      <c r="L1088" s="556"/>
      <c r="M1088" s="556"/>
      <c r="N1088" s="556"/>
      <c r="O1088" s="556"/>
      <c r="P1088" s="556"/>
      <c r="Q1088" s="556"/>
      <c r="R1088" s="596"/>
      <c r="S1088" s="596"/>
      <c r="T1088" s="556"/>
      <c r="U1088" s="556"/>
      <c r="V1088" s="807"/>
      <c r="W1088" s="556"/>
      <c r="X1088" s="556"/>
      <c r="Y1088" s="556"/>
      <c r="Z1088" s="579"/>
      <c r="AA1088" s="556"/>
      <c r="AB1088" s="556"/>
      <c r="AC1088" s="556"/>
      <c r="AD1088" s="556"/>
    </row>
    <row r="1089" ht="15.75" customHeight="1">
      <c r="A1089" s="556"/>
      <c r="B1089" s="556"/>
      <c r="C1089" s="596"/>
      <c r="D1089" s="556"/>
      <c r="E1089" s="596"/>
      <c r="F1089" s="556"/>
      <c r="G1089" s="556"/>
      <c r="H1089" s="556"/>
      <c r="I1089" s="556"/>
      <c r="J1089" s="556"/>
      <c r="K1089" s="556"/>
      <c r="L1089" s="556"/>
      <c r="M1089" s="556"/>
      <c r="N1089" s="556"/>
      <c r="O1089" s="556"/>
      <c r="P1089" s="556"/>
      <c r="Q1089" s="556"/>
      <c r="R1089" s="596"/>
      <c r="S1089" s="596"/>
      <c r="T1089" s="556"/>
      <c r="U1089" s="556"/>
      <c r="V1089" s="807"/>
      <c r="W1089" s="556"/>
      <c r="X1089" s="556"/>
      <c r="Y1089" s="556"/>
      <c r="Z1089" s="579"/>
      <c r="AA1089" s="556"/>
      <c r="AB1089" s="556"/>
      <c r="AC1089" s="556"/>
      <c r="AD1089" s="556"/>
    </row>
    <row r="1090" ht="15.75" customHeight="1">
      <c r="A1090" s="556"/>
      <c r="B1090" s="556"/>
      <c r="C1090" s="596"/>
      <c r="D1090" s="556"/>
      <c r="E1090" s="596"/>
      <c r="F1090" s="556"/>
      <c r="G1090" s="556"/>
      <c r="H1090" s="556"/>
      <c r="I1090" s="556"/>
      <c r="J1090" s="556"/>
      <c r="K1090" s="556"/>
      <c r="L1090" s="556"/>
      <c r="M1090" s="556"/>
      <c r="N1090" s="556"/>
      <c r="O1090" s="556"/>
      <c r="P1090" s="556"/>
      <c r="Q1090" s="556"/>
      <c r="R1090" s="596"/>
      <c r="S1090" s="596"/>
      <c r="T1090" s="556"/>
      <c r="U1090" s="556"/>
      <c r="V1090" s="807"/>
      <c r="W1090" s="556"/>
      <c r="X1090" s="556"/>
      <c r="Y1090" s="556"/>
      <c r="Z1090" s="579"/>
      <c r="AA1090" s="556"/>
      <c r="AB1090" s="556"/>
      <c r="AC1090" s="556"/>
      <c r="AD1090" s="556"/>
    </row>
    <row r="1091" ht="15.75" customHeight="1">
      <c r="A1091" s="556"/>
      <c r="B1091" s="556"/>
      <c r="C1091" s="596"/>
      <c r="D1091" s="556"/>
      <c r="E1091" s="596"/>
      <c r="F1091" s="556"/>
      <c r="G1091" s="556"/>
      <c r="H1091" s="556"/>
      <c r="I1091" s="556"/>
      <c r="J1091" s="556"/>
      <c r="K1091" s="556"/>
      <c r="L1091" s="556"/>
      <c r="M1091" s="556"/>
      <c r="N1091" s="556"/>
      <c r="O1091" s="556"/>
      <c r="P1091" s="556"/>
      <c r="Q1091" s="556"/>
      <c r="R1091" s="596"/>
      <c r="S1091" s="596"/>
      <c r="T1091" s="556"/>
      <c r="U1091" s="556"/>
      <c r="V1091" s="807"/>
      <c r="W1091" s="556"/>
      <c r="X1091" s="556"/>
      <c r="Y1091" s="556"/>
      <c r="Z1091" s="579"/>
      <c r="AA1091" s="556"/>
      <c r="AB1091" s="556"/>
      <c r="AC1091" s="556"/>
      <c r="AD1091" s="556"/>
    </row>
    <row r="1092" ht="15.75" customHeight="1">
      <c r="A1092" s="556"/>
      <c r="B1092" s="556"/>
      <c r="C1092" s="596"/>
      <c r="D1092" s="556"/>
      <c r="E1092" s="596"/>
      <c r="F1092" s="556"/>
      <c r="G1092" s="556"/>
      <c r="H1092" s="556"/>
      <c r="I1092" s="556"/>
      <c r="J1092" s="556"/>
      <c r="K1092" s="556"/>
      <c r="L1092" s="556"/>
      <c r="M1092" s="556"/>
      <c r="N1092" s="556"/>
      <c r="O1092" s="556"/>
      <c r="P1092" s="556"/>
      <c r="Q1092" s="556"/>
      <c r="R1092" s="596"/>
      <c r="S1092" s="596"/>
      <c r="T1092" s="556"/>
      <c r="U1092" s="556"/>
      <c r="V1092" s="807"/>
      <c r="W1092" s="556"/>
      <c r="X1092" s="556"/>
      <c r="Y1092" s="556"/>
      <c r="Z1092" s="579"/>
      <c r="AA1092" s="556"/>
      <c r="AB1092" s="556"/>
      <c r="AC1092" s="556"/>
      <c r="AD1092" s="556"/>
    </row>
    <row r="1093" ht="15.75" customHeight="1">
      <c r="A1093" s="556"/>
      <c r="B1093" s="556"/>
      <c r="C1093" s="596"/>
      <c r="D1093" s="556"/>
      <c r="E1093" s="596"/>
      <c r="F1093" s="556"/>
      <c r="G1093" s="556"/>
      <c r="H1093" s="556"/>
      <c r="I1093" s="556"/>
      <c r="J1093" s="556"/>
      <c r="K1093" s="556"/>
      <c r="L1093" s="556"/>
      <c r="M1093" s="556"/>
      <c r="N1093" s="556"/>
      <c r="O1093" s="556"/>
      <c r="P1093" s="556"/>
      <c r="Q1093" s="556"/>
      <c r="R1093" s="596"/>
      <c r="S1093" s="596"/>
      <c r="T1093" s="556"/>
      <c r="U1093" s="556"/>
      <c r="V1093" s="807"/>
      <c r="W1093" s="556"/>
      <c r="X1093" s="556"/>
      <c r="Y1093" s="556"/>
      <c r="Z1093" s="579"/>
      <c r="AA1093" s="556"/>
      <c r="AB1093" s="556"/>
      <c r="AC1093" s="556"/>
      <c r="AD1093" s="556"/>
    </row>
    <row r="1094" ht="15.75" customHeight="1">
      <c r="A1094" s="556"/>
      <c r="B1094" s="556"/>
      <c r="C1094" s="596"/>
      <c r="D1094" s="556"/>
      <c r="E1094" s="596"/>
      <c r="F1094" s="556"/>
      <c r="G1094" s="556"/>
      <c r="H1094" s="556"/>
      <c r="I1094" s="556"/>
      <c r="J1094" s="556"/>
      <c r="K1094" s="556"/>
      <c r="L1094" s="556"/>
      <c r="M1094" s="556"/>
      <c r="N1094" s="556"/>
      <c r="O1094" s="556"/>
      <c r="P1094" s="556"/>
      <c r="Q1094" s="556"/>
      <c r="R1094" s="596"/>
      <c r="S1094" s="596"/>
      <c r="T1094" s="556"/>
      <c r="U1094" s="556"/>
      <c r="V1094" s="807"/>
      <c r="W1094" s="556"/>
      <c r="X1094" s="556"/>
      <c r="Y1094" s="556"/>
      <c r="Z1094" s="579"/>
      <c r="AA1094" s="556"/>
      <c r="AB1094" s="556"/>
      <c r="AC1094" s="556"/>
      <c r="AD1094" s="556"/>
    </row>
    <row r="1095" ht="15.75" customHeight="1">
      <c r="A1095" s="556"/>
      <c r="B1095" s="556"/>
      <c r="C1095" s="596"/>
      <c r="D1095" s="556"/>
      <c r="E1095" s="596"/>
      <c r="F1095" s="556"/>
      <c r="G1095" s="556"/>
      <c r="H1095" s="556"/>
      <c r="I1095" s="556"/>
      <c r="J1095" s="556"/>
      <c r="K1095" s="556"/>
      <c r="L1095" s="556"/>
      <c r="M1095" s="556"/>
      <c r="N1095" s="556"/>
      <c r="O1095" s="556"/>
      <c r="P1095" s="556"/>
      <c r="Q1095" s="556"/>
      <c r="R1095" s="596"/>
      <c r="S1095" s="596"/>
      <c r="T1095" s="556"/>
      <c r="U1095" s="556"/>
      <c r="V1095" s="807"/>
      <c r="W1095" s="556"/>
      <c r="X1095" s="556"/>
      <c r="Y1095" s="556"/>
      <c r="Z1095" s="579"/>
      <c r="AA1095" s="556"/>
      <c r="AB1095" s="556"/>
      <c r="AC1095" s="556"/>
      <c r="AD1095" s="556"/>
    </row>
    <row r="1096" ht="15.75" customHeight="1">
      <c r="A1096" s="556"/>
      <c r="B1096" s="556"/>
      <c r="C1096" s="596"/>
      <c r="D1096" s="556"/>
      <c r="E1096" s="596"/>
      <c r="F1096" s="556"/>
      <c r="G1096" s="556"/>
      <c r="H1096" s="556"/>
      <c r="I1096" s="556"/>
      <c r="J1096" s="556"/>
      <c r="K1096" s="556"/>
      <c r="L1096" s="556"/>
      <c r="M1096" s="556"/>
      <c r="N1096" s="556"/>
      <c r="O1096" s="556"/>
      <c r="P1096" s="556"/>
      <c r="Q1096" s="556"/>
      <c r="R1096" s="596"/>
      <c r="S1096" s="596"/>
      <c r="T1096" s="556"/>
      <c r="U1096" s="556"/>
      <c r="V1096" s="807"/>
      <c r="W1096" s="556"/>
      <c r="X1096" s="556"/>
      <c r="Y1096" s="556"/>
      <c r="Z1096" s="579"/>
      <c r="AA1096" s="556"/>
      <c r="AB1096" s="556"/>
      <c r="AC1096" s="556"/>
      <c r="AD1096" s="556"/>
    </row>
    <row r="1097" ht="15.75" customHeight="1">
      <c r="A1097" s="556"/>
      <c r="B1097" s="556"/>
      <c r="C1097" s="596"/>
      <c r="D1097" s="556"/>
      <c r="E1097" s="596"/>
      <c r="F1097" s="556"/>
      <c r="G1097" s="556"/>
      <c r="H1097" s="556"/>
      <c r="I1097" s="556"/>
      <c r="J1097" s="556"/>
      <c r="K1097" s="556"/>
      <c r="L1097" s="556"/>
      <c r="M1097" s="556"/>
      <c r="N1097" s="556"/>
      <c r="O1097" s="556"/>
      <c r="P1097" s="556"/>
      <c r="Q1097" s="556"/>
      <c r="R1097" s="596"/>
      <c r="S1097" s="596"/>
      <c r="T1097" s="556"/>
      <c r="U1097" s="556"/>
      <c r="V1097" s="807"/>
      <c r="W1097" s="556"/>
      <c r="X1097" s="556"/>
      <c r="Y1097" s="556"/>
      <c r="Z1097" s="579"/>
      <c r="AA1097" s="556"/>
      <c r="AB1097" s="556"/>
      <c r="AC1097" s="556"/>
      <c r="AD1097" s="556"/>
    </row>
    <row r="1098" ht="15.75" customHeight="1">
      <c r="A1098" s="556"/>
      <c r="B1098" s="556"/>
      <c r="C1098" s="596"/>
      <c r="D1098" s="556"/>
      <c r="E1098" s="596"/>
      <c r="F1098" s="556"/>
      <c r="G1098" s="556"/>
      <c r="H1098" s="556"/>
      <c r="I1098" s="556"/>
      <c r="J1098" s="556"/>
      <c r="K1098" s="556"/>
      <c r="L1098" s="556"/>
      <c r="M1098" s="556"/>
      <c r="N1098" s="556"/>
      <c r="O1098" s="556"/>
      <c r="P1098" s="556"/>
      <c r="Q1098" s="556"/>
      <c r="R1098" s="596"/>
      <c r="S1098" s="596"/>
      <c r="T1098" s="556"/>
      <c r="U1098" s="556"/>
      <c r="V1098" s="807"/>
      <c r="W1098" s="556"/>
      <c r="X1098" s="556"/>
      <c r="Y1098" s="556"/>
      <c r="Z1098" s="579"/>
      <c r="AA1098" s="556"/>
      <c r="AB1098" s="556"/>
      <c r="AC1098" s="556"/>
      <c r="AD1098" s="556"/>
    </row>
    <row r="1099" ht="15.75" customHeight="1">
      <c r="A1099" s="556"/>
      <c r="B1099" s="556"/>
      <c r="C1099" s="596"/>
      <c r="D1099" s="556"/>
      <c r="E1099" s="596"/>
      <c r="F1099" s="556"/>
      <c r="G1099" s="556"/>
      <c r="H1099" s="556"/>
      <c r="I1099" s="556"/>
      <c r="J1099" s="556"/>
      <c r="K1099" s="556"/>
      <c r="L1099" s="556"/>
      <c r="M1099" s="556"/>
      <c r="N1099" s="556"/>
      <c r="O1099" s="556"/>
      <c r="P1099" s="556"/>
      <c r="Q1099" s="556"/>
      <c r="R1099" s="596"/>
      <c r="S1099" s="596"/>
      <c r="T1099" s="556"/>
      <c r="U1099" s="556"/>
      <c r="V1099" s="807"/>
      <c r="W1099" s="556"/>
      <c r="X1099" s="556"/>
      <c r="Y1099" s="556"/>
      <c r="Z1099" s="579"/>
      <c r="AA1099" s="556"/>
      <c r="AB1099" s="556"/>
      <c r="AC1099" s="556"/>
      <c r="AD1099" s="556"/>
    </row>
    <row r="1100" ht="15.75" customHeight="1">
      <c r="A1100" s="556"/>
      <c r="B1100" s="556"/>
      <c r="C1100" s="596"/>
      <c r="D1100" s="556"/>
      <c r="E1100" s="596"/>
      <c r="F1100" s="556"/>
      <c r="G1100" s="556"/>
      <c r="H1100" s="556"/>
      <c r="I1100" s="556"/>
      <c r="J1100" s="556"/>
      <c r="K1100" s="556"/>
      <c r="L1100" s="556"/>
      <c r="M1100" s="556"/>
      <c r="N1100" s="556"/>
      <c r="O1100" s="556"/>
      <c r="P1100" s="556"/>
      <c r="Q1100" s="556"/>
      <c r="R1100" s="596"/>
      <c r="S1100" s="596"/>
      <c r="T1100" s="556"/>
      <c r="U1100" s="556"/>
      <c r="V1100" s="807"/>
      <c r="W1100" s="556"/>
      <c r="X1100" s="556"/>
      <c r="Y1100" s="556"/>
      <c r="Z1100" s="579"/>
      <c r="AA1100" s="556"/>
      <c r="AB1100" s="556"/>
      <c r="AC1100" s="556"/>
      <c r="AD1100" s="556"/>
    </row>
    <row r="1101" ht="15.75" customHeight="1">
      <c r="A1101" s="556"/>
      <c r="B1101" s="556"/>
      <c r="C1101" s="596"/>
      <c r="D1101" s="556"/>
      <c r="E1101" s="596"/>
      <c r="F1101" s="556"/>
      <c r="G1101" s="556"/>
      <c r="H1101" s="556"/>
      <c r="I1101" s="556"/>
      <c r="J1101" s="556"/>
      <c r="K1101" s="556"/>
      <c r="L1101" s="556"/>
      <c r="M1101" s="556"/>
      <c r="N1101" s="556"/>
      <c r="O1101" s="556"/>
      <c r="P1101" s="556"/>
      <c r="Q1101" s="556"/>
      <c r="R1101" s="596"/>
      <c r="S1101" s="596"/>
      <c r="T1101" s="556"/>
      <c r="U1101" s="556"/>
      <c r="V1101" s="807"/>
      <c r="W1101" s="556"/>
      <c r="X1101" s="556"/>
      <c r="Y1101" s="556"/>
      <c r="Z1101" s="579"/>
      <c r="AA1101" s="556"/>
      <c r="AB1101" s="556"/>
      <c r="AC1101" s="556"/>
      <c r="AD1101" s="556"/>
    </row>
    <row r="1102" ht="15.75" customHeight="1">
      <c r="A1102" s="556"/>
      <c r="B1102" s="556"/>
      <c r="C1102" s="596"/>
      <c r="D1102" s="556"/>
      <c r="E1102" s="596"/>
      <c r="F1102" s="556"/>
      <c r="G1102" s="556"/>
      <c r="H1102" s="556"/>
      <c r="I1102" s="556"/>
      <c r="J1102" s="556"/>
      <c r="K1102" s="556"/>
      <c r="L1102" s="556"/>
      <c r="M1102" s="556"/>
      <c r="N1102" s="556"/>
      <c r="O1102" s="556"/>
      <c r="P1102" s="556"/>
      <c r="Q1102" s="556"/>
      <c r="R1102" s="596"/>
      <c r="S1102" s="596"/>
      <c r="T1102" s="556"/>
      <c r="U1102" s="556"/>
      <c r="V1102" s="807"/>
      <c r="W1102" s="556"/>
      <c r="X1102" s="556"/>
      <c r="Y1102" s="556"/>
      <c r="Z1102" s="579"/>
      <c r="AA1102" s="556"/>
      <c r="AB1102" s="556"/>
      <c r="AC1102" s="556"/>
      <c r="AD1102" s="556"/>
    </row>
    <row r="1103" ht="15.75" customHeight="1">
      <c r="A1103" s="556"/>
      <c r="B1103" s="556"/>
      <c r="C1103" s="596"/>
      <c r="D1103" s="556"/>
      <c r="E1103" s="596"/>
      <c r="F1103" s="556"/>
      <c r="G1103" s="556"/>
      <c r="H1103" s="556"/>
      <c r="I1103" s="556"/>
      <c r="J1103" s="556"/>
      <c r="K1103" s="556"/>
      <c r="L1103" s="556"/>
      <c r="M1103" s="556"/>
      <c r="N1103" s="556"/>
      <c r="O1103" s="556"/>
      <c r="P1103" s="556"/>
      <c r="Q1103" s="556"/>
      <c r="R1103" s="596"/>
      <c r="S1103" s="596"/>
      <c r="T1103" s="556"/>
      <c r="U1103" s="556"/>
      <c r="V1103" s="807"/>
      <c r="W1103" s="556"/>
      <c r="X1103" s="556"/>
      <c r="Y1103" s="556"/>
      <c r="Z1103" s="579"/>
      <c r="AA1103" s="556"/>
      <c r="AB1103" s="556"/>
      <c r="AC1103" s="556"/>
      <c r="AD1103" s="556"/>
    </row>
    <row r="1104" ht="15.75" customHeight="1">
      <c r="A1104" s="556"/>
      <c r="B1104" s="556"/>
      <c r="C1104" s="596"/>
      <c r="D1104" s="556"/>
      <c r="E1104" s="596"/>
      <c r="F1104" s="556"/>
      <c r="G1104" s="556"/>
      <c r="H1104" s="556"/>
      <c r="I1104" s="556"/>
      <c r="J1104" s="556"/>
      <c r="K1104" s="556"/>
      <c r="L1104" s="556"/>
      <c r="M1104" s="556"/>
      <c r="N1104" s="556"/>
      <c r="O1104" s="556"/>
      <c r="P1104" s="556"/>
      <c r="Q1104" s="556"/>
      <c r="R1104" s="596"/>
      <c r="S1104" s="596"/>
      <c r="T1104" s="556"/>
      <c r="U1104" s="556"/>
      <c r="V1104" s="807"/>
      <c r="W1104" s="556"/>
      <c r="X1104" s="556"/>
      <c r="Y1104" s="556"/>
      <c r="Z1104" s="579"/>
      <c r="AA1104" s="556"/>
      <c r="AB1104" s="556"/>
      <c r="AC1104" s="556"/>
      <c r="AD1104" s="556"/>
    </row>
    <row r="1105" ht="15.75" customHeight="1">
      <c r="A1105" s="556"/>
      <c r="B1105" s="556"/>
      <c r="C1105" s="596"/>
      <c r="D1105" s="556"/>
      <c r="E1105" s="596"/>
      <c r="F1105" s="556"/>
      <c r="G1105" s="556"/>
      <c r="H1105" s="556"/>
      <c r="I1105" s="556"/>
      <c r="J1105" s="556"/>
      <c r="K1105" s="556"/>
      <c r="L1105" s="556"/>
      <c r="M1105" s="556"/>
      <c r="N1105" s="556"/>
      <c r="O1105" s="556"/>
      <c r="P1105" s="556"/>
      <c r="Q1105" s="556"/>
      <c r="R1105" s="596"/>
      <c r="S1105" s="596"/>
      <c r="T1105" s="556"/>
      <c r="U1105" s="556"/>
      <c r="V1105" s="807"/>
      <c r="W1105" s="556"/>
      <c r="X1105" s="556"/>
      <c r="Y1105" s="556"/>
      <c r="Z1105" s="579"/>
      <c r="AA1105" s="556"/>
      <c r="AB1105" s="556"/>
      <c r="AC1105" s="556"/>
      <c r="AD1105" s="556"/>
    </row>
    <row r="1106" ht="15.75" customHeight="1">
      <c r="A1106" s="556"/>
      <c r="B1106" s="556"/>
      <c r="C1106" s="596"/>
      <c r="D1106" s="556"/>
      <c r="E1106" s="596"/>
      <c r="F1106" s="556"/>
      <c r="G1106" s="556"/>
      <c r="H1106" s="556"/>
      <c r="I1106" s="556"/>
      <c r="J1106" s="556"/>
      <c r="K1106" s="556"/>
      <c r="L1106" s="556"/>
      <c r="M1106" s="556"/>
      <c r="N1106" s="556"/>
      <c r="O1106" s="556"/>
      <c r="P1106" s="556"/>
      <c r="Q1106" s="556"/>
      <c r="R1106" s="596"/>
      <c r="S1106" s="596"/>
      <c r="T1106" s="556"/>
      <c r="U1106" s="556"/>
      <c r="V1106" s="807"/>
      <c r="W1106" s="556"/>
      <c r="X1106" s="556"/>
      <c r="Y1106" s="556"/>
      <c r="Z1106" s="579"/>
      <c r="AA1106" s="556"/>
      <c r="AB1106" s="556"/>
      <c r="AC1106" s="556"/>
      <c r="AD1106" s="556"/>
    </row>
    <row r="1107" ht="15.75" customHeight="1">
      <c r="A1107" s="556"/>
      <c r="B1107" s="556"/>
      <c r="C1107" s="596"/>
      <c r="D1107" s="556"/>
      <c r="E1107" s="596"/>
      <c r="F1107" s="556"/>
      <c r="G1107" s="556"/>
      <c r="H1107" s="556"/>
      <c r="I1107" s="556"/>
      <c r="J1107" s="556"/>
      <c r="K1107" s="556"/>
      <c r="L1107" s="556"/>
      <c r="M1107" s="556"/>
      <c r="N1107" s="556"/>
      <c r="O1107" s="556"/>
      <c r="P1107" s="556"/>
      <c r="Q1107" s="556"/>
      <c r="R1107" s="596"/>
      <c r="S1107" s="596"/>
      <c r="T1107" s="556"/>
      <c r="U1107" s="556"/>
      <c r="V1107" s="807"/>
      <c r="W1107" s="556"/>
      <c r="X1107" s="556"/>
      <c r="Y1107" s="556"/>
      <c r="Z1107" s="579"/>
      <c r="AA1107" s="556"/>
      <c r="AB1107" s="556"/>
      <c r="AC1107" s="556"/>
      <c r="AD1107" s="556"/>
    </row>
    <row r="1108" ht="15.75" customHeight="1">
      <c r="A1108" s="556"/>
      <c r="B1108" s="556"/>
      <c r="C1108" s="596"/>
      <c r="D1108" s="556"/>
      <c r="E1108" s="596"/>
      <c r="F1108" s="556"/>
      <c r="G1108" s="556"/>
      <c r="H1108" s="556"/>
      <c r="I1108" s="556"/>
      <c r="J1108" s="556"/>
      <c r="K1108" s="556"/>
      <c r="L1108" s="556"/>
      <c r="M1108" s="556"/>
      <c r="N1108" s="556"/>
      <c r="O1108" s="556"/>
      <c r="P1108" s="556"/>
      <c r="Q1108" s="556"/>
      <c r="R1108" s="596"/>
      <c r="S1108" s="596"/>
      <c r="T1108" s="556"/>
      <c r="U1108" s="556"/>
      <c r="V1108" s="807"/>
      <c r="W1108" s="556"/>
      <c r="X1108" s="556"/>
      <c r="Y1108" s="556"/>
      <c r="Z1108" s="579"/>
      <c r="AA1108" s="556"/>
      <c r="AB1108" s="556"/>
      <c r="AC1108" s="556"/>
      <c r="AD1108" s="556"/>
    </row>
    <row r="1109" ht="15.75" customHeight="1">
      <c r="A1109" s="556"/>
      <c r="B1109" s="556"/>
      <c r="C1109" s="596"/>
      <c r="D1109" s="556"/>
      <c r="E1109" s="596"/>
      <c r="F1109" s="556"/>
      <c r="G1109" s="556"/>
      <c r="H1109" s="556"/>
      <c r="I1109" s="556"/>
      <c r="J1109" s="556"/>
      <c r="K1109" s="556"/>
      <c r="L1109" s="556"/>
      <c r="M1109" s="556"/>
      <c r="N1109" s="556"/>
      <c r="O1109" s="556"/>
      <c r="P1109" s="556"/>
      <c r="Q1109" s="556"/>
      <c r="R1109" s="596"/>
      <c r="S1109" s="596"/>
      <c r="T1109" s="556"/>
      <c r="U1109" s="556"/>
      <c r="V1109" s="807"/>
      <c r="W1109" s="556"/>
      <c r="X1109" s="556"/>
      <c r="Y1109" s="556"/>
      <c r="Z1109" s="579"/>
      <c r="AA1109" s="556"/>
      <c r="AB1109" s="556"/>
      <c r="AC1109" s="556"/>
      <c r="AD1109" s="556"/>
    </row>
    <row r="1110" ht="15.75" customHeight="1">
      <c r="A1110" s="556"/>
      <c r="B1110" s="556"/>
      <c r="C1110" s="596"/>
      <c r="D1110" s="556"/>
      <c r="E1110" s="596"/>
      <c r="F1110" s="556"/>
      <c r="G1110" s="556"/>
      <c r="H1110" s="556"/>
      <c r="I1110" s="556"/>
      <c r="J1110" s="556"/>
      <c r="K1110" s="556"/>
      <c r="L1110" s="556"/>
      <c r="M1110" s="556"/>
      <c r="N1110" s="556"/>
      <c r="O1110" s="556"/>
      <c r="P1110" s="556"/>
      <c r="Q1110" s="556"/>
      <c r="R1110" s="596"/>
      <c r="S1110" s="596"/>
      <c r="T1110" s="556"/>
      <c r="U1110" s="556"/>
      <c r="V1110" s="807"/>
      <c r="W1110" s="556"/>
      <c r="X1110" s="556"/>
      <c r="Y1110" s="556"/>
      <c r="Z1110" s="579"/>
      <c r="AA1110" s="556"/>
      <c r="AB1110" s="556"/>
      <c r="AC1110" s="556"/>
      <c r="AD1110" s="556"/>
    </row>
    <row r="1111" ht="15.75" customHeight="1">
      <c r="A1111" s="556"/>
      <c r="B1111" s="556"/>
      <c r="C1111" s="596"/>
      <c r="D1111" s="556"/>
      <c r="E1111" s="596"/>
      <c r="F1111" s="556"/>
      <c r="G1111" s="556"/>
      <c r="H1111" s="556"/>
      <c r="I1111" s="556"/>
      <c r="J1111" s="556"/>
      <c r="K1111" s="556"/>
      <c r="L1111" s="556"/>
      <c r="M1111" s="556"/>
      <c r="N1111" s="556"/>
      <c r="O1111" s="556"/>
      <c r="P1111" s="556"/>
      <c r="Q1111" s="556"/>
      <c r="R1111" s="596"/>
      <c r="S1111" s="596"/>
      <c r="T1111" s="556"/>
      <c r="U1111" s="556"/>
      <c r="V1111" s="807"/>
      <c r="W1111" s="556"/>
      <c r="X1111" s="556"/>
      <c r="Y1111" s="556"/>
      <c r="Z1111" s="579"/>
      <c r="AA1111" s="556"/>
      <c r="AB1111" s="556"/>
      <c r="AC1111" s="556"/>
      <c r="AD1111" s="556"/>
    </row>
    <row r="1112" ht="15.75" customHeight="1">
      <c r="A1112" s="556"/>
      <c r="B1112" s="556"/>
      <c r="C1112" s="596"/>
      <c r="D1112" s="556"/>
      <c r="E1112" s="596"/>
      <c r="F1112" s="556"/>
      <c r="G1112" s="556"/>
      <c r="H1112" s="556"/>
      <c r="I1112" s="556"/>
      <c r="J1112" s="556"/>
      <c r="K1112" s="556"/>
      <c r="L1112" s="556"/>
      <c r="M1112" s="556"/>
      <c r="N1112" s="556"/>
      <c r="O1112" s="556"/>
      <c r="P1112" s="556"/>
      <c r="Q1112" s="556"/>
      <c r="R1112" s="596"/>
      <c r="S1112" s="596"/>
      <c r="T1112" s="556"/>
      <c r="U1112" s="556"/>
      <c r="V1112" s="807"/>
      <c r="W1112" s="556"/>
      <c r="X1112" s="556"/>
      <c r="Y1112" s="556"/>
      <c r="Z1112" s="579"/>
      <c r="AA1112" s="556"/>
      <c r="AB1112" s="556"/>
      <c r="AC1112" s="556"/>
      <c r="AD1112" s="556"/>
    </row>
    <row r="1113" ht="15.75" customHeight="1">
      <c r="A1113" s="556"/>
      <c r="B1113" s="556"/>
      <c r="C1113" s="596"/>
      <c r="D1113" s="556"/>
      <c r="E1113" s="596"/>
      <c r="F1113" s="556"/>
      <c r="G1113" s="556"/>
      <c r="H1113" s="556"/>
      <c r="I1113" s="556"/>
      <c r="J1113" s="556"/>
      <c r="K1113" s="556"/>
      <c r="L1113" s="556"/>
      <c r="M1113" s="556"/>
      <c r="N1113" s="556"/>
      <c r="O1113" s="556"/>
      <c r="P1113" s="556"/>
      <c r="Q1113" s="556"/>
      <c r="R1113" s="596"/>
      <c r="S1113" s="596"/>
      <c r="T1113" s="556"/>
      <c r="U1113" s="556"/>
      <c r="V1113" s="807"/>
      <c r="W1113" s="556"/>
      <c r="X1113" s="556"/>
      <c r="Y1113" s="556"/>
      <c r="Z1113" s="579"/>
      <c r="AA1113" s="556"/>
      <c r="AB1113" s="556"/>
      <c r="AC1113" s="556"/>
      <c r="AD1113" s="556"/>
    </row>
    <row r="1114" ht="15.75" customHeight="1">
      <c r="A1114" s="556"/>
      <c r="B1114" s="556"/>
      <c r="C1114" s="596"/>
      <c r="D1114" s="556"/>
      <c r="E1114" s="596"/>
      <c r="F1114" s="556"/>
      <c r="G1114" s="556"/>
      <c r="H1114" s="556"/>
      <c r="I1114" s="556"/>
      <c r="J1114" s="556"/>
      <c r="K1114" s="556"/>
      <c r="L1114" s="556"/>
      <c r="M1114" s="556"/>
      <c r="N1114" s="556"/>
      <c r="O1114" s="556"/>
      <c r="P1114" s="556"/>
      <c r="Q1114" s="556"/>
      <c r="R1114" s="596"/>
      <c r="S1114" s="596"/>
      <c r="T1114" s="556"/>
      <c r="U1114" s="556"/>
      <c r="V1114" s="807"/>
      <c r="W1114" s="556"/>
      <c r="X1114" s="556"/>
      <c r="Y1114" s="556"/>
      <c r="Z1114" s="579"/>
      <c r="AA1114" s="556"/>
      <c r="AB1114" s="556"/>
      <c r="AC1114" s="556"/>
      <c r="AD1114" s="556"/>
    </row>
    <row r="1115" ht="15.75" customHeight="1">
      <c r="A1115" s="556"/>
      <c r="B1115" s="556"/>
      <c r="C1115" s="596"/>
      <c r="D1115" s="556"/>
      <c r="E1115" s="596"/>
      <c r="F1115" s="556"/>
      <c r="G1115" s="556"/>
      <c r="H1115" s="556"/>
      <c r="I1115" s="556"/>
      <c r="J1115" s="556"/>
      <c r="K1115" s="556"/>
      <c r="L1115" s="556"/>
      <c r="M1115" s="556"/>
      <c r="N1115" s="556"/>
      <c r="O1115" s="556"/>
      <c r="P1115" s="556"/>
      <c r="Q1115" s="556"/>
      <c r="R1115" s="596"/>
      <c r="S1115" s="596"/>
      <c r="T1115" s="556"/>
      <c r="U1115" s="556"/>
      <c r="V1115" s="807"/>
      <c r="W1115" s="556"/>
      <c r="X1115" s="556"/>
      <c r="Y1115" s="556"/>
      <c r="Z1115" s="579"/>
      <c r="AA1115" s="556"/>
      <c r="AB1115" s="556"/>
      <c r="AC1115" s="556"/>
      <c r="AD1115" s="556"/>
    </row>
    <row r="1116" ht="15.75" customHeight="1">
      <c r="A1116" s="556"/>
      <c r="B1116" s="556"/>
      <c r="C1116" s="596"/>
      <c r="D1116" s="556"/>
      <c r="E1116" s="596"/>
      <c r="F1116" s="556"/>
      <c r="G1116" s="556"/>
      <c r="H1116" s="556"/>
      <c r="I1116" s="556"/>
      <c r="J1116" s="556"/>
      <c r="K1116" s="556"/>
      <c r="L1116" s="556"/>
      <c r="M1116" s="556"/>
      <c r="N1116" s="556"/>
      <c r="O1116" s="556"/>
      <c r="P1116" s="556"/>
      <c r="Q1116" s="556"/>
      <c r="R1116" s="596"/>
      <c r="S1116" s="596"/>
      <c r="T1116" s="556"/>
      <c r="U1116" s="556"/>
      <c r="V1116" s="807"/>
      <c r="W1116" s="556"/>
      <c r="X1116" s="556"/>
      <c r="Y1116" s="556"/>
      <c r="Z1116" s="579"/>
      <c r="AA1116" s="556"/>
      <c r="AB1116" s="556"/>
      <c r="AC1116" s="556"/>
      <c r="AD1116" s="556"/>
    </row>
    <row r="1117" ht="15.75" customHeight="1">
      <c r="A1117" s="556"/>
      <c r="B1117" s="556"/>
      <c r="C1117" s="596"/>
      <c r="D1117" s="556"/>
      <c r="E1117" s="596"/>
      <c r="F1117" s="556"/>
      <c r="G1117" s="556"/>
      <c r="H1117" s="556"/>
      <c r="I1117" s="556"/>
      <c r="J1117" s="556"/>
      <c r="K1117" s="556"/>
      <c r="L1117" s="556"/>
      <c r="M1117" s="556"/>
      <c r="N1117" s="556"/>
      <c r="O1117" s="556"/>
      <c r="P1117" s="556"/>
      <c r="Q1117" s="556"/>
      <c r="R1117" s="596"/>
      <c r="S1117" s="596"/>
      <c r="T1117" s="556"/>
      <c r="U1117" s="556"/>
      <c r="V1117" s="807"/>
      <c r="W1117" s="556"/>
      <c r="X1117" s="556"/>
      <c r="Y1117" s="556"/>
      <c r="Z1117" s="579"/>
      <c r="AA1117" s="556"/>
      <c r="AB1117" s="556"/>
      <c r="AC1117" s="556"/>
      <c r="AD1117" s="556"/>
    </row>
    <row r="1118" ht="15.75" customHeight="1">
      <c r="A1118" s="556"/>
      <c r="B1118" s="556"/>
      <c r="C1118" s="596"/>
      <c r="D1118" s="556"/>
      <c r="E1118" s="596"/>
      <c r="F1118" s="556"/>
      <c r="G1118" s="556"/>
      <c r="H1118" s="556"/>
      <c r="I1118" s="556"/>
      <c r="J1118" s="556"/>
      <c r="K1118" s="556"/>
      <c r="L1118" s="556"/>
      <c r="M1118" s="556"/>
      <c r="N1118" s="556"/>
      <c r="O1118" s="556"/>
      <c r="P1118" s="556"/>
      <c r="Q1118" s="556"/>
      <c r="R1118" s="596"/>
      <c r="S1118" s="596"/>
      <c r="T1118" s="556"/>
      <c r="U1118" s="556"/>
      <c r="V1118" s="807"/>
      <c r="W1118" s="556"/>
      <c r="X1118" s="556"/>
      <c r="Y1118" s="556"/>
      <c r="Z1118" s="579"/>
      <c r="AA1118" s="556"/>
      <c r="AB1118" s="556"/>
      <c r="AC1118" s="556"/>
      <c r="AD1118" s="556"/>
    </row>
    <row r="1119" ht="15.75" customHeight="1">
      <c r="A1119" s="556"/>
      <c r="B1119" s="556"/>
      <c r="C1119" s="596"/>
      <c r="D1119" s="556"/>
      <c r="E1119" s="596"/>
      <c r="F1119" s="556"/>
      <c r="G1119" s="556"/>
      <c r="H1119" s="556"/>
      <c r="I1119" s="556"/>
      <c r="J1119" s="556"/>
      <c r="K1119" s="556"/>
      <c r="L1119" s="556"/>
      <c r="M1119" s="556"/>
      <c r="N1119" s="556"/>
      <c r="O1119" s="556"/>
      <c r="P1119" s="556"/>
      <c r="Q1119" s="556"/>
      <c r="R1119" s="596"/>
      <c r="S1119" s="596"/>
      <c r="T1119" s="556"/>
      <c r="U1119" s="556"/>
      <c r="V1119" s="807"/>
      <c r="W1119" s="556"/>
      <c r="X1119" s="556"/>
      <c r="Y1119" s="556"/>
      <c r="Z1119" s="579"/>
      <c r="AA1119" s="556"/>
      <c r="AB1119" s="556"/>
      <c r="AC1119" s="556"/>
      <c r="AD1119" s="556"/>
    </row>
    <row r="1120" ht="15.75" customHeight="1">
      <c r="A1120" s="556"/>
      <c r="B1120" s="556"/>
      <c r="C1120" s="596"/>
      <c r="D1120" s="556"/>
      <c r="E1120" s="596"/>
      <c r="F1120" s="556"/>
      <c r="G1120" s="556"/>
      <c r="H1120" s="556"/>
      <c r="I1120" s="556"/>
      <c r="J1120" s="556"/>
      <c r="K1120" s="556"/>
      <c r="L1120" s="556"/>
      <c r="M1120" s="556"/>
      <c r="N1120" s="556"/>
      <c r="O1120" s="556"/>
      <c r="P1120" s="556"/>
      <c r="Q1120" s="556"/>
      <c r="R1120" s="596"/>
      <c r="S1120" s="596"/>
      <c r="T1120" s="556"/>
      <c r="U1120" s="556"/>
      <c r="V1120" s="807"/>
      <c r="W1120" s="556"/>
      <c r="X1120" s="556"/>
      <c r="Y1120" s="556"/>
      <c r="Z1120" s="579"/>
      <c r="AA1120" s="556"/>
      <c r="AB1120" s="556"/>
      <c r="AC1120" s="556"/>
      <c r="AD1120" s="556"/>
    </row>
    <row r="1121" ht="15.75" customHeight="1">
      <c r="A1121" s="556"/>
      <c r="B1121" s="556"/>
      <c r="C1121" s="596"/>
      <c r="D1121" s="556"/>
      <c r="E1121" s="596"/>
      <c r="F1121" s="556"/>
      <c r="G1121" s="556"/>
      <c r="H1121" s="556"/>
      <c r="I1121" s="556"/>
      <c r="J1121" s="556"/>
      <c r="K1121" s="556"/>
      <c r="L1121" s="556"/>
      <c r="M1121" s="556"/>
      <c r="N1121" s="556"/>
      <c r="O1121" s="556"/>
      <c r="P1121" s="556"/>
      <c r="Q1121" s="556"/>
      <c r="R1121" s="596"/>
      <c r="S1121" s="596"/>
      <c r="T1121" s="556"/>
      <c r="U1121" s="556"/>
      <c r="V1121" s="807"/>
      <c r="W1121" s="556"/>
      <c r="X1121" s="556"/>
      <c r="Y1121" s="556"/>
      <c r="Z1121" s="579"/>
      <c r="AA1121" s="556"/>
      <c r="AB1121" s="556"/>
      <c r="AC1121" s="556"/>
      <c r="AD1121" s="556"/>
    </row>
    <row r="1122" ht="15.75" customHeight="1">
      <c r="A1122" s="556"/>
      <c r="B1122" s="556"/>
      <c r="C1122" s="596"/>
      <c r="D1122" s="556"/>
      <c r="E1122" s="596"/>
      <c r="F1122" s="556"/>
      <c r="G1122" s="556"/>
      <c r="H1122" s="556"/>
      <c r="I1122" s="556"/>
      <c r="J1122" s="556"/>
      <c r="K1122" s="556"/>
      <c r="L1122" s="556"/>
      <c r="M1122" s="556"/>
      <c r="N1122" s="556"/>
      <c r="O1122" s="556"/>
      <c r="P1122" s="556"/>
      <c r="Q1122" s="556"/>
      <c r="R1122" s="596"/>
      <c r="S1122" s="596"/>
      <c r="T1122" s="556"/>
      <c r="U1122" s="556"/>
      <c r="V1122" s="807"/>
      <c r="W1122" s="556"/>
      <c r="X1122" s="556"/>
      <c r="Y1122" s="556"/>
      <c r="Z1122" s="579"/>
      <c r="AA1122" s="556"/>
      <c r="AB1122" s="556"/>
      <c r="AC1122" s="556"/>
      <c r="AD1122" s="556"/>
    </row>
    <row r="1123" ht="15.75" customHeight="1">
      <c r="A1123" s="556"/>
      <c r="B1123" s="556"/>
      <c r="C1123" s="596"/>
      <c r="D1123" s="556"/>
      <c r="E1123" s="596"/>
      <c r="F1123" s="556"/>
      <c r="G1123" s="556"/>
      <c r="H1123" s="556"/>
      <c r="I1123" s="556"/>
      <c r="J1123" s="556"/>
      <c r="K1123" s="556"/>
      <c r="L1123" s="556"/>
      <c r="M1123" s="556"/>
      <c r="N1123" s="556"/>
      <c r="O1123" s="556"/>
      <c r="P1123" s="556"/>
      <c r="Q1123" s="556"/>
      <c r="R1123" s="596"/>
      <c r="S1123" s="596"/>
      <c r="T1123" s="556"/>
      <c r="U1123" s="556"/>
      <c r="V1123" s="807"/>
      <c r="W1123" s="556"/>
      <c r="X1123" s="556"/>
      <c r="Y1123" s="556"/>
      <c r="Z1123" s="579"/>
      <c r="AA1123" s="556"/>
      <c r="AB1123" s="556"/>
      <c r="AC1123" s="556"/>
      <c r="AD1123" s="556"/>
    </row>
    <row r="1124" ht="15.75" customHeight="1">
      <c r="A1124" s="556"/>
      <c r="B1124" s="556"/>
      <c r="C1124" s="596"/>
      <c r="D1124" s="556"/>
      <c r="E1124" s="596"/>
      <c r="F1124" s="556"/>
      <c r="G1124" s="556"/>
      <c r="H1124" s="556"/>
      <c r="I1124" s="556"/>
      <c r="J1124" s="556"/>
      <c r="K1124" s="556"/>
      <c r="L1124" s="556"/>
      <c r="M1124" s="556"/>
      <c r="N1124" s="556"/>
      <c r="O1124" s="556"/>
      <c r="P1124" s="556"/>
      <c r="Q1124" s="556"/>
      <c r="R1124" s="596"/>
      <c r="S1124" s="596"/>
      <c r="T1124" s="556"/>
      <c r="U1124" s="556"/>
      <c r="V1124" s="807"/>
      <c r="W1124" s="556"/>
      <c r="X1124" s="556"/>
      <c r="Y1124" s="556"/>
      <c r="Z1124" s="579"/>
      <c r="AA1124" s="556"/>
      <c r="AB1124" s="556"/>
      <c r="AC1124" s="556"/>
      <c r="AD1124" s="556"/>
    </row>
    <row r="1125" ht="15.75" customHeight="1">
      <c r="A1125" s="556"/>
      <c r="B1125" s="556"/>
      <c r="C1125" s="596"/>
      <c r="D1125" s="556"/>
      <c r="E1125" s="596"/>
      <c r="F1125" s="556"/>
      <c r="G1125" s="556"/>
      <c r="H1125" s="556"/>
      <c r="I1125" s="556"/>
      <c r="J1125" s="556"/>
      <c r="K1125" s="556"/>
      <c r="L1125" s="556"/>
      <c r="M1125" s="556"/>
      <c r="N1125" s="556"/>
      <c r="O1125" s="556"/>
      <c r="P1125" s="556"/>
      <c r="Q1125" s="556"/>
      <c r="R1125" s="596"/>
      <c r="S1125" s="596"/>
      <c r="T1125" s="556"/>
      <c r="U1125" s="556"/>
      <c r="V1125" s="807"/>
      <c r="W1125" s="556"/>
      <c r="X1125" s="556"/>
      <c r="Y1125" s="556"/>
      <c r="Z1125" s="579"/>
      <c r="AA1125" s="556"/>
      <c r="AB1125" s="556"/>
      <c r="AC1125" s="556"/>
      <c r="AD1125" s="556"/>
    </row>
    <row r="1126" ht="15.75" customHeight="1">
      <c r="A1126" s="556"/>
      <c r="B1126" s="556"/>
      <c r="C1126" s="596"/>
      <c r="D1126" s="556"/>
      <c r="E1126" s="596"/>
      <c r="F1126" s="556"/>
      <c r="G1126" s="556"/>
      <c r="H1126" s="556"/>
      <c r="I1126" s="556"/>
      <c r="J1126" s="556"/>
      <c r="K1126" s="556"/>
      <c r="L1126" s="556"/>
      <c r="M1126" s="556"/>
      <c r="N1126" s="556"/>
      <c r="O1126" s="556"/>
      <c r="P1126" s="556"/>
      <c r="Q1126" s="556"/>
      <c r="R1126" s="596"/>
      <c r="S1126" s="596"/>
      <c r="T1126" s="556"/>
      <c r="U1126" s="556"/>
      <c r="V1126" s="807"/>
      <c r="W1126" s="556"/>
      <c r="X1126" s="556"/>
      <c r="Y1126" s="556"/>
      <c r="Z1126" s="579"/>
      <c r="AA1126" s="556"/>
      <c r="AB1126" s="556"/>
      <c r="AC1126" s="556"/>
      <c r="AD1126" s="556"/>
    </row>
    <row r="1127" ht="15.75" customHeight="1">
      <c r="A1127" s="556"/>
      <c r="B1127" s="556"/>
      <c r="C1127" s="596"/>
      <c r="D1127" s="556"/>
      <c r="E1127" s="596"/>
      <c r="F1127" s="556"/>
      <c r="G1127" s="556"/>
      <c r="H1127" s="556"/>
      <c r="I1127" s="556"/>
      <c r="J1127" s="556"/>
      <c r="K1127" s="556"/>
      <c r="L1127" s="556"/>
      <c r="M1127" s="556"/>
      <c r="N1127" s="556"/>
      <c r="O1127" s="556"/>
      <c r="P1127" s="556"/>
      <c r="Q1127" s="556"/>
      <c r="R1127" s="596"/>
      <c r="S1127" s="596"/>
      <c r="T1127" s="556"/>
      <c r="U1127" s="556"/>
      <c r="V1127" s="807"/>
      <c r="W1127" s="556"/>
      <c r="X1127" s="556"/>
      <c r="Y1127" s="556"/>
      <c r="Z1127" s="579"/>
      <c r="AA1127" s="556"/>
      <c r="AB1127" s="556"/>
      <c r="AC1127" s="556"/>
      <c r="AD1127" s="556"/>
    </row>
    <row r="1128" ht="15.75" customHeight="1">
      <c r="A1128" s="556"/>
      <c r="B1128" s="556"/>
      <c r="C1128" s="596"/>
      <c r="D1128" s="556"/>
      <c r="E1128" s="596"/>
      <c r="F1128" s="556"/>
      <c r="G1128" s="556"/>
      <c r="H1128" s="556"/>
      <c r="I1128" s="556"/>
      <c r="J1128" s="556"/>
      <c r="K1128" s="556"/>
      <c r="L1128" s="556"/>
      <c r="M1128" s="556"/>
      <c r="N1128" s="556"/>
      <c r="O1128" s="556"/>
      <c r="P1128" s="556"/>
      <c r="Q1128" s="556"/>
      <c r="R1128" s="596"/>
      <c r="S1128" s="596"/>
      <c r="T1128" s="556"/>
      <c r="U1128" s="556"/>
      <c r="V1128" s="807"/>
      <c r="W1128" s="556"/>
      <c r="X1128" s="556"/>
      <c r="Y1128" s="556"/>
      <c r="Z1128" s="579"/>
      <c r="AA1128" s="556"/>
      <c r="AB1128" s="556"/>
      <c r="AC1128" s="556"/>
      <c r="AD1128" s="556"/>
    </row>
    <row r="1129" ht="15.75" customHeight="1">
      <c r="A1129" s="556"/>
      <c r="B1129" s="556"/>
      <c r="C1129" s="596"/>
      <c r="D1129" s="556"/>
      <c r="E1129" s="596"/>
      <c r="F1129" s="556"/>
      <c r="G1129" s="556"/>
      <c r="H1129" s="556"/>
      <c r="I1129" s="556"/>
      <c r="J1129" s="556"/>
      <c r="K1129" s="556"/>
      <c r="L1129" s="556"/>
      <c r="M1129" s="556"/>
      <c r="N1129" s="556"/>
      <c r="O1129" s="556"/>
      <c r="P1129" s="556"/>
      <c r="Q1129" s="556"/>
      <c r="R1129" s="596"/>
      <c r="S1129" s="596"/>
      <c r="T1129" s="556"/>
      <c r="U1129" s="556"/>
      <c r="V1129" s="807"/>
      <c r="W1129" s="556"/>
      <c r="X1129" s="556"/>
      <c r="Y1129" s="556"/>
      <c r="Z1129" s="579"/>
      <c r="AA1129" s="556"/>
      <c r="AB1129" s="556"/>
      <c r="AC1129" s="556"/>
      <c r="AD1129" s="556"/>
    </row>
    <row r="1130" ht="15.75" customHeight="1">
      <c r="A1130" s="556"/>
      <c r="B1130" s="556"/>
      <c r="C1130" s="596"/>
      <c r="D1130" s="556"/>
      <c r="E1130" s="596"/>
      <c r="F1130" s="556"/>
      <c r="G1130" s="556"/>
      <c r="H1130" s="556"/>
      <c r="I1130" s="556"/>
      <c r="J1130" s="556"/>
      <c r="K1130" s="556"/>
      <c r="L1130" s="556"/>
      <c r="M1130" s="556"/>
      <c r="N1130" s="556"/>
      <c r="O1130" s="556"/>
      <c r="P1130" s="556"/>
      <c r="Q1130" s="556"/>
      <c r="R1130" s="596"/>
      <c r="S1130" s="596"/>
      <c r="T1130" s="556"/>
      <c r="U1130" s="556"/>
      <c r="V1130" s="807"/>
      <c r="W1130" s="556"/>
      <c r="X1130" s="556"/>
      <c r="Y1130" s="556"/>
      <c r="Z1130" s="579"/>
      <c r="AA1130" s="556"/>
      <c r="AB1130" s="556"/>
      <c r="AC1130" s="556"/>
      <c r="AD1130" s="556"/>
    </row>
    <row r="1131" ht="15.75" customHeight="1">
      <c r="A1131" s="556"/>
      <c r="B1131" s="556"/>
      <c r="C1131" s="596"/>
      <c r="D1131" s="556"/>
      <c r="E1131" s="596"/>
      <c r="F1131" s="556"/>
      <c r="G1131" s="556"/>
      <c r="H1131" s="556"/>
      <c r="I1131" s="556"/>
      <c r="J1131" s="556"/>
      <c r="K1131" s="556"/>
      <c r="L1131" s="556"/>
      <c r="M1131" s="556"/>
      <c r="N1131" s="556"/>
      <c r="O1131" s="556"/>
      <c r="P1131" s="556"/>
      <c r="Q1131" s="556"/>
      <c r="R1131" s="596"/>
      <c r="S1131" s="596"/>
      <c r="T1131" s="556"/>
      <c r="U1131" s="556"/>
      <c r="V1131" s="807"/>
      <c r="W1131" s="556"/>
      <c r="X1131" s="556"/>
      <c r="Y1131" s="556"/>
      <c r="Z1131" s="579"/>
      <c r="AA1131" s="556"/>
      <c r="AB1131" s="556"/>
      <c r="AC1131" s="556"/>
      <c r="AD1131" s="556"/>
    </row>
    <row r="1132" ht="15.75" customHeight="1">
      <c r="A1132" s="556"/>
      <c r="B1132" s="556"/>
      <c r="C1132" s="596"/>
      <c r="D1132" s="556"/>
      <c r="E1132" s="596"/>
      <c r="F1132" s="556"/>
      <c r="G1132" s="556"/>
      <c r="H1132" s="556"/>
      <c r="I1132" s="556"/>
      <c r="J1132" s="556"/>
      <c r="K1132" s="556"/>
      <c r="L1132" s="556"/>
      <c r="M1132" s="556"/>
      <c r="N1132" s="556"/>
      <c r="O1132" s="556"/>
      <c r="P1132" s="556"/>
      <c r="Q1132" s="556"/>
      <c r="R1132" s="596"/>
      <c r="S1132" s="596"/>
      <c r="T1132" s="556"/>
      <c r="U1132" s="556"/>
      <c r="V1132" s="807"/>
      <c r="W1132" s="556"/>
      <c r="X1132" s="556"/>
      <c r="Y1132" s="556"/>
      <c r="Z1132" s="579"/>
      <c r="AA1132" s="556"/>
      <c r="AB1132" s="556"/>
      <c r="AC1132" s="556"/>
      <c r="AD1132" s="556"/>
    </row>
    <row r="1133" ht="15.75" customHeight="1">
      <c r="A1133" s="556"/>
      <c r="B1133" s="556"/>
      <c r="C1133" s="596"/>
      <c r="D1133" s="556"/>
      <c r="E1133" s="596"/>
      <c r="F1133" s="556"/>
      <c r="G1133" s="556"/>
      <c r="H1133" s="556"/>
      <c r="I1133" s="556"/>
      <c r="J1133" s="556"/>
      <c r="K1133" s="556"/>
      <c r="L1133" s="556"/>
      <c r="M1133" s="556"/>
      <c r="N1133" s="556"/>
      <c r="O1133" s="556"/>
      <c r="P1133" s="556"/>
      <c r="Q1133" s="556"/>
      <c r="R1133" s="596"/>
      <c r="S1133" s="596"/>
      <c r="T1133" s="556"/>
      <c r="U1133" s="556"/>
      <c r="V1133" s="807"/>
      <c r="W1133" s="556"/>
      <c r="X1133" s="556"/>
      <c r="Y1133" s="556"/>
      <c r="Z1133" s="579"/>
      <c r="AA1133" s="556"/>
      <c r="AB1133" s="556"/>
      <c r="AC1133" s="556"/>
      <c r="AD1133" s="556"/>
    </row>
    <row r="1134" ht="15.75" customHeight="1">
      <c r="A1134" s="556"/>
      <c r="B1134" s="556"/>
      <c r="C1134" s="596"/>
      <c r="D1134" s="556"/>
      <c r="E1134" s="596"/>
      <c r="F1134" s="556"/>
      <c r="G1134" s="556"/>
      <c r="H1134" s="556"/>
      <c r="I1134" s="556"/>
      <c r="J1134" s="556"/>
      <c r="K1134" s="556"/>
      <c r="L1134" s="556"/>
      <c r="M1134" s="556"/>
      <c r="N1134" s="556"/>
      <c r="O1134" s="556"/>
      <c r="P1134" s="556"/>
      <c r="Q1134" s="556"/>
      <c r="R1134" s="596"/>
      <c r="S1134" s="596"/>
      <c r="T1134" s="556"/>
      <c r="U1134" s="556"/>
      <c r="V1134" s="807"/>
      <c r="W1134" s="556"/>
      <c r="X1134" s="556"/>
      <c r="Y1134" s="556"/>
      <c r="Z1134" s="579"/>
      <c r="AA1134" s="556"/>
      <c r="AB1134" s="556"/>
      <c r="AC1134" s="556"/>
      <c r="AD1134" s="556"/>
    </row>
    <row r="1135" ht="15.75" customHeight="1">
      <c r="A1135" s="556"/>
      <c r="B1135" s="556"/>
      <c r="C1135" s="596"/>
      <c r="D1135" s="556"/>
      <c r="E1135" s="596"/>
      <c r="F1135" s="556"/>
      <c r="G1135" s="556"/>
      <c r="H1135" s="556"/>
      <c r="I1135" s="556"/>
      <c r="J1135" s="556"/>
      <c r="K1135" s="556"/>
      <c r="L1135" s="556"/>
      <c r="M1135" s="556"/>
      <c r="N1135" s="556"/>
      <c r="O1135" s="556"/>
      <c r="P1135" s="556"/>
      <c r="Q1135" s="556"/>
      <c r="R1135" s="596"/>
      <c r="S1135" s="596"/>
      <c r="T1135" s="556"/>
      <c r="U1135" s="556"/>
      <c r="V1135" s="807"/>
      <c r="W1135" s="556"/>
      <c r="X1135" s="556"/>
      <c r="Y1135" s="556"/>
      <c r="Z1135" s="579"/>
      <c r="AA1135" s="556"/>
      <c r="AB1135" s="556"/>
      <c r="AC1135" s="556"/>
      <c r="AD1135" s="556"/>
    </row>
    <row r="1136" ht="15.75" customHeight="1">
      <c r="A1136" s="556"/>
      <c r="B1136" s="556"/>
      <c r="C1136" s="596"/>
      <c r="D1136" s="556"/>
      <c r="E1136" s="596"/>
      <c r="F1136" s="556"/>
      <c r="G1136" s="556"/>
      <c r="H1136" s="556"/>
      <c r="I1136" s="556"/>
      <c r="J1136" s="556"/>
      <c r="K1136" s="556"/>
      <c r="L1136" s="556"/>
      <c r="M1136" s="556"/>
      <c r="N1136" s="556"/>
      <c r="O1136" s="556"/>
      <c r="P1136" s="556"/>
      <c r="Q1136" s="556"/>
      <c r="R1136" s="596"/>
      <c r="S1136" s="596"/>
      <c r="T1136" s="556"/>
      <c r="U1136" s="556"/>
      <c r="V1136" s="807"/>
      <c r="W1136" s="556"/>
      <c r="X1136" s="556"/>
      <c r="Y1136" s="556"/>
      <c r="Z1136" s="579"/>
      <c r="AA1136" s="556"/>
      <c r="AB1136" s="556"/>
      <c r="AC1136" s="556"/>
      <c r="AD1136" s="556"/>
    </row>
    <row r="1137" ht="15.75" customHeight="1">
      <c r="A1137" s="556"/>
      <c r="B1137" s="556"/>
      <c r="C1137" s="596"/>
      <c r="D1137" s="556"/>
      <c r="E1137" s="596"/>
      <c r="F1137" s="556"/>
      <c r="G1137" s="556"/>
      <c r="H1137" s="556"/>
      <c r="I1137" s="556"/>
      <c r="J1137" s="556"/>
      <c r="K1137" s="556"/>
      <c r="L1137" s="556"/>
      <c r="M1137" s="556"/>
      <c r="N1137" s="556"/>
      <c r="O1137" s="556"/>
      <c r="P1137" s="556"/>
      <c r="Q1137" s="556"/>
      <c r="R1137" s="596"/>
      <c r="S1137" s="596"/>
      <c r="T1137" s="556"/>
      <c r="U1137" s="556"/>
      <c r="V1137" s="807"/>
      <c r="W1137" s="556"/>
      <c r="X1137" s="556"/>
      <c r="Y1137" s="556"/>
      <c r="Z1137" s="579"/>
      <c r="AA1137" s="556"/>
      <c r="AB1137" s="556"/>
      <c r="AC1137" s="556"/>
      <c r="AD1137" s="556"/>
    </row>
    <row r="1138" ht="15.75" customHeight="1">
      <c r="A1138" s="556"/>
      <c r="B1138" s="556"/>
      <c r="C1138" s="596"/>
      <c r="D1138" s="556"/>
      <c r="E1138" s="596"/>
      <c r="F1138" s="556"/>
      <c r="G1138" s="556"/>
      <c r="H1138" s="556"/>
      <c r="I1138" s="556"/>
      <c r="J1138" s="556"/>
      <c r="K1138" s="556"/>
      <c r="L1138" s="556"/>
      <c r="M1138" s="556"/>
      <c r="N1138" s="556"/>
      <c r="O1138" s="556"/>
      <c r="P1138" s="556"/>
      <c r="Q1138" s="556"/>
      <c r="R1138" s="596"/>
      <c r="S1138" s="596"/>
      <c r="T1138" s="556"/>
      <c r="U1138" s="556"/>
      <c r="V1138" s="807"/>
      <c r="W1138" s="556"/>
      <c r="X1138" s="556"/>
      <c r="Y1138" s="556"/>
      <c r="Z1138" s="579"/>
      <c r="AA1138" s="556"/>
      <c r="AB1138" s="556"/>
      <c r="AC1138" s="556"/>
      <c r="AD1138" s="556"/>
    </row>
    <row r="1139" ht="15.75" customHeight="1">
      <c r="A1139" s="556"/>
      <c r="B1139" s="556"/>
      <c r="C1139" s="596"/>
      <c r="D1139" s="556"/>
      <c r="E1139" s="596"/>
      <c r="F1139" s="556"/>
      <c r="G1139" s="556"/>
      <c r="H1139" s="556"/>
      <c r="I1139" s="556"/>
      <c r="J1139" s="556"/>
      <c r="K1139" s="556"/>
      <c r="L1139" s="556"/>
      <c r="M1139" s="556"/>
      <c r="N1139" s="556"/>
      <c r="O1139" s="556"/>
      <c r="P1139" s="556"/>
      <c r="Q1139" s="556"/>
      <c r="R1139" s="596"/>
      <c r="S1139" s="596"/>
      <c r="T1139" s="556"/>
      <c r="U1139" s="556"/>
      <c r="V1139" s="807"/>
      <c r="W1139" s="556"/>
      <c r="X1139" s="556"/>
      <c r="Y1139" s="556"/>
      <c r="Z1139" s="579"/>
      <c r="AA1139" s="556"/>
      <c r="AB1139" s="556"/>
      <c r="AC1139" s="556"/>
      <c r="AD1139" s="556"/>
    </row>
    <row r="1140" ht="15.75" customHeight="1">
      <c r="A1140" s="556"/>
      <c r="B1140" s="556"/>
      <c r="C1140" s="596"/>
      <c r="D1140" s="556"/>
      <c r="E1140" s="596"/>
      <c r="F1140" s="556"/>
      <c r="G1140" s="556"/>
      <c r="H1140" s="556"/>
      <c r="I1140" s="556"/>
      <c r="J1140" s="556"/>
      <c r="K1140" s="556"/>
      <c r="L1140" s="556"/>
      <c r="M1140" s="556"/>
      <c r="N1140" s="556"/>
      <c r="O1140" s="556"/>
      <c r="P1140" s="556"/>
      <c r="Q1140" s="556"/>
      <c r="R1140" s="596"/>
      <c r="S1140" s="596"/>
      <c r="T1140" s="556"/>
      <c r="U1140" s="556"/>
      <c r="V1140" s="807"/>
      <c r="W1140" s="556"/>
      <c r="X1140" s="556"/>
      <c r="Y1140" s="556"/>
      <c r="Z1140" s="579"/>
      <c r="AA1140" s="556"/>
      <c r="AB1140" s="556"/>
      <c r="AC1140" s="556"/>
      <c r="AD1140" s="556"/>
    </row>
    <row r="1141" ht="15.75" customHeight="1">
      <c r="A1141" s="556"/>
      <c r="B1141" s="556"/>
      <c r="C1141" s="596"/>
      <c r="D1141" s="556"/>
      <c r="E1141" s="596"/>
      <c r="F1141" s="556"/>
      <c r="G1141" s="556"/>
      <c r="H1141" s="556"/>
      <c r="I1141" s="556"/>
      <c r="J1141" s="556"/>
      <c r="K1141" s="556"/>
      <c r="L1141" s="556"/>
      <c r="M1141" s="556"/>
      <c r="N1141" s="556"/>
      <c r="O1141" s="556"/>
      <c r="P1141" s="556"/>
      <c r="Q1141" s="556"/>
      <c r="R1141" s="596"/>
      <c r="S1141" s="596"/>
      <c r="T1141" s="556"/>
      <c r="U1141" s="556"/>
      <c r="V1141" s="807"/>
      <c r="W1141" s="556"/>
      <c r="X1141" s="556"/>
      <c r="Y1141" s="556"/>
      <c r="Z1141" s="579"/>
      <c r="AA1141" s="556"/>
      <c r="AB1141" s="556"/>
      <c r="AC1141" s="556"/>
      <c r="AD1141" s="556"/>
    </row>
    <row r="1142" ht="15.75" customHeight="1">
      <c r="A1142" s="556"/>
      <c r="B1142" s="556"/>
      <c r="C1142" s="596"/>
      <c r="D1142" s="556"/>
      <c r="E1142" s="596"/>
      <c r="F1142" s="556"/>
      <c r="G1142" s="556"/>
      <c r="H1142" s="556"/>
      <c r="I1142" s="556"/>
      <c r="J1142" s="556"/>
      <c r="K1142" s="556"/>
      <c r="L1142" s="556"/>
      <c r="M1142" s="556"/>
      <c r="N1142" s="556"/>
      <c r="O1142" s="556"/>
      <c r="P1142" s="556"/>
      <c r="Q1142" s="556"/>
      <c r="R1142" s="596"/>
      <c r="S1142" s="596"/>
      <c r="T1142" s="556"/>
      <c r="U1142" s="556"/>
      <c r="V1142" s="807"/>
      <c r="W1142" s="556"/>
      <c r="X1142" s="556"/>
      <c r="Y1142" s="556"/>
      <c r="Z1142" s="579"/>
      <c r="AA1142" s="556"/>
      <c r="AB1142" s="556"/>
      <c r="AC1142" s="556"/>
      <c r="AD1142" s="556"/>
    </row>
    <row r="1143" ht="15.75" customHeight="1">
      <c r="A1143" s="556"/>
      <c r="B1143" s="556"/>
      <c r="C1143" s="596"/>
      <c r="D1143" s="556"/>
      <c r="E1143" s="596"/>
      <c r="F1143" s="556"/>
      <c r="G1143" s="556"/>
      <c r="H1143" s="556"/>
      <c r="I1143" s="556"/>
      <c r="J1143" s="556"/>
      <c r="K1143" s="556"/>
      <c r="L1143" s="556"/>
      <c r="M1143" s="556"/>
      <c r="N1143" s="556"/>
      <c r="O1143" s="556"/>
      <c r="P1143" s="556"/>
      <c r="Q1143" s="556"/>
      <c r="R1143" s="596"/>
      <c r="S1143" s="596"/>
      <c r="T1143" s="556"/>
      <c r="U1143" s="556"/>
      <c r="V1143" s="807"/>
      <c r="W1143" s="556"/>
      <c r="X1143" s="556"/>
      <c r="Y1143" s="556"/>
      <c r="Z1143" s="579"/>
      <c r="AA1143" s="556"/>
      <c r="AB1143" s="556"/>
      <c r="AC1143" s="556"/>
      <c r="AD1143" s="556"/>
    </row>
    <row r="1144" ht="15.75" customHeight="1">
      <c r="A1144" s="556"/>
      <c r="B1144" s="556"/>
      <c r="C1144" s="596"/>
      <c r="D1144" s="556"/>
      <c r="E1144" s="596"/>
      <c r="F1144" s="556"/>
      <c r="G1144" s="556"/>
      <c r="H1144" s="556"/>
      <c r="I1144" s="556"/>
      <c r="J1144" s="556"/>
      <c r="K1144" s="556"/>
      <c r="L1144" s="556"/>
      <c r="M1144" s="556"/>
      <c r="N1144" s="556"/>
      <c r="O1144" s="556"/>
      <c r="P1144" s="556"/>
      <c r="Q1144" s="556"/>
      <c r="R1144" s="596"/>
      <c r="S1144" s="596"/>
      <c r="T1144" s="556"/>
      <c r="U1144" s="556"/>
      <c r="V1144" s="807"/>
      <c r="W1144" s="556"/>
      <c r="X1144" s="556"/>
      <c r="Y1144" s="556"/>
      <c r="Z1144" s="579"/>
      <c r="AA1144" s="556"/>
      <c r="AB1144" s="556"/>
      <c r="AC1144" s="556"/>
      <c r="AD1144" s="556"/>
    </row>
    <row r="1145" ht="15.75" customHeight="1">
      <c r="A1145" s="556"/>
      <c r="B1145" s="556"/>
      <c r="C1145" s="596"/>
      <c r="D1145" s="556"/>
      <c r="E1145" s="596"/>
      <c r="F1145" s="556"/>
      <c r="G1145" s="556"/>
      <c r="H1145" s="556"/>
      <c r="I1145" s="556"/>
      <c r="J1145" s="556"/>
      <c r="K1145" s="556"/>
      <c r="L1145" s="556"/>
      <c r="M1145" s="556"/>
      <c r="N1145" s="556"/>
      <c r="O1145" s="556"/>
      <c r="P1145" s="556"/>
      <c r="Q1145" s="556"/>
      <c r="R1145" s="596"/>
      <c r="S1145" s="596"/>
      <c r="T1145" s="556"/>
      <c r="U1145" s="556"/>
      <c r="V1145" s="807"/>
      <c r="W1145" s="556"/>
      <c r="X1145" s="556"/>
      <c r="Y1145" s="556"/>
      <c r="Z1145" s="579"/>
      <c r="AA1145" s="556"/>
      <c r="AB1145" s="556"/>
      <c r="AC1145" s="556"/>
      <c r="AD1145" s="556"/>
    </row>
    <row r="1146" ht="15.75" customHeight="1">
      <c r="A1146" s="556"/>
      <c r="B1146" s="556"/>
      <c r="C1146" s="596"/>
      <c r="D1146" s="556"/>
      <c r="E1146" s="596"/>
      <c r="F1146" s="556"/>
      <c r="G1146" s="556"/>
      <c r="H1146" s="556"/>
      <c r="I1146" s="556"/>
      <c r="J1146" s="556"/>
      <c r="K1146" s="556"/>
      <c r="L1146" s="556"/>
      <c r="M1146" s="556"/>
      <c r="N1146" s="556"/>
      <c r="O1146" s="556"/>
      <c r="P1146" s="556"/>
      <c r="Q1146" s="556"/>
      <c r="R1146" s="596"/>
      <c r="S1146" s="596"/>
      <c r="T1146" s="556"/>
      <c r="U1146" s="556"/>
      <c r="V1146" s="807"/>
      <c r="W1146" s="556"/>
      <c r="X1146" s="556"/>
      <c r="Y1146" s="556"/>
      <c r="Z1146" s="579"/>
      <c r="AA1146" s="556"/>
      <c r="AB1146" s="556"/>
      <c r="AC1146" s="556"/>
      <c r="AD1146" s="556"/>
    </row>
    <row r="1147" ht="15.75" customHeight="1">
      <c r="A1147" s="556"/>
      <c r="B1147" s="556"/>
      <c r="C1147" s="596"/>
      <c r="D1147" s="556"/>
      <c r="E1147" s="596"/>
      <c r="F1147" s="556"/>
      <c r="G1147" s="556"/>
      <c r="H1147" s="556"/>
      <c r="I1147" s="556"/>
      <c r="J1147" s="556"/>
      <c r="K1147" s="556"/>
      <c r="L1147" s="556"/>
      <c r="M1147" s="556"/>
      <c r="N1147" s="556"/>
      <c r="O1147" s="556"/>
      <c r="P1147" s="556"/>
      <c r="Q1147" s="556"/>
      <c r="R1147" s="596"/>
      <c r="S1147" s="596"/>
      <c r="T1147" s="556"/>
      <c r="U1147" s="556"/>
      <c r="V1147" s="807"/>
      <c r="W1147" s="556"/>
      <c r="X1147" s="556"/>
      <c r="Y1147" s="556"/>
      <c r="Z1147" s="579"/>
      <c r="AA1147" s="556"/>
      <c r="AB1147" s="556"/>
      <c r="AC1147" s="556"/>
      <c r="AD1147" s="556"/>
    </row>
    <row r="1148" ht="15.75" customHeight="1">
      <c r="A1148" s="556"/>
      <c r="B1148" s="556"/>
      <c r="C1148" s="596"/>
      <c r="D1148" s="556"/>
      <c r="E1148" s="596"/>
      <c r="F1148" s="556"/>
      <c r="G1148" s="556"/>
      <c r="H1148" s="556"/>
      <c r="I1148" s="556"/>
      <c r="J1148" s="556"/>
      <c r="K1148" s="556"/>
      <c r="L1148" s="556"/>
      <c r="M1148" s="556"/>
      <c r="N1148" s="556"/>
      <c r="O1148" s="556"/>
      <c r="P1148" s="556"/>
      <c r="Q1148" s="556"/>
      <c r="R1148" s="596"/>
      <c r="S1148" s="596"/>
      <c r="T1148" s="556"/>
      <c r="U1148" s="556"/>
      <c r="V1148" s="807"/>
      <c r="W1148" s="556"/>
      <c r="X1148" s="556"/>
      <c r="Y1148" s="556"/>
      <c r="Z1148" s="579"/>
      <c r="AA1148" s="556"/>
      <c r="AB1148" s="556"/>
      <c r="AC1148" s="556"/>
      <c r="AD1148" s="556"/>
    </row>
    <row r="1149" ht="15.75" customHeight="1">
      <c r="A1149" s="556"/>
      <c r="B1149" s="556"/>
      <c r="C1149" s="596"/>
      <c r="D1149" s="556"/>
      <c r="E1149" s="596"/>
      <c r="F1149" s="556"/>
      <c r="G1149" s="556"/>
      <c r="H1149" s="556"/>
      <c r="I1149" s="556"/>
      <c r="J1149" s="556"/>
      <c r="K1149" s="556"/>
      <c r="L1149" s="556"/>
      <c r="M1149" s="556"/>
      <c r="N1149" s="556"/>
      <c r="O1149" s="556"/>
      <c r="P1149" s="556"/>
      <c r="Q1149" s="556"/>
      <c r="R1149" s="596"/>
      <c r="S1149" s="596"/>
      <c r="T1149" s="556"/>
      <c r="U1149" s="556"/>
      <c r="V1149" s="807"/>
      <c r="W1149" s="556"/>
      <c r="X1149" s="556"/>
      <c r="Y1149" s="556"/>
      <c r="Z1149" s="579"/>
      <c r="AA1149" s="556"/>
      <c r="AB1149" s="556"/>
      <c r="AC1149" s="556"/>
      <c r="AD1149" s="556"/>
    </row>
    <row r="1150" ht="15.75" customHeight="1">
      <c r="A1150" s="556"/>
      <c r="B1150" s="556"/>
      <c r="C1150" s="596"/>
      <c r="D1150" s="556"/>
      <c r="E1150" s="596"/>
      <c r="F1150" s="556"/>
      <c r="G1150" s="556"/>
      <c r="H1150" s="556"/>
      <c r="I1150" s="556"/>
      <c r="J1150" s="556"/>
      <c r="K1150" s="556"/>
      <c r="L1150" s="556"/>
      <c r="M1150" s="556"/>
      <c r="N1150" s="556"/>
      <c r="O1150" s="556"/>
      <c r="P1150" s="556"/>
      <c r="Q1150" s="556"/>
      <c r="R1150" s="596"/>
      <c r="S1150" s="596"/>
      <c r="T1150" s="556"/>
      <c r="U1150" s="556"/>
      <c r="V1150" s="807"/>
      <c r="W1150" s="556"/>
      <c r="X1150" s="556"/>
      <c r="Y1150" s="556"/>
      <c r="Z1150" s="579"/>
      <c r="AA1150" s="556"/>
      <c r="AB1150" s="556"/>
      <c r="AC1150" s="556"/>
      <c r="AD1150" s="556"/>
    </row>
    <row r="1151" ht="15.75" customHeight="1">
      <c r="A1151" s="556"/>
      <c r="B1151" s="556"/>
      <c r="C1151" s="596"/>
      <c r="D1151" s="556"/>
      <c r="E1151" s="596"/>
      <c r="F1151" s="556"/>
      <c r="G1151" s="556"/>
      <c r="H1151" s="556"/>
      <c r="I1151" s="556"/>
      <c r="J1151" s="556"/>
      <c r="K1151" s="556"/>
      <c r="L1151" s="556"/>
      <c r="M1151" s="556"/>
      <c r="N1151" s="556"/>
      <c r="O1151" s="556"/>
      <c r="P1151" s="556"/>
      <c r="Q1151" s="556"/>
      <c r="R1151" s="596"/>
      <c r="S1151" s="596"/>
      <c r="T1151" s="556"/>
      <c r="U1151" s="556"/>
      <c r="V1151" s="807"/>
      <c r="W1151" s="556"/>
      <c r="X1151" s="556"/>
      <c r="Y1151" s="556"/>
      <c r="Z1151" s="579"/>
      <c r="AA1151" s="556"/>
      <c r="AB1151" s="556"/>
      <c r="AC1151" s="556"/>
      <c r="AD1151" s="556"/>
    </row>
    <row r="1152" ht="15.75" customHeight="1">
      <c r="A1152" s="556"/>
      <c r="B1152" s="556"/>
      <c r="C1152" s="596"/>
      <c r="D1152" s="556"/>
      <c r="E1152" s="596"/>
      <c r="F1152" s="556"/>
      <c r="G1152" s="556"/>
      <c r="H1152" s="556"/>
      <c r="I1152" s="556"/>
      <c r="J1152" s="556"/>
      <c r="K1152" s="556"/>
      <c r="L1152" s="556"/>
      <c r="M1152" s="556"/>
      <c r="N1152" s="556"/>
      <c r="O1152" s="556"/>
      <c r="P1152" s="556"/>
      <c r="Q1152" s="556"/>
      <c r="R1152" s="596"/>
      <c r="S1152" s="596"/>
      <c r="T1152" s="556"/>
      <c r="U1152" s="556"/>
      <c r="V1152" s="807"/>
      <c r="W1152" s="556"/>
      <c r="X1152" s="556"/>
      <c r="Y1152" s="556"/>
      <c r="Z1152" s="579"/>
      <c r="AA1152" s="556"/>
      <c r="AB1152" s="556"/>
      <c r="AC1152" s="556"/>
      <c r="AD1152" s="556"/>
    </row>
    <row r="1153" ht="15.75" customHeight="1">
      <c r="A1153" s="556"/>
      <c r="B1153" s="556"/>
      <c r="C1153" s="596"/>
      <c r="D1153" s="556"/>
      <c r="E1153" s="596"/>
      <c r="F1153" s="556"/>
      <c r="G1153" s="556"/>
      <c r="H1153" s="556"/>
      <c r="I1153" s="556"/>
      <c r="J1153" s="556"/>
      <c r="K1153" s="556"/>
      <c r="L1153" s="556"/>
      <c r="M1153" s="556"/>
      <c r="N1153" s="556"/>
      <c r="O1153" s="556"/>
      <c r="P1153" s="556"/>
      <c r="Q1153" s="556"/>
      <c r="R1153" s="596"/>
      <c r="S1153" s="596"/>
      <c r="T1153" s="556"/>
      <c r="U1153" s="556"/>
      <c r="V1153" s="807"/>
      <c r="W1153" s="556"/>
      <c r="X1153" s="556"/>
      <c r="Y1153" s="556"/>
      <c r="Z1153" s="579"/>
      <c r="AA1153" s="556"/>
      <c r="AB1153" s="556"/>
      <c r="AC1153" s="556"/>
      <c r="AD1153" s="556"/>
    </row>
    <row r="1154" ht="15.75" customHeight="1">
      <c r="A1154" s="556"/>
      <c r="B1154" s="556"/>
      <c r="C1154" s="596"/>
      <c r="D1154" s="556"/>
      <c r="E1154" s="596"/>
      <c r="F1154" s="556"/>
      <c r="G1154" s="556"/>
      <c r="H1154" s="556"/>
      <c r="I1154" s="556"/>
      <c r="J1154" s="556"/>
      <c r="K1154" s="556"/>
      <c r="L1154" s="556"/>
      <c r="M1154" s="556"/>
      <c r="N1154" s="556"/>
      <c r="O1154" s="556"/>
      <c r="P1154" s="556"/>
      <c r="Q1154" s="556"/>
      <c r="R1154" s="596"/>
      <c r="S1154" s="596"/>
      <c r="T1154" s="556"/>
      <c r="U1154" s="556"/>
      <c r="V1154" s="807"/>
      <c r="W1154" s="556"/>
      <c r="X1154" s="556"/>
      <c r="Y1154" s="556"/>
      <c r="Z1154" s="579"/>
      <c r="AA1154" s="556"/>
      <c r="AB1154" s="556"/>
      <c r="AC1154" s="556"/>
      <c r="AD1154" s="556"/>
    </row>
    <row r="1155" ht="15.75" customHeight="1">
      <c r="A1155" s="556"/>
      <c r="B1155" s="556"/>
      <c r="C1155" s="596"/>
      <c r="D1155" s="556"/>
      <c r="E1155" s="596"/>
      <c r="F1155" s="556"/>
      <c r="G1155" s="556"/>
      <c r="H1155" s="556"/>
      <c r="I1155" s="556"/>
      <c r="J1155" s="556"/>
      <c r="K1155" s="556"/>
      <c r="L1155" s="556"/>
      <c r="M1155" s="556"/>
      <c r="N1155" s="556"/>
      <c r="O1155" s="556"/>
      <c r="P1155" s="556"/>
      <c r="Q1155" s="556"/>
      <c r="R1155" s="596"/>
      <c r="S1155" s="596"/>
      <c r="T1155" s="556"/>
      <c r="U1155" s="556"/>
      <c r="V1155" s="807"/>
      <c r="W1155" s="556"/>
      <c r="X1155" s="556"/>
      <c r="Y1155" s="556"/>
      <c r="Z1155" s="579"/>
      <c r="AA1155" s="556"/>
      <c r="AB1155" s="556"/>
      <c r="AC1155" s="556"/>
      <c r="AD1155" s="556"/>
    </row>
    <row r="1156" ht="15.75" customHeight="1">
      <c r="A1156" s="556"/>
      <c r="B1156" s="556"/>
      <c r="C1156" s="596"/>
      <c r="D1156" s="556"/>
      <c r="E1156" s="596"/>
      <c r="F1156" s="556"/>
      <c r="G1156" s="556"/>
      <c r="H1156" s="556"/>
      <c r="I1156" s="556"/>
      <c r="J1156" s="556"/>
      <c r="K1156" s="556"/>
      <c r="L1156" s="556"/>
      <c r="M1156" s="556"/>
      <c r="N1156" s="556"/>
      <c r="O1156" s="556"/>
      <c r="P1156" s="556"/>
      <c r="Q1156" s="556"/>
      <c r="R1156" s="596"/>
      <c r="S1156" s="596"/>
      <c r="T1156" s="556"/>
      <c r="U1156" s="556"/>
      <c r="V1156" s="807"/>
      <c r="W1156" s="556"/>
      <c r="X1156" s="556"/>
      <c r="Y1156" s="556"/>
      <c r="Z1156" s="579"/>
      <c r="AA1156" s="556"/>
      <c r="AB1156" s="556"/>
      <c r="AC1156" s="556"/>
      <c r="AD1156" s="556"/>
    </row>
    <row r="1157" ht="15.75" customHeight="1">
      <c r="A1157" s="556"/>
      <c r="B1157" s="556"/>
      <c r="C1157" s="596"/>
      <c r="D1157" s="556"/>
      <c r="E1157" s="596"/>
      <c r="F1157" s="556"/>
      <c r="G1157" s="556"/>
      <c r="H1157" s="556"/>
      <c r="I1157" s="556"/>
      <c r="J1157" s="556"/>
      <c r="K1157" s="556"/>
      <c r="L1157" s="556"/>
      <c r="M1157" s="556"/>
      <c r="N1157" s="556"/>
      <c r="O1157" s="556"/>
      <c r="P1157" s="556"/>
      <c r="Q1157" s="556"/>
      <c r="R1157" s="596"/>
      <c r="S1157" s="596"/>
      <c r="T1157" s="556"/>
      <c r="U1157" s="556"/>
      <c r="V1157" s="807"/>
      <c r="W1157" s="556"/>
      <c r="X1157" s="556"/>
      <c r="Y1157" s="556"/>
      <c r="Z1157" s="579"/>
      <c r="AA1157" s="556"/>
      <c r="AB1157" s="556"/>
      <c r="AC1157" s="556"/>
      <c r="AD1157" s="556"/>
    </row>
    <row r="1158" ht="15.75" customHeight="1">
      <c r="A1158" s="556"/>
      <c r="B1158" s="556"/>
      <c r="C1158" s="596"/>
      <c r="D1158" s="556"/>
      <c r="E1158" s="596"/>
      <c r="F1158" s="556"/>
      <c r="G1158" s="556"/>
      <c r="H1158" s="556"/>
      <c r="I1158" s="556"/>
      <c r="J1158" s="556"/>
      <c r="K1158" s="556"/>
      <c r="L1158" s="556"/>
      <c r="M1158" s="556"/>
      <c r="N1158" s="556"/>
      <c r="O1158" s="556"/>
      <c r="P1158" s="556"/>
      <c r="Q1158" s="556"/>
      <c r="R1158" s="596"/>
      <c r="S1158" s="596"/>
      <c r="T1158" s="556"/>
      <c r="U1158" s="556"/>
      <c r="V1158" s="807"/>
      <c r="W1158" s="556"/>
      <c r="X1158" s="556"/>
      <c r="Y1158" s="556"/>
      <c r="Z1158" s="579"/>
      <c r="AA1158" s="556"/>
      <c r="AB1158" s="556"/>
      <c r="AC1158" s="556"/>
      <c r="AD1158" s="556"/>
    </row>
    <row r="1159" ht="15.75" customHeight="1">
      <c r="A1159" s="556"/>
      <c r="B1159" s="556"/>
      <c r="C1159" s="596"/>
      <c r="D1159" s="556"/>
      <c r="E1159" s="596"/>
      <c r="F1159" s="556"/>
      <c r="G1159" s="556"/>
      <c r="H1159" s="556"/>
      <c r="I1159" s="556"/>
      <c r="J1159" s="556"/>
      <c r="K1159" s="556"/>
      <c r="L1159" s="556"/>
      <c r="M1159" s="556"/>
      <c r="N1159" s="556"/>
      <c r="O1159" s="556"/>
      <c r="P1159" s="556"/>
      <c r="Q1159" s="556"/>
      <c r="R1159" s="596"/>
      <c r="S1159" s="596"/>
      <c r="T1159" s="556"/>
      <c r="U1159" s="556"/>
      <c r="V1159" s="807"/>
      <c r="W1159" s="556"/>
      <c r="X1159" s="556"/>
      <c r="Y1159" s="556"/>
      <c r="Z1159" s="579"/>
      <c r="AA1159" s="556"/>
      <c r="AB1159" s="556"/>
      <c r="AC1159" s="556"/>
      <c r="AD1159" s="556"/>
    </row>
    <row r="1160" ht="15.75" customHeight="1">
      <c r="A1160" s="556"/>
      <c r="B1160" s="556"/>
      <c r="C1160" s="596"/>
      <c r="D1160" s="556"/>
      <c r="E1160" s="596"/>
      <c r="F1160" s="556"/>
      <c r="G1160" s="556"/>
      <c r="H1160" s="556"/>
      <c r="I1160" s="556"/>
      <c r="J1160" s="556"/>
      <c r="K1160" s="556"/>
      <c r="L1160" s="556"/>
      <c r="M1160" s="556"/>
      <c r="N1160" s="556"/>
      <c r="O1160" s="556"/>
      <c r="P1160" s="556"/>
      <c r="Q1160" s="556"/>
      <c r="R1160" s="596"/>
      <c r="S1160" s="596"/>
      <c r="T1160" s="556"/>
      <c r="U1160" s="556"/>
      <c r="V1160" s="807"/>
      <c r="W1160" s="556"/>
      <c r="X1160" s="556"/>
      <c r="Y1160" s="556"/>
      <c r="Z1160" s="579"/>
      <c r="AA1160" s="556"/>
      <c r="AB1160" s="556"/>
      <c r="AC1160" s="556"/>
      <c r="AD1160" s="556"/>
    </row>
    <row r="1161" ht="15.75" customHeight="1">
      <c r="A1161" s="556"/>
      <c r="B1161" s="556"/>
      <c r="C1161" s="596"/>
      <c r="D1161" s="556"/>
      <c r="E1161" s="596"/>
      <c r="F1161" s="556"/>
      <c r="G1161" s="556"/>
      <c r="H1161" s="556"/>
      <c r="I1161" s="556"/>
      <c r="J1161" s="556"/>
      <c r="K1161" s="556"/>
      <c r="L1161" s="556"/>
      <c r="M1161" s="556"/>
      <c r="N1161" s="556"/>
      <c r="O1161" s="556"/>
      <c r="P1161" s="556"/>
      <c r="Q1161" s="556"/>
      <c r="R1161" s="596"/>
      <c r="S1161" s="596"/>
      <c r="T1161" s="556"/>
      <c r="U1161" s="556"/>
      <c r="V1161" s="807"/>
      <c r="W1161" s="556"/>
      <c r="X1161" s="556"/>
      <c r="Y1161" s="556"/>
      <c r="Z1161" s="579"/>
      <c r="AA1161" s="556"/>
      <c r="AB1161" s="556"/>
      <c r="AC1161" s="556"/>
      <c r="AD1161" s="556"/>
    </row>
    <row r="1162" ht="15.75" customHeight="1">
      <c r="A1162" s="556"/>
      <c r="B1162" s="556"/>
      <c r="C1162" s="596"/>
      <c r="D1162" s="556"/>
      <c r="E1162" s="596"/>
      <c r="F1162" s="556"/>
      <c r="G1162" s="556"/>
      <c r="H1162" s="556"/>
      <c r="I1162" s="556"/>
      <c r="J1162" s="556"/>
      <c r="K1162" s="556"/>
      <c r="L1162" s="556"/>
      <c r="M1162" s="556"/>
      <c r="N1162" s="556"/>
      <c r="O1162" s="556"/>
      <c r="P1162" s="556"/>
      <c r="Q1162" s="556"/>
      <c r="R1162" s="596"/>
      <c r="S1162" s="596"/>
      <c r="T1162" s="556"/>
      <c r="U1162" s="556"/>
      <c r="V1162" s="807"/>
      <c r="W1162" s="556"/>
      <c r="X1162" s="556"/>
      <c r="Y1162" s="556"/>
      <c r="Z1162" s="579"/>
      <c r="AA1162" s="556"/>
      <c r="AB1162" s="556"/>
      <c r="AC1162" s="556"/>
      <c r="AD1162" s="556"/>
    </row>
    <row r="1163" ht="15.75" customHeight="1">
      <c r="A1163" s="556"/>
      <c r="B1163" s="556"/>
      <c r="C1163" s="596"/>
      <c r="D1163" s="556"/>
      <c r="E1163" s="596"/>
      <c r="F1163" s="556"/>
      <c r="G1163" s="556"/>
      <c r="H1163" s="556"/>
      <c r="I1163" s="556"/>
      <c r="J1163" s="556"/>
      <c r="K1163" s="556"/>
      <c r="L1163" s="556"/>
      <c r="M1163" s="556"/>
      <c r="N1163" s="556"/>
      <c r="O1163" s="556"/>
      <c r="P1163" s="556"/>
      <c r="Q1163" s="556"/>
      <c r="R1163" s="596"/>
      <c r="S1163" s="596"/>
      <c r="T1163" s="556"/>
      <c r="U1163" s="556"/>
      <c r="V1163" s="807"/>
      <c r="W1163" s="556"/>
      <c r="X1163" s="556"/>
      <c r="Y1163" s="556"/>
      <c r="Z1163" s="579"/>
      <c r="AA1163" s="556"/>
      <c r="AB1163" s="556"/>
      <c r="AC1163" s="556"/>
      <c r="AD1163" s="556"/>
    </row>
    <row r="1164" ht="15.75" customHeight="1">
      <c r="A1164" s="556"/>
      <c r="B1164" s="556"/>
      <c r="C1164" s="596"/>
      <c r="D1164" s="556"/>
      <c r="E1164" s="596"/>
      <c r="F1164" s="556"/>
      <c r="G1164" s="556"/>
      <c r="H1164" s="556"/>
      <c r="I1164" s="556"/>
      <c r="J1164" s="556"/>
      <c r="K1164" s="556"/>
      <c r="L1164" s="556"/>
      <c r="M1164" s="556"/>
      <c r="N1164" s="556"/>
      <c r="O1164" s="556"/>
      <c r="P1164" s="556"/>
      <c r="Q1164" s="556"/>
      <c r="R1164" s="596"/>
      <c r="S1164" s="596"/>
      <c r="T1164" s="556"/>
      <c r="U1164" s="556"/>
      <c r="V1164" s="807"/>
      <c r="W1164" s="556"/>
      <c r="X1164" s="556"/>
      <c r="Y1164" s="556"/>
      <c r="Z1164" s="579"/>
      <c r="AA1164" s="556"/>
      <c r="AB1164" s="556"/>
      <c r="AC1164" s="556"/>
      <c r="AD1164" s="556"/>
    </row>
    <row r="1165" ht="15.75" customHeight="1">
      <c r="A1165" s="556"/>
      <c r="B1165" s="556"/>
      <c r="C1165" s="596"/>
      <c r="D1165" s="556"/>
      <c r="E1165" s="596"/>
      <c r="F1165" s="556"/>
      <c r="G1165" s="556"/>
      <c r="H1165" s="556"/>
      <c r="I1165" s="556"/>
      <c r="J1165" s="556"/>
      <c r="K1165" s="556"/>
      <c r="L1165" s="556"/>
      <c r="M1165" s="556"/>
      <c r="N1165" s="556"/>
      <c r="O1165" s="556"/>
      <c r="P1165" s="556"/>
      <c r="Q1165" s="556"/>
      <c r="R1165" s="596"/>
      <c r="S1165" s="596"/>
      <c r="T1165" s="556"/>
      <c r="U1165" s="556"/>
      <c r="V1165" s="807"/>
      <c r="W1165" s="556"/>
      <c r="X1165" s="556"/>
      <c r="Y1165" s="556"/>
      <c r="Z1165" s="579"/>
      <c r="AA1165" s="556"/>
      <c r="AB1165" s="556"/>
      <c r="AC1165" s="556"/>
      <c r="AD1165" s="556"/>
    </row>
    <row r="1166" ht="15.75" customHeight="1">
      <c r="A1166" s="556"/>
      <c r="B1166" s="556"/>
      <c r="C1166" s="596"/>
      <c r="D1166" s="556"/>
      <c r="E1166" s="596"/>
      <c r="F1166" s="556"/>
      <c r="G1166" s="556"/>
      <c r="H1166" s="556"/>
      <c r="I1166" s="556"/>
      <c r="J1166" s="556"/>
      <c r="K1166" s="556"/>
      <c r="L1166" s="556"/>
      <c r="M1166" s="556"/>
      <c r="N1166" s="556"/>
      <c r="O1166" s="556"/>
      <c r="P1166" s="556"/>
      <c r="Q1166" s="556"/>
      <c r="R1166" s="596"/>
      <c r="S1166" s="596"/>
      <c r="T1166" s="556"/>
      <c r="U1166" s="556"/>
      <c r="V1166" s="807"/>
      <c r="W1166" s="556"/>
      <c r="X1166" s="556"/>
      <c r="Y1166" s="556"/>
      <c r="Z1166" s="579"/>
      <c r="AA1166" s="556"/>
      <c r="AB1166" s="556"/>
      <c r="AC1166" s="556"/>
      <c r="AD1166" s="556"/>
    </row>
    <row r="1167" ht="15.75" customHeight="1">
      <c r="A1167" s="556"/>
      <c r="B1167" s="556"/>
      <c r="C1167" s="596"/>
      <c r="D1167" s="556"/>
      <c r="E1167" s="596"/>
      <c r="F1167" s="556"/>
      <c r="G1167" s="556"/>
      <c r="H1167" s="556"/>
      <c r="I1167" s="556"/>
      <c r="J1167" s="556"/>
      <c r="K1167" s="556"/>
      <c r="L1167" s="556"/>
      <c r="M1167" s="556"/>
      <c r="N1167" s="556"/>
      <c r="O1167" s="556"/>
      <c r="P1167" s="556"/>
      <c r="Q1167" s="556"/>
      <c r="R1167" s="596"/>
      <c r="S1167" s="596"/>
      <c r="T1167" s="556"/>
      <c r="U1167" s="556"/>
      <c r="V1167" s="807"/>
      <c r="W1167" s="556"/>
      <c r="X1167" s="556"/>
      <c r="Y1167" s="556"/>
      <c r="Z1167" s="579"/>
      <c r="AA1167" s="556"/>
      <c r="AB1167" s="556"/>
      <c r="AC1167" s="556"/>
      <c r="AD1167" s="556"/>
    </row>
    <row r="1168" ht="15.75" customHeight="1">
      <c r="A1168" s="556"/>
      <c r="B1168" s="556"/>
      <c r="C1168" s="596"/>
      <c r="D1168" s="556"/>
      <c r="E1168" s="596"/>
      <c r="F1168" s="556"/>
      <c r="G1168" s="556"/>
      <c r="H1168" s="556"/>
      <c r="I1168" s="556"/>
      <c r="J1168" s="556"/>
      <c r="K1168" s="556"/>
      <c r="L1168" s="556"/>
      <c r="M1168" s="556"/>
      <c r="N1168" s="556"/>
      <c r="O1168" s="556"/>
      <c r="P1168" s="556"/>
      <c r="Q1168" s="556"/>
      <c r="R1168" s="596"/>
      <c r="S1168" s="596"/>
      <c r="T1168" s="556"/>
      <c r="U1168" s="556"/>
      <c r="V1168" s="807"/>
      <c r="W1168" s="556"/>
      <c r="X1168" s="556"/>
      <c r="Y1168" s="556"/>
      <c r="Z1168" s="579"/>
      <c r="AA1168" s="556"/>
      <c r="AB1168" s="556"/>
      <c r="AC1168" s="556"/>
      <c r="AD1168" s="556"/>
    </row>
    <row r="1169" ht="15.75" customHeight="1">
      <c r="A1169" s="556"/>
      <c r="B1169" s="556"/>
      <c r="C1169" s="596"/>
      <c r="D1169" s="556"/>
      <c r="E1169" s="596"/>
      <c r="F1169" s="556"/>
      <c r="G1169" s="556"/>
      <c r="H1169" s="556"/>
      <c r="I1169" s="556"/>
      <c r="J1169" s="556"/>
      <c r="K1169" s="556"/>
      <c r="L1169" s="556"/>
      <c r="M1169" s="556"/>
      <c r="N1169" s="556"/>
      <c r="O1169" s="556"/>
      <c r="P1169" s="556"/>
      <c r="Q1169" s="556"/>
      <c r="R1169" s="596"/>
      <c r="S1169" s="596"/>
      <c r="T1169" s="556"/>
      <c r="U1169" s="556"/>
      <c r="V1169" s="807"/>
      <c r="W1169" s="556"/>
      <c r="X1169" s="556"/>
      <c r="Y1169" s="556"/>
      <c r="Z1169" s="579"/>
      <c r="AA1169" s="556"/>
      <c r="AB1169" s="556"/>
      <c r="AC1169" s="556"/>
      <c r="AD1169" s="556"/>
    </row>
    <row r="1170" ht="15.75" customHeight="1">
      <c r="A1170" s="556"/>
      <c r="B1170" s="556"/>
      <c r="C1170" s="596"/>
      <c r="D1170" s="556"/>
      <c r="E1170" s="596"/>
      <c r="F1170" s="556"/>
      <c r="G1170" s="556"/>
      <c r="H1170" s="556"/>
      <c r="I1170" s="556"/>
      <c r="J1170" s="556"/>
      <c r="K1170" s="556"/>
      <c r="L1170" s="556"/>
      <c r="M1170" s="556"/>
      <c r="N1170" s="556"/>
      <c r="O1170" s="556"/>
      <c r="P1170" s="556"/>
      <c r="Q1170" s="556"/>
      <c r="R1170" s="596"/>
      <c r="S1170" s="596"/>
      <c r="T1170" s="556"/>
      <c r="U1170" s="556"/>
      <c r="V1170" s="807"/>
      <c r="W1170" s="556"/>
      <c r="X1170" s="556"/>
      <c r="Y1170" s="556"/>
      <c r="Z1170" s="579"/>
      <c r="AA1170" s="556"/>
      <c r="AB1170" s="556"/>
      <c r="AC1170" s="556"/>
      <c r="AD1170" s="556"/>
    </row>
    <row r="1171" ht="15.75" customHeight="1">
      <c r="A1171" s="556"/>
      <c r="B1171" s="556"/>
      <c r="C1171" s="596"/>
      <c r="D1171" s="556"/>
      <c r="E1171" s="596"/>
      <c r="F1171" s="556"/>
      <c r="G1171" s="556"/>
      <c r="H1171" s="556"/>
      <c r="I1171" s="556"/>
      <c r="J1171" s="556"/>
      <c r="K1171" s="556"/>
      <c r="L1171" s="556"/>
      <c r="M1171" s="556"/>
      <c r="N1171" s="556"/>
      <c r="O1171" s="556"/>
      <c r="P1171" s="556"/>
      <c r="Q1171" s="556"/>
      <c r="R1171" s="596"/>
      <c r="S1171" s="596"/>
      <c r="T1171" s="556"/>
      <c r="U1171" s="556"/>
      <c r="V1171" s="807"/>
      <c r="W1171" s="556"/>
      <c r="X1171" s="556"/>
      <c r="Y1171" s="556"/>
      <c r="Z1171" s="579"/>
      <c r="AA1171" s="556"/>
      <c r="AB1171" s="556"/>
      <c r="AC1171" s="556"/>
      <c r="AD1171" s="556"/>
    </row>
    <row r="1172" ht="15.75" customHeight="1">
      <c r="A1172" s="556"/>
      <c r="B1172" s="556"/>
      <c r="C1172" s="596"/>
      <c r="D1172" s="556"/>
      <c r="E1172" s="596"/>
      <c r="F1172" s="556"/>
      <c r="G1172" s="556"/>
      <c r="H1172" s="556"/>
      <c r="I1172" s="556"/>
      <c r="J1172" s="556"/>
      <c r="K1172" s="556"/>
      <c r="L1172" s="556"/>
      <c r="M1172" s="556"/>
      <c r="N1172" s="556"/>
      <c r="O1172" s="556"/>
      <c r="P1172" s="556"/>
      <c r="Q1172" s="556"/>
      <c r="R1172" s="596"/>
      <c r="S1172" s="596"/>
      <c r="T1172" s="556"/>
      <c r="U1172" s="556"/>
      <c r="V1172" s="807"/>
      <c r="W1172" s="556"/>
      <c r="X1172" s="556"/>
      <c r="Y1172" s="556"/>
      <c r="Z1172" s="579"/>
      <c r="AA1172" s="556"/>
      <c r="AB1172" s="556"/>
      <c r="AC1172" s="556"/>
      <c r="AD1172" s="556"/>
    </row>
    <row r="1173" ht="15.75" customHeight="1">
      <c r="A1173" s="556"/>
      <c r="B1173" s="556"/>
      <c r="C1173" s="596"/>
      <c r="D1173" s="556"/>
      <c r="E1173" s="596"/>
      <c r="F1173" s="556"/>
      <c r="G1173" s="556"/>
      <c r="H1173" s="556"/>
      <c r="I1173" s="556"/>
      <c r="J1173" s="556"/>
      <c r="K1173" s="556"/>
      <c r="L1173" s="556"/>
      <c r="M1173" s="556"/>
      <c r="N1173" s="556"/>
      <c r="O1173" s="556"/>
      <c r="P1173" s="556"/>
      <c r="Q1173" s="556"/>
      <c r="R1173" s="596"/>
      <c r="S1173" s="596"/>
      <c r="T1173" s="556"/>
      <c r="U1173" s="556"/>
      <c r="V1173" s="807"/>
      <c r="W1173" s="556"/>
      <c r="X1173" s="556"/>
      <c r="Y1173" s="556"/>
      <c r="Z1173" s="579"/>
      <c r="AA1173" s="556"/>
      <c r="AB1173" s="556"/>
      <c r="AC1173" s="556"/>
      <c r="AD1173" s="556"/>
    </row>
    <row r="1174" ht="15.75" customHeight="1">
      <c r="A1174" s="556"/>
      <c r="B1174" s="556"/>
      <c r="C1174" s="596"/>
      <c r="D1174" s="556"/>
      <c r="E1174" s="596"/>
      <c r="F1174" s="556"/>
      <c r="G1174" s="556"/>
      <c r="H1174" s="556"/>
      <c r="I1174" s="556"/>
      <c r="J1174" s="556"/>
      <c r="K1174" s="556"/>
      <c r="L1174" s="556"/>
      <c r="M1174" s="556"/>
      <c r="N1174" s="556"/>
      <c r="O1174" s="556"/>
      <c r="P1174" s="556"/>
      <c r="Q1174" s="556"/>
      <c r="R1174" s="596"/>
      <c r="S1174" s="596"/>
      <c r="T1174" s="556"/>
      <c r="U1174" s="556"/>
      <c r="V1174" s="807"/>
      <c r="W1174" s="556"/>
      <c r="X1174" s="556"/>
      <c r="Y1174" s="556"/>
      <c r="Z1174" s="579"/>
      <c r="AA1174" s="556"/>
      <c r="AB1174" s="556"/>
      <c r="AC1174" s="556"/>
      <c r="AD1174" s="556"/>
    </row>
    <row r="1175" ht="15.75" customHeight="1">
      <c r="A1175" s="556"/>
      <c r="B1175" s="556"/>
      <c r="C1175" s="596"/>
      <c r="D1175" s="556"/>
      <c r="E1175" s="596"/>
      <c r="F1175" s="556"/>
      <c r="G1175" s="556"/>
      <c r="H1175" s="556"/>
      <c r="I1175" s="556"/>
      <c r="J1175" s="556"/>
      <c r="K1175" s="556"/>
      <c r="L1175" s="556"/>
      <c r="M1175" s="556"/>
      <c r="N1175" s="556"/>
      <c r="O1175" s="556"/>
      <c r="P1175" s="556"/>
      <c r="Q1175" s="556"/>
      <c r="R1175" s="596"/>
      <c r="S1175" s="596"/>
      <c r="T1175" s="556"/>
      <c r="U1175" s="556"/>
      <c r="V1175" s="807"/>
      <c r="W1175" s="556"/>
      <c r="X1175" s="556"/>
      <c r="Y1175" s="556"/>
      <c r="Z1175" s="579"/>
      <c r="AA1175" s="556"/>
      <c r="AB1175" s="556"/>
      <c r="AC1175" s="556"/>
      <c r="AD1175" s="556"/>
    </row>
    <row r="1176" ht="15.75" customHeight="1">
      <c r="A1176" s="556"/>
      <c r="B1176" s="556"/>
      <c r="C1176" s="596"/>
      <c r="D1176" s="556"/>
      <c r="E1176" s="596"/>
      <c r="F1176" s="556"/>
      <c r="G1176" s="556"/>
      <c r="H1176" s="556"/>
      <c r="I1176" s="556"/>
      <c r="J1176" s="556"/>
      <c r="K1176" s="556"/>
      <c r="L1176" s="556"/>
      <c r="M1176" s="556"/>
      <c r="N1176" s="556"/>
      <c r="O1176" s="556"/>
      <c r="P1176" s="556"/>
      <c r="Q1176" s="556"/>
      <c r="R1176" s="596"/>
      <c r="S1176" s="596"/>
      <c r="T1176" s="556"/>
      <c r="U1176" s="556"/>
      <c r="V1176" s="807"/>
      <c r="W1176" s="556"/>
      <c r="X1176" s="556"/>
      <c r="Y1176" s="556"/>
      <c r="Z1176" s="579"/>
      <c r="AA1176" s="556"/>
      <c r="AB1176" s="556"/>
      <c r="AC1176" s="556"/>
      <c r="AD1176" s="556"/>
    </row>
    <row r="1177" ht="15.75" customHeight="1">
      <c r="A1177" s="556"/>
      <c r="B1177" s="556"/>
      <c r="C1177" s="596"/>
      <c r="D1177" s="556"/>
      <c r="E1177" s="596"/>
      <c r="F1177" s="556"/>
      <c r="G1177" s="556"/>
      <c r="H1177" s="556"/>
      <c r="I1177" s="556"/>
      <c r="J1177" s="556"/>
      <c r="K1177" s="556"/>
      <c r="L1177" s="556"/>
      <c r="M1177" s="556"/>
      <c r="N1177" s="556"/>
      <c r="O1177" s="556"/>
      <c r="P1177" s="556"/>
      <c r="Q1177" s="556"/>
      <c r="R1177" s="596"/>
      <c r="S1177" s="596"/>
      <c r="T1177" s="556"/>
      <c r="U1177" s="556"/>
      <c r="V1177" s="807"/>
      <c r="W1177" s="556"/>
      <c r="X1177" s="556"/>
      <c r="Y1177" s="556"/>
      <c r="Z1177" s="579"/>
      <c r="AA1177" s="556"/>
      <c r="AB1177" s="556"/>
      <c r="AC1177" s="556"/>
      <c r="AD1177" s="556"/>
    </row>
    <row r="1178" ht="15.75" customHeight="1">
      <c r="A1178" s="556"/>
      <c r="B1178" s="556"/>
      <c r="C1178" s="596"/>
      <c r="D1178" s="556"/>
      <c r="E1178" s="596"/>
      <c r="F1178" s="556"/>
      <c r="G1178" s="556"/>
      <c r="H1178" s="556"/>
      <c r="I1178" s="556"/>
      <c r="J1178" s="556"/>
      <c r="K1178" s="556"/>
      <c r="L1178" s="556"/>
      <c r="M1178" s="556"/>
      <c r="N1178" s="556"/>
      <c r="O1178" s="556"/>
      <c r="P1178" s="556"/>
      <c r="Q1178" s="556"/>
      <c r="R1178" s="596"/>
      <c r="S1178" s="596"/>
      <c r="T1178" s="556"/>
      <c r="U1178" s="556"/>
      <c r="V1178" s="807"/>
      <c r="W1178" s="556"/>
      <c r="X1178" s="556"/>
      <c r="Y1178" s="556"/>
      <c r="Z1178" s="579"/>
      <c r="AA1178" s="556"/>
      <c r="AB1178" s="556"/>
      <c r="AC1178" s="556"/>
      <c r="AD1178" s="556"/>
    </row>
    <row r="1179" ht="15.75" customHeight="1">
      <c r="A1179" s="556"/>
      <c r="B1179" s="556"/>
      <c r="C1179" s="596"/>
      <c r="D1179" s="556"/>
      <c r="E1179" s="596"/>
      <c r="F1179" s="556"/>
      <c r="G1179" s="556"/>
      <c r="H1179" s="556"/>
      <c r="I1179" s="556"/>
      <c r="J1179" s="556"/>
      <c r="K1179" s="556"/>
      <c r="L1179" s="556"/>
      <c r="M1179" s="556"/>
      <c r="N1179" s="556"/>
      <c r="O1179" s="556"/>
      <c r="P1179" s="556"/>
      <c r="Q1179" s="556"/>
      <c r="R1179" s="596"/>
      <c r="S1179" s="596"/>
      <c r="T1179" s="556"/>
      <c r="U1179" s="556"/>
      <c r="V1179" s="807"/>
      <c r="W1179" s="556"/>
      <c r="X1179" s="556"/>
      <c r="Y1179" s="556"/>
      <c r="Z1179" s="579"/>
      <c r="AA1179" s="556"/>
      <c r="AB1179" s="556"/>
      <c r="AC1179" s="556"/>
      <c r="AD1179" s="556"/>
    </row>
    <row r="1180" ht="15.75" customHeight="1">
      <c r="A1180" s="556"/>
      <c r="B1180" s="556"/>
      <c r="C1180" s="596"/>
      <c r="D1180" s="556"/>
      <c r="E1180" s="596"/>
      <c r="F1180" s="556"/>
      <c r="G1180" s="556"/>
      <c r="H1180" s="556"/>
      <c r="I1180" s="556"/>
      <c r="J1180" s="556"/>
      <c r="K1180" s="556"/>
      <c r="L1180" s="556"/>
      <c r="M1180" s="556"/>
      <c r="N1180" s="556"/>
      <c r="O1180" s="556"/>
      <c r="P1180" s="556"/>
      <c r="Q1180" s="556"/>
      <c r="R1180" s="596"/>
      <c r="S1180" s="596"/>
      <c r="T1180" s="556"/>
      <c r="U1180" s="556"/>
      <c r="V1180" s="807"/>
      <c r="W1180" s="556"/>
      <c r="X1180" s="556"/>
      <c r="Y1180" s="556"/>
      <c r="Z1180" s="579"/>
      <c r="AA1180" s="556"/>
      <c r="AB1180" s="556"/>
      <c r="AC1180" s="556"/>
      <c r="AD1180" s="556"/>
    </row>
    <row r="1181" ht="15.75" customHeight="1">
      <c r="A1181" s="556"/>
      <c r="B1181" s="556"/>
      <c r="C1181" s="596"/>
      <c r="D1181" s="556"/>
      <c r="E1181" s="596"/>
      <c r="F1181" s="556"/>
      <c r="G1181" s="556"/>
      <c r="H1181" s="556"/>
      <c r="I1181" s="556"/>
      <c r="J1181" s="556"/>
      <c r="K1181" s="556"/>
      <c r="L1181" s="556"/>
      <c r="M1181" s="556"/>
      <c r="N1181" s="556"/>
      <c r="O1181" s="556"/>
      <c r="P1181" s="556"/>
      <c r="Q1181" s="556"/>
      <c r="R1181" s="596"/>
      <c r="S1181" s="596"/>
      <c r="T1181" s="556"/>
      <c r="U1181" s="556"/>
      <c r="V1181" s="807"/>
      <c r="W1181" s="556"/>
      <c r="X1181" s="556"/>
      <c r="Y1181" s="556"/>
      <c r="Z1181" s="579"/>
      <c r="AA1181" s="556"/>
      <c r="AB1181" s="556"/>
      <c r="AC1181" s="556"/>
      <c r="AD1181" s="556"/>
    </row>
    <row r="1182" ht="15.75" customHeight="1">
      <c r="A1182" s="556"/>
      <c r="B1182" s="556"/>
      <c r="C1182" s="596"/>
      <c r="D1182" s="556"/>
      <c r="E1182" s="596"/>
      <c r="F1182" s="556"/>
      <c r="G1182" s="556"/>
      <c r="H1182" s="556"/>
      <c r="I1182" s="556"/>
      <c r="J1182" s="556"/>
      <c r="K1182" s="556"/>
      <c r="L1182" s="556"/>
      <c r="M1182" s="556"/>
      <c r="N1182" s="556"/>
      <c r="O1182" s="556"/>
      <c r="P1182" s="556"/>
      <c r="Q1182" s="556"/>
      <c r="R1182" s="596"/>
      <c r="S1182" s="596"/>
      <c r="T1182" s="556"/>
      <c r="U1182" s="556"/>
      <c r="V1182" s="807"/>
      <c r="W1182" s="556"/>
      <c r="X1182" s="556"/>
      <c r="Y1182" s="556"/>
      <c r="Z1182" s="579"/>
      <c r="AA1182" s="556"/>
      <c r="AB1182" s="556"/>
      <c r="AC1182" s="556"/>
      <c r="AD1182" s="556"/>
    </row>
    <row r="1183" ht="15.75" customHeight="1">
      <c r="A1183" s="556"/>
      <c r="B1183" s="556"/>
      <c r="C1183" s="596"/>
      <c r="D1183" s="556"/>
      <c r="E1183" s="596"/>
      <c r="F1183" s="556"/>
      <c r="G1183" s="556"/>
      <c r="H1183" s="556"/>
      <c r="I1183" s="556"/>
      <c r="J1183" s="556"/>
      <c r="K1183" s="556"/>
      <c r="L1183" s="556"/>
      <c r="M1183" s="556"/>
      <c r="N1183" s="556"/>
      <c r="O1183" s="556"/>
      <c r="P1183" s="556"/>
      <c r="Q1183" s="556"/>
      <c r="R1183" s="596"/>
      <c r="S1183" s="596"/>
      <c r="T1183" s="556"/>
      <c r="U1183" s="556"/>
      <c r="V1183" s="807"/>
      <c r="W1183" s="556"/>
      <c r="X1183" s="556"/>
      <c r="Y1183" s="556"/>
      <c r="Z1183" s="579"/>
      <c r="AA1183" s="556"/>
      <c r="AB1183" s="556"/>
      <c r="AC1183" s="556"/>
      <c r="AD1183" s="556"/>
    </row>
    <row r="1184" ht="15.75" customHeight="1">
      <c r="A1184" s="556"/>
      <c r="B1184" s="556"/>
      <c r="C1184" s="596"/>
      <c r="D1184" s="556"/>
      <c r="E1184" s="596"/>
      <c r="F1184" s="556"/>
      <c r="G1184" s="556"/>
      <c r="H1184" s="556"/>
      <c r="I1184" s="556"/>
      <c r="J1184" s="556"/>
      <c r="K1184" s="556"/>
      <c r="L1184" s="556"/>
      <c r="M1184" s="556"/>
      <c r="N1184" s="556"/>
      <c r="O1184" s="556"/>
      <c r="P1184" s="556"/>
      <c r="Q1184" s="556"/>
      <c r="R1184" s="596"/>
      <c r="S1184" s="596"/>
      <c r="T1184" s="556"/>
      <c r="U1184" s="556"/>
      <c r="V1184" s="807"/>
      <c r="W1184" s="556"/>
      <c r="X1184" s="556"/>
      <c r="Y1184" s="556"/>
      <c r="Z1184" s="579"/>
      <c r="AA1184" s="556"/>
      <c r="AB1184" s="556"/>
      <c r="AC1184" s="556"/>
      <c r="AD1184" s="556"/>
    </row>
    <row r="1185" ht="15.75" customHeight="1">
      <c r="A1185" s="556"/>
      <c r="B1185" s="556"/>
      <c r="C1185" s="596"/>
      <c r="D1185" s="556"/>
      <c r="E1185" s="596"/>
      <c r="F1185" s="556"/>
      <c r="G1185" s="556"/>
      <c r="H1185" s="556"/>
      <c r="I1185" s="556"/>
      <c r="J1185" s="556"/>
      <c r="K1185" s="556"/>
      <c r="L1185" s="556"/>
      <c r="M1185" s="556"/>
      <c r="N1185" s="556"/>
      <c r="O1185" s="556"/>
      <c r="P1185" s="556"/>
      <c r="Q1185" s="556"/>
      <c r="R1185" s="596"/>
      <c r="S1185" s="596"/>
      <c r="T1185" s="556"/>
      <c r="U1185" s="556"/>
      <c r="V1185" s="807"/>
      <c r="W1185" s="556"/>
      <c r="X1185" s="556"/>
      <c r="Y1185" s="556"/>
      <c r="Z1185" s="579"/>
      <c r="AA1185" s="556"/>
      <c r="AB1185" s="556"/>
      <c r="AC1185" s="556"/>
      <c r="AD1185" s="556"/>
    </row>
    <row r="1186" ht="15.75" customHeight="1">
      <c r="A1186" s="556"/>
      <c r="B1186" s="556"/>
      <c r="C1186" s="596"/>
      <c r="D1186" s="556"/>
      <c r="E1186" s="596"/>
      <c r="F1186" s="556"/>
      <c r="G1186" s="556"/>
      <c r="H1186" s="556"/>
      <c r="I1186" s="556"/>
      <c r="J1186" s="556"/>
      <c r="K1186" s="556"/>
      <c r="L1186" s="556"/>
      <c r="M1186" s="556"/>
      <c r="N1186" s="556"/>
      <c r="O1186" s="556"/>
      <c r="P1186" s="556"/>
      <c r="Q1186" s="556"/>
      <c r="R1186" s="596"/>
      <c r="S1186" s="596"/>
      <c r="T1186" s="556"/>
      <c r="U1186" s="556"/>
      <c r="V1186" s="807"/>
      <c r="W1186" s="556"/>
      <c r="X1186" s="556"/>
      <c r="Y1186" s="556"/>
      <c r="Z1186" s="579"/>
      <c r="AA1186" s="556"/>
      <c r="AB1186" s="556"/>
      <c r="AC1186" s="556"/>
      <c r="AD1186" s="556"/>
    </row>
    <row r="1187" ht="15.75" customHeight="1">
      <c r="A1187" s="556"/>
      <c r="B1187" s="556"/>
      <c r="C1187" s="596"/>
      <c r="D1187" s="556"/>
      <c r="E1187" s="596"/>
      <c r="F1187" s="556"/>
      <c r="G1187" s="556"/>
      <c r="H1187" s="556"/>
      <c r="I1187" s="556"/>
      <c r="J1187" s="556"/>
      <c r="K1187" s="556"/>
      <c r="L1187" s="556"/>
      <c r="M1187" s="556"/>
      <c r="N1187" s="556"/>
      <c r="O1187" s="556"/>
      <c r="P1187" s="556"/>
      <c r="Q1187" s="556"/>
      <c r="R1187" s="596"/>
      <c r="S1187" s="596"/>
      <c r="T1187" s="556"/>
      <c r="U1187" s="556"/>
      <c r="V1187" s="807"/>
      <c r="W1187" s="556"/>
      <c r="X1187" s="556"/>
      <c r="Y1187" s="556"/>
      <c r="Z1187" s="579"/>
      <c r="AA1187" s="556"/>
      <c r="AB1187" s="556"/>
      <c r="AC1187" s="556"/>
      <c r="AD1187" s="556"/>
    </row>
    <row r="1188" ht="15.75" customHeight="1">
      <c r="A1188" s="556"/>
      <c r="B1188" s="556"/>
      <c r="C1188" s="596"/>
      <c r="D1188" s="556"/>
      <c r="E1188" s="596"/>
      <c r="F1188" s="556"/>
      <c r="G1188" s="556"/>
      <c r="H1188" s="556"/>
      <c r="I1188" s="556"/>
      <c r="J1188" s="556"/>
      <c r="K1188" s="556"/>
      <c r="L1188" s="556"/>
      <c r="M1188" s="556"/>
      <c r="N1188" s="556"/>
      <c r="O1188" s="556"/>
      <c r="P1188" s="556"/>
      <c r="Q1188" s="556"/>
      <c r="R1188" s="596"/>
      <c r="S1188" s="596"/>
      <c r="T1188" s="556"/>
      <c r="U1188" s="556"/>
      <c r="V1188" s="807"/>
      <c r="W1188" s="556"/>
      <c r="X1188" s="556"/>
      <c r="Y1188" s="556"/>
      <c r="Z1188" s="579"/>
      <c r="AA1188" s="556"/>
      <c r="AB1188" s="556"/>
      <c r="AC1188" s="556"/>
      <c r="AD1188" s="556"/>
    </row>
    <row r="1189" ht="15.75" customHeight="1">
      <c r="A1189" s="556"/>
      <c r="B1189" s="556"/>
      <c r="C1189" s="596"/>
      <c r="D1189" s="556"/>
      <c r="E1189" s="596"/>
      <c r="F1189" s="556"/>
      <c r="G1189" s="556"/>
      <c r="H1189" s="556"/>
      <c r="I1189" s="556"/>
      <c r="J1189" s="556"/>
      <c r="K1189" s="556"/>
      <c r="L1189" s="556"/>
      <c r="M1189" s="556"/>
      <c r="N1189" s="556"/>
      <c r="O1189" s="556"/>
      <c r="P1189" s="556"/>
      <c r="Q1189" s="556"/>
      <c r="R1189" s="596"/>
      <c r="S1189" s="596"/>
      <c r="T1189" s="556"/>
      <c r="U1189" s="556"/>
      <c r="V1189" s="807"/>
      <c r="W1189" s="556"/>
      <c r="X1189" s="556"/>
      <c r="Y1189" s="556"/>
      <c r="Z1189" s="579"/>
      <c r="AA1189" s="556"/>
      <c r="AB1189" s="556"/>
      <c r="AC1189" s="556"/>
      <c r="AD1189" s="556"/>
    </row>
    <row r="1190" ht="15.75" customHeight="1">
      <c r="A1190" s="556"/>
      <c r="B1190" s="556"/>
      <c r="C1190" s="596"/>
      <c r="D1190" s="556"/>
      <c r="E1190" s="596"/>
      <c r="F1190" s="556"/>
      <c r="G1190" s="556"/>
      <c r="H1190" s="556"/>
      <c r="I1190" s="556"/>
      <c r="J1190" s="556"/>
      <c r="K1190" s="556"/>
      <c r="L1190" s="556"/>
      <c r="M1190" s="556"/>
      <c r="N1190" s="556"/>
      <c r="O1190" s="556"/>
      <c r="P1190" s="556"/>
      <c r="Q1190" s="556"/>
      <c r="R1190" s="596"/>
      <c r="S1190" s="596"/>
      <c r="T1190" s="556"/>
      <c r="U1190" s="556"/>
      <c r="V1190" s="807"/>
      <c r="W1190" s="556"/>
      <c r="X1190" s="556"/>
      <c r="Y1190" s="556"/>
      <c r="Z1190" s="579"/>
      <c r="AA1190" s="556"/>
      <c r="AB1190" s="556"/>
      <c r="AC1190" s="556"/>
      <c r="AD1190" s="556"/>
    </row>
    <row r="1191" ht="15.75" customHeight="1">
      <c r="A1191" s="556"/>
      <c r="B1191" s="556"/>
      <c r="C1191" s="596"/>
      <c r="D1191" s="556"/>
      <c r="E1191" s="596"/>
      <c r="F1191" s="556"/>
      <c r="G1191" s="556"/>
      <c r="H1191" s="556"/>
      <c r="I1191" s="556"/>
      <c r="J1191" s="556"/>
      <c r="K1191" s="556"/>
      <c r="L1191" s="556"/>
      <c r="M1191" s="556"/>
      <c r="N1191" s="556"/>
      <c r="O1191" s="556"/>
      <c r="P1191" s="556"/>
      <c r="Q1191" s="556"/>
      <c r="R1191" s="596"/>
      <c r="S1191" s="596"/>
      <c r="T1191" s="556"/>
      <c r="U1191" s="556"/>
      <c r="V1191" s="807"/>
      <c r="W1191" s="556"/>
      <c r="X1191" s="556"/>
      <c r="Y1191" s="556"/>
      <c r="Z1191" s="579"/>
      <c r="AA1191" s="556"/>
      <c r="AB1191" s="556"/>
      <c r="AC1191" s="556"/>
      <c r="AD1191" s="556"/>
    </row>
    <row r="1192" ht="15.75" customHeight="1">
      <c r="A1192" s="556"/>
      <c r="B1192" s="556"/>
      <c r="C1192" s="596"/>
      <c r="D1192" s="556"/>
      <c r="E1192" s="596"/>
      <c r="F1192" s="556"/>
      <c r="G1192" s="556"/>
      <c r="H1192" s="556"/>
      <c r="I1192" s="556"/>
      <c r="J1192" s="556"/>
      <c r="K1192" s="556"/>
      <c r="L1192" s="556"/>
      <c r="M1192" s="556"/>
      <c r="N1192" s="556"/>
      <c r="O1192" s="556"/>
      <c r="P1192" s="556"/>
      <c r="Q1192" s="556"/>
      <c r="R1192" s="596"/>
      <c r="S1192" s="596"/>
      <c r="T1192" s="556"/>
      <c r="U1192" s="556"/>
      <c r="V1192" s="807"/>
      <c r="W1192" s="556"/>
      <c r="X1192" s="556"/>
      <c r="Y1192" s="556"/>
      <c r="Z1192" s="579"/>
      <c r="AA1192" s="556"/>
      <c r="AB1192" s="556"/>
      <c r="AC1192" s="556"/>
      <c r="AD1192" s="556"/>
    </row>
    <row r="1193" ht="15.75" customHeight="1">
      <c r="A1193" s="556"/>
      <c r="B1193" s="556"/>
      <c r="C1193" s="596"/>
      <c r="D1193" s="556"/>
      <c r="E1193" s="596"/>
      <c r="F1193" s="556"/>
      <c r="G1193" s="556"/>
      <c r="H1193" s="556"/>
      <c r="I1193" s="556"/>
      <c r="J1193" s="556"/>
      <c r="K1193" s="556"/>
      <c r="L1193" s="556"/>
      <c r="M1193" s="556"/>
      <c r="N1193" s="556"/>
      <c r="O1193" s="556"/>
      <c r="P1193" s="556"/>
      <c r="Q1193" s="556"/>
      <c r="R1193" s="596"/>
      <c r="S1193" s="596"/>
      <c r="T1193" s="556"/>
      <c r="U1193" s="556"/>
      <c r="V1193" s="807"/>
      <c r="W1193" s="556"/>
      <c r="X1193" s="556"/>
      <c r="Y1193" s="556"/>
      <c r="Z1193" s="579"/>
      <c r="AA1193" s="556"/>
      <c r="AB1193" s="556"/>
      <c r="AC1193" s="556"/>
      <c r="AD1193" s="556"/>
    </row>
    <row r="1194" ht="15.75" customHeight="1">
      <c r="A1194" s="556"/>
      <c r="B1194" s="556"/>
      <c r="C1194" s="596"/>
      <c r="D1194" s="556"/>
      <c r="E1194" s="596"/>
      <c r="F1194" s="556"/>
      <c r="G1194" s="556"/>
      <c r="H1194" s="556"/>
      <c r="I1194" s="556"/>
      <c r="J1194" s="556"/>
      <c r="K1194" s="556"/>
      <c r="L1194" s="556"/>
      <c r="M1194" s="556"/>
      <c r="N1194" s="556"/>
      <c r="O1194" s="556"/>
      <c r="P1194" s="556"/>
      <c r="Q1194" s="556"/>
      <c r="R1194" s="596"/>
      <c r="S1194" s="596"/>
      <c r="T1194" s="556"/>
      <c r="U1194" s="556"/>
      <c r="V1194" s="807"/>
      <c r="W1194" s="556"/>
      <c r="X1194" s="556"/>
      <c r="Y1194" s="556"/>
      <c r="Z1194" s="579"/>
      <c r="AA1194" s="556"/>
      <c r="AB1194" s="556"/>
      <c r="AC1194" s="556"/>
      <c r="AD1194" s="556"/>
    </row>
    <row r="1195" ht="15.75" customHeight="1">
      <c r="A1195" s="556"/>
      <c r="B1195" s="556"/>
      <c r="C1195" s="596"/>
      <c r="D1195" s="556"/>
      <c r="E1195" s="596"/>
      <c r="F1195" s="556"/>
      <c r="G1195" s="556"/>
      <c r="H1195" s="556"/>
      <c r="I1195" s="556"/>
      <c r="J1195" s="556"/>
      <c r="K1195" s="556"/>
      <c r="L1195" s="556"/>
      <c r="M1195" s="556"/>
      <c r="N1195" s="556"/>
      <c r="O1195" s="556"/>
      <c r="P1195" s="556"/>
      <c r="Q1195" s="556"/>
      <c r="R1195" s="596"/>
      <c r="S1195" s="596"/>
      <c r="T1195" s="556"/>
      <c r="U1195" s="556"/>
      <c r="V1195" s="807"/>
      <c r="W1195" s="556"/>
      <c r="X1195" s="556"/>
      <c r="Y1195" s="556"/>
      <c r="Z1195" s="579"/>
      <c r="AA1195" s="556"/>
      <c r="AB1195" s="556"/>
      <c r="AC1195" s="556"/>
      <c r="AD1195" s="556"/>
    </row>
    <row r="1196" ht="15.75" customHeight="1">
      <c r="A1196" s="556"/>
      <c r="B1196" s="556"/>
      <c r="C1196" s="596"/>
      <c r="D1196" s="556"/>
      <c r="E1196" s="596"/>
      <c r="F1196" s="556"/>
      <c r="G1196" s="556"/>
      <c r="H1196" s="556"/>
      <c r="I1196" s="556"/>
      <c r="J1196" s="556"/>
      <c r="K1196" s="556"/>
      <c r="L1196" s="556"/>
      <c r="M1196" s="556"/>
      <c r="N1196" s="556"/>
      <c r="O1196" s="556"/>
      <c r="P1196" s="556"/>
      <c r="Q1196" s="556"/>
      <c r="R1196" s="596"/>
      <c r="S1196" s="596"/>
      <c r="T1196" s="556"/>
      <c r="U1196" s="556"/>
      <c r="V1196" s="807"/>
      <c r="W1196" s="556"/>
      <c r="X1196" s="556"/>
      <c r="Y1196" s="556"/>
      <c r="Z1196" s="579"/>
      <c r="AA1196" s="556"/>
      <c r="AB1196" s="556"/>
      <c r="AC1196" s="556"/>
      <c r="AD1196" s="556"/>
    </row>
    <row r="1197" ht="15.75" customHeight="1">
      <c r="A1197" s="556"/>
      <c r="B1197" s="556"/>
      <c r="C1197" s="596"/>
      <c r="D1197" s="556"/>
      <c r="E1197" s="596"/>
      <c r="F1197" s="556"/>
      <c r="G1197" s="556"/>
      <c r="H1197" s="556"/>
      <c r="I1197" s="556"/>
      <c r="J1197" s="556"/>
      <c r="K1197" s="556"/>
      <c r="L1197" s="556"/>
      <c r="M1197" s="556"/>
      <c r="N1197" s="556"/>
      <c r="O1197" s="556"/>
      <c r="P1197" s="556"/>
      <c r="Q1197" s="556"/>
      <c r="R1197" s="596"/>
      <c r="S1197" s="596"/>
      <c r="T1197" s="556"/>
      <c r="U1197" s="556"/>
      <c r="V1197" s="807"/>
      <c r="W1197" s="556"/>
      <c r="X1197" s="556"/>
      <c r="Y1197" s="556"/>
      <c r="Z1197" s="579"/>
      <c r="AA1197" s="556"/>
      <c r="AB1197" s="556"/>
      <c r="AC1197" s="556"/>
      <c r="AD1197" s="556"/>
    </row>
    <row r="1198" ht="15.75" customHeight="1">
      <c r="A1198" s="556"/>
      <c r="B1198" s="556"/>
      <c r="C1198" s="596"/>
      <c r="D1198" s="556"/>
      <c r="E1198" s="596"/>
      <c r="F1198" s="556"/>
      <c r="G1198" s="556"/>
      <c r="H1198" s="556"/>
      <c r="I1198" s="556"/>
      <c r="J1198" s="556"/>
      <c r="K1198" s="556"/>
      <c r="L1198" s="556"/>
      <c r="M1198" s="556"/>
      <c r="N1198" s="556"/>
      <c r="O1198" s="556"/>
      <c r="P1198" s="556"/>
      <c r="Q1198" s="556"/>
      <c r="R1198" s="596"/>
      <c r="S1198" s="596"/>
      <c r="T1198" s="556"/>
      <c r="U1198" s="556"/>
      <c r="V1198" s="807"/>
      <c r="W1198" s="556"/>
      <c r="X1198" s="556"/>
      <c r="Y1198" s="556"/>
      <c r="Z1198" s="579"/>
      <c r="AA1198" s="556"/>
      <c r="AB1198" s="556"/>
      <c r="AC1198" s="556"/>
      <c r="AD1198" s="556"/>
    </row>
    <row r="1199" ht="15.75" customHeight="1">
      <c r="A1199" s="556"/>
      <c r="B1199" s="556"/>
      <c r="C1199" s="596"/>
      <c r="D1199" s="556"/>
      <c r="E1199" s="596"/>
      <c r="F1199" s="556"/>
      <c r="G1199" s="556"/>
      <c r="H1199" s="556"/>
      <c r="I1199" s="556"/>
      <c r="J1199" s="556"/>
      <c r="K1199" s="556"/>
      <c r="L1199" s="556"/>
      <c r="M1199" s="556"/>
      <c r="N1199" s="556"/>
      <c r="O1199" s="556"/>
      <c r="P1199" s="556"/>
      <c r="Q1199" s="556"/>
      <c r="R1199" s="596"/>
      <c r="S1199" s="596"/>
      <c r="T1199" s="556"/>
      <c r="U1199" s="556"/>
      <c r="V1199" s="807"/>
      <c r="W1199" s="556"/>
      <c r="X1199" s="556"/>
      <c r="Y1199" s="556"/>
      <c r="Z1199" s="579"/>
      <c r="AA1199" s="556"/>
      <c r="AB1199" s="556"/>
      <c r="AC1199" s="556"/>
      <c r="AD1199" s="556"/>
    </row>
    <row r="1200" ht="15.75" customHeight="1">
      <c r="A1200" s="556"/>
      <c r="B1200" s="556"/>
      <c r="C1200" s="596"/>
      <c r="D1200" s="556"/>
      <c r="E1200" s="596"/>
      <c r="F1200" s="556"/>
      <c r="G1200" s="556"/>
      <c r="H1200" s="556"/>
      <c r="I1200" s="556"/>
      <c r="J1200" s="556"/>
      <c r="K1200" s="556"/>
      <c r="L1200" s="556"/>
      <c r="M1200" s="556"/>
      <c r="N1200" s="556"/>
      <c r="O1200" s="556"/>
      <c r="P1200" s="556"/>
      <c r="Q1200" s="556"/>
      <c r="R1200" s="596"/>
      <c r="S1200" s="596"/>
      <c r="T1200" s="556"/>
      <c r="U1200" s="556"/>
      <c r="V1200" s="807"/>
      <c r="W1200" s="556"/>
      <c r="X1200" s="556"/>
      <c r="Y1200" s="556"/>
      <c r="Z1200" s="579"/>
      <c r="AA1200" s="556"/>
      <c r="AB1200" s="556"/>
      <c r="AC1200" s="556"/>
      <c r="AD1200" s="556"/>
    </row>
    <row r="1201" ht="15.75" customHeight="1">
      <c r="A1201" s="556"/>
      <c r="B1201" s="556"/>
      <c r="C1201" s="596"/>
      <c r="D1201" s="556"/>
      <c r="E1201" s="596"/>
      <c r="F1201" s="556"/>
      <c r="G1201" s="556"/>
      <c r="H1201" s="556"/>
      <c r="I1201" s="556"/>
      <c r="J1201" s="556"/>
      <c r="K1201" s="556"/>
      <c r="L1201" s="556"/>
      <c r="M1201" s="556"/>
      <c r="N1201" s="556"/>
      <c r="O1201" s="556"/>
      <c r="P1201" s="556"/>
      <c r="Q1201" s="556"/>
      <c r="R1201" s="596"/>
      <c r="S1201" s="596"/>
      <c r="T1201" s="556"/>
      <c r="U1201" s="556"/>
      <c r="V1201" s="807"/>
      <c r="W1201" s="556"/>
      <c r="X1201" s="556"/>
      <c r="Y1201" s="556"/>
      <c r="Z1201" s="579"/>
      <c r="AA1201" s="556"/>
      <c r="AB1201" s="556"/>
      <c r="AC1201" s="556"/>
      <c r="AD1201" s="556"/>
    </row>
    <row r="1202" ht="15.75" customHeight="1">
      <c r="A1202" s="556"/>
      <c r="B1202" s="556"/>
      <c r="C1202" s="596"/>
      <c r="D1202" s="556"/>
      <c r="E1202" s="596"/>
      <c r="F1202" s="556"/>
      <c r="G1202" s="556"/>
      <c r="H1202" s="556"/>
      <c r="I1202" s="556"/>
      <c r="J1202" s="556"/>
      <c r="K1202" s="556"/>
      <c r="L1202" s="556"/>
      <c r="M1202" s="556"/>
      <c r="N1202" s="556"/>
      <c r="O1202" s="556"/>
      <c r="P1202" s="556"/>
      <c r="Q1202" s="556"/>
      <c r="R1202" s="596"/>
      <c r="S1202" s="596"/>
      <c r="T1202" s="556"/>
      <c r="U1202" s="556"/>
      <c r="V1202" s="807"/>
      <c r="W1202" s="556"/>
      <c r="X1202" s="556"/>
      <c r="Y1202" s="556"/>
      <c r="Z1202" s="579"/>
      <c r="AA1202" s="556"/>
      <c r="AB1202" s="556"/>
      <c r="AC1202" s="556"/>
      <c r="AD1202" s="556"/>
    </row>
    <row r="1203" ht="15.75" customHeight="1">
      <c r="A1203" s="556"/>
      <c r="B1203" s="556"/>
      <c r="C1203" s="596"/>
      <c r="D1203" s="556"/>
      <c r="E1203" s="596"/>
      <c r="F1203" s="556"/>
      <c r="G1203" s="556"/>
      <c r="H1203" s="556"/>
      <c r="I1203" s="556"/>
      <c r="J1203" s="556"/>
      <c r="K1203" s="556"/>
      <c r="L1203" s="556"/>
      <c r="M1203" s="556"/>
      <c r="N1203" s="556"/>
      <c r="O1203" s="556"/>
      <c r="P1203" s="556"/>
      <c r="Q1203" s="556"/>
      <c r="R1203" s="596"/>
      <c r="S1203" s="596"/>
      <c r="T1203" s="556"/>
      <c r="U1203" s="556"/>
      <c r="V1203" s="807"/>
      <c r="W1203" s="556"/>
      <c r="X1203" s="556"/>
      <c r="Y1203" s="556"/>
      <c r="Z1203" s="579"/>
      <c r="AA1203" s="556"/>
      <c r="AB1203" s="556"/>
      <c r="AC1203" s="556"/>
      <c r="AD1203" s="556"/>
    </row>
    <row r="1204" ht="15.75" customHeight="1">
      <c r="A1204" s="556"/>
      <c r="B1204" s="556"/>
      <c r="C1204" s="596"/>
      <c r="D1204" s="556"/>
      <c r="E1204" s="596"/>
      <c r="F1204" s="556"/>
      <c r="G1204" s="556"/>
      <c r="H1204" s="556"/>
      <c r="I1204" s="556"/>
      <c r="J1204" s="556"/>
      <c r="K1204" s="556"/>
      <c r="L1204" s="556"/>
      <c r="M1204" s="556"/>
      <c r="N1204" s="556"/>
      <c r="O1204" s="556"/>
      <c r="P1204" s="556"/>
      <c r="Q1204" s="556"/>
      <c r="R1204" s="596"/>
      <c r="S1204" s="596"/>
      <c r="T1204" s="556"/>
      <c r="U1204" s="556"/>
      <c r="V1204" s="807"/>
      <c r="W1204" s="556"/>
      <c r="X1204" s="556"/>
      <c r="Y1204" s="556"/>
      <c r="Z1204" s="579"/>
      <c r="AA1204" s="556"/>
      <c r="AB1204" s="556"/>
      <c r="AC1204" s="556"/>
      <c r="AD1204" s="556"/>
    </row>
    <row r="1205" ht="15.75" customHeight="1">
      <c r="A1205" s="556"/>
      <c r="B1205" s="556"/>
      <c r="C1205" s="596"/>
      <c r="D1205" s="556"/>
      <c r="E1205" s="596"/>
      <c r="F1205" s="556"/>
      <c r="G1205" s="556"/>
      <c r="H1205" s="556"/>
      <c r="I1205" s="556"/>
      <c r="J1205" s="556"/>
      <c r="K1205" s="556"/>
      <c r="L1205" s="556"/>
      <c r="M1205" s="556"/>
      <c r="N1205" s="556"/>
      <c r="O1205" s="556"/>
      <c r="P1205" s="556"/>
      <c r="Q1205" s="556"/>
      <c r="R1205" s="596"/>
      <c r="S1205" s="596"/>
      <c r="T1205" s="556"/>
      <c r="U1205" s="556"/>
      <c r="V1205" s="807"/>
      <c r="W1205" s="556"/>
      <c r="X1205" s="556"/>
      <c r="Y1205" s="556"/>
      <c r="Z1205" s="579"/>
      <c r="AA1205" s="556"/>
      <c r="AB1205" s="556"/>
      <c r="AC1205" s="556"/>
      <c r="AD1205" s="556"/>
    </row>
    <row r="1206" ht="15.75" customHeight="1">
      <c r="A1206" s="556"/>
      <c r="B1206" s="556"/>
      <c r="C1206" s="596"/>
      <c r="D1206" s="556"/>
      <c r="E1206" s="596"/>
      <c r="F1206" s="556"/>
      <c r="G1206" s="556"/>
      <c r="H1206" s="556"/>
      <c r="I1206" s="556"/>
      <c r="J1206" s="556"/>
      <c r="K1206" s="556"/>
      <c r="L1206" s="556"/>
      <c r="M1206" s="556"/>
      <c r="N1206" s="556"/>
      <c r="O1206" s="556"/>
      <c r="P1206" s="556"/>
      <c r="Q1206" s="556"/>
      <c r="R1206" s="596"/>
      <c r="S1206" s="596"/>
      <c r="T1206" s="556"/>
      <c r="U1206" s="556"/>
      <c r="V1206" s="807"/>
      <c r="W1206" s="556"/>
      <c r="X1206" s="556"/>
      <c r="Y1206" s="556"/>
      <c r="Z1206" s="579"/>
      <c r="AA1206" s="556"/>
      <c r="AB1206" s="556"/>
      <c r="AC1206" s="556"/>
      <c r="AD1206" s="556"/>
    </row>
    <row r="1207" ht="15.75" customHeight="1">
      <c r="A1207" s="556"/>
      <c r="B1207" s="556"/>
      <c r="C1207" s="596"/>
      <c r="D1207" s="556"/>
      <c r="E1207" s="596"/>
      <c r="F1207" s="556"/>
      <c r="G1207" s="556"/>
      <c r="H1207" s="556"/>
      <c r="I1207" s="556"/>
      <c r="J1207" s="556"/>
      <c r="K1207" s="556"/>
      <c r="L1207" s="556"/>
      <c r="M1207" s="556"/>
      <c r="N1207" s="556"/>
      <c r="O1207" s="556"/>
      <c r="P1207" s="556"/>
      <c r="Q1207" s="556"/>
      <c r="R1207" s="596"/>
      <c r="S1207" s="596"/>
      <c r="T1207" s="556"/>
      <c r="U1207" s="556"/>
      <c r="V1207" s="807"/>
      <c r="W1207" s="556"/>
      <c r="X1207" s="556"/>
      <c r="Y1207" s="556"/>
      <c r="Z1207" s="579"/>
      <c r="AA1207" s="556"/>
      <c r="AB1207" s="556"/>
      <c r="AC1207" s="556"/>
      <c r="AD1207" s="556"/>
    </row>
    <row r="1208" ht="15.75" customHeight="1">
      <c r="A1208" s="556"/>
      <c r="B1208" s="556"/>
      <c r="C1208" s="596"/>
      <c r="D1208" s="556"/>
      <c r="E1208" s="596"/>
      <c r="F1208" s="556"/>
      <c r="G1208" s="556"/>
      <c r="H1208" s="556"/>
      <c r="I1208" s="556"/>
      <c r="J1208" s="556"/>
      <c r="K1208" s="556"/>
      <c r="L1208" s="556"/>
      <c r="M1208" s="556"/>
      <c r="N1208" s="556"/>
      <c r="O1208" s="556"/>
      <c r="P1208" s="556"/>
      <c r="Q1208" s="556"/>
      <c r="R1208" s="596"/>
      <c r="S1208" s="596"/>
      <c r="T1208" s="556"/>
      <c r="U1208" s="556"/>
      <c r="V1208" s="807"/>
      <c r="W1208" s="556"/>
      <c r="X1208" s="556"/>
      <c r="Y1208" s="556"/>
      <c r="Z1208" s="579"/>
      <c r="AA1208" s="556"/>
      <c r="AB1208" s="556"/>
      <c r="AC1208" s="556"/>
      <c r="AD1208" s="556"/>
    </row>
    <row r="1209" ht="15.75" customHeight="1">
      <c r="A1209" s="556"/>
      <c r="B1209" s="556"/>
      <c r="C1209" s="596"/>
      <c r="D1209" s="556"/>
      <c r="E1209" s="596"/>
      <c r="F1209" s="556"/>
      <c r="G1209" s="556"/>
      <c r="H1209" s="556"/>
      <c r="I1209" s="556"/>
      <c r="J1209" s="556"/>
      <c r="K1209" s="556"/>
      <c r="L1209" s="556"/>
      <c r="M1209" s="556"/>
      <c r="N1209" s="556"/>
      <c r="O1209" s="556"/>
      <c r="P1209" s="556"/>
      <c r="Q1209" s="556"/>
      <c r="R1209" s="596"/>
      <c r="S1209" s="596"/>
      <c r="T1209" s="556"/>
      <c r="U1209" s="556"/>
      <c r="V1209" s="807"/>
      <c r="W1209" s="556"/>
      <c r="X1209" s="556"/>
      <c r="Y1209" s="556"/>
      <c r="Z1209" s="579"/>
      <c r="AA1209" s="556"/>
      <c r="AB1209" s="556"/>
      <c r="AC1209" s="556"/>
      <c r="AD1209" s="556"/>
    </row>
    <row r="1210" ht="15.75" customHeight="1">
      <c r="A1210" s="556"/>
      <c r="B1210" s="556"/>
      <c r="C1210" s="596"/>
      <c r="D1210" s="556"/>
      <c r="E1210" s="596"/>
      <c r="F1210" s="556"/>
      <c r="G1210" s="556"/>
      <c r="H1210" s="556"/>
      <c r="I1210" s="556"/>
      <c r="J1210" s="556"/>
      <c r="K1210" s="556"/>
      <c r="L1210" s="556"/>
      <c r="M1210" s="556"/>
      <c r="N1210" s="556"/>
      <c r="O1210" s="556"/>
      <c r="P1210" s="556"/>
      <c r="Q1210" s="556"/>
      <c r="R1210" s="596"/>
      <c r="S1210" s="596"/>
      <c r="T1210" s="556"/>
      <c r="U1210" s="556"/>
      <c r="V1210" s="807"/>
      <c r="W1210" s="556"/>
      <c r="X1210" s="556"/>
      <c r="Y1210" s="556"/>
      <c r="Z1210" s="579"/>
      <c r="AA1210" s="556"/>
      <c r="AB1210" s="556"/>
      <c r="AC1210" s="556"/>
      <c r="AD1210" s="556"/>
    </row>
    <row r="1211" ht="15.75" customHeight="1">
      <c r="A1211" s="556"/>
      <c r="B1211" s="556"/>
      <c r="C1211" s="596"/>
      <c r="D1211" s="556"/>
      <c r="E1211" s="596"/>
      <c r="F1211" s="556"/>
      <c r="G1211" s="556"/>
      <c r="H1211" s="556"/>
      <c r="I1211" s="556"/>
      <c r="J1211" s="556"/>
      <c r="K1211" s="556"/>
      <c r="L1211" s="556"/>
      <c r="M1211" s="556"/>
      <c r="N1211" s="556"/>
      <c r="O1211" s="556"/>
      <c r="P1211" s="556"/>
      <c r="Q1211" s="556"/>
      <c r="R1211" s="596"/>
      <c r="S1211" s="596"/>
      <c r="T1211" s="556"/>
      <c r="U1211" s="556"/>
      <c r="V1211" s="807"/>
      <c r="W1211" s="556"/>
      <c r="X1211" s="556"/>
      <c r="Y1211" s="556"/>
      <c r="Z1211" s="579"/>
      <c r="AA1211" s="556"/>
      <c r="AB1211" s="556"/>
      <c r="AC1211" s="556"/>
      <c r="AD1211" s="556"/>
    </row>
    <row r="1212" ht="15.75" customHeight="1">
      <c r="A1212" s="556"/>
      <c r="B1212" s="556"/>
      <c r="C1212" s="596"/>
      <c r="D1212" s="556"/>
      <c r="E1212" s="596"/>
      <c r="F1212" s="556"/>
      <c r="G1212" s="556"/>
      <c r="H1212" s="556"/>
      <c r="I1212" s="556"/>
      <c r="J1212" s="556"/>
      <c r="K1212" s="556"/>
      <c r="L1212" s="556"/>
      <c r="M1212" s="556"/>
      <c r="N1212" s="556"/>
      <c r="O1212" s="556"/>
      <c r="P1212" s="556"/>
      <c r="Q1212" s="556"/>
      <c r="R1212" s="596"/>
      <c r="S1212" s="596"/>
      <c r="T1212" s="556"/>
      <c r="U1212" s="556"/>
      <c r="V1212" s="807"/>
      <c r="W1212" s="556"/>
      <c r="X1212" s="556"/>
      <c r="Y1212" s="556"/>
      <c r="Z1212" s="579"/>
      <c r="AA1212" s="556"/>
      <c r="AB1212" s="556"/>
      <c r="AC1212" s="556"/>
      <c r="AD1212" s="556"/>
    </row>
    <row r="1213" ht="15.75" customHeight="1">
      <c r="A1213" s="556"/>
      <c r="B1213" s="556"/>
      <c r="C1213" s="596"/>
      <c r="D1213" s="556"/>
      <c r="E1213" s="596"/>
      <c r="F1213" s="556"/>
      <c r="G1213" s="556"/>
      <c r="H1213" s="556"/>
      <c r="I1213" s="556"/>
      <c r="J1213" s="556"/>
      <c r="K1213" s="556"/>
      <c r="L1213" s="556"/>
      <c r="M1213" s="556"/>
      <c r="N1213" s="556"/>
      <c r="O1213" s="556"/>
      <c r="P1213" s="556"/>
      <c r="Q1213" s="556"/>
      <c r="R1213" s="596"/>
      <c r="S1213" s="596"/>
      <c r="T1213" s="556"/>
      <c r="U1213" s="556"/>
      <c r="V1213" s="807"/>
      <c r="W1213" s="556"/>
      <c r="X1213" s="556"/>
      <c r="Y1213" s="556"/>
      <c r="Z1213" s="579"/>
      <c r="AA1213" s="556"/>
      <c r="AB1213" s="556"/>
      <c r="AC1213" s="556"/>
      <c r="AD1213" s="556"/>
    </row>
    <row r="1214" ht="15.75" customHeight="1">
      <c r="A1214" s="556"/>
      <c r="B1214" s="556"/>
      <c r="C1214" s="596"/>
      <c r="D1214" s="556"/>
      <c r="E1214" s="596"/>
      <c r="F1214" s="556"/>
      <c r="G1214" s="556"/>
      <c r="H1214" s="556"/>
      <c r="I1214" s="556"/>
      <c r="J1214" s="556"/>
      <c r="K1214" s="556"/>
      <c r="L1214" s="556"/>
      <c r="M1214" s="556"/>
      <c r="N1214" s="556"/>
      <c r="O1214" s="556"/>
      <c r="P1214" s="556"/>
      <c r="Q1214" s="556"/>
      <c r="R1214" s="596"/>
      <c r="S1214" s="596"/>
      <c r="T1214" s="556"/>
      <c r="U1214" s="556"/>
      <c r="V1214" s="807"/>
      <c r="W1214" s="556"/>
      <c r="X1214" s="556"/>
      <c r="Y1214" s="556"/>
      <c r="Z1214" s="579"/>
      <c r="AA1214" s="556"/>
      <c r="AB1214" s="556"/>
      <c r="AC1214" s="556"/>
      <c r="AD1214" s="556"/>
    </row>
    <row r="1215" ht="15.75" customHeight="1">
      <c r="A1215" s="556"/>
      <c r="B1215" s="556"/>
      <c r="C1215" s="596"/>
      <c r="D1215" s="556"/>
      <c r="E1215" s="596"/>
      <c r="F1215" s="556"/>
      <c r="G1215" s="556"/>
      <c r="H1215" s="556"/>
      <c r="I1215" s="556"/>
      <c r="J1215" s="556"/>
      <c r="K1215" s="556"/>
      <c r="L1215" s="556"/>
      <c r="M1215" s="556"/>
      <c r="N1215" s="556"/>
      <c r="O1215" s="556"/>
      <c r="P1215" s="556"/>
      <c r="Q1215" s="556"/>
      <c r="R1215" s="596"/>
      <c r="S1215" s="596"/>
      <c r="T1215" s="556"/>
      <c r="U1215" s="556"/>
      <c r="V1215" s="807"/>
      <c r="W1215" s="556"/>
      <c r="X1215" s="556"/>
      <c r="Y1215" s="556"/>
      <c r="Z1215" s="579"/>
      <c r="AA1215" s="556"/>
      <c r="AB1215" s="556"/>
      <c r="AC1215" s="556"/>
      <c r="AD1215" s="556"/>
    </row>
    <row r="1216" ht="15.75" customHeight="1">
      <c r="A1216" s="556"/>
      <c r="B1216" s="556"/>
      <c r="C1216" s="596"/>
      <c r="D1216" s="556"/>
      <c r="E1216" s="596"/>
      <c r="F1216" s="556"/>
      <c r="G1216" s="556"/>
      <c r="H1216" s="556"/>
      <c r="I1216" s="556"/>
      <c r="J1216" s="556"/>
      <c r="K1216" s="556"/>
      <c r="L1216" s="556"/>
      <c r="M1216" s="556"/>
      <c r="N1216" s="556"/>
      <c r="O1216" s="556"/>
      <c r="P1216" s="556"/>
      <c r="Q1216" s="556"/>
      <c r="R1216" s="596"/>
      <c r="S1216" s="596"/>
      <c r="T1216" s="556"/>
      <c r="U1216" s="556"/>
      <c r="V1216" s="807"/>
      <c r="W1216" s="556"/>
      <c r="X1216" s="556"/>
      <c r="Y1216" s="556"/>
      <c r="Z1216" s="579"/>
      <c r="AA1216" s="556"/>
      <c r="AB1216" s="556"/>
      <c r="AC1216" s="556"/>
      <c r="AD1216" s="556"/>
    </row>
    <row r="1217" ht="15.75" customHeight="1">
      <c r="A1217" s="556"/>
      <c r="B1217" s="556"/>
      <c r="C1217" s="596"/>
      <c r="D1217" s="556"/>
      <c r="E1217" s="596"/>
      <c r="F1217" s="556"/>
      <c r="G1217" s="556"/>
      <c r="H1217" s="556"/>
      <c r="I1217" s="556"/>
      <c r="J1217" s="556"/>
      <c r="K1217" s="556"/>
      <c r="L1217" s="556"/>
      <c r="M1217" s="556"/>
      <c r="N1217" s="556"/>
      <c r="O1217" s="556"/>
      <c r="P1217" s="556"/>
      <c r="Q1217" s="556"/>
      <c r="R1217" s="596"/>
      <c r="S1217" s="596"/>
      <c r="T1217" s="556"/>
      <c r="U1217" s="556"/>
      <c r="V1217" s="807"/>
      <c r="W1217" s="556"/>
      <c r="X1217" s="556"/>
      <c r="Y1217" s="556"/>
      <c r="Z1217" s="579"/>
      <c r="AA1217" s="556"/>
      <c r="AB1217" s="556"/>
      <c r="AC1217" s="556"/>
      <c r="AD1217" s="556"/>
    </row>
    <row r="1218" ht="15.75" customHeight="1">
      <c r="A1218" s="556"/>
      <c r="B1218" s="556"/>
      <c r="C1218" s="596"/>
      <c r="D1218" s="556"/>
      <c r="E1218" s="596"/>
      <c r="F1218" s="556"/>
      <c r="G1218" s="556"/>
      <c r="H1218" s="556"/>
      <c r="I1218" s="556"/>
      <c r="J1218" s="556"/>
      <c r="K1218" s="556"/>
      <c r="L1218" s="556"/>
      <c r="M1218" s="556"/>
      <c r="N1218" s="556"/>
      <c r="O1218" s="556"/>
      <c r="P1218" s="556"/>
      <c r="Q1218" s="556"/>
      <c r="R1218" s="596"/>
      <c r="S1218" s="596"/>
      <c r="T1218" s="556"/>
      <c r="U1218" s="556"/>
      <c r="V1218" s="807"/>
      <c r="W1218" s="556"/>
      <c r="X1218" s="556"/>
      <c r="Y1218" s="556"/>
      <c r="Z1218" s="579"/>
      <c r="AA1218" s="556"/>
      <c r="AB1218" s="556"/>
      <c r="AC1218" s="556"/>
      <c r="AD1218" s="556"/>
    </row>
    <row r="1219" ht="15.75" customHeight="1">
      <c r="A1219" s="556"/>
      <c r="B1219" s="556"/>
      <c r="C1219" s="596"/>
      <c r="D1219" s="556"/>
      <c r="E1219" s="596"/>
      <c r="F1219" s="556"/>
      <c r="G1219" s="556"/>
      <c r="H1219" s="556"/>
      <c r="I1219" s="556"/>
      <c r="J1219" s="556"/>
      <c r="K1219" s="556"/>
      <c r="L1219" s="556"/>
      <c r="M1219" s="556"/>
      <c r="N1219" s="556"/>
      <c r="O1219" s="556"/>
      <c r="P1219" s="556"/>
      <c r="Q1219" s="556"/>
      <c r="R1219" s="596"/>
      <c r="S1219" s="596"/>
      <c r="T1219" s="556"/>
      <c r="U1219" s="556"/>
      <c r="V1219" s="807"/>
      <c r="W1219" s="556"/>
      <c r="X1219" s="556"/>
      <c r="Y1219" s="556"/>
      <c r="Z1219" s="579"/>
      <c r="AA1219" s="556"/>
      <c r="AB1219" s="556"/>
      <c r="AC1219" s="556"/>
      <c r="AD1219" s="556"/>
    </row>
    <row r="1220" ht="15.75" customHeight="1">
      <c r="A1220" s="556"/>
      <c r="B1220" s="556"/>
      <c r="C1220" s="596"/>
      <c r="D1220" s="556"/>
      <c r="E1220" s="596"/>
      <c r="F1220" s="556"/>
      <c r="G1220" s="556"/>
      <c r="H1220" s="556"/>
      <c r="I1220" s="556"/>
      <c r="J1220" s="556"/>
      <c r="K1220" s="556"/>
      <c r="L1220" s="556"/>
      <c r="M1220" s="556"/>
      <c r="N1220" s="556"/>
      <c r="O1220" s="556"/>
      <c r="P1220" s="556"/>
      <c r="Q1220" s="556"/>
      <c r="R1220" s="596"/>
      <c r="S1220" s="596"/>
      <c r="T1220" s="556"/>
      <c r="U1220" s="556"/>
      <c r="V1220" s="807"/>
      <c r="W1220" s="556"/>
      <c r="X1220" s="556"/>
      <c r="Y1220" s="556"/>
      <c r="Z1220" s="579"/>
      <c r="AA1220" s="556"/>
      <c r="AB1220" s="556"/>
      <c r="AC1220" s="556"/>
      <c r="AD1220" s="556"/>
    </row>
    <row r="1221" ht="15.75" customHeight="1">
      <c r="A1221" s="556"/>
      <c r="B1221" s="556"/>
      <c r="C1221" s="596"/>
      <c r="D1221" s="556"/>
      <c r="E1221" s="596"/>
      <c r="F1221" s="556"/>
      <c r="G1221" s="556"/>
      <c r="H1221" s="556"/>
      <c r="I1221" s="556"/>
      <c r="J1221" s="556"/>
      <c r="K1221" s="556"/>
      <c r="L1221" s="556"/>
      <c r="M1221" s="556"/>
      <c r="N1221" s="556"/>
      <c r="O1221" s="556"/>
      <c r="P1221" s="556"/>
      <c r="Q1221" s="556"/>
      <c r="R1221" s="596"/>
      <c r="S1221" s="596"/>
      <c r="T1221" s="556"/>
      <c r="U1221" s="556"/>
      <c r="V1221" s="807"/>
      <c r="W1221" s="556"/>
      <c r="X1221" s="556"/>
      <c r="Y1221" s="556"/>
      <c r="Z1221" s="579"/>
      <c r="AA1221" s="556"/>
      <c r="AB1221" s="556"/>
      <c r="AC1221" s="556"/>
      <c r="AD1221" s="556"/>
    </row>
    <row r="1222" ht="15.75" customHeight="1">
      <c r="A1222" s="556"/>
      <c r="B1222" s="556"/>
      <c r="C1222" s="596"/>
      <c r="D1222" s="556"/>
      <c r="E1222" s="596"/>
      <c r="F1222" s="556"/>
      <c r="G1222" s="556"/>
      <c r="H1222" s="556"/>
      <c r="I1222" s="556"/>
      <c r="J1222" s="556"/>
      <c r="K1222" s="556"/>
      <c r="L1222" s="556"/>
      <c r="M1222" s="556"/>
      <c r="N1222" s="556"/>
      <c r="O1222" s="556"/>
      <c r="P1222" s="556"/>
      <c r="Q1222" s="556"/>
      <c r="R1222" s="596"/>
      <c r="S1222" s="596"/>
      <c r="T1222" s="556"/>
      <c r="U1222" s="556"/>
      <c r="V1222" s="807"/>
      <c r="W1222" s="556"/>
      <c r="X1222" s="556"/>
      <c r="Y1222" s="556"/>
      <c r="Z1222" s="579"/>
      <c r="AA1222" s="556"/>
      <c r="AB1222" s="556"/>
      <c r="AC1222" s="556"/>
      <c r="AD1222" s="556"/>
    </row>
    <row r="1223" ht="15.75" customHeight="1">
      <c r="A1223" s="556"/>
      <c r="B1223" s="556"/>
      <c r="C1223" s="596"/>
      <c r="D1223" s="556"/>
      <c r="E1223" s="596"/>
      <c r="F1223" s="556"/>
      <c r="G1223" s="556"/>
      <c r="H1223" s="556"/>
      <c r="I1223" s="556"/>
      <c r="J1223" s="556"/>
      <c r="K1223" s="556"/>
      <c r="L1223" s="556"/>
      <c r="M1223" s="556"/>
      <c r="N1223" s="556"/>
      <c r="O1223" s="556"/>
      <c r="P1223" s="556"/>
      <c r="Q1223" s="556"/>
      <c r="R1223" s="596"/>
      <c r="S1223" s="596"/>
      <c r="T1223" s="556"/>
      <c r="U1223" s="556"/>
      <c r="V1223" s="807"/>
      <c r="W1223" s="556"/>
      <c r="X1223" s="556"/>
      <c r="Y1223" s="556"/>
      <c r="Z1223" s="579"/>
      <c r="AA1223" s="556"/>
      <c r="AB1223" s="556"/>
      <c r="AC1223" s="556"/>
      <c r="AD1223" s="556"/>
    </row>
    <row r="1224" ht="15.75" customHeight="1">
      <c r="A1224" s="556"/>
      <c r="B1224" s="556"/>
      <c r="C1224" s="596"/>
      <c r="D1224" s="556"/>
      <c r="E1224" s="596"/>
      <c r="F1224" s="556"/>
      <c r="G1224" s="556"/>
      <c r="H1224" s="556"/>
      <c r="I1224" s="556"/>
      <c r="J1224" s="556"/>
      <c r="K1224" s="556"/>
      <c r="L1224" s="556"/>
      <c r="M1224" s="556"/>
      <c r="N1224" s="556"/>
      <c r="O1224" s="556"/>
      <c r="P1224" s="556"/>
      <c r="Q1224" s="556"/>
      <c r="R1224" s="596"/>
      <c r="S1224" s="596"/>
      <c r="T1224" s="556"/>
      <c r="U1224" s="556"/>
      <c r="V1224" s="807"/>
      <c r="W1224" s="556"/>
      <c r="X1224" s="556"/>
      <c r="Y1224" s="556"/>
      <c r="Z1224" s="579"/>
      <c r="AA1224" s="556"/>
      <c r="AB1224" s="556"/>
      <c r="AC1224" s="556"/>
      <c r="AD1224" s="556"/>
    </row>
    <row r="1225" ht="15.75" customHeight="1">
      <c r="A1225" s="556"/>
      <c r="B1225" s="556"/>
      <c r="C1225" s="596"/>
      <c r="D1225" s="556"/>
      <c r="E1225" s="596"/>
      <c r="F1225" s="556"/>
      <c r="G1225" s="556"/>
      <c r="H1225" s="556"/>
      <c r="I1225" s="556"/>
      <c r="J1225" s="556"/>
      <c r="K1225" s="556"/>
      <c r="L1225" s="556"/>
      <c r="M1225" s="556"/>
      <c r="N1225" s="556"/>
      <c r="O1225" s="556"/>
      <c r="P1225" s="556"/>
      <c r="Q1225" s="556"/>
      <c r="R1225" s="596"/>
      <c r="S1225" s="596"/>
      <c r="T1225" s="556"/>
      <c r="U1225" s="556"/>
      <c r="V1225" s="807"/>
      <c r="W1225" s="556"/>
      <c r="X1225" s="556"/>
      <c r="Y1225" s="556"/>
      <c r="Z1225" s="579"/>
      <c r="AA1225" s="556"/>
      <c r="AB1225" s="556"/>
      <c r="AC1225" s="556"/>
      <c r="AD1225" s="556"/>
    </row>
  </sheetData>
  <mergeCells count="795">
    <mergeCell ref="L10:L13"/>
    <mergeCell ref="M10:M13"/>
    <mergeCell ref="N10:N13"/>
    <mergeCell ref="O10:O13"/>
    <mergeCell ref="P10:P13"/>
    <mergeCell ref="Q10:Q13"/>
    <mergeCell ref="R10:R13"/>
    <mergeCell ref="A10:A13"/>
    <mergeCell ref="B10:B13"/>
    <mergeCell ref="C10:C13"/>
    <mergeCell ref="D10:D13"/>
    <mergeCell ref="E10:E13"/>
    <mergeCell ref="F10:F13"/>
    <mergeCell ref="K10:K13"/>
    <mergeCell ref="G2:J2"/>
    <mergeCell ref="K2:Q2"/>
    <mergeCell ref="R2:T2"/>
    <mergeCell ref="U2:V2"/>
    <mergeCell ref="W2:W3"/>
    <mergeCell ref="P3:Q3"/>
    <mergeCell ref="A1:G1"/>
    <mergeCell ref="A2:A3"/>
    <mergeCell ref="B2:B3"/>
    <mergeCell ref="C2:C3"/>
    <mergeCell ref="D2:D3"/>
    <mergeCell ref="E2:E3"/>
    <mergeCell ref="F2:F3"/>
    <mergeCell ref="S7:S9"/>
    <mergeCell ref="T7:T9"/>
    <mergeCell ref="U7:U9"/>
    <mergeCell ref="V7:V9"/>
    <mergeCell ref="W7:W9"/>
    <mergeCell ref="L7:L9"/>
    <mergeCell ref="M7:M9"/>
    <mergeCell ref="N7:N9"/>
    <mergeCell ref="O7:O9"/>
    <mergeCell ref="P7:P9"/>
    <mergeCell ref="Q7:Q9"/>
    <mergeCell ref="R7:R9"/>
    <mergeCell ref="A7:A9"/>
    <mergeCell ref="B7:B9"/>
    <mergeCell ref="C7:C9"/>
    <mergeCell ref="D7:D9"/>
    <mergeCell ref="E7:E9"/>
    <mergeCell ref="F7:F9"/>
    <mergeCell ref="K7:K9"/>
    <mergeCell ref="S10:S13"/>
    <mergeCell ref="T10:T13"/>
    <mergeCell ref="U10:U13"/>
    <mergeCell ref="V10:V13"/>
    <mergeCell ref="W10:W13"/>
    <mergeCell ref="U27:U29"/>
    <mergeCell ref="V27:V29"/>
    <mergeCell ref="W27:W29"/>
    <mergeCell ref="A27:A29"/>
    <mergeCell ref="B27:B29"/>
    <mergeCell ref="C27:C29"/>
    <mergeCell ref="D27:D29"/>
    <mergeCell ref="E27:E29"/>
    <mergeCell ref="F27:F29"/>
    <mergeCell ref="K27:K29"/>
    <mergeCell ref="L40:L43"/>
    <mergeCell ref="M40:M43"/>
    <mergeCell ref="N40:N43"/>
    <mergeCell ref="O40:O43"/>
    <mergeCell ref="P40:P43"/>
    <mergeCell ref="Q40:Q43"/>
    <mergeCell ref="R40:R43"/>
    <mergeCell ref="A40:A43"/>
    <mergeCell ref="B40:B43"/>
    <mergeCell ref="C40:C43"/>
    <mergeCell ref="D40:D43"/>
    <mergeCell ref="E40:E43"/>
    <mergeCell ref="F40:F43"/>
    <mergeCell ref="K40:K43"/>
    <mergeCell ref="S27:S29"/>
    <mergeCell ref="T27:T29"/>
    <mergeCell ref="L27:L29"/>
    <mergeCell ref="M27:M29"/>
    <mergeCell ref="N27:N29"/>
    <mergeCell ref="O27:O29"/>
    <mergeCell ref="P27:P29"/>
    <mergeCell ref="Q27:Q29"/>
    <mergeCell ref="R27:R29"/>
    <mergeCell ref="S36:S39"/>
    <mergeCell ref="T36:T39"/>
    <mergeCell ref="U36:U39"/>
    <mergeCell ref="V36:V39"/>
    <mergeCell ref="W36:W39"/>
    <mergeCell ref="L36:L39"/>
    <mergeCell ref="M36:M39"/>
    <mergeCell ref="N36:N39"/>
    <mergeCell ref="O36:O39"/>
    <mergeCell ref="P36:P39"/>
    <mergeCell ref="Q36:Q39"/>
    <mergeCell ref="R36:R39"/>
    <mergeCell ref="A36:A39"/>
    <mergeCell ref="B36:B39"/>
    <mergeCell ref="C36:C39"/>
    <mergeCell ref="D36:D39"/>
    <mergeCell ref="E36:E39"/>
    <mergeCell ref="F36:F39"/>
    <mergeCell ref="K36:K39"/>
    <mergeCell ref="S40:S43"/>
    <mergeCell ref="T40:T43"/>
    <mergeCell ref="U40:U43"/>
    <mergeCell ref="V40:V43"/>
    <mergeCell ref="W40:W43"/>
    <mergeCell ref="U51:U53"/>
    <mergeCell ref="V51:V53"/>
    <mergeCell ref="W51:W53"/>
    <mergeCell ref="A51:A53"/>
    <mergeCell ref="B51:B53"/>
    <mergeCell ref="C51:C53"/>
    <mergeCell ref="D51:D53"/>
    <mergeCell ref="E51:E53"/>
    <mergeCell ref="F51:F53"/>
    <mergeCell ref="K51:K53"/>
    <mergeCell ref="S17:S18"/>
    <mergeCell ref="T17:T18"/>
    <mergeCell ref="L17:L18"/>
    <mergeCell ref="M17:M18"/>
    <mergeCell ref="N17:N18"/>
    <mergeCell ref="O17:O18"/>
    <mergeCell ref="P17:P18"/>
    <mergeCell ref="Q17:Q18"/>
    <mergeCell ref="R17:R18"/>
    <mergeCell ref="U17:U18"/>
    <mergeCell ref="V17:V18"/>
    <mergeCell ref="W17:W18"/>
    <mergeCell ref="A17:A18"/>
    <mergeCell ref="B17:B18"/>
    <mergeCell ref="C17:C18"/>
    <mergeCell ref="D17:D18"/>
    <mergeCell ref="E17:E18"/>
    <mergeCell ref="F17:F18"/>
    <mergeCell ref="K17:K18"/>
    <mergeCell ref="S20:S21"/>
    <mergeCell ref="T20:T21"/>
    <mergeCell ref="L20:L21"/>
    <mergeCell ref="M20:M21"/>
    <mergeCell ref="N20:N21"/>
    <mergeCell ref="O20:O21"/>
    <mergeCell ref="P20:P21"/>
    <mergeCell ref="Q20:Q21"/>
    <mergeCell ref="R20:R21"/>
    <mergeCell ref="U20:U21"/>
    <mergeCell ref="V20:V21"/>
    <mergeCell ref="W20:W21"/>
    <mergeCell ref="A20:A21"/>
    <mergeCell ref="B20:B21"/>
    <mergeCell ref="C20:C21"/>
    <mergeCell ref="D20:D21"/>
    <mergeCell ref="E20:E21"/>
    <mergeCell ref="F20:F21"/>
    <mergeCell ref="K20:K21"/>
    <mergeCell ref="S22:S24"/>
    <mergeCell ref="T22:T24"/>
    <mergeCell ref="L22:L24"/>
    <mergeCell ref="M22:M24"/>
    <mergeCell ref="N22:N24"/>
    <mergeCell ref="O22:O24"/>
    <mergeCell ref="P22:P24"/>
    <mergeCell ref="Q22:Q24"/>
    <mergeCell ref="R22:R24"/>
    <mergeCell ref="U22:U24"/>
    <mergeCell ref="V22:V24"/>
    <mergeCell ref="W22:W24"/>
    <mergeCell ref="A22:A24"/>
    <mergeCell ref="B22:B24"/>
    <mergeCell ref="C22:C24"/>
    <mergeCell ref="D22:D24"/>
    <mergeCell ref="E22:E24"/>
    <mergeCell ref="F22:F24"/>
    <mergeCell ref="K22:K24"/>
    <mergeCell ref="L57:L58"/>
    <mergeCell ref="M57:M58"/>
    <mergeCell ref="N57:N58"/>
    <mergeCell ref="O57:O58"/>
    <mergeCell ref="P57:P58"/>
    <mergeCell ref="Q57:Q58"/>
    <mergeCell ref="R57:R58"/>
    <mergeCell ref="A57:A58"/>
    <mergeCell ref="B57:B58"/>
    <mergeCell ref="C57:C58"/>
    <mergeCell ref="D57:D58"/>
    <mergeCell ref="E57:E58"/>
    <mergeCell ref="F57:F58"/>
    <mergeCell ref="K57:K58"/>
    <mergeCell ref="S91:S92"/>
    <mergeCell ref="T91:T92"/>
    <mergeCell ref="L91:L92"/>
    <mergeCell ref="M91:M92"/>
    <mergeCell ref="N91:N92"/>
    <mergeCell ref="O91:O92"/>
    <mergeCell ref="P91:P92"/>
    <mergeCell ref="Q91:Q92"/>
    <mergeCell ref="R91:R92"/>
    <mergeCell ref="S99:S100"/>
    <mergeCell ref="T99:T100"/>
    <mergeCell ref="U99:U100"/>
    <mergeCell ref="V99:V100"/>
    <mergeCell ref="W99:W100"/>
    <mergeCell ref="L99:L100"/>
    <mergeCell ref="M99:M100"/>
    <mergeCell ref="N99:N100"/>
    <mergeCell ref="O99:O100"/>
    <mergeCell ref="P99:P100"/>
    <mergeCell ref="Q99:Q100"/>
    <mergeCell ref="R99:R100"/>
    <mergeCell ref="A99:A100"/>
    <mergeCell ref="B99:B100"/>
    <mergeCell ref="C99:C100"/>
    <mergeCell ref="D99:D100"/>
    <mergeCell ref="E99:E100"/>
    <mergeCell ref="F99:F100"/>
    <mergeCell ref="K99:K100"/>
    <mergeCell ref="S104:S105"/>
    <mergeCell ref="T104:T105"/>
    <mergeCell ref="U104:U105"/>
    <mergeCell ref="V104:V105"/>
    <mergeCell ref="W104:W105"/>
    <mergeCell ref="U106:U107"/>
    <mergeCell ref="V106:V107"/>
    <mergeCell ref="A106:A107"/>
    <mergeCell ref="B106:B107"/>
    <mergeCell ref="C106:C107"/>
    <mergeCell ref="D106:D107"/>
    <mergeCell ref="E106:E107"/>
    <mergeCell ref="F106:F107"/>
    <mergeCell ref="K106:K107"/>
    <mergeCell ref="L104:L105"/>
    <mergeCell ref="M104:M105"/>
    <mergeCell ref="N104:N105"/>
    <mergeCell ref="O104:O105"/>
    <mergeCell ref="P104:P105"/>
    <mergeCell ref="Q104:Q105"/>
    <mergeCell ref="R104:R105"/>
    <mergeCell ref="A104:A105"/>
    <mergeCell ref="B104:B105"/>
    <mergeCell ref="C104:C105"/>
    <mergeCell ref="D104:D105"/>
    <mergeCell ref="E104:E105"/>
    <mergeCell ref="F104:F105"/>
    <mergeCell ref="K104:K105"/>
    <mergeCell ref="S135:S137"/>
    <mergeCell ref="T135:T137"/>
    <mergeCell ref="U135:U137"/>
    <mergeCell ref="V135:V137"/>
    <mergeCell ref="W135:W137"/>
    <mergeCell ref="L135:L137"/>
    <mergeCell ref="M135:M137"/>
    <mergeCell ref="N135:N137"/>
    <mergeCell ref="O135:O137"/>
    <mergeCell ref="P135:P137"/>
    <mergeCell ref="Q135:Q137"/>
    <mergeCell ref="R135:R137"/>
    <mergeCell ref="A135:A137"/>
    <mergeCell ref="B135:B137"/>
    <mergeCell ref="C135:C137"/>
    <mergeCell ref="D135:D137"/>
    <mergeCell ref="E135:E137"/>
    <mergeCell ref="F135:F137"/>
    <mergeCell ref="K135:K137"/>
    <mergeCell ref="S148:S150"/>
    <mergeCell ref="T148:T150"/>
    <mergeCell ref="U148:U150"/>
    <mergeCell ref="V148:V150"/>
    <mergeCell ref="W148:W150"/>
    <mergeCell ref="U151:U153"/>
    <mergeCell ref="V151:V153"/>
    <mergeCell ref="W151:W153"/>
    <mergeCell ref="A151:A153"/>
    <mergeCell ref="B151:B153"/>
    <mergeCell ref="C151:C153"/>
    <mergeCell ref="D151:D153"/>
    <mergeCell ref="E151:E153"/>
    <mergeCell ref="F151:F153"/>
    <mergeCell ref="K151:K153"/>
    <mergeCell ref="S64:S69"/>
    <mergeCell ref="T64:T69"/>
    <mergeCell ref="L64:L69"/>
    <mergeCell ref="M64:M69"/>
    <mergeCell ref="N64:N69"/>
    <mergeCell ref="O64:O69"/>
    <mergeCell ref="P64:P69"/>
    <mergeCell ref="Q64:Q69"/>
    <mergeCell ref="R64:R69"/>
    <mergeCell ref="S51:S53"/>
    <mergeCell ref="T51:T53"/>
    <mergeCell ref="U64:U69"/>
    <mergeCell ref="V64:V69"/>
    <mergeCell ref="W64:W69"/>
    <mergeCell ref="L51:L53"/>
    <mergeCell ref="M51:M53"/>
    <mergeCell ref="N51:N53"/>
    <mergeCell ref="O51:O53"/>
    <mergeCell ref="P51:P53"/>
    <mergeCell ref="Q51:Q53"/>
    <mergeCell ref="R51:R53"/>
    <mergeCell ref="S54:S56"/>
    <mergeCell ref="T54:T56"/>
    <mergeCell ref="U54:U56"/>
    <mergeCell ref="V54:V56"/>
    <mergeCell ref="W54:W56"/>
    <mergeCell ref="L54:L56"/>
    <mergeCell ref="M54:M56"/>
    <mergeCell ref="N54:N56"/>
    <mergeCell ref="O54:O56"/>
    <mergeCell ref="P54:P56"/>
    <mergeCell ref="Q54:Q56"/>
    <mergeCell ref="R54:R56"/>
    <mergeCell ref="A54:A56"/>
    <mergeCell ref="B54:B56"/>
    <mergeCell ref="C54:C56"/>
    <mergeCell ref="D54:D56"/>
    <mergeCell ref="E54:E56"/>
    <mergeCell ref="F54:F56"/>
    <mergeCell ref="K54:K56"/>
    <mergeCell ref="S57:S58"/>
    <mergeCell ref="T57:T58"/>
    <mergeCell ref="U57:U58"/>
    <mergeCell ref="V57:V58"/>
    <mergeCell ref="W57:W58"/>
    <mergeCell ref="A64:A69"/>
    <mergeCell ref="B64:B69"/>
    <mergeCell ref="C64:C69"/>
    <mergeCell ref="D64:D69"/>
    <mergeCell ref="E64:E69"/>
    <mergeCell ref="F64:F69"/>
    <mergeCell ref="K64:K69"/>
    <mergeCell ref="S77:S80"/>
    <mergeCell ref="T77:T80"/>
    <mergeCell ref="U77:U80"/>
    <mergeCell ref="V77:V80"/>
    <mergeCell ref="W77:W80"/>
    <mergeCell ref="L77:L80"/>
    <mergeCell ref="M77:M80"/>
    <mergeCell ref="N77:N80"/>
    <mergeCell ref="O77:O80"/>
    <mergeCell ref="P77:P80"/>
    <mergeCell ref="Q77:Q80"/>
    <mergeCell ref="R77:R80"/>
    <mergeCell ref="A77:A80"/>
    <mergeCell ref="B77:B80"/>
    <mergeCell ref="C77:C80"/>
    <mergeCell ref="D77:D80"/>
    <mergeCell ref="E77:E80"/>
    <mergeCell ref="F77:F80"/>
    <mergeCell ref="K77:K79"/>
    <mergeCell ref="S84:S85"/>
    <mergeCell ref="T84:T85"/>
    <mergeCell ref="U84:U85"/>
    <mergeCell ref="V84:V85"/>
    <mergeCell ref="W84:W85"/>
    <mergeCell ref="L84:L85"/>
    <mergeCell ref="M84:M85"/>
    <mergeCell ref="N84:N85"/>
    <mergeCell ref="O84:O85"/>
    <mergeCell ref="P84:P85"/>
    <mergeCell ref="Q84:Q85"/>
    <mergeCell ref="R84:R85"/>
    <mergeCell ref="A84:A85"/>
    <mergeCell ref="B84:B85"/>
    <mergeCell ref="C84:C85"/>
    <mergeCell ref="D84:D85"/>
    <mergeCell ref="E84:E85"/>
    <mergeCell ref="F84:F85"/>
    <mergeCell ref="K84:K85"/>
    <mergeCell ref="U91:U92"/>
    <mergeCell ref="V91:V92"/>
    <mergeCell ref="W91:W92"/>
    <mergeCell ref="A91:A92"/>
    <mergeCell ref="B91:B92"/>
    <mergeCell ref="C91:C92"/>
    <mergeCell ref="D91:D92"/>
    <mergeCell ref="E91:E92"/>
    <mergeCell ref="F91:F92"/>
    <mergeCell ref="K91:K92"/>
    <mergeCell ref="S106:S107"/>
    <mergeCell ref="T106:T107"/>
    <mergeCell ref="L106:L107"/>
    <mergeCell ref="M106:M107"/>
    <mergeCell ref="N106:N107"/>
    <mergeCell ref="O106:O107"/>
    <mergeCell ref="P106:P107"/>
    <mergeCell ref="Q106:Q107"/>
    <mergeCell ref="R106:R107"/>
    <mergeCell ref="L148:L150"/>
    <mergeCell ref="M148:M150"/>
    <mergeCell ref="N148:N150"/>
    <mergeCell ref="O148:O150"/>
    <mergeCell ref="P148:P150"/>
    <mergeCell ref="Q148:Q150"/>
    <mergeCell ref="R148:R150"/>
    <mergeCell ref="A148:A150"/>
    <mergeCell ref="B148:B150"/>
    <mergeCell ref="C148:C150"/>
    <mergeCell ref="D148:D150"/>
    <mergeCell ref="E148:E150"/>
    <mergeCell ref="F148:F150"/>
    <mergeCell ref="K148:K150"/>
    <mergeCell ref="S151:S153"/>
    <mergeCell ref="T151:T153"/>
    <mergeCell ref="L151:L153"/>
    <mergeCell ref="M151:M153"/>
    <mergeCell ref="N151:N153"/>
    <mergeCell ref="O151:O153"/>
    <mergeCell ref="P151:P153"/>
    <mergeCell ref="Q151:Q153"/>
    <mergeCell ref="R151:R153"/>
    <mergeCell ref="S162:S163"/>
    <mergeCell ref="T162:T163"/>
    <mergeCell ref="L162:L163"/>
    <mergeCell ref="M162:M163"/>
    <mergeCell ref="N162:N163"/>
    <mergeCell ref="O162:O163"/>
    <mergeCell ref="P162:P163"/>
    <mergeCell ref="Q162:Q163"/>
    <mergeCell ref="R162:R163"/>
    <mergeCell ref="S205:S206"/>
    <mergeCell ref="T205:T206"/>
    <mergeCell ref="L205:L206"/>
    <mergeCell ref="M205:M206"/>
    <mergeCell ref="N205:N206"/>
    <mergeCell ref="O205:O206"/>
    <mergeCell ref="P205:P206"/>
    <mergeCell ref="Q205:Q206"/>
    <mergeCell ref="R205:R206"/>
    <mergeCell ref="S182:S184"/>
    <mergeCell ref="T182:T184"/>
    <mergeCell ref="U182:U184"/>
    <mergeCell ref="V182:V184"/>
    <mergeCell ref="W182:W184"/>
    <mergeCell ref="L182:L184"/>
    <mergeCell ref="M182:M184"/>
    <mergeCell ref="N182:N184"/>
    <mergeCell ref="O182:O184"/>
    <mergeCell ref="P182:P184"/>
    <mergeCell ref="Q182:Q184"/>
    <mergeCell ref="R182:R184"/>
    <mergeCell ref="A182:A184"/>
    <mergeCell ref="B182:B184"/>
    <mergeCell ref="C182:C184"/>
    <mergeCell ref="D182:D184"/>
    <mergeCell ref="E182:E184"/>
    <mergeCell ref="F182:F184"/>
    <mergeCell ref="K182:K184"/>
    <mergeCell ref="S201:S204"/>
    <mergeCell ref="T201:T204"/>
    <mergeCell ref="U201:U204"/>
    <mergeCell ref="V201:V204"/>
    <mergeCell ref="W201:W204"/>
    <mergeCell ref="U205:U206"/>
    <mergeCell ref="V205:V206"/>
    <mergeCell ref="W205:W206"/>
    <mergeCell ref="L201:L204"/>
    <mergeCell ref="M201:M204"/>
    <mergeCell ref="N201:N204"/>
    <mergeCell ref="O201:O204"/>
    <mergeCell ref="P201:P204"/>
    <mergeCell ref="Q201:Q204"/>
    <mergeCell ref="R201:R204"/>
    <mergeCell ref="A201:A204"/>
    <mergeCell ref="B201:B204"/>
    <mergeCell ref="C201:C204"/>
    <mergeCell ref="D201:D204"/>
    <mergeCell ref="E201:E204"/>
    <mergeCell ref="F201:F204"/>
    <mergeCell ref="K201:K204"/>
    <mergeCell ref="A205:A206"/>
    <mergeCell ref="B205:B206"/>
    <mergeCell ref="C205:C206"/>
    <mergeCell ref="D205:D206"/>
    <mergeCell ref="E205:E206"/>
    <mergeCell ref="F205:F206"/>
    <mergeCell ref="K205:K206"/>
    <mergeCell ref="S208:S209"/>
    <mergeCell ref="T208:T209"/>
    <mergeCell ref="U208:U209"/>
    <mergeCell ref="V208:V209"/>
    <mergeCell ref="W208:W209"/>
    <mergeCell ref="L208:L209"/>
    <mergeCell ref="M208:M209"/>
    <mergeCell ref="N208:N209"/>
    <mergeCell ref="O208:O209"/>
    <mergeCell ref="P208:P209"/>
    <mergeCell ref="Q208:Q209"/>
    <mergeCell ref="R208:R209"/>
    <mergeCell ref="A208:A209"/>
    <mergeCell ref="B208:B209"/>
    <mergeCell ref="C208:C209"/>
    <mergeCell ref="D208:D209"/>
    <mergeCell ref="E208:E209"/>
    <mergeCell ref="F208:F209"/>
    <mergeCell ref="K208:K209"/>
    <mergeCell ref="O218:O219"/>
    <mergeCell ref="P218:P219"/>
    <mergeCell ref="Q218:Q219"/>
    <mergeCell ref="R218:R219"/>
    <mergeCell ref="S218:S219"/>
    <mergeCell ref="T218:T219"/>
    <mergeCell ref="W218:W219"/>
    <mergeCell ref="H218:H219"/>
    <mergeCell ref="I218:I219"/>
    <mergeCell ref="J218:J219"/>
    <mergeCell ref="K218:K219"/>
    <mergeCell ref="L218:L219"/>
    <mergeCell ref="M218:M219"/>
    <mergeCell ref="N218:N219"/>
    <mergeCell ref="A218:A219"/>
    <mergeCell ref="B218:B219"/>
    <mergeCell ref="C218:C219"/>
    <mergeCell ref="D218:D219"/>
    <mergeCell ref="E218:E219"/>
    <mergeCell ref="F218:F219"/>
    <mergeCell ref="G218:G219"/>
    <mergeCell ref="U221:U223"/>
    <mergeCell ref="V221:V223"/>
    <mergeCell ref="W221:W223"/>
    <mergeCell ref="A221:A223"/>
    <mergeCell ref="B221:B223"/>
    <mergeCell ref="C221:C223"/>
    <mergeCell ref="D221:D223"/>
    <mergeCell ref="E221:E223"/>
    <mergeCell ref="F221:F223"/>
    <mergeCell ref="K221:K223"/>
    <mergeCell ref="S252:S259"/>
    <mergeCell ref="T252:T259"/>
    <mergeCell ref="L252:L259"/>
    <mergeCell ref="M252:M259"/>
    <mergeCell ref="N252:N259"/>
    <mergeCell ref="O252:O259"/>
    <mergeCell ref="P252:P259"/>
    <mergeCell ref="Q252:Q259"/>
    <mergeCell ref="R252:R259"/>
    <mergeCell ref="S221:S223"/>
    <mergeCell ref="T221:T223"/>
    <mergeCell ref="L221:L223"/>
    <mergeCell ref="M221:M223"/>
    <mergeCell ref="N221:N223"/>
    <mergeCell ref="O221:O223"/>
    <mergeCell ref="P221:P223"/>
    <mergeCell ref="Q221:Q223"/>
    <mergeCell ref="R221:R223"/>
    <mergeCell ref="S239:S241"/>
    <mergeCell ref="T239:T241"/>
    <mergeCell ref="U239:U240"/>
    <mergeCell ref="V239:V240"/>
    <mergeCell ref="W239:W240"/>
    <mergeCell ref="L239:L241"/>
    <mergeCell ref="M239:M241"/>
    <mergeCell ref="N239:N241"/>
    <mergeCell ref="O239:O241"/>
    <mergeCell ref="P239:P241"/>
    <mergeCell ref="Q239:Q241"/>
    <mergeCell ref="R239:R241"/>
    <mergeCell ref="A239:A241"/>
    <mergeCell ref="B239:B241"/>
    <mergeCell ref="C239:C241"/>
    <mergeCell ref="D239:D241"/>
    <mergeCell ref="E239:E241"/>
    <mergeCell ref="F239:F241"/>
    <mergeCell ref="K239:K241"/>
    <mergeCell ref="S243:S245"/>
    <mergeCell ref="T243:T245"/>
    <mergeCell ref="U243:U245"/>
    <mergeCell ref="V243:V245"/>
    <mergeCell ref="W243:W245"/>
    <mergeCell ref="U252:U259"/>
    <mergeCell ref="V252:V259"/>
    <mergeCell ref="W252:W259"/>
    <mergeCell ref="A252:A259"/>
    <mergeCell ref="B252:B259"/>
    <mergeCell ref="C252:C259"/>
    <mergeCell ref="D252:D259"/>
    <mergeCell ref="E252:E259"/>
    <mergeCell ref="F252:F259"/>
    <mergeCell ref="K252:K259"/>
    <mergeCell ref="B293:D293"/>
    <mergeCell ref="B295:B310"/>
    <mergeCell ref="B311:B335"/>
    <mergeCell ref="B336:H336"/>
    <mergeCell ref="B337:H337"/>
    <mergeCell ref="K337:M337"/>
    <mergeCell ref="B338:H338"/>
    <mergeCell ref="B339:D339"/>
    <mergeCell ref="E339:H339"/>
    <mergeCell ref="B340:H340"/>
    <mergeCell ref="B341:H341"/>
    <mergeCell ref="B342:H342"/>
    <mergeCell ref="B343:H343"/>
    <mergeCell ref="B344:H344"/>
    <mergeCell ref="E352:E353"/>
    <mergeCell ref="F352:F353"/>
    <mergeCell ref="B358:D358"/>
    <mergeCell ref="B365:D365"/>
    <mergeCell ref="G352:G353"/>
    <mergeCell ref="L352:L353"/>
    <mergeCell ref="M352:M353"/>
    <mergeCell ref="N352:N353"/>
    <mergeCell ref="B354:J354"/>
    <mergeCell ref="O354:P354"/>
    <mergeCell ref="A346:D346"/>
    <mergeCell ref="O348:P348"/>
    <mergeCell ref="O349:P349"/>
    <mergeCell ref="O351:P351"/>
    <mergeCell ref="B352:B353"/>
    <mergeCell ref="C352:C353"/>
    <mergeCell ref="D352:D353"/>
    <mergeCell ref="S269:S271"/>
    <mergeCell ref="T269:T271"/>
    <mergeCell ref="U269:U271"/>
    <mergeCell ref="V269:V271"/>
    <mergeCell ref="W269:W271"/>
    <mergeCell ref="L269:L271"/>
    <mergeCell ref="M269:M271"/>
    <mergeCell ref="N269:N271"/>
    <mergeCell ref="O269:O271"/>
    <mergeCell ref="P269:P271"/>
    <mergeCell ref="Q269:Q271"/>
    <mergeCell ref="R269:R271"/>
    <mergeCell ref="A269:A271"/>
    <mergeCell ref="B269:B271"/>
    <mergeCell ref="C269:C271"/>
    <mergeCell ref="D269:D271"/>
    <mergeCell ref="E269:E271"/>
    <mergeCell ref="F269:F271"/>
    <mergeCell ref="K269:K271"/>
    <mergeCell ref="S272:S273"/>
    <mergeCell ref="T272:T273"/>
    <mergeCell ref="U272:U273"/>
    <mergeCell ref="V272:V273"/>
    <mergeCell ref="W272:W273"/>
    <mergeCell ref="L272:L273"/>
    <mergeCell ref="M272:M273"/>
    <mergeCell ref="N272:N273"/>
    <mergeCell ref="O272:O273"/>
    <mergeCell ref="P272:P273"/>
    <mergeCell ref="Q272:Q273"/>
    <mergeCell ref="R272:R273"/>
    <mergeCell ref="A272:A273"/>
    <mergeCell ref="B272:B273"/>
    <mergeCell ref="C272:C273"/>
    <mergeCell ref="D272:D273"/>
    <mergeCell ref="E272:E273"/>
    <mergeCell ref="F272:F273"/>
    <mergeCell ref="K272:K273"/>
    <mergeCell ref="B286:I286"/>
    <mergeCell ref="B287:I287"/>
    <mergeCell ref="B288:I288"/>
    <mergeCell ref="B289:I289"/>
    <mergeCell ref="B290:I290"/>
    <mergeCell ref="E293:J293"/>
    <mergeCell ref="N293:T293"/>
    <mergeCell ref="U162:U163"/>
    <mergeCell ref="V162:V163"/>
    <mergeCell ref="W162:W163"/>
    <mergeCell ref="A162:A163"/>
    <mergeCell ref="B162:B163"/>
    <mergeCell ref="C162:C163"/>
    <mergeCell ref="D162:D163"/>
    <mergeCell ref="E162:E163"/>
    <mergeCell ref="F162:F163"/>
    <mergeCell ref="K162:K163"/>
    <mergeCell ref="S166:S168"/>
    <mergeCell ref="T166:T168"/>
    <mergeCell ref="L166:L168"/>
    <mergeCell ref="M166:M168"/>
    <mergeCell ref="N166:N168"/>
    <mergeCell ref="O166:O168"/>
    <mergeCell ref="P166:P168"/>
    <mergeCell ref="Q166:Q168"/>
    <mergeCell ref="R166:R168"/>
    <mergeCell ref="U166:U168"/>
    <mergeCell ref="V166:V168"/>
    <mergeCell ref="W166:W168"/>
    <mergeCell ref="A166:A168"/>
    <mergeCell ref="B166:B168"/>
    <mergeCell ref="C166:C168"/>
    <mergeCell ref="D166:D168"/>
    <mergeCell ref="E166:E168"/>
    <mergeCell ref="F166:F168"/>
    <mergeCell ref="K166:K168"/>
    <mergeCell ref="S173:S175"/>
    <mergeCell ref="T173:T175"/>
    <mergeCell ref="L173:L175"/>
    <mergeCell ref="M173:M175"/>
    <mergeCell ref="N173:N175"/>
    <mergeCell ref="O173:O175"/>
    <mergeCell ref="P173:P175"/>
    <mergeCell ref="Q173:Q175"/>
    <mergeCell ref="R173:R175"/>
    <mergeCell ref="S155:S157"/>
    <mergeCell ref="T155:T157"/>
    <mergeCell ref="U155:U157"/>
    <mergeCell ref="V155:V157"/>
    <mergeCell ref="W155:W157"/>
    <mergeCell ref="L155:L157"/>
    <mergeCell ref="M155:M157"/>
    <mergeCell ref="N155:N157"/>
    <mergeCell ref="O155:O157"/>
    <mergeCell ref="P155:P157"/>
    <mergeCell ref="Q155:Q157"/>
    <mergeCell ref="R155:R157"/>
    <mergeCell ref="A155:A157"/>
    <mergeCell ref="B155:B157"/>
    <mergeCell ref="C155:C157"/>
    <mergeCell ref="D155:D157"/>
    <mergeCell ref="E155:E157"/>
    <mergeCell ref="F155:F157"/>
    <mergeCell ref="K155:K157"/>
    <mergeCell ref="S158:S159"/>
    <mergeCell ref="T158:T159"/>
    <mergeCell ref="U158:U159"/>
    <mergeCell ref="V158:V159"/>
    <mergeCell ref="W158:W159"/>
    <mergeCell ref="L158:L159"/>
    <mergeCell ref="M158:M159"/>
    <mergeCell ref="N158:N159"/>
    <mergeCell ref="O158:O159"/>
    <mergeCell ref="P158:P159"/>
    <mergeCell ref="Q158:Q159"/>
    <mergeCell ref="R158:R159"/>
    <mergeCell ref="A158:A159"/>
    <mergeCell ref="B158:B159"/>
    <mergeCell ref="C158:C159"/>
    <mergeCell ref="D158:D159"/>
    <mergeCell ref="E158:E159"/>
    <mergeCell ref="F158:F159"/>
    <mergeCell ref="K158:K159"/>
    <mergeCell ref="W173:W175"/>
    <mergeCell ref="U174:U175"/>
    <mergeCell ref="V174:V175"/>
    <mergeCell ref="A173:A175"/>
    <mergeCell ref="B173:B175"/>
    <mergeCell ref="C173:C175"/>
    <mergeCell ref="D173:D175"/>
    <mergeCell ref="E173:E175"/>
    <mergeCell ref="F173:F175"/>
    <mergeCell ref="K173:K175"/>
    <mergeCell ref="O176:O177"/>
    <mergeCell ref="P176:P177"/>
    <mergeCell ref="Q176:Q177"/>
    <mergeCell ref="R176:R177"/>
    <mergeCell ref="S176:S177"/>
    <mergeCell ref="T176:T177"/>
    <mergeCell ref="H176:H177"/>
    <mergeCell ref="I176:I177"/>
    <mergeCell ref="J176:J177"/>
    <mergeCell ref="K176:K177"/>
    <mergeCell ref="L176:L177"/>
    <mergeCell ref="M176:M177"/>
    <mergeCell ref="N176:N177"/>
    <mergeCell ref="A176:A177"/>
    <mergeCell ref="B176:B177"/>
    <mergeCell ref="C176:C177"/>
    <mergeCell ref="D176:D177"/>
    <mergeCell ref="E176:E177"/>
    <mergeCell ref="F176:F177"/>
    <mergeCell ref="G176:G177"/>
    <mergeCell ref="O179:O180"/>
    <mergeCell ref="P179:P180"/>
    <mergeCell ref="Q179:Q180"/>
    <mergeCell ref="R179:R180"/>
    <mergeCell ref="S179:S180"/>
    <mergeCell ref="T179:T180"/>
    <mergeCell ref="H179:H180"/>
    <mergeCell ref="I179:I180"/>
    <mergeCell ref="J179:J180"/>
    <mergeCell ref="K179:K180"/>
    <mergeCell ref="L179:L180"/>
    <mergeCell ref="M179:M180"/>
    <mergeCell ref="N179:N180"/>
    <mergeCell ref="A179:A180"/>
    <mergeCell ref="B179:B180"/>
    <mergeCell ref="C179:C180"/>
    <mergeCell ref="D179:D180"/>
    <mergeCell ref="E179:E180"/>
    <mergeCell ref="F179:F180"/>
    <mergeCell ref="G179:G180"/>
    <mergeCell ref="L243:L245"/>
    <mergeCell ref="M243:M245"/>
    <mergeCell ref="N243:N245"/>
    <mergeCell ref="O243:O245"/>
    <mergeCell ref="P243:P245"/>
    <mergeCell ref="Q243:Q245"/>
    <mergeCell ref="R243:R245"/>
    <mergeCell ref="A243:A245"/>
    <mergeCell ref="B243:B245"/>
    <mergeCell ref="C243:C245"/>
    <mergeCell ref="D243:D245"/>
    <mergeCell ref="E243:E245"/>
    <mergeCell ref="F243:F245"/>
    <mergeCell ref="K243:K245"/>
  </mergeCells>
  <dataValidations>
    <dataValidation type="list" allowBlank="1" showErrorMessage="1" sqref="S4:S7 S10 S14:S17 S19:S20 S22 S25:S27 S30:S36 S40 S44:S51 S54 S57 S59:S64 S70:S77 S81:S84 S86:S91 S93:S99 S101:S104 S106 S108:S135 S138:S148 S151 S154:S155 S158 S160:S162 S164:S166 S169:S173 S176 S178:S179 S181:S182 S185:S201 S205 S207:S208 S210:S218 S220:S221 S224:S239 S242:S243 S246:S252 S260:S269 S272 S274:S285">
      <formula1>"Cty trả ship"</formula1>
    </dataValidation>
    <dataValidation type="list" allowBlank="1" showErrorMessage="1" sqref="Q4:Q7 Q10 Q14:Q17 Q19:Q20 Q22 Q25:Q27 Q30:Q36 Q40 Q44:Q51 Q54 Q57 Q59:Q64 Q70:Q77 Q81:Q84 Q86:Q91 Q93:Q98 Q101:Q104 Q106 Q108:Q135 Q138:Q148 Q151 Q154:Q155 Q158 Q160:Q162 Q164:Q166 Q169:Q173 Q176 Q178:Q179 Q181:Q182 Q185:Q201 Q205 Q207:Q208 Q210:Q218 Q220:Q221 Q224:Q239 Q242:Q243 Q246:Q252 Q260:Q269 Q272 Q274:Q285">
      <formula1>"Chưa thu,Đã thu"</formula1>
    </dataValidation>
    <dataValidation type="list" allowBlank="1" showErrorMessage="1" sqref="P4:P7 P10 P14:P17 P19:P20 P22 P25:P27 P30:P36 P40 P44:P51 P54 P57 P59:P64 P70:P77 P81:P84 P86:P91 P93:P98 P99:Q99 P101:P104 P106 P108:P135 P138:P148 P151 P154:P155 P158 P160:P162 P164:P166 P169:P173 P176 P178:P179 P181:P182 P185:P201 P205 P207:P208 P210:P218 P220:P221 P224:P239 P242:P243 P246:P252 P260:P269 P272 P274:P285">
      <formula1>"Chưa giao,Đã giao"</formula1>
    </dataValidation>
  </dataValidation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4.0" ySplit="3.0" topLeftCell="E4" activePane="bottomRight" state="frozen"/>
      <selection activeCell="E1" sqref="E1" pane="topRight"/>
      <selection activeCell="A4" sqref="A4" pane="bottomLeft"/>
      <selection activeCell="E4" sqref="E4" pane="bottomRight"/>
    </sheetView>
  </sheetViews>
  <sheetFormatPr customHeight="1" defaultColWidth="12.63" defaultRowHeight="15.0"/>
  <cols>
    <col customWidth="1" min="1" max="1" width="8.75"/>
    <col customWidth="1" min="2" max="2" width="14.75"/>
    <col customWidth="1" min="3" max="3" width="18.0"/>
    <col customWidth="1" min="4" max="4" width="30.63"/>
    <col customWidth="1" min="5" max="5" width="23.75"/>
    <col customWidth="1" min="6" max="6" width="55.38"/>
    <col customWidth="1" min="7" max="7" width="22.63"/>
    <col customWidth="1" min="8" max="8" width="15.13"/>
    <col customWidth="1" min="9" max="9" width="17.38"/>
    <col customWidth="1" min="10" max="10" width="16.88"/>
    <col customWidth="1" min="11" max="11" width="16.13"/>
    <col customWidth="1" min="12" max="14" width="18.75"/>
    <col customWidth="1" min="15" max="15" width="20.38"/>
    <col customWidth="1" min="16" max="16" width="19.38"/>
    <col customWidth="1" min="17" max="17" width="19.13"/>
    <col customWidth="1" min="18" max="18" width="17.88"/>
    <col customWidth="1" min="19" max="19" width="17.25"/>
    <col customWidth="1" min="20" max="20" width="24.0"/>
    <col customWidth="1" min="21" max="21" width="20.38"/>
    <col customWidth="1" min="22" max="22" width="15.63"/>
    <col customWidth="1" min="23" max="23" width="32.75"/>
    <col customWidth="1" min="24" max="24" width="8.63"/>
    <col customWidth="1" min="25" max="25" width="21.13"/>
    <col customWidth="1" min="26" max="26" width="16.63"/>
    <col customWidth="1" min="27" max="30" width="12.63"/>
  </cols>
  <sheetData>
    <row r="1" ht="25.5" customHeight="1">
      <c r="A1" s="670" t="s">
        <v>1309</v>
      </c>
      <c r="B1" s="2"/>
      <c r="C1" s="2"/>
      <c r="D1" s="2"/>
      <c r="E1" s="2"/>
      <c r="F1" s="2"/>
      <c r="G1" s="3"/>
      <c r="H1" s="4"/>
      <c r="I1" s="4"/>
      <c r="J1" s="4"/>
      <c r="K1" s="4"/>
      <c r="L1" s="4"/>
      <c r="M1" s="4"/>
      <c r="N1" s="4"/>
      <c r="O1" s="4"/>
      <c r="P1" s="4"/>
      <c r="Q1" s="4"/>
      <c r="R1" s="4"/>
      <c r="S1" s="4"/>
      <c r="T1" s="5"/>
      <c r="U1" s="4"/>
      <c r="V1" s="4"/>
      <c r="W1" s="4"/>
      <c r="X1" s="6"/>
      <c r="Y1" s="6"/>
      <c r="Z1" s="7"/>
      <c r="AA1" s="8"/>
      <c r="AB1" s="8"/>
      <c r="AC1" s="8"/>
      <c r="AD1" s="9"/>
    </row>
    <row r="2" ht="40.5" customHeight="1">
      <c r="A2" s="10" t="s">
        <v>1</v>
      </c>
      <c r="B2" s="11" t="s">
        <v>2</v>
      </c>
      <c r="C2" s="12" t="s">
        <v>3</v>
      </c>
      <c r="D2" s="13" t="s">
        <v>4</v>
      </c>
      <c r="E2" s="14" t="s">
        <v>5</v>
      </c>
      <c r="F2" s="13" t="s">
        <v>6</v>
      </c>
      <c r="G2" s="15" t="s">
        <v>7</v>
      </c>
      <c r="H2" s="16"/>
      <c r="I2" s="16"/>
      <c r="J2" s="17"/>
      <c r="K2" s="18" t="s">
        <v>8</v>
      </c>
      <c r="L2" s="16"/>
      <c r="M2" s="16"/>
      <c r="N2" s="16"/>
      <c r="O2" s="16"/>
      <c r="P2" s="16"/>
      <c r="Q2" s="17"/>
      <c r="R2" s="19" t="s">
        <v>9</v>
      </c>
      <c r="S2" s="16"/>
      <c r="T2" s="17"/>
      <c r="U2" s="20" t="s">
        <v>10</v>
      </c>
      <c r="V2" s="17"/>
      <c r="W2" s="811" t="s">
        <v>11</v>
      </c>
      <c r="X2" s="22"/>
      <c r="Y2" s="23"/>
      <c r="Z2" s="24"/>
      <c r="AA2" s="25"/>
      <c r="AB2" s="25"/>
      <c r="AC2" s="25"/>
      <c r="AD2" s="22"/>
    </row>
    <row r="3" ht="36.75" customHeight="1">
      <c r="A3" s="26"/>
      <c r="B3" s="26"/>
      <c r="C3" s="26"/>
      <c r="D3" s="26"/>
      <c r="E3" s="26"/>
      <c r="F3" s="26"/>
      <c r="G3" s="27" t="s">
        <v>12</v>
      </c>
      <c r="H3" s="27" t="s">
        <v>13</v>
      </c>
      <c r="I3" s="28" t="s">
        <v>14</v>
      </c>
      <c r="J3" s="29" t="s">
        <v>15</v>
      </c>
      <c r="K3" s="30" t="s">
        <v>16</v>
      </c>
      <c r="L3" s="31" t="s">
        <v>17</v>
      </c>
      <c r="M3" s="32" t="s">
        <v>1310</v>
      </c>
      <c r="N3" s="33" t="s">
        <v>19</v>
      </c>
      <c r="O3" s="34" t="s">
        <v>20</v>
      </c>
      <c r="P3" s="558" t="s">
        <v>21</v>
      </c>
      <c r="Q3" s="408"/>
      <c r="R3" s="36" t="s">
        <v>22</v>
      </c>
      <c r="S3" s="37" t="s">
        <v>23</v>
      </c>
      <c r="T3" s="37" t="s">
        <v>1311</v>
      </c>
      <c r="U3" s="38" t="s">
        <v>25</v>
      </c>
      <c r="V3" s="38" t="s">
        <v>26</v>
      </c>
      <c r="W3" s="26"/>
      <c r="X3" s="22"/>
      <c r="Y3" s="23"/>
      <c r="Z3" s="24"/>
      <c r="AA3" s="25"/>
      <c r="AB3" s="25"/>
      <c r="AC3" s="25"/>
      <c r="AD3" s="22"/>
    </row>
    <row r="4" ht="30.0" customHeight="1">
      <c r="A4" s="64">
        <v>1.0</v>
      </c>
      <c r="B4" s="120">
        <v>45133.0</v>
      </c>
      <c r="C4" s="812"/>
      <c r="D4" s="813" t="s">
        <v>1312</v>
      </c>
      <c r="E4" s="684" t="s">
        <v>1313</v>
      </c>
      <c r="F4" s="429" t="s">
        <v>1314</v>
      </c>
      <c r="G4" s="45" t="s">
        <v>30</v>
      </c>
      <c r="H4" s="46">
        <v>3.0</v>
      </c>
      <c r="I4" s="47">
        <f>VLOOKUP(G4,$Y$4:$Z$43,2,0)</f>
        <v>220000</v>
      </c>
      <c r="J4" s="48">
        <f>I4*H4</f>
        <v>660000</v>
      </c>
      <c r="K4" s="76">
        <f>SUM(J4)</f>
        <v>660000</v>
      </c>
      <c r="L4" s="138"/>
      <c r="M4" s="575"/>
      <c r="N4" s="136"/>
      <c r="O4" s="80">
        <f>K4+L4-N4</f>
        <v>660000</v>
      </c>
      <c r="P4" s="81" t="s">
        <v>449</v>
      </c>
      <c r="Q4" s="81" t="s">
        <v>31</v>
      </c>
      <c r="R4" s="814"/>
      <c r="S4" s="91"/>
      <c r="T4" s="84" t="s">
        <v>33</v>
      </c>
      <c r="U4" s="135" t="s">
        <v>30</v>
      </c>
      <c r="V4" s="93">
        <v>1.0</v>
      </c>
      <c r="W4" s="565" t="s">
        <v>1315</v>
      </c>
      <c r="X4" s="22"/>
      <c r="Y4" s="60" t="s">
        <v>34</v>
      </c>
      <c r="Z4" s="61">
        <v>65000.0</v>
      </c>
      <c r="AA4" s="25"/>
      <c r="AB4" s="25"/>
      <c r="AC4" s="25"/>
      <c r="AD4" s="22"/>
    </row>
    <row r="5" ht="30.0" customHeight="1">
      <c r="A5" s="111">
        <v>2.0</v>
      </c>
      <c r="B5" s="40">
        <v>45133.0</v>
      </c>
      <c r="C5" s="111">
        <v>1.694992897654E12</v>
      </c>
      <c r="D5" s="142" t="s">
        <v>1316</v>
      </c>
      <c r="E5" s="143" t="s">
        <v>1317</v>
      </c>
      <c r="F5" s="815" t="s">
        <v>1318</v>
      </c>
      <c r="G5" s="126"/>
      <c r="H5" s="39"/>
      <c r="I5" s="766"/>
      <c r="J5" s="450"/>
      <c r="K5" s="49"/>
      <c r="L5" s="147"/>
      <c r="M5" s="561"/>
      <c r="N5" s="562"/>
      <c r="O5" s="53"/>
      <c r="P5" s="99" t="s">
        <v>449</v>
      </c>
      <c r="Q5" s="196"/>
      <c r="R5" s="147"/>
      <c r="S5" s="119"/>
      <c r="T5" s="57" t="s">
        <v>33</v>
      </c>
      <c r="U5" s="92" t="s">
        <v>75</v>
      </c>
      <c r="V5" s="93">
        <v>1.0</v>
      </c>
      <c r="W5" s="148" t="s">
        <v>1319</v>
      </c>
      <c r="X5" s="106"/>
      <c r="Y5" s="65" t="s">
        <v>36</v>
      </c>
      <c r="Z5" s="66">
        <v>180000.0</v>
      </c>
      <c r="AA5" s="107"/>
      <c r="AB5" s="107"/>
      <c r="AC5" s="107"/>
      <c r="AD5" s="106"/>
    </row>
    <row r="6" ht="30.0" customHeight="1">
      <c r="A6" s="62"/>
      <c r="B6" s="62"/>
      <c r="C6" s="62"/>
      <c r="D6" s="62"/>
      <c r="E6" s="62"/>
      <c r="F6" s="423"/>
      <c r="G6" s="62"/>
      <c r="H6" s="62"/>
      <c r="I6" s="62"/>
      <c r="J6" s="452"/>
      <c r="K6" s="62"/>
      <c r="L6" s="62"/>
      <c r="M6" s="62"/>
      <c r="N6" s="62"/>
      <c r="O6" s="62"/>
      <c r="P6" s="62"/>
      <c r="Q6" s="62"/>
      <c r="R6" s="62"/>
      <c r="S6" s="62"/>
      <c r="T6" s="62"/>
      <c r="U6" s="63" t="s">
        <v>457</v>
      </c>
      <c r="V6" s="93">
        <v>1.0</v>
      </c>
      <c r="W6" s="62"/>
      <c r="X6" s="106"/>
      <c r="Y6" s="65" t="s">
        <v>38</v>
      </c>
      <c r="Z6" s="66">
        <v>160000.0</v>
      </c>
      <c r="AA6" s="107"/>
      <c r="AB6" s="107"/>
      <c r="AC6" s="107"/>
      <c r="AD6" s="106"/>
    </row>
    <row r="7" ht="30.0" customHeight="1">
      <c r="A7" s="67"/>
      <c r="B7" s="67"/>
      <c r="C7" s="67"/>
      <c r="D7" s="67"/>
      <c r="E7" s="67"/>
      <c r="F7" s="102"/>
      <c r="G7" s="67"/>
      <c r="H7" s="67"/>
      <c r="I7" s="67"/>
      <c r="J7" s="453"/>
      <c r="K7" s="67"/>
      <c r="L7" s="67"/>
      <c r="M7" s="67"/>
      <c r="N7" s="67"/>
      <c r="O7" s="67"/>
      <c r="P7" s="67"/>
      <c r="Q7" s="67"/>
      <c r="R7" s="67"/>
      <c r="S7" s="67"/>
      <c r="T7" s="67"/>
      <c r="U7" s="63" t="s">
        <v>456</v>
      </c>
      <c r="V7" s="93">
        <v>1.0</v>
      </c>
      <c r="W7" s="67"/>
      <c r="X7" s="106"/>
      <c r="Y7" s="65" t="s">
        <v>43</v>
      </c>
      <c r="Z7" s="87">
        <v>65000.0</v>
      </c>
      <c r="AA7" s="107"/>
      <c r="AB7" s="107"/>
      <c r="AC7" s="107"/>
      <c r="AD7" s="106"/>
    </row>
    <row r="8" ht="30.0" customHeight="1">
      <c r="A8" s="111">
        <v>3.0</v>
      </c>
      <c r="B8" s="40">
        <v>45133.0</v>
      </c>
      <c r="C8" s="111">
        <v>1.695144873432E12</v>
      </c>
      <c r="D8" s="142" t="s">
        <v>1320</v>
      </c>
      <c r="E8" s="143" t="s">
        <v>1321</v>
      </c>
      <c r="F8" s="451" t="s">
        <v>1322</v>
      </c>
      <c r="G8" s="126"/>
      <c r="H8" s="39"/>
      <c r="I8" s="766"/>
      <c r="J8" s="450"/>
      <c r="K8" s="49"/>
      <c r="L8" s="147"/>
      <c r="M8" s="561"/>
      <c r="N8" s="562"/>
      <c r="O8" s="53"/>
      <c r="P8" s="99" t="s">
        <v>449</v>
      </c>
      <c r="Q8" s="196"/>
      <c r="R8" s="147"/>
      <c r="S8" s="119"/>
      <c r="T8" s="57" t="s">
        <v>33</v>
      </c>
      <c r="U8" s="92" t="s">
        <v>75</v>
      </c>
      <c r="V8" s="93">
        <v>1.0</v>
      </c>
      <c r="W8" s="148" t="s">
        <v>1319</v>
      </c>
      <c r="X8" s="106"/>
      <c r="Y8" s="65" t="s">
        <v>48</v>
      </c>
      <c r="Z8" s="66">
        <v>55000.0</v>
      </c>
      <c r="AA8" s="107"/>
      <c r="AB8" s="107"/>
      <c r="AC8" s="107"/>
      <c r="AD8" s="106"/>
    </row>
    <row r="9" ht="30.0" customHeight="1">
      <c r="A9" s="62"/>
      <c r="B9" s="62"/>
      <c r="C9" s="62"/>
      <c r="D9" s="62"/>
      <c r="E9" s="62"/>
      <c r="F9" s="423"/>
      <c r="G9" s="62"/>
      <c r="H9" s="62"/>
      <c r="I9" s="62"/>
      <c r="J9" s="452"/>
      <c r="K9" s="62"/>
      <c r="L9" s="62"/>
      <c r="M9" s="62"/>
      <c r="N9" s="62"/>
      <c r="O9" s="62"/>
      <c r="P9" s="62"/>
      <c r="Q9" s="62"/>
      <c r="R9" s="62"/>
      <c r="S9" s="62"/>
      <c r="T9" s="62"/>
      <c r="U9" s="63" t="s">
        <v>457</v>
      </c>
      <c r="V9" s="93">
        <v>1.0</v>
      </c>
      <c r="W9" s="62"/>
      <c r="X9" s="106"/>
      <c r="Y9" s="93" t="s">
        <v>54</v>
      </c>
      <c r="Z9" s="87">
        <v>35000.0</v>
      </c>
      <c r="AA9" s="107"/>
      <c r="AB9" s="107"/>
      <c r="AC9" s="107"/>
      <c r="AD9" s="106"/>
    </row>
    <row r="10" ht="30.0" customHeight="1">
      <c r="A10" s="67"/>
      <c r="B10" s="67"/>
      <c r="C10" s="67"/>
      <c r="D10" s="67"/>
      <c r="E10" s="67"/>
      <c r="F10" s="102"/>
      <c r="G10" s="67"/>
      <c r="H10" s="67"/>
      <c r="I10" s="67"/>
      <c r="J10" s="453"/>
      <c r="K10" s="67"/>
      <c r="L10" s="67"/>
      <c r="M10" s="67"/>
      <c r="N10" s="67"/>
      <c r="O10" s="67"/>
      <c r="P10" s="67"/>
      <c r="Q10" s="67"/>
      <c r="R10" s="67"/>
      <c r="S10" s="67"/>
      <c r="T10" s="67"/>
      <c r="U10" s="63" t="s">
        <v>456</v>
      </c>
      <c r="V10" s="93">
        <v>1.0</v>
      </c>
      <c r="W10" s="67"/>
      <c r="X10" s="106"/>
      <c r="Y10" s="65" t="s">
        <v>60</v>
      </c>
      <c r="Z10" s="66">
        <v>45000.0</v>
      </c>
      <c r="AA10" s="107"/>
      <c r="AB10" s="107"/>
      <c r="AC10" s="107"/>
      <c r="AD10" s="106"/>
    </row>
    <row r="11" ht="30.0" customHeight="1">
      <c r="A11" s="111">
        <v>4.0</v>
      </c>
      <c r="B11" s="40">
        <v>45133.0</v>
      </c>
      <c r="C11" s="111">
        <v>1.695207569399E12</v>
      </c>
      <c r="D11" s="142" t="s">
        <v>1323</v>
      </c>
      <c r="E11" s="143" t="s">
        <v>1324</v>
      </c>
      <c r="F11" s="451" t="s">
        <v>1325</v>
      </c>
      <c r="G11" s="126"/>
      <c r="H11" s="39"/>
      <c r="I11" s="766"/>
      <c r="J11" s="450"/>
      <c r="K11" s="49"/>
      <c r="L11" s="147"/>
      <c r="M11" s="561"/>
      <c r="N11" s="562"/>
      <c r="O11" s="53"/>
      <c r="P11" s="99" t="s">
        <v>449</v>
      </c>
      <c r="Q11" s="196"/>
      <c r="R11" s="147"/>
      <c r="S11" s="119"/>
      <c r="T11" s="57" t="s">
        <v>33</v>
      </c>
      <c r="U11" s="92" t="s">
        <v>75</v>
      </c>
      <c r="V11" s="93">
        <v>1.0</v>
      </c>
      <c r="W11" s="148" t="s">
        <v>1319</v>
      </c>
      <c r="X11" s="106"/>
      <c r="Y11" s="65" t="s">
        <v>679</v>
      </c>
      <c r="Z11" s="66">
        <v>110000.0</v>
      </c>
      <c r="AA11" s="107"/>
      <c r="AB11" s="107"/>
      <c r="AC11" s="107"/>
      <c r="AD11" s="106"/>
    </row>
    <row r="12" ht="30.0" customHeight="1">
      <c r="A12" s="62"/>
      <c r="B12" s="62"/>
      <c r="C12" s="62"/>
      <c r="D12" s="62"/>
      <c r="E12" s="62"/>
      <c r="F12" s="423"/>
      <c r="G12" s="62"/>
      <c r="H12" s="62"/>
      <c r="I12" s="62"/>
      <c r="J12" s="452"/>
      <c r="K12" s="62"/>
      <c r="L12" s="62"/>
      <c r="M12" s="62"/>
      <c r="N12" s="62"/>
      <c r="O12" s="62"/>
      <c r="P12" s="62"/>
      <c r="Q12" s="62"/>
      <c r="R12" s="62"/>
      <c r="S12" s="62"/>
      <c r="T12" s="62"/>
      <c r="U12" s="63" t="s">
        <v>457</v>
      </c>
      <c r="V12" s="93">
        <v>1.0</v>
      </c>
      <c r="W12" s="62"/>
      <c r="X12" s="106"/>
      <c r="Y12" s="65" t="s">
        <v>66</v>
      </c>
      <c r="Z12" s="66">
        <v>205000.0</v>
      </c>
      <c r="AA12" s="107"/>
      <c r="AB12" s="107"/>
      <c r="AC12" s="107"/>
      <c r="AD12" s="106"/>
    </row>
    <row r="13" ht="30.0" customHeight="1">
      <c r="A13" s="67"/>
      <c r="B13" s="67"/>
      <c r="C13" s="67"/>
      <c r="D13" s="67"/>
      <c r="E13" s="67"/>
      <c r="F13" s="102"/>
      <c r="G13" s="67"/>
      <c r="H13" s="67"/>
      <c r="I13" s="67"/>
      <c r="J13" s="453"/>
      <c r="K13" s="67"/>
      <c r="L13" s="67"/>
      <c r="M13" s="67"/>
      <c r="N13" s="67"/>
      <c r="O13" s="67"/>
      <c r="P13" s="67"/>
      <c r="Q13" s="67"/>
      <c r="R13" s="67"/>
      <c r="S13" s="67"/>
      <c r="T13" s="67"/>
      <c r="U13" s="63" t="s">
        <v>456</v>
      </c>
      <c r="V13" s="93">
        <v>1.0</v>
      </c>
      <c r="W13" s="67"/>
      <c r="X13" s="106"/>
      <c r="Y13" s="65" t="s">
        <v>684</v>
      </c>
      <c r="Z13" s="66">
        <v>150000.0</v>
      </c>
      <c r="AA13" s="107"/>
      <c r="AB13" s="107"/>
      <c r="AC13" s="107"/>
      <c r="AD13" s="106"/>
    </row>
    <row r="14" ht="36.0" customHeight="1">
      <c r="A14" s="111">
        <v>5.0</v>
      </c>
      <c r="B14" s="40">
        <v>45133.0</v>
      </c>
      <c r="C14" s="111">
        <v>1.695277722267E12</v>
      </c>
      <c r="D14" s="142" t="s">
        <v>1326</v>
      </c>
      <c r="E14" s="143" t="s">
        <v>1327</v>
      </c>
      <c r="F14" s="451" t="s">
        <v>1328</v>
      </c>
      <c r="G14" s="126"/>
      <c r="H14" s="39"/>
      <c r="I14" s="766"/>
      <c r="J14" s="450"/>
      <c r="K14" s="49"/>
      <c r="L14" s="147"/>
      <c r="M14" s="561"/>
      <c r="N14" s="562"/>
      <c r="O14" s="53"/>
      <c r="P14" s="99" t="s">
        <v>449</v>
      </c>
      <c r="Q14" s="196"/>
      <c r="R14" s="147"/>
      <c r="S14" s="119"/>
      <c r="T14" s="57" t="s">
        <v>33</v>
      </c>
      <c r="U14" s="92" t="s">
        <v>75</v>
      </c>
      <c r="V14" s="93">
        <v>1.0</v>
      </c>
      <c r="W14" s="148" t="s">
        <v>1319</v>
      </c>
      <c r="X14" s="106"/>
      <c r="Y14" s="110" t="s">
        <v>71</v>
      </c>
      <c r="Z14" s="66">
        <v>85000.0</v>
      </c>
      <c r="AA14" s="107"/>
      <c r="AB14" s="107"/>
      <c r="AC14" s="107"/>
      <c r="AD14" s="106"/>
    </row>
    <row r="15" ht="36.0" customHeight="1">
      <c r="A15" s="62"/>
      <c r="B15" s="62"/>
      <c r="C15" s="62"/>
      <c r="D15" s="62"/>
      <c r="E15" s="62"/>
      <c r="F15" s="423"/>
      <c r="G15" s="62"/>
      <c r="H15" s="62"/>
      <c r="I15" s="62"/>
      <c r="J15" s="452"/>
      <c r="K15" s="62"/>
      <c r="L15" s="62"/>
      <c r="M15" s="62"/>
      <c r="N15" s="62"/>
      <c r="O15" s="62"/>
      <c r="P15" s="62"/>
      <c r="Q15" s="62"/>
      <c r="R15" s="62"/>
      <c r="S15" s="62"/>
      <c r="T15" s="62"/>
      <c r="U15" s="63" t="s">
        <v>457</v>
      </c>
      <c r="V15" s="93">
        <v>1.0</v>
      </c>
      <c r="W15" s="62"/>
      <c r="X15" s="106"/>
      <c r="Y15" s="65" t="s">
        <v>76</v>
      </c>
      <c r="Z15" s="66">
        <v>90000.0</v>
      </c>
      <c r="AA15" s="107"/>
      <c r="AB15" s="107"/>
      <c r="AC15" s="107"/>
      <c r="AD15" s="106"/>
    </row>
    <row r="16" ht="36.0" customHeight="1">
      <c r="A16" s="67"/>
      <c r="B16" s="67"/>
      <c r="C16" s="67"/>
      <c r="D16" s="67"/>
      <c r="E16" s="67"/>
      <c r="F16" s="102"/>
      <c r="G16" s="67"/>
      <c r="H16" s="67"/>
      <c r="I16" s="67"/>
      <c r="J16" s="453"/>
      <c r="K16" s="67"/>
      <c r="L16" s="67"/>
      <c r="M16" s="67"/>
      <c r="N16" s="67"/>
      <c r="O16" s="67"/>
      <c r="P16" s="67"/>
      <c r="Q16" s="67"/>
      <c r="R16" s="67"/>
      <c r="S16" s="67"/>
      <c r="T16" s="67"/>
      <c r="U16" s="63" t="s">
        <v>456</v>
      </c>
      <c r="V16" s="93">
        <v>1.0</v>
      </c>
      <c r="W16" s="67"/>
      <c r="X16" s="106"/>
      <c r="Y16" s="65" t="s">
        <v>80</v>
      </c>
      <c r="Z16" s="66">
        <v>85000.0</v>
      </c>
      <c r="AA16" s="107"/>
      <c r="AB16" s="107"/>
      <c r="AC16" s="107"/>
      <c r="AD16" s="106"/>
    </row>
    <row r="17" ht="36.0" customHeight="1">
      <c r="A17" s="94">
        <v>6.0</v>
      </c>
      <c r="B17" s="416">
        <v>45133.0</v>
      </c>
      <c r="C17" s="111">
        <v>1.702484453265E12</v>
      </c>
      <c r="D17" s="142" t="s">
        <v>1329</v>
      </c>
      <c r="E17" s="97" t="s">
        <v>1330</v>
      </c>
      <c r="F17" s="417" t="s">
        <v>1331</v>
      </c>
      <c r="G17" s="816"/>
      <c r="H17" s="816"/>
      <c r="I17" s="817"/>
      <c r="J17" s="450"/>
      <c r="K17" s="49"/>
      <c r="L17" s="127"/>
      <c r="M17" s="561"/>
      <c r="N17" s="562"/>
      <c r="O17" s="53"/>
      <c r="P17" s="99" t="s">
        <v>449</v>
      </c>
      <c r="Q17" s="196"/>
      <c r="R17" s="118"/>
      <c r="S17" s="119"/>
      <c r="T17" s="57" t="s">
        <v>33</v>
      </c>
      <c r="U17" s="92" t="s">
        <v>75</v>
      </c>
      <c r="V17" s="64">
        <v>1.0</v>
      </c>
      <c r="W17" s="148" t="s">
        <v>1319</v>
      </c>
      <c r="X17" s="106"/>
      <c r="Y17" s="65" t="s">
        <v>85</v>
      </c>
      <c r="Z17" s="66">
        <v>125000.0</v>
      </c>
      <c r="AA17" s="107"/>
      <c r="AB17" s="107"/>
      <c r="AC17" s="107"/>
      <c r="AD17" s="106"/>
    </row>
    <row r="18" ht="36.0" customHeight="1">
      <c r="A18" s="62"/>
      <c r="B18" s="62"/>
      <c r="C18" s="62"/>
      <c r="D18" s="62"/>
      <c r="E18" s="62"/>
      <c r="F18" s="62"/>
      <c r="G18" s="62"/>
      <c r="H18" s="62"/>
      <c r="I18" s="818"/>
      <c r="J18" s="452"/>
      <c r="K18" s="62"/>
      <c r="L18" s="62"/>
      <c r="M18" s="62"/>
      <c r="N18" s="62"/>
      <c r="O18" s="62"/>
      <c r="P18" s="62"/>
      <c r="Q18" s="62"/>
      <c r="R18" s="62"/>
      <c r="S18" s="62"/>
      <c r="T18" s="62"/>
      <c r="U18" s="63" t="s">
        <v>457</v>
      </c>
      <c r="V18" s="64">
        <v>1.0</v>
      </c>
      <c r="W18" s="62"/>
      <c r="X18" s="106"/>
      <c r="Y18" s="65" t="s">
        <v>89</v>
      </c>
      <c r="Z18" s="66">
        <v>35000.0</v>
      </c>
      <c r="AA18" s="107"/>
      <c r="AB18" s="107"/>
      <c r="AC18" s="107"/>
      <c r="AD18" s="106"/>
    </row>
    <row r="19" ht="36.0" customHeight="1">
      <c r="A19" s="67"/>
      <c r="B19" s="67"/>
      <c r="C19" s="67"/>
      <c r="D19" s="67"/>
      <c r="E19" s="67"/>
      <c r="F19" s="67"/>
      <c r="G19" s="67"/>
      <c r="H19" s="67"/>
      <c r="I19" s="819"/>
      <c r="J19" s="453"/>
      <c r="K19" s="67"/>
      <c r="L19" s="67"/>
      <c r="M19" s="67"/>
      <c r="N19" s="67"/>
      <c r="O19" s="67"/>
      <c r="P19" s="67"/>
      <c r="Q19" s="67"/>
      <c r="R19" s="67"/>
      <c r="S19" s="67"/>
      <c r="T19" s="67"/>
      <c r="U19" s="63" t="s">
        <v>456</v>
      </c>
      <c r="V19" s="64">
        <v>1.0</v>
      </c>
      <c r="W19" s="67"/>
      <c r="X19" s="106"/>
      <c r="Y19" s="65" t="s">
        <v>93</v>
      </c>
      <c r="Z19" s="66">
        <v>90000.0</v>
      </c>
      <c r="AA19" s="107"/>
      <c r="AB19" s="107"/>
      <c r="AC19" s="107"/>
      <c r="AD19" s="106"/>
    </row>
    <row r="20" ht="36.0" customHeight="1">
      <c r="A20" s="111">
        <v>7.0</v>
      </c>
      <c r="B20" s="112">
        <v>45133.0</v>
      </c>
      <c r="C20" s="111">
        <v>1.702987085532E12</v>
      </c>
      <c r="D20" s="142" t="s">
        <v>1332</v>
      </c>
      <c r="E20" s="143" t="s">
        <v>1333</v>
      </c>
      <c r="F20" s="142" t="s">
        <v>1334</v>
      </c>
      <c r="G20" s="72" t="s">
        <v>477</v>
      </c>
      <c r="H20" s="73">
        <v>1.0</v>
      </c>
      <c r="I20" s="820">
        <f t="shared" ref="I20:I27" si="1">VLOOKUP(G20,$Y$4:$Z$43,2,0)</f>
        <v>65000</v>
      </c>
      <c r="J20" s="75">
        <f t="shared" ref="J20:J28" si="2">I20*H20</f>
        <v>65000</v>
      </c>
      <c r="K20" s="49">
        <f>SUM(J20:J21)</f>
        <v>120000</v>
      </c>
      <c r="L20" s="147"/>
      <c r="M20" s="561"/>
      <c r="N20" s="562"/>
      <c r="O20" s="53">
        <f>K20+L20-N20</f>
        <v>120000</v>
      </c>
      <c r="P20" s="99" t="s">
        <v>449</v>
      </c>
      <c r="Q20" s="99" t="s">
        <v>31</v>
      </c>
      <c r="R20" s="145">
        <v>35001.0</v>
      </c>
      <c r="S20" s="56" t="s">
        <v>32</v>
      </c>
      <c r="T20" s="57" t="s">
        <v>33</v>
      </c>
      <c r="U20" s="147"/>
      <c r="V20" s="147"/>
      <c r="W20" s="148" t="s">
        <v>1335</v>
      </c>
      <c r="X20" s="106"/>
      <c r="Y20" s="65" t="s">
        <v>94</v>
      </c>
      <c r="Z20" s="66">
        <v>140000.0</v>
      </c>
      <c r="AA20" s="107"/>
      <c r="AB20" s="107"/>
      <c r="AC20" s="107"/>
      <c r="AD20" s="106"/>
    </row>
    <row r="21" ht="36.0" customHeight="1">
      <c r="A21" s="67"/>
      <c r="B21" s="67"/>
      <c r="C21" s="67"/>
      <c r="D21" s="67"/>
      <c r="E21" s="67"/>
      <c r="F21" s="67"/>
      <c r="G21" s="72" t="s">
        <v>476</v>
      </c>
      <c r="H21" s="73">
        <v>1.0</v>
      </c>
      <c r="I21" s="820">
        <f t="shared" si="1"/>
        <v>55000</v>
      </c>
      <c r="J21" s="75">
        <f t="shared" si="2"/>
        <v>55000</v>
      </c>
      <c r="K21" s="67"/>
      <c r="L21" s="67"/>
      <c r="M21" s="67"/>
      <c r="N21" s="67"/>
      <c r="O21" s="67"/>
      <c r="P21" s="67"/>
      <c r="Q21" s="67"/>
      <c r="R21" s="67"/>
      <c r="S21" s="67"/>
      <c r="T21" s="67"/>
      <c r="U21" s="67"/>
      <c r="V21" s="67"/>
      <c r="W21" s="67"/>
      <c r="X21" s="106"/>
      <c r="Y21" s="65" t="s">
        <v>97</v>
      </c>
      <c r="Z21" s="66">
        <v>95000.0</v>
      </c>
      <c r="AA21" s="107"/>
      <c r="AB21" s="107"/>
      <c r="AC21" s="107"/>
      <c r="AD21" s="106"/>
    </row>
    <row r="22" ht="36.0" customHeight="1">
      <c r="A22" s="111">
        <v>8.0</v>
      </c>
      <c r="B22" s="112">
        <v>45133.0</v>
      </c>
      <c r="C22" s="111">
        <v>1.712518695554E12</v>
      </c>
      <c r="D22" s="142" t="s">
        <v>1336</v>
      </c>
      <c r="E22" s="821" t="s">
        <v>1337</v>
      </c>
      <c r="F22" s="44" t="s">
        <v>1338</v>
      </c>
      <c r="G22" s="63" t="s">
        <v>516</v>
      </c>
      <c r="H22" s="64">
        <v>3.0</v>
      </c>
      <c r="I22" s="459">
        <f t="shared" si="1"/>
        <v>220000</v>
      </c>
      <c r="J22" s="48">
        <f t="shared" si="2"/>
        <v>660000</v>
      </c>
      <c r="K22" s="49">
        <f>sum(J22:J27)</f>
        <v>3180000</v>
      </c>
      <c r="L22" s="147"/>
      <c r="M22" s="561"/>
      <c r="N22" s="562"/>
      <c r="O22" s="53">
        <f>K22+L22-N22</f>
        <v>3180000</v>
      </c>
      <c r="P22" s="99" t="s">
        <v>449</v>
      </c>
      <c r="Q22" s="99" t="s">
        <v>31</v>
      </c>
      <c r="R22" s="145">
        <v>204237.0</v>
      </c>
      <c r="S22" s="56" t="s">
        <v>32</v>
      </c>
      <c r="T22" s="57" t="s">
        <v>33</v>
      </c>
      <c r="U22" s="142"/>
      <c r="V22" s="111"/>
      <c r="W22" s="149"/>
      <c r="X22" s="106"/>
      <c r="Y22" s="65" t="s">
        <v>99</v>
      </c>
      <c r="Z22" s="66">
        <v>140000.0</v>
      </c>
      <c r="AA22" s="107"/>
      <c r="AB22" s="107"/>
      <c r="AC22" s="107"/>
      <c r="AD22" s="106"/>
    </row>
    <row r="23" ht="31.5" customHeight="1">
      <c r="A23" s="62"/>
      <c r="B23" s="62"/>
      <c r="C23" s="62"/>
      <c r="D23" s="62"/>
      <c r="E23" s="62"/>
      <c r="F23" s="62"/>
      <c r="G23" s="63" t="s">
        <v>30</v>
      </c>
      <c r="H23" s="64">
        <v>4.0</v>
      </c>
      <c r="I23" s="459">
        <f t="shared" si="1"/>
        <v>220000</v>
      </c>
      <c r="J23" s="48">
        <f t="shared" si="2"/>
        <v>880000</v>
      </c>
      <c r="K23" s="62"/>
      <c r="L23" s="62"/>
      <c r="M23" s="62"/>
      <c r="N23" s="62"/>
      <c r="O23" s="62"/>
      <c r="P23" s="62"/>
      <c r="Q23" s="62"/>
      <c r="R23" s="62"/>
      <c r="S23" s="62"/>
      <c r="T23" s="62"/>
      <c r="U23" s="62"/>
      <c r="V23" s="62"/>
      <c r="W23" s="62"/>
      <c r="X23" s="106"/>
      <c r="Y23" s="65" t="s">
        <v>101</v>
      </c>
      <c r="Z23" s="66">
        <v>150000.0</v>
      </c>
      <c r="AA23" s="107"/>
      <c r="AB23" s="107"/>
      <c r="AC23" s="107"/>
      <c r="AD23" s="106"/>
    </row>
    <row r="24" ht="31.5" customHeight="1">
      <c r="A24" s="62"/>
      <c r="B24" s="62"/>
      <c r="C24" s="62"/>
      <c r="D24" s="62"/>
      <c r="E24" s="62"/>
      <c r="F24" s="62"/>
      <c r="G24" s="68" t="s">
        <v>165</v>
      </c>
      <c r="H24" s="69">
        <v>2.0</v>
      </c>
      <c r="I24" s="459">
        <f t="shared" si="1"/>
        <v>220000</v>
      </c>
      <c r="J24" s="48">
        <f t="shared" si="2"/>
        <v>440000</v>
      </c>
      <c r="K24" s="62"/>
      <c r="L24" s="62"/>
      <c r="M24" s="62"/>
      <c r="N24" s="62"/>
      <c r="O24" s="62"/>
      <c r="P24" s="62"/>
      <c r="Q24" s="62"/>
      <c r="R24" s="62"/>
      <c r="S24" s="62"/>
      <c r="T24" s="62"/>
      <c r="U24" s="62"/>
      <c r="V24" s="62"/>
      <c r="W24" s="62"/>
      <c r="X24" s="124"/>
      <c r="Y24" s="65" t="s">
        <v>109</v>
      </c>
      <c r="Z24" s="66">
        <v>125000.0</v>
      </c>
      <c r="AA24" s="107"/>
      <c r="AB24" s="107"/>
      <c r="AC24" s="107"/>
      <c r="AD24" s="106"/>
    </row>
    <row r="25" ht="31.5" customHeight="1">
      <c r="A25" s="62"/>
      <c r="B25" s="62"/>
      <c r="C25" s="62"/>
      <c r="D25" s="62"/>
      <c r="E25" s="62"/>
      <c r="F25" s="62"/>
      <c r="G25" s="68" t="s">
        <v>37</v>
      </c>
      <c r="H25" s="69">
        <v>3.0</v>
      </c>
      <c r="I25" s="459">
        <f t="shared" si="1"/>
        <v>220000</v>
      </c>
      <c r="J25" s="48">
        <f t="shared" si="2"/>
        <v>660000</v>
      </c>
      <c r="K25" s="62"/>
      <c r="L25" s="62"/>
      <c r="M25" s="62"/>
      <c r="N25" s="62"/>
      <c r="O25" s="62"/>
      <c r="P25" s="62"/>
      <c r="Q25" s="62"/>
      <c r="R25" s="62"/>
      <c r="S25" s="62"/>
      <c r="T25" s="62"/>
      <c r="U25" s="62"/>
      <c r="V25" s="62"/>
      <c r="W25" s="62"/>
      <c r="X25" s="124"/>
      <c r="Y25" s="65" t="s">
        <v>113</v>
      </c>
      <c r="Z25" s="66">
        <v>75000.0</v>
      </c>
      <c r="AA25" s="107"/>
      <c r="AB25" s="107"/>
      <c r="AC25" s="107"/>
      <c r="AD25" s="106"/>
    </row>
    <row r="26" ht="31.5" customHeight="1">
      <c r="A26" s="62"/>
      <c r="B26" s="62"/>
      <c r="C26" s="62"/>
      <c r="D26" s="62"/>
      <c r="E26" s="62"/>
      <c r="F26" s="62"/>
      <c r="G26" s="72" t="s">
        <v>61</v>
      </c>
      <c r="H26" s="73">
        <v>3.0</v>
      </c>
      <c r="I26" s="820">
        <f t="shared" si="1"/>
        <v>90000</v>
      </c>
      <c r="J26" s="75">
        <f t="shared" si="2"/>
        <v>270000</v>
      </c>
      <c r="K26" s="62"/>
      <c r="L26" s="62"/>
      <c r="M26" s="62"/>
      <c r="N26" s="62"/>
      <c r="O26" s="62"/>
      <c r="P26" s="62"/>
      <c r="Q26" s="62"/>
      <c r="R26" s="62"/>
      <c r="S26" s="62"/>
      <c r="T26" s="62"/>
      <c r="U26" s="62"/>
      <c r="V26" s="62"/>
      <c r="W26" s="62"/>
      <c r="X26" s="106"/>
      <c r="Y26" s="65" t="s">
        <v>116</v>
      </c>
      <c r="Z26" s="66">
        <v>475000.0</v>
      </c>
      <c r="AA26" s="107"/>
      <c r="AB26" s="107"/>
      <c r="AC26" s="107"/>
      <c r="AD26" s="106"/>
    </row>
    <row r="27" ht="31.5" customHeight="1">
      <c r="A27" s="67"/>
      <c r="B27" s="67"/>
      <c r="C27" s="67"/>
      <c r="D27" s="67"/>
      <c r="E27" s="67"/>
      <c r="F27" s="67"/>
      <c r="G27" s="72" t="s">
        <v>76</v>
      </c>
      <c r="H27" s="73">
        <v>3.0</v>
      </c>
      <c r="I27" s="820">
        <f t="shared" si="1"/>
        <v>90000</v>
      </c>
      <c r="J27" s="75">
        <f t="shared" si="2"/>
        <v>270000</v>
      </c>
      <c r="K27" s="67"/>
      <c r="L27" s="67"/>
      <c r="M27" s="67"/>
      <c r="N27" s="67"/>
      <c r="O27" s="67"/>
      <c r="P27" s="67"/>
      <c r="Q27" s="67"/>
      <c r="R27" s="67"/>
      <c r="S27" s="67"/>
      <c r="T27" s="67"/>
      <c r="U27" s="67"/>
      <c r="V27" s="67"/>
      <c r="W27" s="67"/>
      <c r="X27" s="106"/>
      <c r="Y27" s="85" t="s">
        <v>121</v>
      </c>
      <c r="Z27" s="128">
        <v>220000.0</v>
      </c>
      <c r="AA27" s="107"/>
      <c r="AB27" s="107"/>
      <c r="AC27" s="107"/>
      <c r="AD27" s="106"/>
    </row>
    <row r="28" ht="31.5" customHeight="1">
      <c r="A28" s="39">
        <v>9.0</v>
      </c>
      <c r="B28" s="125">
        <v>45133.0</v>
      </c>
      <c r="C28" s="39">
        <v>1.712568590036E12</v>
      </c>
      <c r="D28" s="126" t="s">
        <v>902</v>
      </c>
      <c r="E28" s="175" t="s">
        <v>441</v>
      </c>
      <c r="F28" s="126" t="s">
        <v>442</v>
      </c>
      <c r="G28" s="816"/>
      <c r="H28" s="100"/>
      <c r="I28" s="817"/>
      <c r="J28" s="450">
        <f t="shared" si="2"/>
        <v>0</v>
      </c>
      <c r="K28" s="49">
        <f>SUM(J28)</f>
        <v>0</v>
      </c>
      <c r="L28" s="127"/>
      <c r="M28" s="561"/>
      <c r="N28" s="562"/>
      <c r="O28" s="53">
        <f>K28+L28-N28</f>
        <v>0</v>
      </c>
      <c r="P28" s="99" t="s">
        <v>449</v>
      </c>
      <c r="Q28" s="99"/>
      <c r="R28" s="55">
        <v>49200.0</v>
      </c>
      <c r="S28" s="56" t="s">
        <v>32</v>
      </c>
      <c r="T28" s="57" t="s">
        <v>33</v>
      </c>
      <c r="U28" s="64" t="s">
        <v>30</v>
      </c>
      <c r="V28" s="64">
        <v>2.0</v>
      </c>
      <c r="W28" s="587" t="s">
        <v>1339</v>
      </c>
      <c r="X28" s="106"/>
      <c r="Y28" s="85" t="s">
        <v>123</v>
      </c>
      <c r="Z28" s="128">
        <v>220000.0</v>
      </c>
      <c r="AA28" s="107"/>
      <c r="AB28" s="107"/>
      <c r="AC28" s="107"/>
      <c r="AD28" s="106"/>
    </row>
    <row r="29" ht="33.0" customHeight="1">
      <c r="A29" s="67"/>
      <c r="B29" s="67"/>
      <c r="C29" s="67"/>
      <c r="D29" s="67"/>
      <c r="E29" s="67"/>
      <c r="F29" s="67"/>
      <c r="G29" s="67"/>
      <c r="H29" s="67"/>
      <c r="I29" s="819"/>
      <c r="J29" s="453"/>
      <c r="K29" s="67"/>
      <c r="L29" s="67"/>
      <c r="M29" s="67"/>
      <c r="N29" s="67"/>
      <c r="O29" s="67"/>
      <c r="P29" s="67"/>
      <c r="Q29" s="67"/>
      <c r="R29" s="67"/>
      <c r="S29" s="67"/>
      <c r="T29" s="67"/>
      <c r="U29" s="64" t="s">
        <v>37</v>
      </c>
      <c r="V29" s="64">
        <v>2.0</v>
      </c>
      <c r="W29" s="67"/>
      <c r="X29" s="106"/>
      <c r="Y29" s="85" t="s">
        <v>124</v>
      </c>
      <c r="Z29" s="128">
        <v>220000.0</v>
      </c>
      <c r="AA29" s="107"/>
      <c r="AB29" s="107"/>
      <c r="AC29" s="107"/>
      <c r="AD29" s="106"/>
    </row>
    <row r="30" ht="31.5" customHeight="1">
      <c r="A30" s="39">
        <v>10.0</v>
      </c>
      <c r="B30" s="125">
        <v>45134.0</v>
      </c>
      <c r="C30" s="39">
        <v>1.701809937587E12</v>
      </c>
      <c r="D30" s="424" t="s">
        <v>1340</v>
      </c>
      <c r="E30" s="175" t="s">
        <v>1341</v>
      </c>
      <c r="F30" s="424" t="s">
        <v>1342</v>
      </c>
      <c r="G30" s="816"/>
      <c r="H30" s="816"/>
      <c r="I30" s="817"/>
      <c r="J30" s="450">
        <f>I30*H30</f>
        <v>0</v>
      </c>
      <c r="K30" s="49">
        <f>SUM(J30)</f>
        <v>0</v>
      </c>
      <c r="L30" s="822"/>
      <c r="M30" s="561"/>
      <c r="N30" s="562"/>
      <c r="O30" s="53">
        <f>K30+L30-N30</f>
        <v>0</v>
      </c>
      <c r="P30" s="99" t="s">
        <v>449</v>
      </c>
      <c r="Q30" s="196"/>
      <c r="R30" s="823"/>
      <c r="S30" s="119"/>
      <c r="T30" s="57" t="s">
        <v>33</v>
      </c>
      <c r="U30" s="92" t="s">
        <v>75</v>
      </c>
      <c r="V30" s="64">
        <v>1.0</v>
      </c>
      <c r="W30" s="587" t="s">
        <v>1343</v>
      </c>
      <c r="X30" s="106"/>
      <c r="Y30" s="129" t="s">
        <v>125</v>
      </c>
      <c r="Z30" s="80">
        <v>220000.0</v>
      </c>
      <c r="AA30" s="107"/>
      <c r="AB30" s="107"/>
      <c r="AC30" s="107"/>
      <c r="AD30" s="106"/>
    </row>
    <row r="31" ht="31.5" customHeight="1">
      <c r="A31" s="62"/>
      <c r="B31" s="62"/>
      <c r="C31" s="62"/>
      <c r="D31" s="62"/>
      <c r="E31" s="62"/>
      <c r="F31" s="62"/>
      <c r="G31" s="62"/>
      <c r="H31" s="62"/>
      <c r="I31" s="818"/>
      <c r="J31" s="452"/>
      <c r="K31" s="62"/>
      <c r="L31" s="62"/>
      <c r="M31" s="62"/>
      <c r="N31" s="62"/>
      <c r="O31" s="62"/>
      <c r="P31" s="62"/>
      <c r="Q31" s="62"/>
      <c r="R31" s="62"/>
      <c r="S31" s="62"/>
      <c r="T31" s="62"/>
      <c r="U31" s="63" t="s">
        <v>457</v>
      </c>
      <c r="V31" s="64">
        <v>1.0</v>
      </c>
      <c r="W31" s="62"/>
      <c r="X31" s="106"/>
      <c r="Y31" s="129" t="s">
        <v>129</v>
      </c>
      <c r="Z31" s="80">
        <v>220000.0</v>
      </c>
      <c r="AA31" s="107"/>
      <c r="AB31" s="107"/>
      <c r="AC31" s="107"/>
      <c r="AD31" s="106"/>
    </row>
    <row r="32" ht="33.75" customHeight="1">
      <c r="A32" s="67"/>
      <c r="B32" s="67"/>
      <c r="C32" s="67"/>
      <c r="D32" s="67"/>
      <c r="E32" s="67"/>
      <c r="F32" s="67"/>
      <c r="G32" s="67"/>
      <c r="H32" s="67"/>
      <c r="I32" s="819"/>
      <c r="J32" s="453"/>
      <c r="K32" s="67"/>
      <c r="L32" s="67"/>
      <c r="M32" s="67"/>
      <c r="N32" s="67"/>
      <c r="O32" s="67"/>
      <c r="P32" s="67"/>
      <c r="Q32" s="67"/>
      <c r="R32" s="67"/>
      <c r="S32" s="67"/>
      <c r="T32" s="67"/>
      <c r="U32" s="63" t="s">
        <v>456</v>
      </c>
      <c r="V32" s="64">
        <v>1.0</v>
      </c>
      <c r="W32" s="67"/>
      <c r="X32" s="106"/>
      <c r="Y32" s="85" t="s">
        <v>133</v>
      </c>
      <c r="Z32" s="128">
        <v>220000.0</v>
      </c>
      <c r="AA32" s="107"/>
      <c r="AB32" s="107"/>
      <c r="AC32" s="107"/>
      <c r="AD32" s="106"/>
    </row>
    <row r="33" ht="33.75" customHeight="1">
      <c r="A33" s="64">
        <v>11.0</v>
      </c>
      <c r="B33" s="132">
        <v>45134.0</v>
      </c>
      <c r="C33" s="64">
        <v>1.701865722935E12</v>
      </c>
      <c r="D33" s="63" t="s">
        <v>510</v>
      </c>
      <c r="E33" s="131" t="s">
        <v>1344</v>
      </c>
      <c r="F33" s="184" t="s">
        <v>1345</v>
      </c>
      <c r="G33" s="63" t="s">
        <v>35</v>
      </c>
      <c r="H33" s="64">
        <v>1.0</v>
      </c>
      <c r="I33" s="459">
        <f t="shared" ref="I33:I37" si="3">VLOOKUP(G33,$Y$4:$Z$43,2,0)</f>
        <v>220000</v>
      </c>
      <c r="J33" s="48">
        <f t="shared" ref="J33:J37" si="4">I33*H33</f>
        <v>220000</v>
      </c>
      <c r="K33" s="76">
        <f t="shared" ref="K33:K37" si="5">SUM(J33)</f>
        <v>220000</v>
      </c>
      <c r="L33" s="568">
        <v>40000.0</v>
      </c>
      <c r="M33" s="575"/>
      <c r="N33" s="115">
        <v>20000.0</v>
      </c>
      <c r="O33" s="80">
        <f>K33+L33-N33</f>
        <v>240000</v>
      </c>
      <c r="P33" s="81" t="s">
        <v>449</v>
      </c>
      <c r="Q33" s="81" t="s">
        <v>31</v>
      </c>
      <c r="R33" s="90"/>
      <c r="S33" s="91"/>
      <c r="T33" s="84" t="s">
        <v>33</v>
      </c>
      <c r="U33" s="85"/>
      <c r="V33" s="414"/>
      <c r="W33" s="566"/>
      <c r="X33" s="106"/>
      <c r="Y33" s="85" t="s">
        <v>135</v>
      </c>
      <c r="Z33" s="128">
        <v>220000.0</v>
      </c>
      <c r="AA33" s="107"/>
      <c r="AB33" s="107"/>
      <c r="AC33" s="107"/>
      <c r="AD33" s="106"/>
    </row>
    <row r="34" ht="33.75" customHeight="1">
      <c r="A34" s="64">
        <v>12.0</v>
      </c>
      <c r="B34" s="132">
        <v>45134.0</v>
      </c>
      <c r="C34" s="69">
        <v>1207.0</v>
      </c>
      <c r="D34" s="63" t="s">
        <v>50</v>
      </c>
      <c r="E34" s="131" t="s">
        <v>1346</v>
      </c>
      <c r="F34" s="63" t="s">
        <v>281</v>
      </c>
      <c r="G34" s="63" t="s">
        <v>30</v>
      </c>
      <c r="H34" s="64">
        <v>1.0</v>
      </c>
      <c r="I34" s="459">
        <f t="shared" si="3"/>
        <v>220000</v>
      </c>
      <c r="J34" s="48">
        <f t="shared" si="4"/>
        <v>220000</v>
      </c>
      <c r="K34" s="76">
        <f t="shared" si="5"/>
        <v>220000</v>
      </c>
      <c r="L34" s="77"/>
      <c r="M34" s="78">
        <f>8337+4400</f>
        <v>12737</v>
      </c>
      <c r="N34" s="136"/>
      <c r="O34" s="80">
        <f t="shared" ref="O34:O36" si="6">K34+L34-M34</f>
        <v>207263</v>
      </c>
      <c r="P34" s="81" t="s">
        <v>449</v>
      </c>
      <c r="Q34" s="81" t="s">
        <v>31</v>
      </c>
      <c r="R34" s="90"/>
      <c r="S34" s="91"/>
      <c r="T34" s="84" t="s">
        <v>33</v>
      </c>
      <c r="U34" s="85"/>
      <c r="V34" s="414"/>
      <c r="W34" s="565" t="s">
        <v>53</v>
      </c>
      <c r="X34" s="106"/>
      <c r="Y34" s="85" t="s">
        <v>139</v>
      </c>
      <c r="Z34" s="128">
        <v>80000.0</v>
      </c>
      <c r="AA34" s="107"/>
      <c r="AB34" s="107"/>
      <c r="AC34" s="107"/>
      <c r="AD34" s="106"/>
    </row>
    <row r="35" ht="33.75" customHeight="1">
      <c r="A35" s="64">
        <v>13.0</v>
      </c>
      <c r="B35" s="132">
        <v>45134.0</v>
      </c>
      <c r="C35" s="69">
        <v>7305.0</v>
      </c>
      <c r="D35" s="63" t="s">
        <v>50</v>
      </c>
      <c r="E35" s="131" t="s">
        <v>635</v>
      </c>
      <c r="F35" s="133" t="s">
        <v>461</v>
      </c>
      <c r="G35" s="63" t="s">
        <v>37</v>
      </c>
      <c r="H35" s="64">
        <v>1.0</v>
      </c>
      <c r="I35" s="459">
        <f t="shared" si="3"/>
        <v>220000</v>
      </c>
      <c r="J35" s="48">
        <f t="shared" si="4"/>
        <v>220000</v>
      </c>
      <c r="K35" s="76">
        <f t="shared" si="5"/>
        <v>220000</v>
      </c>
      <c r="L35" s="138"/>
      <c r="M35" s="157">
        <f>7707+4400</f>
        <v>12107</v>
      </c>
      <c r="N35" s="136"/>
      <c r="O35" s="80">
        <f t="shared" si="6"/>
        <v>207893</v>
      </c>
      <c r="P35" s="81" t="s">
        <v>449</v>
      </c>
      <c r="Q35" s="81" t="s">
        <v>31</v>
      </c>
      <c r="R35" s="134"/>
      <c r="S35" s="91"/>
      <c r="T35" s="84" t="s">
        <v>33</v>
      </c>
      <c r="U35" s="419"/>
      <c r="V35" s="419"/>
      <c r="W35" s="565" t="s">
        <v>53</v>
      </c>
      <c r="X35" s="106"/>
      <c r="Y35" s="85" t="s">
        <v>142</v>
      </c>
      <c r="Z35" s="128">
        <v>220000.0</v>
      </c>
      <c r="AA35" s="107"/>
      <c r="AB35" s="107"/>
      <c r="AC35" s="107"/>
      <c r="AD35" s="106"/>
    </row>
    <row r="36" ht="33.75" customHeight="1">
      <c r="A36" s="93">
        <v>14.0</v>
      </c>
      <c r="B36" s="132">
        <v>45134.0</v>
      </c>
      <c r="C36" s="104">
        <v>1008.0</v>
      </c>
      <c r="D36" s="63" t="s">
        <v>50</v>
      </c>
      <c r="E36" s="131" t="s">
        <v>635</v>
      </c>
      <c r="F36" s="92" t="s">
        <v>461</v>
      </c>
      <c r="G36" s="63" t="s">
        <v>35</v>
      </c>
      <c r="H36" s="64">
        <v>1.0</v>
      </c>
      <c r="I36" s="459">
        <f t="shared" si="3"/>
        <v>220000</v>
      </c>
      <c r="J36" s="48">
        <f t="shared" si="4"/>
        <v>220000</v>
      </c>
      <c r="K36" s="76">
        <f t="shared" si="5"/>
        <v>220000</v>
      </c>
      <c r="L36" s="122"/>
      <c r="M36" s="157">
        <f t="shared" ref="M36:M37" si="7">7857+4400</f>
        <v>12257</v>
      </c>
      <c r="N36" s="136"/>
      <c r="O36" s="80">
        <f t="shared" si="6"/>
        <v>207743</v>
      </c>
      <c r="P36" s="81" t="s">
        <v>449</v>
      </c>
      <c r="Q36" s="81" t="s">
        <v>31</v>
      </c>
      <c r="R36" s="122"/>
      <c r="S36" s="91"/>
      <c r="T36" s="84" t="s">
        <v>33</v>
      </c>
      <c r="U36" s="122"/>
      <c r="V36" s="122"/>
      <c r="W36" s="565" t="s">
        <v>53</v>
      </c>
      <c r="X36" s="106"/>
      <c r="Y36" s="85" t="s">
        <v>145</v>
      </c>
      <c r="Z36" s="128">
        <v>220000.0</v>
      </c>
      <c r="AA36" s="107"/>
      <c r="AB36" s="107"/>
      <c r="AC36" s="107"/>
      <c r="AD36" s="106"/>
    </row>
    <row r="37" ht="33.75" customHeight="1">
      <c r="A37" s="93">
        <v>15.0</v>
      </c>
      <c r="B37" s="103">
        <v>45135.0</v>
      </c>
      <c r="C37" s="104">
        <v>7409.0</v>
      </c>
      <c r="D37" s="63" t="s">
        <v>50</v>
      </c>
      <c r="E37" s="131" t="s">
        <v>635</v>
      </c>
      <c r="F37" s="92" t="s">
        <v>461</v>
      </c>
      <c r="G37" s="63" t="s">
        <v>35</v>
      </c>
      <c r="H37" s="64">
        <v>1.0</v>
      </c>
      <c r="I37" s="459">
        <f t="shared" si="3"/>
        <v>220000</v>
      </c>
      <c r="J37" s="48">
        <f t="shared" si="4"/>
        <v>220000</v>
      </c>
      <c r="K37" s="76">
        <f t="shared" si="5"/>
        <v>220000</v>
      </c>
      <c r="L37" s="122"/>
      <c r="M37" s="78">
        <f t="shared" si="7"/>
        <v>12257</v>
      </c>
      <c r="N37" s="136"/>
      <c r="O37" s="80">
        <f>K37+L37-M37-N37</f>
        <v>207743</v>
      </c>
      <c r="P37" s="81" t="s">
        <v>449</v>
      </c>
      <c r="Q37" s="81" t="s">
        <v>31</v>
      </c>
      <c r="R37" s="122"/>
      <c r="S37" s="91"/>
      <c r="T37" s="84" t="s">
        <v>33</v>
      </c>
      <c r="U37" s="122"/>
      <c r="V37" s="122"/>
      <c r="W37" s="565" t="s">
        <v>53</v>
      </c>
      <c r="X37" s="106"/>
      <c r="Y37" s="85" t="s">
        <v>153</v>
      </c>
      <c r="Z37" s="128">
        <v>45000.0</v>
      </c>
      <c r="AA37" s="107"/>
      <c r="AB37" s="107"/>
      <c r="AC37" s="107"/>
      <c r="AD37" s="106"/>
    </row>
    <row r="38" ht="33.75" customHeight="1">
      <c r="A38" s="39">
        <v>16.0</v>
      </c>
      <c r="B38" s="125">
        <v>45136.0</v>
      </c>
      <c r="C38" s="824">
        <v>1.693085179127E12</v>
      </c>
      <c r="D38" s="424" t="s">
        <v>1347</v>
      </c>
      <c r="E38" s="175" t="s">
        <v>1348</v>
      </c>
      <c r="F38" s="815" t="s">
        <v>1349</v>
      </c>
      <c r="G38" s="816"/>
      <c r="H38" s="816"/>
      <c r="I38" s="825"/>
      <c r="J38" s="816"/>
      <c r="K38" s="826"/>
      <c r="L38" s="816"/>
      <c r="M38" s="827"/>
      <c r="N38" s="826"/>
      <c r="O38" s="816"/>
      <c r="P38" s="196"/>
      <c r="Q38" s="196"/>
      <c r="R38" s="816"/>
      <c r="S38" s="827"/>
      <c r="T38" s="828" t="s">
        <v>33</v>
      </c>
      <c r="U38" s="92" t="s">
        <v>75</v>
      </c>
      <c r="V38" s="64">
        <v>1.0</v>
      </c>
      <c r="W38" s="587" t="s">
        <v>1350</v>
      </c>
      <c r="X38" s="106"/>
      <c r="Y38" s="139" t="s">
        <v>151</v>
      </c>
      <c r="Z38" s="140">
        <v>220000.0</v>
      </c>
      <c r="AA38" s="107"/>
      <c r="AB38" s="107"/>
      <c r="AC38" s="107"/>
      <c r="AD38" s="106"/>
    </row>
    <row r="39" ht="33.75" customHeight="1">
      <c r="A39" s="62"/>
      <c r="B39" s="62"/>
      <c r="C39" s="423"/>
      <c r="D39" s="62"/>
      <c r="E39" s="62"/>
      <c r="F39" s="423"/>
      <c r="G39" s="62"/>
      <c r="H39" s="62"/>
      <c r="I39" s="62"/>
      <c r="J39" s="62"/>
      <c r="K39" s="62"/>
      <c r="L39" s="62"/>
      <c r="M39" s="62"/>
      <c r="N39" s="62"/>
      <c r="O39" s="62"/>
      <c r="P39" s="62"/>
      <c r="Q39" s="62"/>
      <c r="R39" s="62"/>
      <c r="S39" s="62"/>
      <c r="T39" s="62"/>
      <c r="U39" s="63" t="s">
        <v>457</v>
      </c>
      <c r="V39" s="93">
        <v>1.0</v>
      </c>
      <c r="W39" s="62"/>
      <c r="X39" s="106"/>
      <c r="Y39" s="65" t="s">
        <v>148</v>
      </c>
      <c r="Z39" s="66">
        <v>220000.0</v>
      </c>
      <c r="AA39" s="107"/>
      <c r="AB39" s="107"/>
      <c r="AC39" s="107"/>
      <c r="AD39" s="106"/>
    </row>
    <row r="40" ht="30.75" customHeight="1">
      <c r="A40" s="67"/>
      <c r="B40" s="67"/>
      <c r="C40" s="102"/>
      <c r="D40" s="67"/>
      <c r="E40" s="67"/>
      <c r="F40" s="102"/>
      <c r="G40" s="67"/>
      <c r="H40" s="67"/>
      <c r="I40" s="67"/>
      <c r="J40" s="67"/>
      <c r="K40" s="67"/>
      <c r="L40" s="67"/>
      <c r="M40" s="67"/>
      <c r="N40" s="67"/>
      <c r="O40" s="67"/>
      <c r="P40" s="67"/>
      <c r="Q40" s="67"/>
      <c r="R40" s="67"/>
      <c r="S40" s="67"/>
      <c r="T40" s="67"/>
      <c r="U40" s="63" t="s">
        <v>456</v>
      </c>
      <c r="V40" s="93">
        <v>1.0</v>
      </c>
      <c r="W40" s="67"/>
      <c r="X40" s="106"/>
      <c r="Y40" s="93" t="s">
        <v>488</v>
      </c>
      <c r="Z40" s="87">
        <v>45000.0</v>
      </c>
      <c r="AA40" s="107"/>
      <c r="AB40" s="107"/>
      <c r="AC40" s="107"/>
      <c r="AD40" s="106"/>
    </row>
    <row r="41" ht="36.75" customHeight="1">
      <c r="A41" s="829">
        <v>17.0</v>
      </c>
      <c r="B41" s="830">
        <v>45136.0</v>
      </c>
      <c r="C41" s="829">
        <v>1.692855531215E12</v>
      </c>
      <c r="D41" s="831" t="s">
        <v>1351</v>
      </c>
      <c r="E41" s="832" t="s">
        <v>1352</v>
      </c>
      <c r="F41" s="833" t="s">
        <v>1353</v>
      </c>
      <c r="G41" s="834" t="s">
        <v>30</v>
      </c>
      <c r="H41" s="835">
        <v>1.0</v>
      </c>
      <c r="I41" s="836"/>
      <c r="J41" s="837">
        <f t="shared" ref="J41:J54" si="8">I41*H41</f>
        <v>0</v>
      </c>
      <c r="K41" s="838">
        <f t="shared" ref="K41:K45" si="9">SUM(J41)</f>
        <v>0</v>
      </c>
      <c r="L41" s="839"/>
      <c r="M41" s="840"/>
      <c r="N41" s="839"/>
      <c r="O41" s="841"/>
      <c r="P41" s="842"/>
      <c r="Q41" s="842"/>
      <c r="R41" s="839">
        <v>40000.0</v>
      </c>
      <c r="S41" s="842"/>
      <c r="T41" s="843"/>
      <c r="U41" s="844"/>
      <c r="V41" s="844"/>
      <c r="W41" s="845" t="s">
        <v>875</v>
      </c>
      <c r="X41" s="106"/>
      <c r="Y41" s="93" t="s">
        <v>157</v>
      </c>
      <c r="Z41" s="87">
        <v>45000.0</v>
      </c>
      <c r="AA41" s="107"/>
      <c r="AB41" s="107"/>
      <c r="AC41" s="107"/>
      <c r="AD41" s="106"/>
    </row>
    <row r="42" ht="30.75" customHeight="1">
      <c r="A42" s="93">
        <v>18.0</v>
      </c>
      <c r="B42" s="103">
        <v>45136.0</v>
      </c>
      <c r="C42" s="93">
        <v>1.692667924043E12</v>
      </c>
      <c r="D42" s="92" t="s">
        <v>517</v>
      </c>
      <c r="E42" s="105" t="s">
        <v>518</v>
      </c>
      <c r="F42" s="846" t="s">
        <v>519</v>
      </c>
      <c r="G42" s="63" t="s">
        <v>30</v>
      </c>
      <c r="H42" s="64">
        <v>1.0</v>
      </c>
      <c r="I42" s="847"/>
      <c r="J42" s="48">
        <f t="shared" si="8"/>
        <v>0</v>
      </c>
      <c r="K42" s="76">
        <f t="shared" si="9"/>
        <v>0</v>
      </c>
      <c r="L42" s="122"/>
      <c r="M42" s="575"/>
      <c r="N42" s="136"/>
      <c r="O42" s="80">
        <f t="shared" ref="O42:O44" si="10">K42+L42-N42</f>
        <v>0</v>
      </c>
      <c r="P42" s="81" t="s">
        <v>449</v>
      </c>
      <c r="Q42" s="176"/>
      <c r="R42" s="108">
        <v>22501.0</v>
      </c>
      <c r="S42" s="83" t="s">
        <v>32</v>
      </c>
      <c r="T42" s="84" t="s">
        <v>33</v>
      </c>
      <c r="U42" s="122"/>
      <c r="V42" s="122"/>
      <c r="W42" s="156" t="s">
        <v>1354</v>
      </c>
      <c r="X42" s="106"/>
      <c r="Y42" s="93" t="s">
        <v>161</v>
      </c>
      <c r="Z42" s="87">
        <v>220000.0</v>
      </c>
      <c r="AA42" s="107"/>
      <c r="AB42" s="107"/>
      <c r="AC42" s="107"/>
      <c r="AD42" s="106"/>
    </row>
    <row r="43" ht="36.75" customHeight="1">
      <c r="A43" s="93">
        <v>19.0</v>
      </c>
      <c r="B43" s="103">
        <v>45136.0</v>
      </c>
      <c r="C43" s="93">
        <v>1.713382155047E12</v>
      </c>
      <c r="D43" s="92" t="s">
        <v>1355</v>
      </c>
      <c r="E43" s="105" t="s">
        <v>1356</v>
      </c>
      <c r="F43" s="586" t="s">
        <v>1357</v>
      </c>
      <c r="G43" s="63" t="s">
        <v>290</v>
      </c>
      <c r="H43" s="64">
        <v>3.0</v>
      </c>
      <c r="I43" s="848">
        <f t="shared" ref="I43:I54" si="11">VLOOKUP(G43,$Y$4:$Z$43,2,0)</f>
        <v>220000</v>
      </c>
      <c r="J43" s="48">
        <f t="shared" si="8"/>
        <v>660000</v>
      </c>
      <c r="K43" s="76">
        <f t="shared" si="9"/>
        <v>660000</v>
      </c>
      <c r="L43" s="122"/>
      <c r="M43" s="575"/>
      <c r="N43" s="136"/>
      <c r="O43" s="80">
        <f t="shared" si="10"/>
        <v>660000</v>
      </c>
      <c r="P43" s="81" t="s">
        <v>449</v>
      </c>
      <c r="Q43" s="81" t="s">
        <v>31</v>
      </c>
      <c r="R43" s="108">
        <v>41999.0</v>
      </c>
      <c r="S43" s="83" t="s">
        <v>32</v>
      </c>
      <c r="T43" s="84" t="s">
        <v>33</v>
      </c>
      <c r="U43" s="92" t="s">
        <v>30</v>
      </c>
      <c r="V43" s="93">
        <v>1.0</v>
      </c>
      <c r="W43" s="156" t="s">
        <v>1358</v>
      </c>
      <c r="X43" s="106"/>
      <c r="Y43" s="93" t="s">
        <v>62</v>
      </c>
      <c r="Z43" s="87">
        <v>55000.0</v>
      </c>
      <c r="AA43" s="107"/>
      <c r="AB43" s="107"/>
      <c r="AC43" s="107"/>
      <c r="AD43" s="106"/>
    </row>
    <row r="44" ht="37.5" customHeight="1">
      <c r="A44" s="93">
        <v>20.0</v>
      </c>
      <c r="B44" s="103">
        <v>45136.0</v>
      </c>
      <c r="C44" s="93">
        <v>1.702029748716E12</v>
      </c>
      <c r="D44" s="92" t="s">
        <v>1118</v>
      </c>
      <c r="E44" s="105" t="s">
        <v>1119</v>
      </c>
      <c r="F44" s="121" t="s">
        <v>1120</v>
      </c>
      <c r="G44" s="63" t="s">
        <v>30</v>
      </c>
      <c r="H44" s="64">
        <v>3.0</v>
      </c>
      <c r="I44" s="847">
        <f t="shared" si="11"/>
        <v>220000</v>
      </c>
      <c r="J44" s="48">
        <f t="shared" si="8"/>
        <v>660000</v>
      </c>
      <c r="K44" s="76">
        <f t="shared" si="9"/>
        <v>660000</v>
      </c>
      <c r="L44" s="122"/>
      <c r="M44" s="575"/>
      <c r="N44" s="136"/>
      <c r="O44" s="80">
        <f t="shared" si="10"/>
        <v>660000</v>
      </c>
      <c r="P44" s="81" t="s">
        <v>449</v>
      </c>
      <c r="Q44" s="81" t="s">
        <v>31</v>
      </c>
      <c r="R44" s="108">
        <v>49000.0</v>
      </c>
      <c r="S44" s="83" t="s">
        <v>32</v>
      </c>
      <c r="T44" s="84" t="s">
        <v>33</v>
      </c>
      <c r="U44" s="92" t="s">
        <v>30</v>
      </c>
      <c r="V44" s="93">
        <v>1.0</v>
      </c>
      <c r="W44" s="155" t="s">
        <v>1359</v>
      </c>
      <c r="X44" s="106"/>
      <c r="Y44" s="694" t="s">
        <v>1360</v>
      </c>
      <c r="Z44" s="274">
        <v>85000.0</v>
      </c>
      <c r="AA44" s="107"/>
      <c r="AB44" s="107"/>
      <c r="AC44" s="107"/>
      <c r="AD44" s="106"/>
    </row>
    <row r="45" ht="30.75" customHeight="1">
      <c r="A45" s="93">
        <v>21.0</v>
      </c>
      <c r="B45" s="103">
        <v>45138.0</v>
      </c>
      <c r="C45" s="104">
        <v>7616.0</v>
      </c>
      <c r="D45" s="849" t="s">
        <v>50</v>
      </c>
      <c r="E45" s="105" t="s">
        <v>1361</v>
      </c>
      <c r="F45" s="92" t="s">
        <v>180</v>
      </c>
      <c r="G45" s="63" t="s">
        <v>290</v>
      </c>
      <c r="H45" s="64">
        <v>1.0</v>
      </c>
      <c r="I45" s="847">
        <f t="shared" si="11"/>
        <v>220000</v>
      </c>
      <c r="J45" s="48">
        <f t="shared" si="8"/>
        <v>220000</v>
      </c>
      <c r="K45" s="76">
        <f t="shared" si="9"/>
        <v>220000</v>
      </c>
      <c r="L45" s="122"/>
      <c r="M45" s="78">
        <f>6600+4400</f>
        <v>11000</v>
      </c>
      <c r="N45" s="136"/>
      <c r="O45" s="80">
        <f t="shared" ref="O45:O48" si="12">K45+L45-M45-N45</f>
        <v>209000</v>
      </c>
      <c r="P45" s="81" t="s">
        <v>449</v>
      </c>
      <c r="Q45" s="81" t="s">
        <v>31</v>
      </c>
      <c r="R45" s="122"/>
      <c r="S45" s="91"/>
      <c r="T45" s="84" t="s">
        <v>33</v>
      </c>
      <c r="U45" s="122"/>
      <c r="V45" s="122"/>
      <c r="W45" s="155" t="s">
        <v>53</v>
      </c>
      <c r="X45" s="106"/>
      <c r="Y45" s="106"/>
      <c r="Z45" s="427"/>
      <c r="AA45" s="107"/>
      <c r="AB45" s="107"/>
      <c r="AC45" s="107"/>
      <c r="AD45" s="106"/>
    </row>
    <row r="46" ht="30.75" customHeight="1">
      <c r="A46" s="111">
        <v>22.0</v>
      </c>
      <c r="B46" s="112">
        <v>45138.0</v>
      </c>
      <c r="C46" s="152">
        <v>7825.0</v>
      </c>
      <c r="D46" s="850" t="s">
        <v>50</v>
      </c>
      <c r="E46" s="143" t="s">
        <v>1362</v>
      </c>
      <c r="F46" s="142" t="s">
        <v>119</v>
      </c>
      <c r="G46" s="63" t="s">
        <v>35</v>
      </c>
      <c r="H46" s="64">
        <v>2.0</v>
      </c>
      <c r="I46" s="847">
        <f t="shared" si="11"/>
        <v>220000</v>
      </c>
      <c r="J46" s="577">
        <f t="shared" si="8"/>
        <v>440000</v>
      </c>
      <c r="K46" s="76">
        <f>sum(J46)</f>
        <v>440000</v>
      </c>
      <c r="L46" s="122"/>
      <c r="M46" s="157">
        <f>13200+8800</f>
        <v>22000</v>
      </c>
      <c r="N46" s="136"/>
      <c r="O46" s="80">
        <f t="shared" si="12"/>
        <v>418000</v>
      </c>
      <c r="P46" s="99" t="s">
        <v>449</v>
      </c>
      <c r="Q46" s="81" t="s">
        <v>31</v>
      </c>
      <c r="R46" s="147"/>
      <c r="S46" s="119"/>
      <c r="T46" s="57" t="s">
        <v>33</v>
      </c>
      <c r="U46" s="147"/>
      <c r="V46" s="147"/>
      <c r="W46" s="148" t="s">
        <v>1363</v>
      </c>
      <c r="X46" s="106"/>
      <c r="Y46" s="106"/>
      <c r="Z46" s="427"/>
      <c r="AA46" s="107"/>
      <c r="AB46" s="107"/>
      <c r="AC46" s="107"/>
      <c r="AD46" s="106"/>
    </row>
    <row r="47" ht="30.75" customHeight="1">
      <c r="A47" s="67"/>
      <c r="B47" s="67"/>
      <c r="C47" s="67"/>
      <c r="D47" s="67"/>
      <c r="E47" s="67"/>
      <c r="F47" s="67"/>
      <c r="G47" s="63" t="s">
        <v>122</v>
      </c>
      <c r="H47" s="64">
        <v>1.0</v>
      </c>
      <c r="I47" s="847">
        <f t="shared" si="11"/>
        <v>220000</v>
      </c>
      <c r="J47" s="577">
        <f t="shared" si="8"/>
        <v>220000</v>
      </c>
      <c r="K47" s="76">
        <f t="shared" ref="K47:K48" si="13">SUM(J47)</f>
        <v>220000</v>
      </c>
      <c r="L47" s="122"/>
      <c r="M47" s="78"/>
      <c r="N47" s="136"/>
      <c r="O47" s="80">
        <f t="shared" si="12"/>
        <v>220000</v>
      </c>
      <c r="P47" s="67"/>
      <c r="Q47" s="81" t="s">
        <v>31</v>
      </c>
      <c r="R47" s="67"/>
      <c r="S47" s="67"/>
      <c r="T47" s="67"/>
      <c r="U47" s="67"/>
      <c r="V47" s="67"/>
      <c r="W47" s="67"/>
      <c r="X47" s="106"/>
      <c r="Y47" s="106"/>
      <c r="Z47" s="427"/>
      <c r="AA47" s="107"/>
      <c r="AB47" s="107"/>
      <c r="AC47" s="107"/>
      <c r="AD47" s="106"/>
    </row>
    <row r="48" ht="30.75" customHeight="1">
      <c r="A48" s="93">
        <v>23.0</v>
      </c>
      <c r="B48" s="103">
        <v>45138.0</v>
      </c>
      <c r="C48" s="104">
        <v>3325.0</v>
      </c>
      <c r="D48" s="849" t="s">
        <v>50</v>
      </c>
      <c r="E48" s="105" t="s">
        <v>1364</v>
      </c>
      <c r="F48" s="92" t="s">
        <v>485</v>
      </c>
      <c r="G48" s="63" t="s">
        <v>30</v>
      </c>
      <c r="H48" s="64">
        <v>1.0</v>
      </c>
      <c r="I48" s="847">
        <f t="shared" si="11"/>
        <v>220000</v>
      </c>
      <c r="J48" s="48">
        <f t="shared" si="8"/>
        <v>220000</v>
      </c>
      <c r="K48" s="76">
        <f t="shared" si="13"/>
        <v>220000</v>
      </c>
      <c r="L48" s="122"/>
      <c r="M48" s="78">
        <f>7257+4400</f>
        <v>11657</v>
      </c>
      <c r="N48" s="136"/>
      <c r="O48" s="80">
        <f t="shared" si="12"/>
        <v>208343</v>
      </c>
      <c r="P48" s="81" t="s">
        <v>449</v>
      </c>
      <c r="Q48" s="81" t="s">
        <v>31</v>
      </c>
      <c r="R48" s="122"/>
      <c r="S48" s="91"/>
      <c r="T48" s="84" t="s">
        <v>33</v>
      </c>
      <c r="U48" s="122"/>
      <c r="V48" s="122"/>
      <c r="W48" s="155" t="s">
        <v>53</v>
      </c>
      <c r="X48" s="106"/>
      <c r="Y48" s="106"/>
      <c r="Z48" s="427"/>
      <c r="AA48" s="107"/>
      <c r="AB48" s="107"/>
      <c r="AC48" s="107"/>
      <c r="AD48" s="106"/>
    </row>
    <row r="49" ht="30.75" customHeight="1">
      <c r="A49" s="111">
        <v>24.0</v>
      </c>
      <c r="B49" s="112">
        <v>45138.0</v>
      </c>
      <c r="C49" s="111">
        <v>1.695768780899E12</v>
      </c>
      <c r="D49" s="142" t="s">
        <v>473</v>
      </c>
      <c r="E49" s="143" t="s">
        <v>474</v>
      </c>
      <c r="F49" s="815" t="s">
        <v>737</v>
      </c>
      <c r="G49" s="63" t="s">
        <v>30</v>
      </c>
      <c r="H49" s="64">
        <v>1.0</v>
      </c>
      <c r="I49" s="847">
        <f t="shared" si="11"/>
        <v>220000</v>
      </c>
      <c r="J49" s="48">
        <f t="shared" si="8"/>
        <v>220000</v>
      </c>
      <c r="K49" s="49">
        <f>sum(J49:J53)</f>
        <v>1320000</v>
      </c>
      <c r="L49" s="147"/>
      <c r="M49" s="851"/>
      <c r="N49" s="852"/>
      <c r="O49" s="53">
        <f>K49+L49-N49</f>
        <v>1320000</v>
      </c>
      <c r="P49" s="99" t="s">
        <v>449</v>
      </c>
      <c r="Q49" s="99" t="s">
        <v>31</v>
      </c>
      <c r="R49" s="145">
        <v>49000.0</v>
      </c>
      <c r="S49" s="56" t="s">
        <v>32</v>
      </c>
      <c r="T49" s="57" t="s">
        <v>33</v>
      </c>
      <c r="U49" s="147"/>
      <c r="V49" s="147"/>
      <c r="W49" s="501"/>
      <c r="X49" s="106"/>
      <c r="Y49" s="106"/>
      <c r="Z49" s="427"/>
      <c r="AA49" s="107"/>
      <c r="AB49" s="107"/>
      <c r="AC49" s="107"/>
      <c r="AD49" s="106"/>
    </row>
    <row r="50" ht="30.75" customHeight="1">
      <c r="A50" s="62"/>
      <c r="B50" s="62"/>
      <c r="C50" s="62"/>
      <c r="D50" s="62"/>
      <c r="E50" s="62"/>
      <c r="F50" s="423"/>
      <c r="G50" s="72" t="s">
        <v>476</v>
      </c>
      <c r="H50" s="73">
        <v>5.0</v>
      </c>
      <c r="I50" s="853">
        <f t="shared" si="11"/>
        <v>55000</v>
      </c>
      <c r="J50" s="75">
        <f t="shared" si="8"/>
        <v>275000</v>
      </c>
      <c r="K50" s="62"/>
      <c r="L50" s="62"/>
      <c r="M50" s="62"/>
      <c r="N50" s="62"/>
      <c r="O50" s="62"/>
      <c r="P50" s="62"/>
      <c r="Q50" s="62"/>
      <c r="R50" s="62"/>
      <c r="S50" s="62"/>
      <c r="T50" s="62"/>
      <c r="U50" s="62"/>
      <c r="V50" s="62"/>
      <c r="W50" s="62"/>
      <c r="X50" s="106"/>
      <c r="Y50" s="106"/>
      <c r="Z50" s="427"/>
      <c r="AA50" s="107"/>
      <c r="AB50" s="107"/>
      <c r="AC50" s="107"/>
      <c r="AD50" s="106"/>
    </row>
    <row r="51" ht="30.75" customHeight="1">
      <c r="A51" s="62"/>
      <c r="B51" s="62"/>
      <c r="C51" s="62"/>
      <c r="D51" s="62"/>
      <c r="E51" s="62"/>
      <c r="F51" s="423"/>
      <c r="G51" s="72" t="s">
        <v>478</v>
      </c>
      <c r="H51" s="73">
        <v>5.0</v>
      </c>
      <c r="I51" s="853">
        <f t="shared" si="11"/>
        <v>65000</v>
      </c>
      <c r="J51" s="75">
        <f t="shared" si="8"/>
        <v>325000</v>
      </c>
      <c r="K51" s="62"/>
      <c r="L51" s="62"/>
      <c r="M51" s="62"/>
      <c r="N51" s="62"/>
      <c r="O51" s="62"/>
      <c r="P51" s="62"/>
      <c r="Q51" s="62"/>
      <c r="R51" s="62"/>
      <c r="S51" s="62"/>
      <c r="T51" s="62"/>
      <c r="U51" s="62"/>
      <c r="V51" s="62"/>
      <c r="W51" s="62"/>
      <c r="X51" s="106"/>
      <c r="Y51" s="106"/>
      <c r="Z51" s="427"/>
      <c r="AA51" s="107"/>
      <c r="AB51" s="107"/>
      <c r="AC51" s="107"/>
      <c r="AD51" s="106"/>
    </row>
    <row r="52" ht="30.75" customHeight="1">
      <c r="A52" s="62"/>
      <c r="B52" s="62"/>
      <c r="C52" s="62"/>
      <c r="D52" s="62"/>
      <c r="E52" s="62"/>
      <c r="F52" s="423"/>
      <c r="G52" s="72" t="s">
        <v>477</v>
      </c>
      <c r="H52" s="73">
        <v>5.0</v>
      </c>
      <c r="I52" s="853">
        <f t="shared" si="11"/>
        <v>65000</v>
      </c>
      <c r="J52" s="75">
        <f t="shared" si="8"/>
        <v>325000</v>
      </c>
      <c r="K52" s="62"/>
      <c r="L52" s="62"/>
      <c r="M52" s="62"/>
      <c r="N52" s="62"/>
      <c r="O52" s="62"/>
      <c r="P52" s="62"/>
      <c r="Q52" s="62"/>
      <c r="R52" s="62"/>
      <c r="S52" s="62"/>
      <c r="T52" s="62"/>
      <c r="U52" s="62"/>
      <c r="V52" s="62"/>
      <c r="W52" s="62"/>
      <c r="X52" s="22"/>
      <c r="Y52" s="9"/>
      <c r="Z52" s="204"/>
      <c r="AA52" s="25"/>
      <c r="AB52" s="25"/>
      <c r="AC52" s="25"/>
      <c r="AD52" s="22"/>
    </row>
    <row r="53" ht="30.75" customHeight="1">
      <c r="A53" s="67"/>
      <c r="B53" s="67"/>
      <c r="C53" s="67"/>
      <c r="D53" s="67"/>
      <c r="E53" s="67"/>
      <c r="F53" s="102"/>
      <c r="G53" s="72" t="s">
        <v>479</v>
      </c>
      <c r="H53" s="73">
        <v>5.0</v>
      </c>
      <c r="I53" s="853">
        <f t="shared" si="11"/>
        <v>35000</v>
      </c>
      <c r="J53" s="75">
        <f t="shared" si="8"/>
        <v>175000</v>
      </c>
      <c r="K53" s="67"/>
      <c r="L53" s="67"/>
      <c r="M53" s="67"/>
      <c r="N53" s="67"/>
      <c r="O53" s="67"/>
      <c r="P53" s="67"/>
      <c r="Q53" s="67"/>
      <c r="R53" s="67"/>
      <c r="S53" s="67"/>
      <c r="T53" s="67"/>
      <c r="U53" s="67"/>
      <c r="V53" s="67"/>
      <c r="W53" s="67"/>
      <c r="X53" s="106"/>
      <c r="Y53" s="106"/>
      <c r="Z53" s="427"/>
      <c r="AA53" s="107"/>
      <c r="AB53" s="107"/>
      <c r="AC53" s="107"/>
      <c r="AD53" s="106"/>
    </row>
    <row r="54" ht="30.75" customHeight="1">
      <c r="A54" s="93">
        <v>25.0</v>
      </c>
      <c r="B54" s="103">
        <v>45138.0</v>
      </c>
      <c r="C54" s="93">
        <v>1.69581152453E12</v>
      </c>
      <c r="D54" s="92" t="s">
        <v>1365</v>
      </c>
      <c r="E54" s="105" t="s">
        <v>1366</v>
      </c>
      <c r="F54" s="92" t="s">
        <v>1367</v>
      </c>
      <c r="G54" s="63" t="s">
        <v>30</v>
      </c>
      <c r="H54" s="64">
        <v>3.0</v>
      </c>
      <c r="I54" s="847">
        <f t="shared" si="11"/>
        <v>220000</v>
      </c>
      <c r="J54" s="48">
        <f t="shared" si="8"/>
        <v>660000</v>
      </c>
      <c r="K54" s="76">
        <f>SUM(J54)</f>
        <v>660000</v>
      </c>
      <c r="L54" s="122"/>
      <c r="M54" s="575"/>
      <c r="N54" s="136"/>
      <c r="O54" s="80">
        <f t="shared" ref="O54:O55" si="14">K54+L54-N54</f>
        <v>660000</v>
      </c>
      <c r="P54" s="81" t="s">
        <v>449</v>
      </c>
      <c r="Q54" s="81" t="s">
        <v>31</v>
      </c>
      <c r="R54" s="108">
        <v>41999.0</v>
      </c>
      <c r="S54" s="83" t="s">
        <v>32</v>
      </c>
      <c r="T54" s="84" t="s">
        <v>33</v>
      </c>
      <c r="U54" s="122"/>
      <c r="V54" s="122"/>
      <c r="W54" s="284"/>
      <c r="X54" s="106"/>
      <c r="Y54" s="106"/>
      <c r="Z54" s="427"/>
      <c r="AA54" s="107"/>
      <c r="AB54" s="107"/>
      <c r="AC54" s="107"/>
      <c r="AD54" s="106"/>
    </row>
    <row r="55" ht="30.75" customHeight="1">
      <c r="A55" s="854">
        <v>26.0</v>
      </c>
      <c r="B55" s="855">
        <v>45138.0</v>
      </c>
      <c r="C55" s="854">
        <v>1.701430100625E12</v>
      </c>
      <c r="D55" s="856" t="s">
        <v>902</v>
      </c>
      <c r="E55" s="857" t="s">
        <v>441</v>
      </c>
      <c r="F55" s="858" t="s">
        <v>442</v>
      </c>
      <c r="G55" s="859" t="s">
        <v>37</v>
      </c>
      <c r="H55" s="860">
        <v>1.0</v>
      </c>
      <c r="I55" s="861"/>
      <c r="J55" s="862"/>
      <c r="K55" s="863"/>
      <c r="L55" s="864"/>
      <c r="M55" s="865"/>
      <c r="N55" s="865"/>
      <c r="O55" s="863">
        <f t="shared" si="14"/>
        <v>0</v>
      </c>
      <c r="P55" s="866" t="s">
        <v>449</v>
      </c>
      <c r="Q55" s="861"/>
      <c r="R55" s="867">
        <v>28201.0</v>
      </c>
      <c r="S55" s="866" t="s">
        <v>32</v>
      </c>
      <c r="T55" s="868" t="s">
        <v>33</v>
      </c>
      <c r="U55" s="864"/>
      <c r="V55" s="864"/>
      <c r="W55" s="859" t="s">
        <v>1368</v>
      </c>
      <c r="X55" s="106"/>
      <c r="Y55" s="106"/>
      <c r="Z55" s="427"/>
      <c r="AA55" s="106"/>
      <c r="AB55" s="106"/>
      <c r="AC55" s="106"/>
      <c r="AD55" s="106"/>
    </row>
    <row r="56" ht="30.75" customHeight="1">
      <c r="A56" s="93">
        <v>27.0</v>
      </c>
      <c r="B56" s="103">
        <v>45139.0</v>
      </c>
      <c r="C56" s="104">
        <v>7430.0</v>
      </c>
      <c r="D56" s="92" t="s">
        <v>1369</v>
      </c>
      <c r="E56" s="105" t="s">
        <v>1016</v>
      </c>
      <c r="F56" s="92" t="s">
        <v>613</v>
      </c>
      <c r="G56" s="63" t="s">
        <v>30</v>
      </c>
      <c r="H56" s="64">
        <v>3.0</v>
      </c>
      <c r="I56" s="847">
        <f t="shared" ref="I56:I77" si="15">VLOOKUP(G56,$Y$4:$Z$43,2,0)</f>
        <v>220000</v>
      </c>
      <c r="J56" s="48">
        <f t="shared" ref="J56:J77" si="16">I56*H56</f>
        <v>660000</v>
      </c>
      <c r="K56" s="76">
        <f>SUM(J56)</f>
        <v>660000</v>
      </c>
      <c r="L56" s="122"/>
      <c r="M56" s="157">
        <f>19350+13200</f>
        <v>32550</v>
      </c>
      <c r="N56" s="136"/>
      <c r="O56" s="80">
        <f t="shared" ref="O56:O57" si="17">K56+L56-M56-N56</f>
        <v>627450</v>
      </c>
      <c r="P56" s="81" t="s">
        <v>449</v>
      </c>
      <c r="Q56" s="81" t="s">
        <v>31</v>
      </c>
      <c r="R56" s="122"/>
      <c r="S56" s="91"/>
      <c r="T56" s="84" t="s">
        <v>33</v>
      </c>
      <c r="U56" s="122"/>
      <c r="V56" s="122"/>
      <c r="W56" s="155" t="s">
        <v>53</v>
      </c>
      <c r="X56" s="106"/>
      <c r="Y56" s="106"/>
      <c r="Z56" s="427"/>
      <c r="AA56" s="107"/>
      <c r="AB56" s="107"/>
      <c r="AC56" s="107"/>
      <c r="AD56" s="106"/>
    </row>
    <row r="57" ht="30.75" customHeight="1">
      <c r="A57" s="111">
        <v>28.0</v>
      </c>
      <c r="B57" s="112">
        <v>45140.0</v>
      </c>
      <c r="C57" s="152">
        <v>1.694151404682E12</v>
      </c>
      <c r="D57" s="142" t="s">
        <v>1351</v>
      </c>
      <c r="E57" s="143" t="s">
        <v>1352</v>
      </c>
      <c r="F57" s="44" t="s">
        <v>1353</v>
      </c>
      <c r="G57" s="63" t="s">
        <v>30</v>
      </c>
      <c r="H57" s="64">
        <v>2.0</v>
      </c>
      <c r="I57" s="847">
        <f t="shared" si="15"/>
        <v>220000</v>
      </c>
      <c r="J57" s="48">
        <f t="shared" si="16"/>
        <v>440000</v>
      </c>
      <c r="K57" s="49">
        <f>sum(J57:J58)</f>
        <v>660000</v>
      </c>
      <c r="L57" s="147"/>
      <c r="M57" s="51"/>
      <c r="N57" s="562"/>
      <c r="O57" s="53">
        <f t="shared" si="17"/>
        <v>660000</v>
      </c>
      <c r="P57" s="99" t="s">
        <v>449</v>
      </c>
      <c r="Q57" s="99" t="s">
        <v>31</v>
      </c>
      <c r="R57" s="145">
        <v>48002.0</v>
      </c>
      <c r="S57" s="56" t="s">
        <v>32</v>
      </c>
      <c r="T57" s="57" t="s">
        <v>33</v>
      </c>
      <c r="U57" s="142" t="s">
        <v>122</v>
      </c>
      <c r="V57" s="111">
        <v>1.0</v>
      </c>
      <c r="W57" s="148" t="s">
        <v>1370</v>
      </c>
      <c r="X57" s="106"/>
      <c r="Y57" s="106"/>
      <c r="Z57" s="427"/>
      <c r="AA57" s="107"/>
      <c r="AB57" s="107"/>
      <c r="AC57" s="107"/>
      <c r="AD57" s="106"/>
    </row>
    <row r="58" ht="30.75" customHeight="1">
      <c r="A58" s="67"/>
      <c r="B58" s="67"/>
      <c r="C58" s="67"/>
      <c r="D58" s="67"/>
      <c r="E58" s="67"/>
      <c r="F58" s="67"/>
      <c r="G58" s="63" t="s">
        <v>165</v>
      </c>
      <c r="H58" s="64">
        <v>1.0</v>
      </c>
      <c r="I58" s="847">
        <f t="shared" si="15"/>
        <v>220000</v>
      </c>
      <c r="J58" s="48">
        <f t="shared" si="16"/>
        <v>220000</v>
      </c>
      <c r="K58" s="67"/>
      <c r="L58" s="67"/>
      <c r="M58" s="67"/>
      <c r="N58" s="67"/>
      <c r="O58" s="67"/>
      <c r="P58" s="67"/>
      <c r="Q58" s="67"/>
      <c r="R58" s="67"/>
      <c r="S58" s="67"/>
      <c r="T58" s="67"/>
      <c r="U58" s="67"/>
      <c r="V58" s="67"/>
      <c r="W58" s="67"/>
      <c r="X58" s="106"/>
      <c r="Y58" s="106"/>
      <c r="Z58" s="427"/>
      <c r="AA58" s="107"/>
      <c r="AB58" s="107"/>
      <c r="AC58" s="107"/>
      <c r="AD58" s="106"/>
    </row>
    <row r="59" ht="30.75" customHeight="1">
      <c r="A59" s="93">
        <v>29.0</v>
      </c>
      <c r="B59" s="103">
        <v>45140.0</v>
      </c>
      <c r="C59" s="104">
        <v>1.694195787615E12</v>
      </c>
      <c r="D59" s="92" t="s">
        <v>1371</v>
      </c>
      <c r="E59" s="105" t="s">
        <v>1372</v>
      </c>
      <c r="F59" s="869" t="s">
        <v>1373</v>
      </c>
      <c r="G59" s="63" t="s">
        <v>30</v>
      </c>
      <c r="H59" s="64">
        <v>1.0</v>
      </c>
      <c r="I59" s="847">
        <f t="shared" si="15"/>
        <v>220000</v>
      </c>
      <c r="J59" s="48">
        <f t="shared" si="16"/>
        <v>220000</v>
      </c>
      <c r="K59" s="76">
        <f t="shared" ref="K59:K63" si="18">SUM(J59)</f>
        <v>220000</v>
      </c>
      <c r="L59" s="108">
        <v>33000.0</v>
      </c>
      <c r="M59" s="78"/>
      <c r="N59" s="115">
        <v>13000.0</v>
      </c>
      <c r="O59" s="80">
        <f t="shared" ref="O59:O63" si="19">K59+L59-M59-N59</f>
        <v>240000</v>
      </c>
      <c r="P59" s="81" t="s">
        <v>449</v>
      </c>
      <c r="Q59" s="81" t="s">
        <v>31</v>
      </c>
      <c r="R59" s="108"/>
      <c r="S59" s="91"/>
      <c r="T59" s="84" t="s">
        <v>33</v>
      </c>
      <c r="U59" s="122"/>
      <c r="V59" s="122"/>
      <c r="W59" s="284"/>
      <c r="X59" s="106"/>
      <c r="Y59" s="106"/>
      <c r="Z59" s="427"/>
      <c r="AA59" s="107"/>
      <c r="AB59" s="107"/>
      <c r="AC59" s="107"/>
      <c r="AD59" s="106"/>
    </row>
    <row r="60" ht="30.75" customHeight="1">
      <c r="A60" s="93">
        <v>30.0</v>
      </c>
      <c r="B60" s="103">
        <v>45140.0</v>
      </c>
      <c r="C60" s="104">
        <v>1.69428720301E12</v>
      </c>
      <c r="D60" s="92" t="s">
        <v>1374</v>
      </c>
      <c r="E60" s="105" t="s">
        <v>1375</v>
      </c>
      <c r="F60" s="846" t="s">
        <v>1376</v>
      </c>
      <c r="G60" s="63" t="s">
        <v>290</v>
      </c>
      <c r="H60" s="64">
        <v>2.0</v>
      </c>
      <c r="I60" s="847">
        <f t="shared" si="15"/>
        <v>220000</v>
      </c>
      <c r="J60" s="48">
        <f t="shared" si="16"/>
        <v>440000</v>
      </c>
      <c r="K60" s="76">
        <f t="shared" si="18"/>
        <v>440000</v>
      </c>
      <c r="L60" s="108">
        <v>46998.0</v>
      </c>
      <c r="M60" s="78"/>
      <c r="N60" s="115">
        <v>16998.0</v>
      </c>
      <c r="O60" s="80">
        <f t="shared" si="19"/>
        <v>470000</v>
      </c>
      <c r="P60" s="81" t="s">
        <v>449</v>
      </c>
      <c r="Q60" s="81" t="s">
        <v>31</v>
      </c>
      <c r="R60" s="122"/>
      <c r="S60" s="91"/>
      <c r="T60" s="84" t="s">
        <v>33</v>
      </c>
      <c r="U60" s="122"/>
      <c r="V60" s="122"/>
      <c r="W60" s="284"/>
      <c r="X60" s="106"/>
      <c r="Y60" s="106"/>
      <c r="Z60" s="427"/>
      <c r="AA60" s="107"/>
      <c r="AB60" s="107"/>
      <c r="AC60" s="107"/>
      <c r="AD60" s="106"/>
    </row>
    <row r="61" ht="30.75" customHeight="1">
      <c r="A61" s="93">
        <v>31.0</v>
      </c>
      <c r="B61" s="103">
        <v>45140.0</v>
      </c>
      <c r="C61" s="104">
        <v>8233.0</v>
      </c>
      <c r="D61" s="92" t="s">
        <v>50</v>
      </c>
      <c r="E61" s="105" t="s">
        <v>1377</v>
      </c>
      <c r="F61" s="92" t="s">
        <v>104</v>
      </c>
      <c r="G61" s="63" t="s">
        <v>37</v>
      </c>
      <c r="H61" s="64">
        <v>2.0</v>
      </c>
      <c r="I61" s="847">
        <f t="shared" si="15"/>
        <v>220000</v>
      </c>
      <c r="J61" s="48">
        <f t="shared" si="16"/>
        <v>440000</v>
      </c>
      <c r="K61" s="76">
        <f t="shared" si="18"/>
        <v>440000</v>
      </c>
      <c r="L61" s="122"/>
      <c r="M61" s="78">
        <f>11400+8800</f>
        <v>20200</v>
      </c>
      <c r="N61" s="136"/>
      <c r="O61" s="80">
        <f t="shared" si="19"/>
        <v>419800</v>
      </c>
      <c r="P61" s="81" t="s">
        <v>449</v>
      </c>
      <c r="Q61" s="81" t="s">
        <v>31</v>
      </c>
      <c r="R61" s="122"/>
      <c r="S61" s="91"/>
      <c r="T61" s="84" t="s">
        <v>33</v>
      </c>
      <c r="U61" s="122"/>
      <c r="V61" s="122"/>
      <c r="W61" s="284"/>
      <c r="X61" s="106"/>
      <c r="Y61" s="106"/>
      <c r="Z61" s="427"/>
      <c r="AA61" s="107"/>
      <c r="AB61" s="107"/>
      <c r="AC61" s="107"/>
      <c r="AD61" s="106"/>
    </row>
    <row r="62" ht="30.75" customHeight="1">
      <c r="A62" s="93">
        <v>32.0</v>
      </c>
      <c r="B62" s="103">
        <v>45140.0</v>
      </c>
      <c r="C62" s="104">
        <v>5440.0</v>
      </c>
      <c r="D62" s="92" t="s">
        <v>50</v>
      </c>
      <c r="E62" s="105" t="s">
        <v>1378</v>
      </c>
      <c r="F62" s="92" t="s">
        <v>281</v>
      </c>
      <c r="G62" s="63" t="s">
        <v>30</v>
      </c>
      <c r="H62" s="64">
        <v>1.0</v>
      </c>
      <c r="I62" s="847">
        <f t="shared" si="15"/>
        <v>220000</v>
      </c>
      <c r="J62" s="48">
        <f t="shared" si="16"/>
        <v>220000</v>
      </c>
      <c r="K62" s="76">
        <f t="shared" si="18"/>
        <v>220000</v>
      </c>
      <c r="L62" s="122"/>
      <c r="M62" s="78">
        <f>4800+4400</f>
        <v>9200</v>
      </c>
      <c r="N62" s="136"/>
      <c r="O62" s="80">
        <f t="shared" si="19"/>
        <v>210800</v>
      </c>
      <c r="P62" s="81" t="s">
        <v>449</v>
      </c>
      <c r="Q62" s="81" t="s">
        <v>31</v>
      </c>
      <c r="R62" s="122"/>
      <c r="S62" s="91"/>
      <c r="T62" s="84" t="s">
        <v>33</v>
      </c>
      <c r="U62" s="122"/>
      <c r="V62" s="122"/>
      <c r="W62" s="155" t="s">
        <v>1379</v>
      </c>
      <c r="X62" s="106"/>
      <c r="Y62" s="106"/>
      <c r="Z62" s="427"/>
      <c r="AA62" s="107"/>
      <c r="AB62" s="107"/>
      <c r="AC62" s="107"/>
      <c r="AD62" s="106"/>
    </row>
    <row r="63" ht="30.75" customHeight="1">
      <c r="A63" s="93">
        <v>33.0</v>
      </c>
      <c r="B63" s="103">
        <v>45140.0</v>
      </c>
      <c r="C63" s="104">
        <v>5641.0</v>
      </c>
      <c r="D63" s="92" t="s">
        <v>50</v>
      </c>
      <c r="E63" s="105" t="s">
        <v>1380</v>
      </c>
      <c r="F63" s="92" t="s">
        <v>548</v>
      </c>
      <c r="G63" s="63" t="s">
        <v>144</v>
      </c>
      <c r="H63" s="64">
        <v>1.0</v>
      </c>
      <c r="I63" s="847">
        <f t="shared" si="15"/>
        <v>220000</v>
      </c>
      <c r="J63" s="48">
        <f t="shared" si="16"/>
        <v>220000</v>
      </c>
      <c r="K63" s="76">
        <f t="shared" si="18"/>
        <v>220000</v>
      </c>
      <c r="L63" s="122"/>
      <c r="M63" s="78">
        <f>7287+4400</f>
        <v>11687</v>
      </c>
      <c r="N63" s="136"/>
      <c r="O63" s="80">
        <f t="shared" si="19"/>
        <v>208313</v>
      </c>
      <c r="P63" s="81" t="s">
        <v>449</v>
      </c>
      <c r="Q63" s="81" t="s">
        <v>31</v>
      </c>
      <c r="R63" s="122"/>
      <c r="S63" s="91"/>
      <c r="T63" s="84" t="s">
        <v>33</v>
      </c>
      <c r="U63" s="122"/>
      <c r="V63" s="122"/>
      <c r="W63" s="284"/>
      <c r="X63" s="106"/>
      <c r="Y63" s="106"/>
      <c r="Z63" s="427"/>
      <c r="AA63" s="107"/>
      <c r="AB63" s="107"/>
      <c r="AC63" s="107"/>
      <c r="AD63" s="106"/>
    </row>
    <row r="64" ht="30.75" customHeight="1">
      <c r="A64" s="111">
        <v>34.0</v>
      </c>
      <c r="B64" s="112">
        <v>45141.0</v>
      </c>
      <c r="C64" s="152">
        <v>1.705398517471E12</v>
      </c>
      <c r="D64" s="142" t="s">
        <v>644</v>
      </c>
      <c r="E64" s="143" t="s">
        <v>45</v>
      </c>
      <c r="F64" s="142" t="s">
        <v>324</v>
      </c>
      <c r="G64" s="63" t="s">
        <v>47</v>
      </c>
      <c r="H64" s="64">
        <v>10.0</v>
      </c>
      <c r="I64" s="847">
        <f t="shared" si="15"/>
        <v>220000</v>
      </c>
      <c r="J64" s="48">
        <f t="shared" si="16"/>
        <v>2200000</v>
      </c>
      <c r="K64" s="49">
        <f>SUM(J64:J65)</f>
        <v>3300000</v>
      </c>
      <c r="L64" s="147"/>
      <c r="M64" s="561"/>
      <c r="N64" s="562"/>
      <c r="O64" s="53">
        <f>K64+L64-N64</f>
        <v>3300000</v>
      </c>
      <c r="P64" s="99" t="s">
        <v>449</v>
      </c>
      <c r="Q64" s="99" t="s">
        <v>31</v>
      </c>
      <c r="R64" s="145">
        <v>109400.0</v>
      </c>
      <c r="S64" s="119"/>
      <c r="T64" s="57" t="s">
        <v>33</v>
      </c>
      <c r="U64" s="147"/>
      <c r="V64" s="147"/>
      <c r="W64" s="501"/>
      <c r="X64" s="106"/>
      <c r="Y64" s="106"/>
      <c r="Z64" s="427"/>
      <c r="AA64" s="107"/>
      <c r="AB64" s="107"/>
      <c r="AC64" s="107"/>
      <c r="AD64" s="106"/>
    </row>
    <row r="65" ht="30.75" customHeight="1">
      <c r="A65" s="67"/>
      <c r="B65" s="67"/>
      <c r="C65" s="67"/>
      <c r="D65" s="67"/>
      <c r="E65" s="67"/>
      <c r="F65" s="67"/>
      <c r="G65" s="63" t="s">
        <v>122</v>
      </c>
      <c r="H65" s="64">
        <v>5.0</v>
      </c>
      <c r="I65" s="847">
        <f t="shared" si="15"/>
        <v>220000</v>
      </c>
      <c r="J65" s="48">
        <f t="shared" si="16"/>
        <v>1100000</v>
      </c>
      <c r="K65" s="67"/>
      <c r="L65" s="67"/>
      <c r="M65" s="67"/>
      <c r="N65" s="67"/>
      <c r="O65" s="67"/>
      <c r="P65" s="67"/>
      <c r="Q65" s="67"/>
      <c r="R65" s="67"/>
      <c r="S65" s="67"/>
      <c r="T65" s="67"/>
      <c r="U65" s="67"/>
      <c r="V65" s="67"/>
      <c r="W65" s="67"/>
      <c r="X65" s="106"/>
      <c r="Y65" s="106"/>
      <c r="Z65" s="427"/>
      <c r="AA65" s="107"/>
      <c r="AB65" s="107"/>
      <c r="AC65" s="107"/>
      <c r="AD65" s="106"/>
    </row>
    <row r="66" ht="48.75" customHeight="1">
      <c r="A66" s="93">
        <v>35.0</v>
      </c>
      <c r="B66" s="103">
        <v>45142.0</v>
      </c>
      <c r="C66" s="104">
        <v>1.697916671696E12</v>
      </c>
      <c r="D66" s="92" t="s">
        <v>1381</v>
      </c>
      <c r="E66" s="105" t="s">
        <v>1382</v>
      </c>
      <c r="F66" s="179" t="s">
        <v>1383</v>
      </c>
      <c r="G66" s="63" t="s">
        <v>290</v>
      </c>
      <c r="H66" s="64">
        <v>1.0</v>
      </c>
      <c r="I66" s="847">
        <f t="shared" si="15"/>
        <v>220000</v>
      </c>
      <c r="J66" s="48">
        <f t="shared" si="16"/>
        <v>220000</v>
      </c>
      <c r="K66" s="76">
        <f t="shared" ref="K66:K71" si="20">SUM(J66)</f>
        <v>220000</v>
      </c>
      <c r="L66" s="108">
        <v>33000.0</v>
      </c>
      <c r="M66" s="575"/>
      <c r="N66" s="115">
        <v>13000.0</v>
      </c>
      <c r="O66" s="80">
        <f t="shared" ref="O66:O68" si="21">K66+L66-N66</f>
        <v>240000</v>
      </c>
      <c r="P66" s="81" t="s">
        <v>449</v>
      </c>
      <c r="Q66" s="81" t="s">
        <v>31</v>
      </c>
      <c r="R66" s="122"/>
      <c r="S66" s="91"/>
      <c r="T66" s="84" t="s">
        <v>33</v>
      </c>
      <c r="U66" s="122"/>
      <c r="V66" s="122"/>
      <c r="W66" s="284"/>
      <c r="X66" s="106"/>
      <c r="Y66" s="106"/>
      <c r="Z66" s="427"/>
      <c r="AA66" s="107"/>
      <c r="AB66" s="107"/>
      <c r="AC66" s="107"/>
      <c r="AD66" s="106"/>
    </row>
    <row r="67" ht="30.75" customHeight="1">
      <c r="A67" s="93">
        <v>36.0</v>
      </c>
      <c r="B67" s="103">
        <v>45142.0</v>
      </c>
      <c r="C67" s="104">
        <v>1.714397949929E12</v>
      </c>
      <c r="D67" s="92" t="s">
        <v>1384</v>
      </c>
      <c r="E67" s="105" t="s">
        <v>1385</v>
      </c>
      <c r="F67" s="92" t="s">
        <v>1386</v>
      </c>
      <c r="G67" s="63" t="s">
        <v>75</v>
      </c>
      <c r="H67" s="64">
        <v>1.0</v>
      </c>
      <c r="I67" s="847">
        <f t="shared" si="15"/>
        <v>45000</v>
      </c>
      <c r="J67" s="48">
        <f t="shared" si="16"/>
        <v>45000</v>
      </c>
      <c r="K67" s="76">
        <f t="shared" si="20"/>
        <v>45000</v>
      </c>
      <c r="L67" s="122"/>
      <c r="M67" s="575"/>
      <c r="N67" s="79"/>
      <c r="O67" s="80">
        <f t="shared" si="21"/>
        <v>45000</v>
      </c>
      <c r="P67" s="81" t="s">
        <v>449</v>
      </c>
      <c r="Q67" s="81" t="s">
        <v>31</v>
      </c>
      <c r="R67" s="122"/>
      <c r="S67" s="91"/>
      <c r="T67" s="84" t="s">
        <v>33</v>
      </c>
      <c r="U67" s="122"/>
      <c r="V67" s="122"/>
      <c r="W67" s="284"/>
      <c r="X67" s="106"/>
      <c r="Y67" s="106"/>
      <c r="Z67" s="427"/>
      <c r="AA67" s="107"/>
      <c r="AB67" s="107"/>
      <c r="AC67" s="107"/>
      <c r="AD67" s="106"/>
    </row>
    <row r="68" ht="30.75" customHeight="1">
      <c r="A68" s="93">
        <v>37.0</v>
      </c>
      <c r="B68" s="103">
        <v>45143.0</v>
      </c>
      <c r="C68" s="104">
        <v>1.710619937382E12</v>
      </c>
      <c r="D68" s="92" t="s">
        <v>646</v>
      </c>
      <c r="E68" s="105" t="s">
        <v>647</v>
      </c>
      <c r="F68" s="92" t="s">
        <v>648</v>
      </c>
      <c r="G68" s="63" t="s">
        <v>290</v>
      </c>
      <c r="H68" s="64">
        <v>2.0</v>
      </c>
      <c r="I68" s="847">
        <f t="shared" si="15"/>
        <v>220000</v>
      </c>
      <c r="J68" s="48">
        <f t="shared" si="16"/>
        <v>440000</v>
      </c>
      <c r="K68" s="76">
        <f t="shared" si="20"/>
        <v>440000</v>
      </c>
      <c r="L68" s="108">
        <v>36001.0</v>
      </c>
      <c r="M68" s="575"/>
      <c r="N68" s="115">
        <v>6001.0</v>
      </c>
      <c r="O68" s="80">
        <f t="shared" si="21"/>
        <v>470000</v>
      </c>
      <c r="P68" s="81" t="s">
        <v>449</v>
      </c>
      <c r="Q68" s="81" t="s">
        <v>31</v>
      </c>
      <c r="R68" s="122"/>
      <c r="S68" s="91"/>
      <c r="T68" s="84" t="s">
        <v>33</v>
      </c>
      <c r="U68" s="122"/>
      <c r="V68" s="122"/>
      <c r="W68" s="284"/>
      <c r="X68" s="106"/>
      <c r="Y68" s="106"/>
      <c r="Z68" s="427"/>
      <c r="AA68" s="107"/>
      <c r="AB68" s="107"/>
      <c r="AC68" s="107"/>
      <c r="AD68" s="106"/>
    </row>
    <row r="69" ht="30.75" customHeight="1">
      <c r="A69" s="93">
        <v>38.0</v>
      </c>
      <c r="B69" s="103">
        <v>45143.0</v>
      </c>
      <c r="C69" s="104">
        <v>3865.0</v>
      </c>
      <c r="D69" s="92" t="s">
        <v>50</v>
      </c>
      <c r="E69" s="105" t="s">
        <v>1387</v>
      </c>
      <c r="F69" s="92" t="s">
        <v>464</v>
      </c>
      <c r="G69" s="63" t="s">
        <v>30</v>
      </c>
      <c r="H69" s="64">
        <v>1.0</v>
      </c>
      <c r="I69" s="847">
        <f t="shared" si="15"/>
        <v>220000</v>
      </c>
      <c r="J69" s="48">
        <f t="shared" si="16"/>
        <v>220000</v>
      </c>
      <c r="K69" s="76">
        <f t="shared" si="20"/>
        <v>220000</v>
      </c>
      <c r="L69" s="122"/>
      <c r="M69" s="78">
        <f>7257+4400</f>
        <v>11657</v>
      </c>
      <c r="N69" s="79"/>
      <c r="O69" s="80">
        <f t="shared" ref="O69:O72" si="22">K69+L69-M69-N69</f>
        <v>208343</v>
      </c>
      <c r="P69" s="81" t="s">
        <v>449</v>
      </c>
      <c r="Q69" s="81" t="s">
        <v>31</v>
      </c>
      <c r="R69" s="122"/>
      <c r="S69" s="91"/>
      <c r="T69" s="84" t="s">
        <v>33</v>
      </c>
      <c r="U69" s="122"/>
      <c r="V69" s="122"/>
      <c r="W69" s="284"/>
      <c r="X69" s="106"/>
      <c r="Y69" s="106"/>
      <c r="Z69" s="427"/>
      <c r="AA69" s="107"/>
      <c r="AB69" s="107"/>
      <c r="AC69" s="107"/>
      <c r="AD69" s="106"/>
    </row>
    <row r="70" ht="30.75" customHeight="1">
      <c r="A70" s="93">
        <v>39.0</v>
      </c>
      <c r="B70" s="103">
        <v>45143.0</v>
      </c>
      <c r="C70" s="104">
        <v>4667.0</v>
      </c>
      <c r="D70" s="92" t="s">
        <v>50</v>
      </c>
      <c r="E70" s="105" t="s">
        <v>746</v>
      </c>
      <c r="F70" s="92" t="s">
        <v>119</v>
      </c>
      <c r="G70" s="63" t="s">
        <v>35</v>
      </c>
      <c r="H70" s="64">
        <v>5.0</v>
      </c>
      <c r="I70" s="847">
        <f t="shared" si="15"/>
        <v>220000</v>
      </c>
      <c r="J70" s="48">
        <f t="shared" si="16"/>
        <v>1100000</v>
      </c>
      <c r="K70" s="76">
        <f t="shared" si="20"/>
        <v>1100000</v>
      </c>
      <c r="L70" s="122"/>
      <c r="M70" s="78">
        <f>33051+22000+110000</f>
        <v>165051</v>
      </c>
      <c r="N70" s="79"/>
      <c r="O70" s="80">
        <f t="shared" si="22"/>
        <v>934949</v>
      </c>
      <c r="P70" s="81" t="s">
        <v>449</v>
      </c>
      <c r="Q70" s="81" t="s">
        <v>31</v>
      </c>
      <c r="R70" s="122"/>
      <c r="S70" s="91"/>
      <c r="T70" s="84" t="s">
        <v>33</v>
      </c>
      <c r="U70" s="122"/>
      <c r="V70" s="122"/>
      <c r="W70" s="284"/>
      <c r="X70" s="106"/>
      <c r="Y70" s="106"/>
      <c r="Z70" s="427"/>
      <c r="AA70" s="107"/>
      <c r="AB70" s="107"/>
      <c r="AC70" s="107"/>
      <c r="AD70" s="106"/>
    </row>
    <row r="71" ht="30.75" customHeight="1">
      <c r="A71" s="93">
        <v>40.0</v>
      </c>
      <c r="B71" s="103">
        <v>45143.0</v>
      </c>
      <c r="C71" s="104">
        <v>1870.0</v>
      </c>
      <c r="D71" s="92" t="s">
        <v>50</v>
      </c>
      <c r="E71" s="105" t="s">
        <v>746</v>
      </c>
      <c r="F71" s="92" t="s">
        <v>119</v>
      </c>
      <c r="G71" s="63" t="s">
        <v>30</v>
      </c>
      <c r="H71" s="64">
        <v>2.0</v>
      </c>
      <c r="I71" s="847">
        <f t="shared" si="15"/>
        <v>220000</v>
      </c>
      <c r="J71" s="48">
        <f t="shared" si="16"/>
        <v>440000</v>
      </c>
      <c r="K71" s="76">
        <f t="shared" si="20"/>
        <v>440000</v>
      </c>
      <c r="L71" s="122"/>
      <c r="M71" s="78">
        <f>13200+8800+44000</f>
        <v>66000</v>
      </c>
      <c r="N71" s="79"/>
      <c r="O71" s="80">
        <f t="shared" si="22"/>
        <v>374000</v>
      </c>
      <c r="P71" s="81" t="s">
        <v>449</v>
      </c>
      <c r="Q71" s="81" t="s">
        <v>31</v>
      </c>
      <c r="R71" s="122"/>
      <c r="S71" s="91"/>
      <c r="T71" s="84" t="s">
        <v>33</v>
      </c>
      <c r="U71" s="122"/>
      <c r="V71" s="122"/>
      <c r="W71" s="284"/>
      <c r="X71" s="106"/>
      <c r="Y71" s="106"/>
      <c r="Z71" s="427"/>
      <c r="AA71" s="107"/>
      <c r="AB71" s="107"/>
      <c r="AC71" s="107"/>
      <c r="AD71" s="106"/>
    </row>
    <row r="72" ht="30.75" customHeight="1">
      <c r="A72" s="111">
        <v>41.0</v>
      </c>
      <c r="B72" s="112">
        <v>45145.0</v>
      </c>
      <c r="C72" s="152">
        <v>1.694757880857E12</v>
      </c>
      <c r="D72" s="815" t="s">
        <v>553</v>
      </c>
      <c r="E72" s="143" t="s">
        <v>554</v>
      </c>
      <c r="F72" s="451" t="s">
        <v>555</v>
      </c>
      <c r="G72" s="63" t="s">
        <v>30</v>
      </c>
      <c r="H72" s="64">
        <v>1.0</v>
      </c>
      <c r="I72" s="847">
        <f t="shared" si="15"/>
        <v>220000</v>
      </c>
      <c r="J72" s="48">
        <f t="shared" si="16"/>
        <v>220000</v>
      </c>
      <c r="K72" s="49">
        <f>SUM(J72:J74)</f>
        <v>660000</v>
      </c>
      <c r="L72" s="147"/>
      <c r="M72" s="51"/>
      <c r="N72" s="52"/>
      <c r="O72" s="53">
        <f t="shared" si="22"/>
        <v>660000</v>
      </c>
      <c r="P72" s="99" t="s">
        <v>449</v>
      </c>
      <c r="Q72" s="99" t="s">
        <v>31</v>
      </c>
      <c r="R72" s="145">
        <v>42001.0</v>
      </c>
      <c r="S72" s="56" t="s">
        <v>32</v>
      </c>
      <c r="T72" s="57" t="s">
        <v>33</v>
      </c>
      <c r="U72" s="147"/>
      <c r="V72" s="147"/>
      <c r="W72" s="501"/>
      <c r="X72" s="106"/>
      <c r="Y72" s="106"/>
      <c r="Z72" s="427"/>
      <c r="AA72" s="107"/>
      <c r="AB72" s="107"/>
      <c r="AC72" s="107"/>
      <c r="AD72" s="106"/>
    </row>
    <row r="73" ht="30.75" customHeight="1">
      <c r="A73" s="62"/>
      <c r="B73" s="62"/>
      <c r="C73" s="62"/>
      <c r="D73" s="423"/>
      <c r="E73" s="62"/>
      <c r="F73" s="423"/>
      <c r="G73" s="63" t="s">
        <v>35</v>
      </c>
      <c r="H73" s="64">
        <v>1.0</v>
      </c>
      <c r="I73" s="847">
        <f t="shared" si="15"/>
        <v>220000</v>
      </c>
      <c r="J73" s="48">
        <f t="shared" si="16"/>
        <v>220000</v>
      </c>
      <c r="K73" s="62"/>
      <c r="L73" s="62"/>
      <c r="M73" s="62"/>
      <c r="N73" s="62"/>
      <c r="O73" s="62"/>
      <c r="P73" s="62"/>
      <c r="Q73" s="62"/>
      <c r="R73" s="62"/>
      <c r="S73" s="62"/>
      <c r="T73" s="62"/>
      <c r="U73" s="62"/>
      <c r="V73" s="62"/>
      <c r="W73" s="62"/>
      <c r="X73" s="106"/>
      <c r="Y73" s="106"/>
      <c r="Z73" s="427"/>
      <c r="AA73" s="107"/>
      <c r="AB73" s="107"/>
      <c r="AC73" s="107"/>
      <c r="AD73" s="106"/>
    </row>
    <row r="74" ht="30.75" customHeight="1">
      <c r="A74" s="67"/>
      <c r="B74" s="67"/>
      <c r="C74" s="67"/>
      <c r="D74" s="102"/>
      <c r="E74" s="67"/>
      <c r="F74" s="102"/>
      <c r="G74" s="63" t="s">
        <v>58</v>
      </c>
      <c r="H74" s="64">
        <v>1.0</v>
      </c>
      <c r="I74" s="847">
        <f t="shared" si="15"/>
        <v>220000</v>
      </c>
      <c r="J74" s="48">
        <f t="shared" si="16"/>
        <v>220000</v>
      </c>
      <c r="K74" s="67"/>
      <c r="L74" s="67"/>
      <c r="M74" s="67"/>
      <c r="N74" s="67"/>
      <c r="O74" s="67"/>
      <c r="P74" s="67"/>
      <c r="Q74" s="67"/>
      <c r="R74" s="67"/>
      <c r="S74" s="67"/>
      <c r="T74" s="67"/>
      <c r="U74" s="67"/>
      <c r="V74" s="67"/>
      <c r="W74" s="67"/>
      <c r="X74" s="106"/>
      <c r="Y74" s="106"/>
      <c r="Z74" s="427"/>
      <c r="AA74" s="107"/>
      <c r="AB74" s="107"/>
      <c r="AC74" s="107"/>
      <c r="AD74" s="106"/>
    </row>
    <row r="75" ht="30.75" customHeight="1">
      <c r="A75" s="93">
        <v>42.0</v>
      </c>
      <c r="B75" s="103">
        <v>45145.0</v>
      </c>
      <c r="C75" s="104">
        <v>8679.0</v>
      </c>
      <c r="D75" s="92" t="s">
        <v>50</v>
      </c>
      <c r="E75" s="105" t="s">
        <v>1043</v>
      </c>
      <c r="F75" s="92" t="s">
        <v>70</v>
      </c>
      <c r="G75" s="63" t="s">
        <v>30</v>
      </c>
      <c r="H75" s="64">
        <v>2.0</v>
      </c>
      <c r="I75" s="847">
        <f t="shared" si="15"/>
        <v>220000</v>
      </c>
      <c r="J75" s="48">
        <f t="shared" si="16"/>
        <v>440000</v>
      </c>
      <c r="K75" s="76">
        <f t="shared" ref="K75:K77" si="23">SUM(J75)</f>
        <v>440000</v>
      </c>
      <c r="L75" s="122"/>
      <c r="M75" s="78">
        <f>13200+8800</f>
        <v>22000</v>
      </c>
      <c r="N75" s="79"/>
      <c r="O75" s="80">
        <f t="shared" ref="O75:O77" si="24">K75+L75-M75-N75</f>
        <v>418000</v>
      </c>
      <c r="P75" s="81" t="s">
        <v>449</v>
      </c>
      <c r="Q75" s="81" t="s">
        <v>31</v>
      </c>
      <c r="R75" s="122"/>
      <c r="S75" s="91"/>
      <c r="T75" s="84" t="s">
        <v>33</v>
      </c>
      <c r="U75" s="122"/>
      <c r="V75" s="122"/>
      <c r="W75" s="284"/>
      <c r="X75" s="106"/>
      <c r="Y75" s="106"/>
      <c r="Z75" s="427"/>
      <c r="AA75" s="107"/>
      <c r="AB75" s="107"/>
      <c r="AC75" s="107"/>
      <c r="AD75" s="106"/>
    </row>
    <row r="76" ht="30.75" customHeight="1">
      <c r="A76" s="93">
        <v>43.0</v>
      </c>
      <c r="B76" s="103">
        <v>45145.0</v>
      </c>
      <c r="C76" s="104">
        <v>6771.0</v>
      </c>
      <c r="D76" s="92" t="s">
        <v>50</v>
      </c>
      <c r="E76" s="105" t="s">
        <v>1388</v>
      </c>
      <c r="F76" s="92" t="s">
        <v>65</v>
      </c>
      <c r="G76" s="63" t="s">
        <v>30</v>
      </c>
      <c r="H76" s="64">
        <v>3.0</v>
      </c>
      <c r="I76" s="847">
        <f t="shared" si="15"/>
        <v>220000</v>
      </c>
      <c r="J76" s="48">
        <f t="shared" si="16"/>
        <v>660000</v>
      </c>
      <c r="K76" s="76">
        <f t="shared" si="23"/>
        <v>660000</v>
      </c>
      <c r="L76" s="122"/>
      <c r="M76" s="78">
        <f>19800+13200</f>
        <v>33000</v>
      </c>
      <c r="N76" s="136"/>
      <c r="O76" s="80">
        <f t="shared" si="24"/>
        <v>627000</v>
      </c>
      <c r="P76" s="81" t="s">
        <v>449</v>
      </c>
      <c r="Q76" s="81" t="s">
        <v>31</v>
      </c>
      <c r="R76" s="122"/>
      <c r="S76" s="91"/>
      <c r="T76" s="84" t="s">
        <v>33</v>
      </c>
      <c r="U76" s="122"/>
      <c r="V76" s="122"/>
      <c r="W76" s="284"/>
      <c r="X76" s="106"/>
      <c r="Y76" s="106"/>
      <c r="Z76" s="427"/>
      <c r="AA76" s="107"/>
      <c r="AB76" s="107"/>
      <c r="AC76" s="107"/>
      <c r="AD76" s="106"/>
    </row>
    <row r="77" ht="30.75" customHeight="1">
      <c r="A77" s="93">
        <v>44.0</v>
      </c>
      <c r="B77" s="103">
        <v>45145.0</v>
      </c>
      <c r="C77" s="104">
        <v>9173.0</v>
      </c>
      <c r="D77" s="92" t="s">
        <v>50</v>
      </c>
      <c r="E77" s="105" t="s">
        <v>1389</v>
      </c>
      <c r="F77" s="92" t="s">
        <v>74</v>
      </c>
      <c r="G77" s="63" t="s">
        <v>30</v>
      </c>
      <c r="H77" s="64">
        <v>1.0</v>
      </c>
      <c r="I77" s="847">
        <f t="shared" si="15"/>
        <v>220000</v>
      </c>
      <c r="J77" s="48">
        <f t="shared" si="16"/>
        <v>220000</v>
      </c>
      <c r="K77" s="76">
        <f t="shared" si="23"/>
        <v>220000</v>
      </c>
      <c r="L77" s="122"/>
      <c r="M77" s="78">
        <f>4800+4400</f>
        <v>9200</v>
      </c>
      <c r="N77" s="136"/>
      <c r="O77" s="80">
        <f t="shared" si="24"/>
        <v>210800</v>
      </c>
      <c r="P77" s="81" t="s">
        <v>449</v>
      </c>
      <c r="Q77" s="81" t="s">
        <v>31</v>
      </c>
      <c r="R77" s="122"/>
      <c r="S77" s="91"/>
      <c r="T77" s="84" t="s">
        <v>33</v>
      </c>
      <c r="U77" s="122"/>
      <c r="V77" s="122"/>
      <c r="W77" s="284"/>
      <c r="X77" s="106"/>
      <c r="Y77" s="106"/>
      <c r="Z77" s="427"/>
      <c r="AA77" s="107"/>
      <c r="AB77" s="107"/>
      <c r="AC77" s="107"/>
      <c r="AD77" s="106"/>
    </row>
    <row r="78" ht="30.75" customHeight="1">
      <c r="A78" s="111">
        <v>45.0</v>
      </c>
      <c r="B78" s="112">
        <v>45146.0</v>
      </c>
      <c r="C78" s="111">
        <v>1.693945055713E12</v>
      </c>
      <c r="D78" s="142" t="s">
        <v>1390</v>
      </c>
      <c r="E78" s="143" t="s">
        <v>1391</v>
      </c>
      <c r="F78" s="142" t="s">
        <v>1392</v>
      </c>
      <c r="G78" s="816"/>
      <c r="H78" s="100"/>
      <c r="I78" s="870"/>
      <c r="J78" s="100"/>
      <c r="K78" s="871"/>
      <c r="L78" s="100"/>
      <c r="M78" s="872"/>
      <c r="N78" s="871"/>
      <c r="O78" s="100"/>
      <c r="P78" s="873"/>
      <c r="Q78" s="196"/>
      <c r="R78" s="147"/>
      <c r="S78" s="119"/>
      <c r="T78" s="57" t="s">
        <v>33</v>
      </c>
      <c r="U78" s="92" t="s">
        <v>75</v>
      </c>
      <c r="V78" s="93">
        <v>1.0</v>
      </c>
      <c r="W78" s="148" t="s">
        <v>1393</v>
      </c>
      <c r="X78" s="106"/>
      <c r="Y78" s="106"/>
      <c r="Z78" s="427"/>
      <c r="AA78" s="107"/>
      <c r="AB78" s="107"/>
      <c r="AC78" s="107"/>
      <c r="AD78" s="106"/>
    </row>
    <row r="79" ht="30.75" customHeight="1">
      <c r="A79" s="62"/>
      <c r="B79" s="62"/>
      <c r="C79" s="62"/>
      <c r="D79" s="62"/>
      <c r="E79" s="62"/>
      <c r="F79" s="62"/>
      <c r="G79" s="62"/>
      <c r="H79" s="62"/>
      <c r="I79" s="62"/>
      <c r="J79" s="62"/>
      <c r="K79" s="62"/>
      <c r="L79" s="62"/>
      <c r="M79" s="62"/>
      <c r="N79" s="62"/>
      <c r="O79" s="62"/>
      <c r="P79" s="62"/>
      <c r="Q79" s="62"/>
      <c r="R79" s="62"/>
      <c r="S79" s="62"/>
      <c r="T79" s="62"/>
      <c r="U79" s="63" t="s">
        <v>457</v>
      </c>
      <c r="V79" s="93">
        <v>1.0</v>
      </c>
      <c r="W79" s="62"/>
      <c r="X79" s="106"/>
      <c r="Y79" s="106"/>
      <c r="Z79" s="427"/>
      <c r="AA79" s="107"/>
      <c r="AB79" s="107"/>
      <c r="AC79" s="107"/>
      <c r="AD79" s="106"/>
    </row>
    <row r="80" ht="30.75" customHeight="1">
      <c r="A80" s="67"/>
      <c r="B80" s="67"/>
      <c r="C80" s="67"/>
      <c r="D80" s="67"/>
      <c r="E80" s="67"/>
      <c r="F80" s="67"/>
      <c r="G80" s="67"/>
      <c r="H80" s="67"/>
      <c r="I80" s="67"/>
      <c r="J80" s="67"/>
      <c r="K80" s="67"/>
      <c r="L80" s="67"/>
      <c r="M80" s="67"/>
      <c r="N80" s="67"/>
      <c r="O80" s="67"/>
      <c r="P80" s="67"/>
      <c r="Q80" s="67"/>
      <c r="R80" s="67"/>
      <c r="S80" s="67"/>
      <c r="T80" s="67"/>
      <c r="U80" s="63" t="s">
        <v>456</v>
      </c>
      <c r="V80" s="93">
        <v>1.0</v>
      </c>
      <c r="W80" s="67"/>
      <c r="X80" s="106"/>
      <c r="Y80" s="106"/>
      <c r="Z80" s="427"/>
      <c r="AA80" s="107"/>
      <c r="AB80" s="107"/>
      <c r="AC80" s="107"/>
      <c r="AD80" s="106"/>
    </row>
    <row r="81" ht="30.75" customHeight="1">
      <c r="A81" s="93">
        <v>46.0</v>
      </c>
      <c r="B81" s="103">
        <v>45146.0</v>
      </c>
      <c r="C81" s="93">
        <v>1.697927424374E12</v>
      </c>
      <c r="D81" s="92" t="s">
        <v>1394</v>
      </c>
      <c r="E81" s="105" t="s">
        <v>1395</v>
      </c>
      <c r="F81" s="92" t="s">
        <v>1396</v>
      </c>
      <c r="G81" s="63" t="s">
        <v>30</v>
      </c>
      <c r="H81" s="64">
        <v>1.0</v>
      </c>
      <c r="I81" s="455">
        <f t="shared" ref="I81:I99" si="25">VLOOKUP(G81,$Y$4:$Z$43,2,0)</f>
        <v>220000</v>
      </c>
      <c r="J81" s="48">
        <f t="shared" ref="J81:J99" si="26">I81*H81</f>
        <v>220000</v>
      </c>
      <c r="K81" s="76">
        <f>SUM(J81)</f>
        <v>220000</v>
      </c>
      <c r="L81" s="108">
        <v>33000.0</v>
      </c>
      <c r="M81" s="575"/>
      <c r="N81" s="115">
        <v>13000.0</v>
      </c>
      <c r="O81" s="80">
        <f t="shared" ref="O81:O82" si="27">K81+L81-M81-N81</f>
        <v>240000</v>
      </c>
      <c r="P81" s="81" t="s">
        <v>449</v>
      </c>
      <c r="Q81" s="81" t="s">
        <v>31</v>
      </c>
      <c r="R81" s="122"/>
      <c r="S81" s="91"/>
      <c r="T81" s="84" t="s">
        <v>33</v>
      </c>
      <c r="U81" s="122"/>
      <c r="V81" s="65"/>
      <c r="W81" s="284"/>
      <c r="X81" s="106"/>
      <c r="Y81" s="106"/>
      <c r="Z81" s="427"/>
      <c r="AA81" s="107"/>
      <c r="AB81" s="107"/>
      <c r="AC81" s="107"/>
      <c r="AD81" s="106"/>
    </row>
    <row r="82" ht="30.75" customHeight="1">
      <c r="A82" s="111">
        <v>47.0</v>
      </c>
      <c r="B82" s="112">
        <v>45146.0</v>
      </c>
      <c r="C82" s="111">
        <v>1.714413578519E12</v>
      </c>
      <c r="D82" s="142" t="s">
        <v>1397</v>
      </c>
      <c r="E82" s="143" t="s">
        <v>1398</v>
      </c>
      <c r="F82" s="142" t="s">
        <v>1399</v>
      </c>
      <c r="G82" s="63" t="s">
        <v>30</v>
      </c>
      <c r="H82" s="64">
        <v>2.0</v>
      </c>
      <c r="I82" s="455">
        <f t="shared" si="25"/>
        <v>220000</v>
      </c>
      <c r="J82" s="48">
        <f t="shared" si="26"/>
        <v>440000</v>
      </c>
      <c r="K82" s="49">
        <f>SUM(J82:J83)</f>
        <v>660000</v>
      </c>
      <c r="L82" s="147"/>
      <c r="M82" s="561"/>
      <c r="N82" s="562"/>
      <c r="O82" s="53">
        <f t="shared" si="27"/>
        <v>660000</v>
      </c>
      <c r="P82" s="99" t="s">
        <v>449</v>
      </c>
      <c r="Q82" s="99" t="s">
        <v>31</v>
      </c>
      <c r="R82" s="145">
        <v>42001.0</v>
      </c>
      <c r="S82" s="56" t="s">
        <v>32</v>
      </c>
      <c r="T82" s="57" t="s">
        <v>33</v>
      </c>
      <c r="U82" s="147"/>
      <c r="V82" s="147"/>
      <c r="W82" s="148">
        <v>1.0</v>
      </c>
      <c r="X82" s="106"/>
      <c r="Y82" s="106"/>
      <c r="Z82" s="427"/>
      <c r="AA82" s="107"/>
      <c r="AB82" s="107"/>
      <c r="AC82" s="107"/>
      <c r="AD82" s="106"/>
    </row>
    <row r="83" ht="30.75" customHeight="1">
      <c r="A83" s="67"/>
      <c r="B83" s="67"/>
      <c r="C83" s="67"/>
      <c r="D83" s="67"/>
      <c r="E83" s="67"/>
      <c r="F83" s="67"/>
      <c r="G83" s="63" t="s">
        <v>35</v>
      </c>
      <c r="H83" s="64">
        <v>1.0</v>
      </c>
      <c r="I83" s="455">
        <f t="shared" si="25"/>
        <v>220000</v>
      </c>
      <c r="J83" s="48">
        <f t="shared" si="26"/>
        <v>220000</v>
      </c>
      <c r="K83" s="67"/>
      <c r="L83" s="67"/>
      <c r="M83" s="67"/>
      <c r="N83" s="67"/>
      <c r="O83" s="67"/>
      <c r="P83" s="67"/>
      <c r="Q83" s="67"/>
      <c r="R83" s="67"/>
      <c r="S83" s="67"/>
      <c r="T83" s="67"/>
      <c r="U83" s="67"/>
      <c r="V83" s="67"/>
      <c r="W83" s="67"/>
      <c r="X83" s="106"/>
      <c r="Y83" s="106"/>
      <c r="Z83" s="427"/>
      <c r="AA83" s="107"/>
      <c r="AB83" s="107"/>
      <c r="AC83" s="107"/>
      <c r="AD83" s="106"/>
    </row>
    <row r="84" ht="30.75" customHeight="1">
      <c r="A84" s="93">
        <v>48.0</v>
      </c>
      <c r="B84" s="103">
        <v>45146.0</v>
      </c>
      <c r="C84" s="122"/>
      <c r="D84" s="92" t="s">
        <v>1400</v>
      </c>
      <c r="E84" s="105" t="s">
        <v>1401</v>
      </c>
      <c r="F84" s="92" t="s">
        <v>613</v>
      </c>
      <c r="G84" s="63" t="s">
        <v>47</v>
      </c>
      <c r="H84" s="64">
        <v>1.0</v>
      </c>
      <c r="I84" s="455">
        <f t="shared" si="25"/>
        <v>220000</v>
      </c>
      <c r="J84" s="48">
        <f t="shared" si="26"/>
        <v>220000</v>
      </c>
      <c r="K84" s="76">
        <f>SUM(J84)</f>
        <v>220000</v>
      </c>
      <c r="L84" s="122"/>
      <c r="M84" s="575"/>
      <c r="N84" s="136"/>
      <c r="O84" s="80">
        <f t="shared" ref="O84:O85" si="28">K84+L84-M84-N84</f>
        <v>220000</v>
      </c>
      <c r="P84" s="81" t="s">
        <v>449</v>
      </c>
      <c r="Q84" s="81" t="s">
        <v>31</v>
      </c>
      <c r="R84" s="109"/>
      <c r="S84" s="91"/>
      <c r="T84" s="84" t="s">
        <v>33</v>
      </c>
      <c r="U84" s="122"/>
      <c r="V84" s="122"/>
      <c r="W84" s="155" t="s">
        <v>1402</v>
      </c>
      <c r="X84" s="106"/>
      <c r="Y84" s="106"/>
      <c r="Z84" s="427"/>
      <c r="AA84" s="107"/>
      <c r="AB84" s="107"/>
      <c r="AC84" s="107"/>
      <c r="AD84" s="106"/>
    </row>
    <row r="85" ht="30.75" customHeight="1">
      <c r="A85" s="111">
        <v>49.0</v>
      </c>
      <c r="B85" s="112">
        <v>45147.0</v>
      </c>
      <c r="C85" s="111">
        <v>1.699428206985E12</v>
      </c>
      <c r="D85" s="142" t="s">
        <v>1403</v>
      </c>
      <c r="E85" s="143" t="s">
        <v>1404</v>
      </c>
      <c r="F85" s="44" t="s">
        <v>1405</v>
      </c>
      <c r="G85" s="63" t="s">
        <v>30</v>
      </c>
      <c r="H85" s="64">
        <v>3.0</v>
      </c>
      <c r="I85" s="455">
        <f t="shared" si="25"/>
        <v>220000</v>
      </c>
      <c r="J85" s="48">
        <f t="shared" si="26"/>
        <v>660000</v>
      </c>
      <c r="K85" s="49">
        <f>sum(J85:J88)</f>
        <v>1030000</v>
      </c>
      <c r="L85" s="145"/>
      <c r="M85" s="561"/>
      <c r="N85" s="52"/>
      <c r="O85" s="53">
        <f t="shared" si="28"/>
        <v>1030000</v>
      </c>
      <c r="P85" s="99" t="s">
        <v>449</v>
      </c>
      <c r="Q85" s="99" t="s">
        <v>31</v>
      </c>
      <c r="R85" s="145">
        <v>42001.0</v>
      </c>
      <c r="S85" s="56" t="s">
        <v>32</v>
      </c>
      <c r="T85" s="57" t="s">
        <v>33</v>
      </c>
      <c r="U85" s="147"/>
      <c r="V85" s="147"/>
      <c r="W85" s="501"/>
      <c r="X85" s="106"/>
      <c r="Y85" s="106"/>
      <c r="Z85" s="427"/>
      <c r="AA85" s="107"/>
      <c r="AB85" s="107"/>
      <c r="AC85" s="107"/>
      <c r="AD85" s="106"/>
    </row>
    <row r="86" ht="30.75" customHeight="1">
      <c r="A86" s="62"/>
      <c r="B86" s="62"/>
      <c r="C86" s="62"/>
      <c r="D86" s="62"/>
      <c r="E86" s="62"/>
      <c r="F86" s="62"/>
      <c r="G86" s="72" t="s">
        <v>478</v>
      </c>
      <c r="H86" s="73">
        <v>2.0</v>
      </c>
      <c r="I86" s="874">
        <f t="shared" si="25"/>
        <v>65000</v>
      </c>
      <c r="J86" s="75">
        <f t="shared" si="26"/>
        <v>130000</v>
      </c>
      <c r="K86" s="62"/>
      <c r="L86" s="62"/>
      <c r="M86" s="62"/>
      <c r="N86" s="62"/>
      <c r="O86" s="62"/>
      <c r="P86" s="62"/>
      <c r="Q86" s="62"/>
      <c r="R86" s="62"/>
      <c r="S86" s="62"/>
      <c r="T86" s="62"/>
      <c r="U86" s="62"/>
      <c r="V86" s="62"/>
      <c r="W86" s="62"/>
      <c r="X86" s="106"/>
      <c r="Y86" s="106"/>
      <c r="Z86" s="427"/>
      <c r="AA86" s="107"/>
      <c r="AB86" s="107"/>
      <c r="AC86" s="107"/>
      <c r="AD86" s="106"/>
    </row>
    <row r="87" ht="30.75" customHeight="1">
      <c r="A87" s="62"/>
      <c r="B87" s="62"/>
      <c r="C87" s="62"/>
      <c r="D87" s="62"/>
      <c r="E87" s="62"/>
      <c r="F87" s="62"/>
      <c r="G87" s="72" t="s">
        <v>476</v>
      </c>
      <c r="H87" s="73">
        <v>2.0</v>
      </c>
      <c r="I87" s="874">
        <f t="shared" si="25"/>
        <v>55000</v>
      </c>
      <c r="J87" s="75">
        <f t="shared" si="26"/>
        <v>110000</v>
      </c>
      <c r="K87" s="62"/>
      <c r="L87" s="62"/>
      <c r="M87" s="62"/>
      <c r="N87" s="62"/>
      <c r="O87" s="62"/>
      <c r="P87" s="62"/>
      <c r="Q87" s="62"/>
      <c r="R87" s="62"/>
      <c r="S87" s="62"/>
      <c r="T87" s="62"/>
      <c r="U87" s="62"/>
      <c r="V87" s="62"/>
      <c r="W87" s="62"/>
      <c r="X87" s="106"/>
      <c r="Y87" s="106"/>
      <c r="Z87" s="427"/>
      <c r="AA87" s="107"/>
      <c r="AB87" s="107"/>
      <c r="AC87" s="107"/>
      <c r="AD87" s="106"/>
    </row>
    <row r="88" ht="30.75" customHeight="1">
      <c r="A88" s="67"/>
      <c r="B88" s="67"/>
      <c r="C88" s="67"/>
      <c r="D88" s="67"/>
      <c r="E88" s="67"/>
      <c r="F88" s="67"/>
      <c r="G88" s="72" t="s">
        <v>477</v>
      </c>
      <c r="H88" s="73">
        <v>2.0</v>
      </c>
      <c r="I88" s="874">
        <f t="shared" si="25"/>
        <v>65000</v>
      </c>
      <c r="J88" s="75">
        <f t="shared" si="26"/>
        <v>130000</v>
      </c>
      <c r="K88" s="67"/>
      <c r="L88" s="67"/>
      <c r="M88" s="67"/>
      <c r="N88" s="67"/>
      <c r="O88" s="67"/>
      <c r="P88" s="67"/>
      <c r="Q88" s="67"/>
      <c r="R88" s="67"/>
      <c r="S88" s="67"/>
      <c r="T88" s="67"/>
      <c r="U88" s="67"/>
      <c r="V88" s="67"/>
      <c r="W88" s="67"/>
      <c r="X88" s="106"/>
      <c r="Y88" s="106"/>
      <c r="Z88" s="427"/>
      <c r="AA88" s="107"/>
      <c r="AB88" s="107"/>
      <c r="AC88" s="107"/>
      <c r="AD88" s="106"/>
    </row>
    <row r="89" ht="42.0" customHeight="1">
      <c r="A89" s="93">
        <v>50.0</v>
      </c>
      <c r="B89" s="103">
        <v>45147.0</v>
      </c>
      <c r="C89" s="93">
        <v>1.699132407362E12</v>
      </c>
      <c r="D89" s="184" t="s">
        <v>1406</v>
      </c>
      <c r="E89" s="105" t="s">
        <v>1407</v>
      </c>
      <c r="F89" s="179" t="s">
        <v>1408</v>
      </c>
      <c r="G89" s="63" t="s">
        <v>290</v>
      </c>
      <c r="H89" s="64">
        <v>3.0</v>
      </c>
      <c r="I89" s="455">
        <f t="shared" si="25"/>
        <v>220000</v>
      </c>
      <c r="J89" s="48">
        <f t="shared" si="26"/>
        <v>660000</v>
      </c>
      <c r="K89" s="76">
        <f t="shared" ref="K89:K93" si="29">SUM(J89)</f>
        <v>660000</v>
      </c>
      <c r="L89" s="109"/>
      <c r="M89" s="575"/>
      <c r="N89" s="79"/>
      <c r="O89" s="80">
        <f t="shared" ref="O89:O94" si="30">K89+L89-M89-N89</f>
        <v>660000</v>
      </c>
      <c r="P89" s="81" t="s">
        <v>449</v>
      </c>
      <c r="Q89" s="81" t="s">
        <v>31</v>
      </c>
      <c r="R89" s="108">
        <v>51998.0</v>
      </c>
      <c r="S89" s="83" t="s">
        <v>32</v>
      </c>
      <c r="T89" s="84" t="s">
        <v>33</v>
      </c>
      <c r="U89" s="122"/>
      <c r="V89" s="122"/>
      <c r="W89" s="284"/>
      <c r="X89" s="106"/>
      <c r="Y89" s="106"/>
      <c r="Z89" s="427"/>
      <c r="AA89" s="107"/>
      <c r="AB89" s="107"/>
      <c r="AC89" s="107"/>
      <c r="AD89" s="106"/>
    </row>
    <row r="90" ht="39.0" customHeight="1">
      <c r="A90" s="93">
        <v>51.0</v>
      </c>
      <c r="B90" s="103">
        <v>45147.0</v>
      </c>
      <c r="C90" s="93">
        <v>1.699598671022E12</v>
      </c>
      <c r="D90" s="92" t="s">
        <v>1409</v>
      </c>
      <c r="E90" s="105" t="s">
        <v>1410</v>
      </c>
      <c r="F90" s="121" t="s">
        <v>1411</v>
      </c>
      <c r="G90" s="63" t="s">
        <v>30</v>
      </c>
      <c r="H90" s="64">
        <v>1.0</v>
      </c>
      <c r="I90" s="455">
        <f t="shared" si="25"/>
        <v>220000</v>
      </c>
      <c r="J90" s="48">
        <f t="shared" si="26"/>
        <v>220000</v>
      </c>
      <c r="K90" s="76">
        <f t="shared" si="29"/>
        <v>220000</v>
      </c>
      <c r="L90" s="108">
        <v>37000.0</v>
      </c>
      <c r="M90" s="575"/>
      <c r="N90" s="115">
        <v>17000.0</v>
      </c>
      <c r="O90" s="80">
        <f t="shared" si="30"/>
        <v>240000</v>
      </c>
      <c r="P90" s="81" t="s">
        <v>449</v>
      </c>
      <c r="Q90" s="81" t="s">
        <v>31</v>
      </c>
      <c r="R90" s="109"/>
      <c r="S90" s="91"/>
      <c r="T90" s="84" t="s">
        <v>33</v>
      </c>
      <c r="U90" s="122"/>
      <c r="V90" s="122"/>
      <c r="W90" s="284"/>
      <c r="X90" s="106"/>
      <c r="Y90" s="106"/>
      <c r="Z90" s="427"/>
      <c r="AA90" s="107"/>
      <c r="AB90" s="107"/>
      <c r="AC90" s="107"/>
      <c r="AD90" s="106"/>
    </row>
    <row r="91" ht="30.75" customHeight="1">
      <c r="A91" s="93">
        <v>52.0</v>
      </c>
      <c r="B91" s="103">
        <v>45147.0</v>
      </c>
      <c r="C91" s="104">
        <v>3193.0</v>
      </c>
      <c r="D91" s="92" t="s">
        <v>50</v>
      </c>
      <c r="E91" s="105" t="s">
        <v>1412</v>
      </c>
      <c r="F91" s="92" t="s">
        <v>464</v>
      </c>
      <c r="G91" s="63" t="s">
        <v>30</v>
      </c>
      <c r="H91" s="64">
        <v>1.0</v>
      </c>
      <c r="I91" s="455">
        <f t="shared" si="25"/>
        <v>220000</v>
      </c>
      <c r="J91" s="48">
        <f t="shared" si="26"/>
        <v>220000</v>
      </c>
      <c r="K91" s="76">
        <f t="shared" si="29"/>
        <v>220000</v>
      </c>
      <c r="L91" s="109"/>
      <c r="M91" s="78">
        <f>7257+4400</f>
        <v>11657</v>
      </c>
      <c r="N91" s="79"/>
      <c r="O91" s="80">
        <f t="shared" si="30"/>
        <v>208343</v>
      </c>
      <c r="P91" s="81" t="s">
        <v>449</v>
      </c>
      <c r="Q91" s="81" t="s">
        <v>31</v>
      </c>
      <c r="R91" s="109"/>
      <c r="S91" s="91"/>
      <c r="T91" s="84" t="s">
        <v>33</v>
      </c>
      <c r="U91" s="122"/>
      <c r="V91" s="122"/>
      <c r="W91" s="284"/>
      <c r="X91" s="106"/>
      <c r="Y91" s="106"/>
      <c r="Z91" s="427"/>
      <c r="AA91" s="107"/>
      <c r="AB91" s="107"/>
      <c r="AC91" s="107"/>
      <c r="AD91" s="106"/>
    </row>
    <row r="92" ht="39.0" customHeight="1">
      <c r="A92" s="93">
        <v>53.0</v>
      </c>
      <c r="B92" s="103">
        <v>45147.0</v>
      </c>
      <c r="C92" s="104">
        <v>1.69981671448E12</v>
      </c>
      <c r="D92" s="92" t="s">
        <v>1413</v>
      </c>
      <c r="E92" s="105" t="s">
        <v>1414</v>
      </c>
      <c r="F92" s="121" t="s">
        <v>1415</v>
      </c>
      <c r="G92" s="63" t="s">
        <v>30</v>
      </c>
      <c r="H92" s="64">
        <v>1.0</v>
      </c>
      <c r="I92" s="455">
        <f t="shared" si="25"/>
        <v>220000</v>
      </c>
      <c r="J92" s="48">
        <f t="shared" si="26"/>
        <v>220000</v>
      </c>
      <c r="K92" s="76">
        <f t="shared" si="29"/>
        <v>220000</v>
      </c>
      <c r="L92" s="108">
        <v>33000.0</v>
      </c>
      <c r="M92" s="78"/>
      <c r="N92" s="115">
        <v>13000.0</v>
      </c>
      <c r="O92" s="80">
        <f t="shared" si="30"/>
        <v>240000</v>
      </c>
      <c r="P92" s="81" t="s">
        <v>449</v>
      </c>
      <c r="Q92" s="81" t="s">
        <v>31</v>
      </c>
      <c r="R92" s="109"/>
      <c r="S92" s="91"/>
      <c r="T92" s="84" t="s">
        <v>33</v>
      </c>
      <c r="U92" s="122"/>
      <c r="V92" s="122"/>
      <c r="W92" s="284"/>
      <c r="X92" s="106"/>
      <c r="Y92" s="106"/>
      <c r="Z92" s="427"/>
      <c r="AA92" s="107"/>
      <c r="AB92" s="107"/>
      <c r="AC92" s="107"/>
      <c r="AD92" s="106"/>
    </row>
    <row r="93" ht="30.75" customHeight="1">
      <c r="A93" s="93">
        <v>54.0</v>
      </c>
      <c r="B93" s="103">
        <v>45147.0</v>
      </c>
      <c r="C93" s="104">
        <v>7300.0</v>
      </c>
      <c r="D93" s="92" t="s">
        <v>50</v>
      </c>
      <c r="E93" s="105" t="s">
        <v>1416</v>
      </c>
      <c r="F93" s="92" t="s">
        <v>119</v>
      </c>
      <c r="G93" s="63" t="s">
        <v>30</v>
      </c>
      <c r="H93" s="64">
        <v>1.0</v>
      </c>
      <c r="I93" s="455">
        <f t="shared" si="25"/>
        <v>220000</v>
      </c>
      <c r="J93" s="48">
        <f t="shared" si="26"/>
        <v>220000</v>
      </c>
      <c r="K93" s="76">
        <f t="shared" si="29"/>
        <v>220000</v>
      </c>
      <c r="L93" s="109"/>
      <c r="M93" s="78">
        <f>7707+4400</f>
        <v>12107</v>
      </c>
      <c r="N93" s="79"/>
      <c r="O93" s="80">
        <f t="shared" si="30"/>
        <v>207893</v>
      </c>
      <c r="P93" s="81" t="s">
        <v>449</v>
      </c>
      <c r="Q93" s="81" t="s">
        <v>31</v>
      </c>
      <c r="R93" s="109"/>
      <c r="S93" s="91"/>
      <c r="T93" s="84" t="s">
        <v>33</v>
      </c>
      <c r="U93" s="122"/>
      <c r="V93" s="122"/>
      <c r="W93" s="284"/>
      <c r="X93" s="106"/>
      <c r="Y93" s="106"/>
      <c r="Z93" s="427"/>
      <c r="AA93" s="107"/>
      <c r="AB93" s="107"/>
      <c r="AC93" s="107"/>
      <c r="AD93" s="106"/>
    </row>
    <row r="94" ht="31.5" customHeight="1">
      <c r="A94" s="111">
        <v>55.0</v>
      </c>
      <c r="B94" s="112">
        <v>45147.0</v>
      </c>
      <c r="C94" s="111">
        <v>1.714092938278E12</v>
      </c>
      <c r="D94" s="142" t="s">
        <v>1417</v>
      </c>
      <c r="E94" s="143" t="s">
        <v>1418</v>
      </c>
      <c r="F94" s="44" t="s">
        <v>1419</v>
      </c>
      <c r="G94" s="63" t="s">
        <v>30</v>
      </c>
      <c r="H94" s="64">
        <v>1.0</v>
      </c>
      <c r="I94" s="455">
        <f t="shared" si="25"/>
        <v>220000</v>
      </c>
      <c r="J94" s="48">
        <f t="shared" si="26"/>
        <v>220000</v>
      </c>
      <c r="K94" s="49">
        <f>SUM(J94:J97)</f>
        <v>1515000</v>
      </c>
      <c r="L94" s="144"/>
      <c r="M94" s="561"/>
      <c r="N94" s="52"/>
      <c r="O94" s="53">
        <f t="shared" si="30"/>
        <v>1515000</v>
      </c>
      <c r="P94" s="99" t="s">
        <v>449</v>
      </c>
      <c r="Q94" s="99" t="s">
        <v>31</v>
      </c>
      <c r="R94" s="145">
        <v>36001.0</v>
      </c>
      <c r="S94" s="56" t="s">
        <v>32</v>
      </c>
      <c r="T94" s="57" t="s">
        <v>33</v>
      </c>
      <c r="U94" s="147"/>
      <c r="V94" s="147"/>
      <c r="W94" s="501"/>
      <c r="X94" s="106"/>
      <c r="Y94" s="106"/>
      <c r="Z94" s="427"/>
      <c r="AA94" s="107"/>
      <c r="AB94" s="107"/>
      <c r="AC94" s="107"/>
      <c r="AD94" s="106"/>
    </row>
    <row r="95" ht="30.75" customHeight="1">
      <c r="A95" s="62"/>
      <c r="B95" s="62"/>
      <c r="C95" s="62"/>
      <c r="D95" s="62"/>
      <c r="E95" s="62"/>
      <c r="F95" s="62"/>
      <c r="G95" s="72" t="s">
        <v>478</v>
      </c>
      <c r="H95" s="73">
        <v>7.0</v>
      </c>
      <c r="I95" s="874">
        <f t="shared" si="25"/>
        <v>65000</v>
      </c>
      <c r="J95" s="75">
        <f t="shared" si="26"/>
        <v>455000</v>
      </c>
      <c r="K95" s="62"/>
      <c r="L95" s="62"/>
      <c r="M95" s="62"/>
      <c r="N95" s="62"/>
      <c r="O95" s="62"/>
      <c r="P95" s="62"/>
      <c r="Q95" s="62"/>
      <c r="R95" s="62"/>
      <c r="S95" s="62"/>
      <c r="T95" s="62"/>
      <c r="U95" s="62"/>
      <c r="V95" s="62"/>
      <c r="W95" s="62"/>
      <c r="X95" s="106"/>
      <c r="Y95" s="106"/>
      <c r="Z95" s="427"/>
      <c r="AA95" s="107"/>
      <c r="AB95" s="107"/>
      <c r="AC95" s="107"/>
      <c r="AD95" s="106"/>
    </row>
    <row r="96" ht="30.75" customHeight="1">
      <c r="A96" s="62"/>
      <c r="B96" s="62"/>
      <c r="C96" s="62"/>
      <c r="D96" s="62"/>
      <c r="E96" s="62"/>
      <c r="F96" s="62"/>
      <c r="G96" s="72" t="s">
        <v>476</v>
      </c>
      <c r="H96" s="73">
        <v>7.0</v>
      </c>
      <c r="I96" s="874">
        <f t="shared" si="25"/>
        <v>55000</v>
      </c>
      <c r="J96" s="75">
        <f t="shared" si="26"/>
        <v>385000</v>
      </c>
      <c r="K96" s="62"/>
      <c r="L96" s="62"/>
      <c r="M96" s="62"/>
      <c r="N96" s="62"/>
      <c r="O96" s="62"/>
      <c r="P96" s="62"/>
      <c r="Q96" s="62"/>
      <c r="R96" s="62"/>
      <c r="S96" s="62"/>
      <c r="T96" s="62"/>
      <c r="U96" s="62"/>
      <c r="V96" s="62"/>
      <c r="W96" s="62"/>
      <c r="X96" s="106"/>
      <c r="Y96" s="106"/>
      <c r="Z96" s="427"/>
      <c r="AA96" s="107"/>
      <c r="AB96" s="107"/>
      <c r="AC96" s="107"/>
      <c r="AD96" s="106"/>
    </row>
    <row r="97" ht="30.75" customHeight="1">
      <c r="A97" s="67"/>
      <c r="B97" s="67"/>
      <c r="C97" s="67"/>
      <c r="D97" s="67"/>
      <c r="E97" s="67"/>
      <c r="F97" s="67"/>
      <c r="G97" s="72" t="s">
        <v>477</v>
      </c>
      <c r="H97" s="73">
        <v>7.0</v>
      </c>
      <c r="I97" s="874">
        <f t="shared" si="25"/>
        <v>65000</v>
      </c>
      <c r="J97" s="75">
        <f t="shared" si="26"/>
        <v>455000</v>
      </c>
      <c r="K97" s="67"/>
      <c r="L97" s="67"/>
      <c r="M97" s="67"/>
      <c r="N97" s="67"/>
      <c r="O97" s="67"/>
      <c r="P97" s="67"/>
      <c r="Q97" s="67"/>
      <c r="R97" s="67"/>
      <c r="S97" s="67"/>
      <c r="T97" s="67"/>
      <c r="U97" s="67"/>
      <c r="V97" s="67"/>
      <c r="W97" s="67"/>
      <c r="X97" s="106"/>
      <c r="Y97" s="106"/>
      <c r="Z97" s="427"/>
      <c r="AA97" s="107"/>
      <c r="AB97" s="107"/>
      <c r="AC97" s="107"/>
      <c r="AD97" s="106"/>
    </row>
    <row r="98" ht="30.75" customHeight="1">
      <c r="A98" s="93">
        <v>56.0</v>
      </c>
      <c r="B98" s="103">
        <v>45148.0</v>
      </c>
      <c r="C98" s="93">
        <v>1.71336763026E12</v>
      </c>
      <c r="D98" s="92" t="s">
        <v>1420</v>
      </c>
      <c r="E98" s="105" t="s">
        <v>172</v>
      </c>
      <c r="F98" s="92" t="s">
        <v>1421</v>
      </c>
      <c r="G98" s="63" t="s">
        <v>290</v>
      </c>
      <c r="H98" s="64">
        <v>3.0</v>
      </c>
      <c r="I98" s="455">
        <f t="shared" si="25"/>
        <v>220000</v>
      </c>
      <c r="J98" s="48">
        <f t="shared" si="26"/>
        <v>660000</v>
      </c>
      <c r="K98" s="76">
        <f t="shared" ref="K98:K99" si="31">SUM(J98)</f>
        <v>660000</v>
      </c>
      <c r="L98" s="109"/>
      <c r="M98" s="575"/>
      <c r="N98" s="79"/>
      <c r="O98" s="80">
        <f t="shared" ref="O98:O119" si="32">K98+L98-M98-N98</f>
        <v>660000</v>
      </c>
      <c r="P98" s="81" t="s">
        <v>449</v>
      </c>
      <c r="Q98" s="81" t="s">
        <v>31</v>
      </c>
      <c r="R98" s="108">
        <v>42001.0</v>
      </c>
      <c r="S98" s="83" t="s">
        <v>32</v>
      </c>
      <c r="T98" s="84" t="s">
        <v>33</v>
      </c>
      <c r="U98" s="122"/>
      <c r="V98" s="122"/>
      <c r="W98" s="284"/>
      <c r="X98" s="106"/>
      <c r="Y98" s="106"/>
      <c r="Z98" s="427"/>
      <c r="AA98" s="107"/>
      <c r="AB98" s="107"/>
      <c r="AC98" s="107"/>
      <c r="AD98" s="106"/>
    </row>
    <row r="99" ht="43.5" customHeight="1">
      <c r="A99" s="93">
        <v>57.0</v>
      </c>
      <c r="B99" s="103">
        <v>45148.0</v>
      </c>
      <c r="C99" s="93">
        <v>1.713620447867E12</v>
      </c>
      <c r="D99" s="92" t="s">
        <v>1422</v>
      </c>
      <c r="E99" s="105" t="s">
        <v>1423</v>
      </c>
      <c r="F99" s="121" t="s">
        <v>1424</v>
      </c>
      <c r="G99" s="63" t="s">
        <v>30</v>
      </c>
      <c r="H99" s="64">
        <v>1.0</v>
      </c>
      <c r="I99" s="455">
        <f t="shared" si="25"/>
        <v>220000</v>
      </c>
      <c r="J99" s="48">
        <f t="shared" si="26"/>
        <v>220000</v>
      </c>
      <c r="K99" s="76">
        <f t="shared" si="31"/>
        <v>220000</v>
      </c>
      <c r="L99" s="108">
        <v>33000.0</v>
      </c>
      <c r="M99" s="575"/>
      <c r="N99" s="115">
        <v>13000.0</v>
      </c>
      <c r="O99" s="80">
        <f t="shared" si="32"/>
        <v>240000</v>
      </c>
      <c r="P99" s="81" t="s">
        <v>449</v>
      </c>
      <c r="Q99" s="81" t="s">
        <v>31</v>
      </c>
      <c r="R99" s="109"/>
      <c r="S99" s="91"/>
      <c r="T99" s="84" t="s">
        <v>33</v>
      </c>
      <c r="U99" s="122"/>
      <c r="V99" s="122"/>
      <c r="W99" s="284"/>
      <c r="X99" s="106"/>
      <c r="Y99" s="106"/>
      <c r="Z99" s="427"/>
      <c r="AA99" s="107"/>
      <c r="AB99" s="107"/>
      <c r="AC99" s="107"/>
      <c r="AD99" s="106"/>
    </row>
    <row r="100" ht="30.75" customHeight="1">
      <c r="A100" s="93">
        <v>58.0</v>
      </c>
      <c r="B100" s="103">
        <v>45149.0</v>
      </c>
      <c r="C100" s="93">
        <v>1.713781799821E12</v>
      </c>
      <c r="D100" s="92" t="s">
        <v>902</v>
      </c>
      <c r="E100" s="105" t="s">
        <v>441</v>
      </c>
      <c r="F100" s="92" t="s">
        <v>831</v>
      </c>
      <c r="G100" s="63" t="s">
        <v>290</v>
      </c>
      <c r="H100" s="64">
        <v>7.0</v>
      </c>
      <c r="I100" s="455"/>
      <c r="J100" s="48"/>
      <c r="K100" s="76"/>
      <c r="L100" s="109"/>
      <c r="M100" s="575"/>
      <c r="N100" s="79"/>
      <c r="O100" s="80">
        <f t="shared" si="32"/>
        <v>0</v>
      </c>
      <c r="P100" s="176"/>
      <c r="Q100" s="176"/>
      <c r="R100" s="108">
        <v>71995.0</v>
      </c>
      <c r="S100" s="91"/>
      <c r="T100" s="183"/>
      <c r="U100" s="122"/>
      <c r="V100" s="122"/>
      <c r="W100" s="156" t="s">
        <v>1425</v>
      </c>
      <c r="X100" s="106"/>
      <c r="Y100" s="106"/>
      <c r="Z100" s="427"/>
      <c r="AA100" s="107"/>
      <c r="AB100" s="107"/>
      <c r="AC100" s="107"/>
      <c r="AD100" s="106"/>
    </row>
    <row r="101" ht="39.0" customHeight="1">
      <c r="A101" s="93">
        <v>59.0</v>
      </c>
      <c r="B101" s="103">
        <v>45149.0</v>
      </c>
      <c r="C101" s="93">
        <v>1.713845298784E12</v>
      </c>
      <c r="D101" s="92" t="s">
        <v>1426</v>
      </c>
      <c r="E101" s="105" t="s">
        <v>1427</v>
      </c>
      <c r="F101" s="121" t="s">
        <v>1428</v>
      </c>
      <c r="G101" s="63" t="s">
        <v>30</v>
      </c>
      <c r="H101" s="64">
        <v>1.0</v>
      </c>
      <c r="I101" s="455">
        <f t="shared" ref="I101:I137" si="33">VLOOKUP(G101,$Y$4:$Z$43,2,0)</f>
        <v>220000</v>
      </c>
      <c r="J101" s="48">
        <f t="shared" ref="J101:J192" si="34">H101*I101</f>
        <v>220000</v>
      </c>
      <c r="K101" s="76">
        <f t="shared" ref="K101:K118" si="35">SUM(J101)</f>
        <v>220000</v>
      </c>
      <c r="L101" s="108">
        <v>33000.0</v>
      </c>
      <c r="M101" s="575"/>
      <c r="N101" s="115">
        <v>13000.0</v>
      </c>
      <c r="O101" s="80">
        <f t="shared" si="32"/>
        <v>240000</v>
      </c>
      <c r="P101" s="81" t="s">
        <v>449</v>
      </c>
      <c r="Q101" s="81" t="s">
        <v>31</v>
      </c>
      <c r="R101" s="109"/>
      <c r="S101" s="91"/>
      <c r="T101" s="84" t="s">
        <v>33</v>
      </c>
      <c r="U101" s="122"/>
      <c r="V101" s="122"/>
      <c r="W101" s="284"/>
      <c r="X101" s="106"/>
      <c r="Y101" s="106"/>
      <c r="Z101" s="427"/>
      <c r="AA101" s="107"/>
      <c r="AB101" s="107"/>
      <c r="AC101" s="107"/>
      <c r="AD101" s="106"/>
    </row>
    <row r="102" ht="30.75" customHeight="1">
      <c r="A102" s="93">
        <v>60.0</v>
      </c>
      <c r="B102" s="103">
        <v>45149.0</v>
      </c>
      <c r="C102" s="93"/>
      <c r="D102" s="92" t="s">
        <v>1400</v>
      </c>
      <c r="E102" s="105" t="s">
        <v>1401</v>
      </c>
      <c r="F102" s="92" t="s">
        <v>613</v>
      </c>
      <c r="G102" s="63" t="s">
        <v>290</v>
      </c>
      <c r="H102" s="64">
        <v>1.0</v>
      </c>
      <c r="I102" s="455">
        <f t="shared" si="33"/>
        <v>220000</v>
      </c>
      <c r="J102" s="48">
        <f t="shared" si="34"/>
        <v>220000</v>
      </c>
      <c r="K102" s="76">
        <f t="shared" si="35"/>
        <v>220000</v>
      </c>
      <c r="L102" s="109"/>
      <c r="M102" s="575"/>
      <c r="N102" s="79"/>
      <c r="O102" s="80">
        <f t="shared" si="32"/>
        <v>220000</v>
      </c>
      <c r="P102" s="81" t="s">
        <v>449</v>
      </c>
      <c r="Q102" s="81" t="s">
        <v>31</v>
      </c>
      <c r="R102" s="109"/>
      <c r="S102" s="91"/>
      <c r="T102" s="84" t="s">
        <v>33</v>
      </c>
      <c r="U102" s="122"/>
      <c r="V102" s="122"/>
      <c r="W102" s="155" t="s">
        <v>1429</v>
      </c>
      <c r="X102" s="106"/>
      <c r="Y102" s="106"/>
      <c r="Z102" s="427"/>
      <c r="AA102" s="107"/>
      <c r="AB102" s="107"/>
      <c r="AC102" s="107"/>
      <c r="AD102" s="106"/>
    </row>
    <row r="103" ht="30.75" customHeight="1">
      <c r="A103" s="93">
        <v>61.0</v>
      </c>
      <c r="B103" s="103">
        <v>45149.0</v>
      </c>
      <c r="C103" s="141">
        <v>9812.0</v>
      </c>
      <c r="D103" s="92" t="s">
        <v>50</v>
      </c>
      <c r="E103" s="105" t="s">
        <v>1430</v>
      </c>
      <c r="F103" s="92" t="s">
        <v>84</v>
      </c>
      <c r="G103" s="63" t="s">
        <v>30</v>
      </c>
      <c r="H103" s="64">
        <v>1.0</v>
      </c>
      <c r="I103" s="455">
        <f t="shared" si="33"/>
        <v>220000</v>
      </c>
      <c r="J103" s="48">
        <f t="shared" si="34"/>
        <v>220000</v>
      </c>
      <c r="K103" s="76">
        <f t="shared" si="35"/>
        <v>220000</v>
      </c>
      <c r="L103" s="109"/>
      <c r="M103" s="78">
        <f t="shared" ref="M103:M104" si="36">7737+4400</f>
        <v>12137</v>
      </c>
      <c r="N103" s="79"/>
      <c r="O103" s="80">
        <f t="shared" si="32"/>
        <v>207863</v>
      </c>
      <c r="P103" s="81" t="s">
        <v>449</v>
      </c>
      <c r="Q103" s="81" t="s">
        <v>31</v>
      </c>
      <c r="R103" s="109"/>
      <c r="S103" s="91"/>
      <c r="T103" s="84" t="s">
        <v>33</v>
      </c>
      <c r="U103" s="122"/>
      <c r="V103" s="122"/>
      <c r="W103" s="284"/>
      <c r="X103" s="106"/>
      <c r="Y103" s="106"/>
      <c r="Z103" s="427"/>
      <c r="AA103" s="107"/>
      <c r="AB103" s="107"/>
      <c r="AC103" s="107"/>
      <c r="AD103" s="106"/>
    </row>
    <row r="104" ht="30.75" customHeight="1">
      <c r="A104" s="104">
        <v>62.0</v>
      </c>
      <c r="B104" s="188">
        <v>45149.0</v>
      </c>
      <c r="C104" s="104">
        <v>9518.0</v>
      </c>
      <c r="D104" s="432" t="s">
        <v>50</v>
      </c>
      <c r="E104" s="447" t="s">
        <v>1431</v>
      </c>
      <c r="F104" s="432" t="s">
        <v>548</v>
      </c>
      <c r="G104" s="68" t="s">
        <v>30</v>
      </c>
      <c r="H104" s="69">
        <v>1.0</v>
      </c>
      <c r="I104" s="455">
        <f t="shared" si="33"/>
        <v>220000</v>
      </c>
      <c r="J104" s="48">
        <f t="shared" si="34"/>
        <v>220000</v>
      </c>
      <c r="K104" s="76">
        <f t="shared" si="35"/>
        <v>220000</v>
      </c>
      <c r="L104" s="724"/>
      <c r="M104" s="875">
        <f t="shared" si="36"/>
        <v>12137</v>
      </c>
      <c r="N104" s="79"/>
      <c r="O104" s="80">
        <f t="shared" si="32"/>
        <v>207863</v>
      </c>
      <c r="P104" s="81" t="s">
        <v>449</v>
      </c>
      <c r="Q104" s="81" t="s">
        <v>31</v>
      </c>
      <c r="R104" s="724"/>
      <c r="S104" s="91"/>
      <c r="T104" s="84" t="s">
        <v>33</v>
      </c>
      <c r="U104" s="719"/>
      <c r="V104" s="719"/>
      <c r="W104" s="876"/>
      <c r="X104" s="123"/>
      <c r="Y104" s="123"/>
      <c r="Z104" s="712"/>
      <c r="AA104" s="585"/>
      <c r="AB104" s="585"/>
      <c r="AC104" s="585"/>
      <c r="AD104" s="123"/>
    </row>
    <row r="105" ht="30.75" customHeight="1">
      <c r="A105" s="104">
        <v>63.0</v>
      </c>
      <c r="B105" s="188">
        <v>45149.0</v>
      </c>
      <c r="C105" s="104">
        <v>6514.0</v>
      </c>
      <c r="D105" s="432" t="s">
        <v>50</v>
      </c>
      <c r="E105" s="447" t="s">
        <v>1432</v>
      </c>
      <c r="F105" s="432" t="s">
        <v>119</v>
      </c>
      <c r="G105" s="68" t="s">
        <v>30</v>
      </c>
      <c r="H105" s="69">
        <v>4.0</v>
      </c>
      <c r="I105" s="455">
        <f t="shared" si="33"/>
        <v>220000</v>
      </c>
      <c r="J105" s="48">
        <f t="shared" si="34"/>
        <v>880000</v>
      </c>
      <c r="K105" s="76">
        <f t="shared" si="35"/>
        <v>880000</v>
      </c>
      <c r="L105" s="724"/>
      <c r="M105" s="875">
        <f>26400+17600</f>
        <v>44000</v>
      </c>
      <c r="N105" s="79"/>
      <c r="O105" s="80">
        <f t="shared" si="32"/>
        <v>836000</v>
      </c>
      <c r="P105" s="81" t="s">
        <v>449</v>
      </c>
      <c r="Q105" s="81" t="s">
        <v>31</v>
      </c>
      <c r="R105" s="724"/>
      <c r="S105" s="91"/>
      <c r="T105" s="84" t="s">
        <v>33</v>
      </c>
      <c r="U105" s="719"/>
      <c r="V105" s="719"/>
      <c r="W105" s="876"/>
      <c r="X105" s="123"/>
      <c r="Y105" s="123"/>
      <c r="Z105" s="712"/>
      <c r="AA105" s="585"/>
      <c r="AB105" s="585"/>
      <c r="AC105" s="585"/>
      <c r="AD105" s="123"/>
    </row>
    <row r="106" ht="30.75" customHeight="1">
      <c r="A106" s="104">
        <v>64.0</v>
      </c>
      <c r="B106" s="188">
        <v>45149.0</v>
      </c>
      <c r="C106" s="104">
        <v>7610.0</v>
      </c>
      <c r="D106" s="432" t="s">
        <v>50</v>
      </c>
      <c r="E106" s="447" t="s">
        <v>1433</v>
      </c>
      <c r="F106" s="432" t="s">
        <v>897</v>
      </c>
      <c r="G106" s="68" t="s">
        <v>30</v>
      </c>
      <c r="H106" s="69">
        <v>2.0</v>
      </c>
      <c r="I106" s="455">
        <f t="shared" si="33"/>
        <v>220000</v>
      </c>
      <c r="J106" s="48">
        <f t="shared" si="34"/>
        <v>440000</v>
      </c>
      <c r="K106" s="76">
        <f t="shared" si="35"/>
        <v>440000</v>
      </c>
      <c r="L106" s="724"/>
      <c r="M106" s="875">
        <f>13476+8800</f>
        <v>22276</v>
      </c>
      <c r="N106" s="79"/>
      <c r="O106" s="80">
        <f t="shared" si="32"/>
        <v>417724</v>
      </c>
      <c r="P106" s="81" t="s">
        <v>449</v>
      </c>
      <c r="Q106" s="81" t="s">
        <v>31</v>
      </c>
      <c r="R106" s="60"/>
      <c r="S106" s="91"/>
      <c r="T106" s="84" t="s">
        <v>33</v>
      </c>
      <c r="U106" s="719"/>
      <c r="V106" s="719"/>
      <c r="W106" s="876"/>
      <c r="X106" s="123"/>
      <c r="Y106" s="123"/>
      <c r="Z106" s="712"/>
      <c r="AA106" s="585"/>
      <c r="AB106" s="585"/>
      <c r="AC106" s="585"/>
      <c r="AD106" s="123"/>
    </row>
    <row r="107" ht="30.75" customHeight="1">
      <c r="A107" s="104">
        <v>65.0</v>
      </c>
      <c r="B107" s="188">
        <v>45149.0</v>
      </c>
      <c r="C107" s="104">
        <v>8810.0</v>
      </c>
      <c r="D107" s="432" t="s">
        <v>50</v>
      </c>
      <c r="E107" s="877" t="s">
        <v>1434</v>
      </c>
      <c r="F107" s="719" t="s">
        <v>84</v>
      </c>
      <c r="G107" s="68" t="s">
        <v>30</v>
      </c>
      <c r="H107" s="69">
        <v>1.0</v>
      </c>
      <c r="I107" s="455">
        <f t="shared" si="33"/>
        <v>220000</v>
      </c>
      <c r="J107" s="48">
        <f t="shared" si="34"/>
        <v>220000</v>
      </c>
      <c r="K107" s="76">
        <f t="shared" si="35"/>
        <v>220000</v>
      </c>
      <c r="L107" s="724"/>
      <c r="M107" s="875">
        <f>8187+4400</f>
        <v>12587</v>
      </c>
      <c r="N107" s="79"/>
      <c r="O107" s="80">
        <f t="shared" si="32"/>
        <v>207413</v>
      </c>
      <c r="P107" s="81" t="s">
        <v>449</v>
      </c>
      <c r="Q107" s="81" t="s">
        <v>31</v>
      </c>
      <c r="R107" s="60"/>
      <c r="S107" s="91"/>
      <c r="T107" s="84" t="s">
        <v>33</v>
      </c>
      <c r="U107" s="719"/>
      <c r="V107" s="719"/>
      <c r="W107" s="876"/>
      <c r="X107" s="123"/>
      <c r="Y107" s="123"/>
      <c r="Z107" s="712"/>
      <c r="AA107" s="585"/>
      <c r="AB107" s="585"/>
      <c r="AC107" s="585"/>
      <c r="AD107" s="123"/>
    </row>
    <row r="108" ht="30.75" customHeight="1">
      <c r="A108" s="104">
        <v>66.0</v>
      </c>
      <c r="B108" s="188">
        <v>45150.0</v>
      </c>
      <c r="C108" s="104">
        <v>1.715154229007E12</v>
      </c>
      <c r="D108" s="432" t="s">
        <v>1435</v>
      </c>
      <c r="E108" s="447" t="s">
        <v>1436</v>
      </c>
      <c r="F108" s="432" t="s">
        <v>1437</v>
      </c>
      <c r="G108" s="68" t="s">
        <v>290</v>
      </c>
      <c r="H108" s="69">
        <v>15.0</v>
      </c>
      <c r="I108" s="455">
        <f t="shared" si="33"/>
        <v>220000</v>
      </c>
      <c r="J108" s="48">
        <f t="shared" si="34"/>
        <v>3300000</v>
      </c>
      <c r="K108" s="76">
        <f t="shared" si="35"/>
        <v>3300000</v>
      </c>
      <c r="L108" s="724"/>
      <c r="M108" s="878"/>
      <c r="N108" s="79"/>
      <c r="O108" s="80">
        <f t="shared" si="32"/>
        <v>3300000</v>
      </c>
      <c r="P108" s="81" t="s">
        <v>449</v>
      </c>
      <c r="Q108" s="81" t="s">
        <v>31</v>
      </c>
      <c r="R108" s="879">
        <v>118900.0</v>
      </c>
      <c r="S108" s="83" t="s">
        <v>32</v>
      </c>
      <c r="T108" s="84" t="s">
        <v>33</v>
      </c>
      <c r="U108" s="719"/>
      <c r="V108" s="719"/>
      <c r="W108" s="876"/>
      <c r="X108" s="123"/>
      <c r="Y108" s="123"/>
      <c r="Z108" s="712"/>
      <c r="AA108" s="585"/>
      <c r="AB108" s="585"/>
      <c r="AC108" s="585"/>
      <c r="AD108" s="123"/>
    </row>
    <row r="109" ht="30.75" customHeight="1">
      <c r="A109" s="104">
        <v>67.0</v>
      </c>
      <c r="B109" s="188">
        <v>45150.0</v>
      </c>
      <c r="C109" s="104">
        <v>1.714979117028E12</v>
      </c>
      <c r="D109" s="432" t="s">
        <v>1052</v>
      </c>
      <c r="E109" s="447" t="s">
        <v>1053</v>
      </c>
      <c r="F109" s="432" t="s">
        <v>1438</v>
      </c>
      <c r="G109" s="68" t="s">
        <v>30</v>
      </c>
      <c r="H109" s="69">
        <v>5.0</v>
      </c>
      <c r="I109" s="455">
        <f t="shared" si="33"/>
        <v>220000</v>
      </c>
      <c r="J109" s="48">
        <f t="shared" si="34"/>
        <v>1100000</v>
      </c>
      <c r="K109" s="76">
        <f t="shared" si="35"/>
        <v>1100000</v>
      </c>
      <c r="L109" s="724"/>
      <c r="M109" s="878"/>
      <c r="N109" s="79"/>
      <c r="O109" s="80">
        <f t="shared" si="32"/>
        <v>1100000</v>
      </c>
      <c r="P109" s="81" t="s">
        <v>449</v>
      </c>
      <c r="Q109" s="81" t="s">
        <v>31</v>
      </c>
      <c r="R109" s="879">
        <v>58002.0</v>
      </c>
      <c r="S109" s="83" t="s">
        <v>32</v>
      </c>
      <c r="T109" s="84" t="s">
        <v>33</v>
      </c>
      <c r="U109" s="719"/>
      <c r="V109" s="719"/>
      <c r="W109" s="876"/>
      <c r="X109" s="123"/>
      <c r="Y109" s="123"/>
      <c r="Z109" s="712"/>
      <c r="AA109" s="585"/>
      <c r="AB109" s="585"/>
      <c r="AC109" s="585"/>
      <c r="AD109" s="123"/>
    </row>
    <row r="110" ht="30.75" customHeight="1">
      <c r="A110" s="104">
        <v>68.0</v>
      </c>
      <c r="B110" s="188">
        <v>45150.0</v>
      </c>
      <c r="C110" s="104">
        <v>1.714806572234E12</v>
      </c>
      <c r="D110" s="432" t="s">
        <v>603</v>
      </c>
      <c r="E110" s="447" t="s">
        <v>712</v>
      </c>
      <c r="F110" s="432" t="s">
        <v>713</v>
      </c>
      <c r="G110" s="68" t="s">
        <v>30</v>
      </c>
      <c r="H110" s="69">
        <v>1.0</v>
      </c>
      <c r="I110" s="455">
        <f t="shared" si="33"/>
        <v>220000</v>
      </c>
      <c r="J110" s="48">
        <f t="shared" si="34"/>
        <v>220000</v>
      </c>
      <c r="K110" s="76">
        <f t="shared" si="35"/>
        <v>220000</v>
      </c>
      <c r="L110" s="879">
        <v>33000.0</v>
      </c>
      <c r="M110" s="878"/>
      <c r="N110" s="115">
        <v>13000.0</v>
      </c>
      <c r="O110" s="80">
        <f t="shared" si="32"/>
        <v>240000</v>
      </c>
      <c r="P110" s="81" t="s">
        <v>449</v>
      </c>
      <c r="Q110" s="81" t="s">
        <v>31</v>
      </c>
      <c r="R110" s="60"/>
      <c r="S110" s="91"/>
      <c r="T110" s="84" t="s">
        <v>33</v>
      </c>
      <c r="U110" s="719"/>
      <c r="V110" s="719"/>
      <c r="W110" s="876"/>
      <c r="X110" s="123"/>
      <c r="Y110" s="123"/>
      <c r="Z110" s="712"/>
      <c r="AA110" s="585"/>
      <c r="AB110" s="585"/>
      <c r="AC110" s="585"/>
      <c r="AD110" s="123"/>
    </row>
    <row r="111" ht="30.75" customHeight="1">
      <c r="A111" s="104">
        <v>69.0</v>
      </c>
      <c r="B111" s="188">
        <v>45150.0</v>
      </c>
      <c r="C111" s="104">
        <v>8113.0</v>
      </c>
      <c r="D111" s="432" t="s">
        <v>50</v>
      </c>
      <c r="E111" s="447" t="s">
        <v>1439</v>
      </c>
      <c r="F111" s="432" t="s">
        <v>548</v>
      </c>
      <c r="G111" s="68" t="s">
        <v>30</v>
      </c>
      <c r="H111" s="69">
        <v>1.0</v>
      </c>
      <c r="I111" s="455">
        <f t="shared" si="33"/>
        <v>220000</v>
      </c>
      <c r="J111" s="48">
        <f t="shared" si="34"/>
        <v>220000</v>
      </c>
      <c r="K111" s="76">
        <f t="shared" si="35"/>
        <v>220000</v>
      </c>
      <c r="L111" s="724"/>
      <c r="M111" s="875">
        <f>7737+4400</f>
        <v>12137</v>
      </c>
      <c r="N111" s="79"/>
      <c r="O111" s="80">
        <f t="shared" si="32"/>
        <v>207863</v>
      </c>
      <c r="P111" s="81" t="s">
        <v>449</v>
      </c>
      <c r="Q111" s="81" t="s">
        <v>31</v>
      </c>
      <c r="R111" s="60"/>
      <c r="S111" s="91"/>
      <c r="T111" s="84" t="s">
        <v>33</v>
      </c>
      <c r="U111" s="719"/>
      <c r="V111" s="719"/>
      <c r="W111" s="189" t="s">
        <v>53</v>
      </c>
      <c r="X111" s="123"/>
      <c r="Y111" s="123"/>
      <c r="Z111" s="712"/>
      <c r="AA111" s="585"/>
      <c r="AB111" s="585"/>
      <c r="AC111" s="585"/>
      <c r="AD111" s="123"/>
    </row>
    <row r="112" ht="30.75" customHeight="1">
      <c r="A112" s="104">
        <v>70.0</v>
      </c>
      <c r="B112" s="188">
        <v>45150.0</v>
      </c>
      <c r="C112" s="880">
        <v>8819.0</v>
      </c>
      <c r="D112" s="432" t="s">
        <v>50</v>
      </c>
      <c r="E112" s="447" t="s">
        <v>1440</v>
      </c>
      <c r="F112" s="432" t="s">
        <v>193</v>
      </c>
      <c r="G112" s="68" t="s">
        <v>30</v>
      </c>
      <c r="H112" s="69">
        <v>1.0</v>
      </c>
      <c r="I112" s="455">
        <f t="shared" si="33"/>
        <v>220000</v>
      </c>
      <c r="J112" s="48">
        <f t="shared" si="34"/>
        <v>220000</v>
      </c>
      <c r="K112" s="76">
        <f t="shared" si="35"/>
        <v>220000</v>
      </c>
      <c r="L112" s="724"/>
      <c r="M112" s="875">
        <f>7257+4400</f>
        <v>11657</v>
      </c>
      <c r="N112" s="79"/>
      <c r="O112" s="80">
        <f t="shared" si="32"/>
        <v>208343</v>
      </c>
      <c r="P112" s="81" t="s">
        <v>449</v>
      </c>
      <c r="Q112" s="81" t="s">
        <v>31</v>
      </c>
      <c r="R112" s="60"/>
      <c r="S112" s="91"/>
      <c r="T112" s="84" t="s">
        <v>33</v>
      </c>
      <c r="U112" s="719"/>
      <c r="V112" s="719"/>
      <c r="W112" s="189" t="s">
        <v>53</v>
      </c>
      <c r="X112" s="123"/>
      <c r="Y112" s="123"/>
      <c r="Z112" s="712"/>
      <c r="AA112" s="585"/>
      <c r="AB112" s="585"/>
      <c r="AC112" s="585"/>
      <c r="AD112" s="123"/>
    </row>
    <row r="113" ht="30.75" customHeight="1">
      <c r="A113" s="104">
        <v>71.0</v>
      </c>
      <c r="B113" s="188">
        <v>45150.0</v>
      </c>
      <c r="C113" s="880">
        <v>9013.0</v>
      </c>
      <c r="D113" s="432" t="s">
        <v>50</v>
      </c>
      <c r="E113" s="447" t="s">
        <v>1441</v>
      </c>
      <c r="F113" s="432" t="s">
        <v>65</v>
      </c>
      <c r="G113" s="68" t="s">
        <v>30</v>
      </c>
      <c r="H113" s="69">
        <v>1.0</v>
      </c>
      <c r="I113" s="455">
        <f t="shared" si="33"/>
        <v>220000</v>
      </c>
      <c r="J113" s="48">
        <f t="shared" si="34"/>
        <v>220000</v>
      </c>
      <c r="K113" s="76">
        <f t="shared" si="35"/>
        <v>220000</v>
      </c>
      <c r="L113" s="724"/>
      <c r="M113" s="875">
        <f>7857+4400</f>
        <v>12257</v>
      </c>
      <c r="N113" s="79"/>
      <c r="O113" s="80">
        <f t="shared" si="32"/>
        <v>207743</v>
      </c>
      <c r="P113" s="81" t="s">
        <v>449</v>
      </c>
      <c r="Q113" s="81" t="s">
        <v>31</v>
      </c>
      <c r="R113" s="60"/>
      <c r="S113" s="91"/>
      <c r="T113" s="84" t="s">
        <v>33</v>
      </c>
      <c r="U113" s="719"/>
      <c r="V113" s="719"/>
      <c r="W113" s="189" t="s">
        <v>53</v>
      </c>
      <c r="X113" s="123"/>
      <c r="Y113" s="123"/>
      <c r="Z113" s="712"/>
      <c r="AA113" s="585"/>
      <c r="AB113" s="585"/>
      <c r="AC113" s="585"/>
      <c r="AD113" s="123"/>
    </row>
    <row r="114" ht="30.75" customHeight="1">
      <c r="A114" s="104">
        <v>72.0</v>
      </c>
      <c r="B114" s="188">
        <v>45150.0</v>
      </c>
      <c r="C114" s="880">
        <v>9919.0</v>
      </c>
      <c r="D114" s="432" t="s">
        <v>50</v>
      </c>
      <c r="E114" s="447" t="s">
        <v>1442</v>
      </c>
      <c r="F114" s="432" t="s">
        <v>65</v>
      </c>
      <c r="G114" s="68" t="s">
        <v>30</v>
      </c>
      <c r="H114" s="69">
        <v>1.0</v>
      </c>
      <c r="I114" s="455">
        <f t="shared" si="33"/>
        <v>220000</v>
      </c>
      <c r="J114" s="48">
        <f t="shared" si="34"/>
        <v>220000</v>
      </c>
      <c r="K114" s="76">
        <f t="shared" si="35"/>
        <v>220000</v>
      </c>
      <c r="L114" s="724"/>
      <c r="M114" s="875">
        <f t="shared" ref="M114:M115" si="37">7257+4400</f>
        <v>11657</v>
      </c>
      <c r="N114" s="79"/>
      <c r="O114" s="80">
        <f t="shared" si="32"/>
        <v>208343</v>
      </c>
      <c r="P114" s="81" t="s">
        <v>449</v>
      </c>
      <c r="Q114" s="81" t="s">
        <v>31</v>
      </c>
      <c r="R114" s="60"/>
      <c r="S114" s="91"/>
      <c r="T114" s="84" t="s">
        <v>33</v>
      </c>
      <c r="U114" s="719"/>
      <c r="V114" s="719"/>
      <c r="W114" s="189" t="s">
        <v>53</v>
      </c>
      <c r="X114" s="123"/>
      <c r="Y114" s="123"/>
      <c r="Z114" s="712"/>
      <c r="AA114" s="585"/>
      <c r="AB114" s="585"/>
      <c r="AC114" s="585"/>
      <c r="AD114" s="123"/>
    </row>
    <row r="115" ht="30.75" customHeight="1">
      <c r="A115" s="93">
        <v>73.0</v>
      </c>
      <c r="B115" s="103">
        <v>45150.0</v>
      </c>
      <c r="C115" s="880">
        <v>7992.0</v>
      </c>
      <c r="D115" s="92" t="s">
        <v>50</v>
      </c>
      <c r="E115" s="105" t="s">
        <v>1443</v>
      </c>
      <c r="F115" s="92" t="s">
        <v>104</v>
      </c>
      <c r="G115" s="63" t="s">
        <v>30</v>
      </c>
      <c r="H115" s="64">
        <v>1.0</v>
      </c>
      <c r="I115" s="455">
        <f t="shared" si="33"/>
        <v>220000</v>
      </c>
      <c r="J115" s="48">
        <f t="shared" si="34"/>
        <v>220000</v>
      </c>
      <c r="K115" s="76">
        <f t="shared" si="35"/>
        <v>220000</v>
      </c>
      <c r="L115" s="109"/>
      <c r="M115" s="78">
        <f t="shared" si="37"/>
        <v>11657</v>
      </c>
      <c r="N115" s="79"/>
      <c r="O115" s="80">
        <f t="shared" si="32"/>
        <v>208343</v>
      </c>
      <c r="P115" s="81" t="s">
        <v>449</v>
      </c>
      <c r="Q115" s="81" t="s">
        <v>31</v>
      </c>
      <c r="R115" s="65"/>
      <c r="S115" s="91"/>
      <c r="T115" s="84" t="s">
        <v>33</v>
      </c>
      <c r="U115" s="122"/>
      <c r="V115" s="122"/>
      <c r="W115" s="155" t="s">
        <v>53</v>
      </c>
      <c r="X115" s="106"/>
      <c r="Y115" s="106"/>
      <c r="Z115" s="427"/>
      <c r="AA115" s="107"/>
      <c r="AB115" s="107"/>
      <c r="AC115" s="107"/>
      <c r="AD115" s="106"/>
    </row>
    <row r="116" ht="30.75" customHeight="1">
      <c r="A116" s="93">
        <v>74.0</v>
      </c>
      <c r="B116" s="103">
        <v>45150.0</v>
      </c>
      <c r="C116" s="880">
        <v>9122.0</v>
      </c>
      <c r="D116" s="92" t="s">
        <v>50</v>
      </c>
      <c r="E116" s="105" t="s">
        <v>1444</v>
      </c>
      <c r="F116" s="92" t="s">
        <v>1445</v>
      </c>
      <c r="G116" s="63" t="s">
        <v>30</v>
      </c>
      <c r="H116" s="64">
        <v>4.0</v>
      </c>
      <c r="I116" s="455">
        <f t="shared" si="33"/>
        <v>220000</v>
      </c>
      <c r="J116" s="48">
        <f t="shared" si="34"/>
        <v>880000</v>
      </c>
      <c r="K116" s="76">
        <f t="shared" si="35"/>
        <v>880000</v>
      </c>
      <c r="L116" s="109"/>
      <c r="M116" s="78">
        <f>27780+17600</f>
        <v>45380</v>
      </c>
      <c r="N116" s="79"/>
      <c r="O116" s="80">
        <f t="shared" si="32"/>
        <v>834620</v>
      </c>
      <c r="P116" s="81" t="s">
        <v>449</v>
      </c>
      <c r="Q116" s="81" t="s">
        <v>31</v>
      </c>
      <c r="R116" s="65"/>
      <c r="S116" s="91"/>
      <c r="T116" s="84" t="s">
        <v>33</v>
      </c>
      <c r="U116" s="122"/>
      <c r="V116" s="122"/>
      <c r="W116" s="155" t="s">
        <v>53</v>
      </c>
      <c r="X116" s="106"/>
      <c r="Y116" s="106"/>
      <c r="Z116" s="427"/>
      <c r="AA116" s="107"/>
      <c r="AB116" s="107"/>
      <c r="AC116" s="107"/>
      <c r="AD116" s="106"/>
    </row>
    <row r="117" ht="30.75" customHeight="1">
      <c r="A117" s="93">
        <v>75.0</v>
      </c>
      <c r="B117" s="103">
        <v>45150.0</v>
      </c>
      <c r="C117" s="880">
        <v>2529.0</v>
      </c>
      <c r="D117" s="92" t="s">
        <v>50</v>
      </c>
      <c r="E117" s="105" t="s">
        <v>1446</v>
      </c>
      <c r="F117" s="92" t="s">
        <v>982</v>
      </c>
      <c r="G117" s="63" t="s">
        <v>30</v>
      </c>
      <c r="H117" s="64">
        <v>2.0</v>
      </c>
      <c r="I117" s="455">
        <f t="shared" si="33"/>
        <v>220000</v>
      </c>
      <c r="J117" s="48">
        <f t="shared" si="34"/>
        <v>440000</v>
      </c>
      <c r="K117" s="76">
        <f t="shared" si="35"/>
        <v>440000</v>
      </c>
      <c r="L117" s="109"/>
      <c r="M117" s="78">
        <f>14621+8800</f>
        <v>23421</v>
      </c>
      <c r="N117" s="79"/>
      <c r="O117" s="80">
        <f t="shared" si="32"/>
        <v>416579</v>
      </c>
      <c r="P117" s="81" t="s">
        <v>449</v>
      </c>
      <c r="Q117" s="81" t="s">
        <v>31</v>
      </c>
      <c r="R117" s="65"/>
      <c r="S117" s="91"/>
      <c r="T117" s="84" t="s">
        <v>33</v>
      </c>
      <c r="U117" s="122"/>
      <c r="V117" s="122"/>
      <c r="W117" s="155" t="s">
        <v>53</v>
      </c>
      <c r="X117" s="106"/>
      <c r="Y117" s="106"/>
      <c r="Z117" s="427"/>
      <c r="AA117" s="107"/>
      <c r="AB117" s="107"/>
      <c r="AC117" s="107"/>
      <c r="AD117" s="106"/>
    </row>
    <row r="118" ht="30.75" customHeight="1">
      <c r="A118" s="93">
        <v>76.0</v>
      </c>
      <c r="B118" s="103">
        <v>45150.0</v>
      </c>
      <c r="C118" s="881" t="s">
        <v>1447</v>
      </c>
      <c r="D118" s="92" t="s">
        <v>50</v>
      </c>
      <c r="E118" s="105" t="s">
        <v>721</v>
      </c>
      <c r="F118" s="92" t="s">
        <v>156</v>
      </c>
      <c r="G118" s="63" t="s">
        <v>30</v>
      </c>
      <c r="H118" s="64">
        <v>2.0</v>
      </c>
      <c r="I118" s="455">
        <f t="shared" si="33"/>
        <v>220000</v>
      </c>
      <c r="J118" s="48">
        <f t="shared" si="34"/>
        <v>440000</v>
      </c>
      <c r="K118" s="76">
        <f t="shared" si="35"/>
        <v>440000</v>
      </c>
      <c r="L118" s="109"/>
      <c r="M118" s="78">
        <f>13200+8800</f>
        <v>22000</v>
      </c>
      <c r="N118" s="79"/>
      <c r="O118" s="80">
        <f t="shared" si="32"/>
        <v>418000</v>
      </c>
      <c r="P118" s="81" t="s">
        <v>449</v>
      </c>
      <c r="Q118" s="81" t="s">
        <v>31</v>
      </c>
      <c r="R118" s="65"/>
      <c r="S118" s="91"/>
      <c r="T118" s="84" t="s">
        <v>33</v>
      </c>
      <c r="U118" s="122"/>
      <c r="V118" s="122"/>
      <c r="W118" s="155" t="s">
        <v>53</v>
      </c>
      <c r="X118" s="106"/>
      <c r="Y118" s="106"/>
      <c r="Z118" s="427"/>
      <c r="AA118" s="107"/>
      <c r="AB118" s="107"/>
      <c r="AC118" s="107"/>
      <c r="AD118" s="106"/>
    </row>
    <row r="119" ht="30.75" customHeight="1">
      <c r="A119" s="111">
        <v>77.0</v>
      </c>
      <c r="B119" s="112">
        <v>45152.0</v>
      </c>
      <c r="C119" s="588">
        <v>1.714631913265E12</v>
      </c>
      <c r="D119" s="142" t="s">
        <v>351</v>
      </c>
      <c r="E119" s="143" t="s">
        <v>1213</v>
      </c>
      <c r="F119" s="882" t="s">
        <v>1448</v>
      </c>
      <c r="G119" s="63" t="s">
        <v>30</v>
      </c>
      <c r="H119" s="287">
        <v>3.0</v>
      </c>
      <c r="I119" s="455">
        <f t="shared" si="33"/>
        <v>220000</v>
      </c>
      <c r="J119" s="48">
        <f t="shared" si="34"/>
        <v>660000</v>
      </c>
      <c r="K119" s="49">
        <f>SUM(J119:J120)</f>
        <v>880000</v>
      </c>
      <c r="L119" s="144"/>
      <c r="M119" s="561"/>
      <c r="N119" s="52"/>
      <c r="O119" s="53">
        <f t="shared" si="32"/>
        <v>880000</v>
      </c>
      <c r="P119" s="99" t="s">
        <v>449</v>
      </c>
      <c r="Q119" s="99" t="s">
        <v>31</v>
      </c>
      <c r="R119" s="145">
        <v>52002.0</v>
      </c>
      <c r="S119" s="56" t="s">
        <v>32</v>
      </c>
      <c r="T119" s="57" t="s">
        <v>33</v>
      </c>
      <c r="U119" s="147"/>
      <c r="V119" s="147"/>
      <c r="W119" s="148"/>
      <c r="X119" s="106"/>
      <c r="Y119" s="106"/>
      <c r="Z119" s="427"/>
      <c r="AA119" s="107"/>
      <c r="AB119" s="107"/>
      <c r="AC119" s="107"/>
      <c r="AD119" s="106"/>
    </row>
    <row r="120" ht="30.75" customHeight="1">
      <c r="A120" s="67"/>
      <c r="B120" s="67"/>
      <c r="C120" s="67"/>
      <c r="D120" s="67"/>
      <c r="E120" s="67"/>
      <c r="F120" s="102"/>
      <c r="G120" s="284" t="s">
        <v>35</v>
      </c>
      <c r="H120" s="287">
        <v>1.0</v>
      </c>
      <c r="I120" s="455">
        <f t="shared" si="33"/>
        <v>220000</v>
      </c>
      <c r="J120" s="48">
        <f t="shared" si="34"/>
        <v>220000</v>
      </c>
      <c r="K120" s="67"/>
      <c r="L120" s="67"/>
      <c r="M120" s="67"/>
      <c r="N120" s="67"/>
      <c r="O120" s="67"/>
      <c r="P120" s="67"/>
      <c r="Q120" s="67"/>
      <c r="R120" s="67"/>
      <c r="S120" s="67"/>
      <c r="T120" s="67"/>
      <c r="U120" s="67"/>
      <c r="V120" s="67"/>
      <c r="W120" s="67"/>
      <c r="X120" s="106"/>
      <c r="Y120" s="106"/>
      <c r="Z120" s="427"/>
      <c r="AA120" s="107"/>
      <c r="AB120" s="107"/>
      <c r="AC120" s="107"/>
      <c r="AD120" s="106"/>
    </row>
    <row r="121" ht="30.75" customHeight="1">
      <c r="A121" s="93">
        <v>78.0</v>
      </c>
      <c r="B121" s="103">
        <v>45152.0</v>
      </c>
      <c r="C121" s="883">
        <v>1.714727093442E12</v>
      </c>
      <c r="D121" s="92" t="s">
        <v>1449</v>
      </c>
      <c r="E121" s="105" t="s">
        <v>721</v>
      </c>
      <c r="F121" s="884" t="s">
        <v>1450</v>
      </c>
      <c r="G121" s="756" t="s">
        <v>30</v>
      </c>
      <c r="H121" s="287">
        <v>2.0</v>
      </c>
      <c r="I121" s="455">
        <f t="shared" si="33"/>
        <v>220000</v>
      </c>
      <c r="J121" s="48">
        <f t="shared" si="34"/>
        <v>440000</v>
      </c>
      <c r="K121" s="76">
        <f>SUM(J121)</f>
        <v>440000</v>
      </c>
      <c r="L121" s="108">
        <v>43001.0</v>
      </c>
      <c r="M121" s="575"/>
      <c r="N121" s="115">
        <v>13001.0</v>
      </c>
      <c r="O121" s="80">
        <f>K121+L121-N121</f>
        <v>470000</v>
      </c>
      <c r="P121" s="81" t="s">
        <v>449</v>
      </c>
      <c r="Q121" s="81" t="s">
        <v>31</v>
      </c>
      <c r="R121" s="65"/>
      <c r="S121" s="91"/>
      <c r="T121" s="84" t="s">
        <v>33</v>
      </c>
      <c r="U121" s="122"/>
      <c r="V121" s="122"/>
      <c r="W121" s="155"/>
      <c r="X121" s="106"/>
      <c r="Y121" s="106"/>
      <c r="Z121" s="427"/>
      <c r="AA121" s="107"/>
      <c r="AB121" s="107"/>
      <c r="AC121" s="107"/>
      <c r="AD121" s="106"/>
    </row>
    <row r="122" ht="30.75" customHeight="1">
      <c r="A122" s="111">
        <v>79.0</v>
      </c>
      <c r="B122" s="112">
        <v>45152.0</v>
      </c>
      <c r="C122" s="885">
        <v>1.715211087897E12</v>
      </c>
      <c r="D122" s="142" t="s">
        <v>1451</v>
      </c>
      <c r="E122" s="143" t="s">
        <v>1452</v>
      </c>
      <c r="F122" s="882" t="s">
        <v>1453</v>
      </c>
      <c r="G122" s="886" t="s">
        <v>35</v>
      </c>
      <c r="H122" s="887">
        <v>3.0</v>
      </c>
      <c r="I122" s="455">
        <f t="shared" si="33"/>
        <v>220000</v>
      </c>
      <c r="J122" s="48">
        <f t="shared" si="34"/>
        <v>660000</v>
      </c>
      <c r="K122" s="49">
        <f>SUM(J122:J124)</f>
        <v>1500000</v>
      </c>
      <c r="L122" s="144"/>
      <c r="M122" s="561"/>
      <c r="N122" s="52"/>
      <c r="O122" s="53">
        <f>K122+L122-M122-N122</f>
        <v>1500000</v>
      </c>
      <c r="P122" s="99" t="s">
        <v>449</v>
      </c>
      <c r="Q122" s="99" t="s">
        <v>31</v>
      </c>
      <c r="R122" s="145">
        <v>100493.0</v>
      </c>
      <c r="S122" s="56" t="s">
        <v>32</v>
      </c>
      <c r="T122" s="57" t="s">
        <v>33</v>
      </c>
      <c r="U122" s="147"/>
      <c r="V122" s="147"/>
      <c r="W122" s="148"/>
      <c r="X122" s="106"/>
      <c r="Y122" s="106"/>
      <c r="Z122" s="427"/>
      <c r="AA122" s="107"/>
      <c r="AB122" s="107"/>
      <c r="AC122" s="107"/>
      <c r="AD122" s="106"/>
    </row>
    <row r="123" ht="30.75" customHeight="1">
      <c r="A123" s="62"/>
      <c r="B123" s="62"/>
      <c r="C123" s="62"/>
      <c r="D123" s="62"/>
      <c r="E123" s="62"/>
      <c r="F123" s="423"/>
      <c r="G123" s="886" t="s">
        <v>290</v>
      </c>
      <c r="H123" s="887">
        <v>3.0</v>
      </c>
      <c r="I123" s="455">
        <f t="shared" si="33"/>
        <v>220000</v>
      </c>
      <c r="J123" s="48">
        <f t="shared" si="34"/>
        <v>660000</v>
      </c>
      <c r="K123" s="62"/>
      <c r="L123" s="62"/>
      <c r="M123" s="62"/>
      <c r="N123" s="62"/>
      <c r="O123" s="62"/>
      <c r="P123" s="62"/>
      <c r="Q123" s="62"/>
      <c r="R123" s="62"/>
      <c r="S123" s="62"/>
      <c r="T123" s="62"/>
      <c r="U123" s="62"/>
      <c r="V123" s="62"/>
      <c r="W123" s="62"/>
      <c r="X123" s="106"/>
      <c r="Y123" s="106"/>
      <c r="Z123" s="427"/>
      <c r="AA123" s="107"/>
      <c r="AB123" s="107"/>
      <c r="AC123" s="107"/>
      <c r="AD123" s="106"/>
    </row>
    <row r="124" ht="30.75" customHeight="1">
      <c r="A124" s="67"/>
      <c r="B124" s="67"/>
      <c r="C124" s="67"/>
      <c r="D124" s="67"/>
      <c r="E124" s="67"/>
      <c r="F124" s="102"/>
      <c r="G124" s="888" t="s">
        <v>61</v>
      </c>
      <c r="H124" s="889">
        <v>2.0</v>
      </c>
      <c r="I124" s="874">
        <f t="shared" si="33"/>
        <v>90000</v>
      </c>
      <c r="J124" s="75">
        <f t="shared" si="34"/>
        <v>180000</v>
      </c>
      <c r="K124" s="67"/>
      <c r="L124" s="67"/>
      <c r="M124" s="67"/>
      <c r="N124" s="67"/>
      <c r="O124" s="67"/>
      <c r="P124" s="67"/>
      <c r="Q124" s="67"/>
      <c r="R124" s="67"/>
      <c r="S124" s="67"/>
      <c r="T124" s="67"/>
      <c r="U124" s="67"/>
      <c r="V124" s="67"/>
      <c r="W124" s="67"/>
      <c r="X124" s="106"/>
      <c r="Y124" s="106"/>
      <c r="Z124" s="427"/>
      <c r="AA124" s="107"/>
      <c r="AB124" s="107"/>
      <c r="AC124" s="107"/>
      <c r="AD124" s="106"/>
    </row>
    <row r="125" ht="30.75" customHeight="1">
      <c r="A125" s="93">
        <v>80.0</v>
      </c>
      <c r="B125" s="103">
        <v>45152.0</v>
      </c>
      <c r="C125" s="60">
        <v>4532.0</v>
      </c>
      <c r="D125" s="92" t="s">
        <v>50</v>
      </c>
      <c r="E125" s="890" t="s">
        <v>1454</v>
      </c>
      <c r="F125" s="739" t="s">
        <v>545</v>
      </c>
      <c r="G125" s="284" t="s">
        <v>35</v>
      </c>
      <c r="H125" s="285">
        <v>1.0</v>
      </c>
      <c r="I125" s="455">
        <f t="shared" si="33"/>
        <v>220000</v>
      </c>
      <c r="J125" s="48">
        <f t="shared" si="34"/>
        <v>220000</v>
      </c>
      <c r="K125" s="76">
        <f t="shared" ref="K125:K143" si="38">SUM(J125)</f>
        <v>220000</v>
      </c>
      <c r="L125" s="109"/>
      <c r="M125" s="78">
        <f>7257+4400</f>
        <v>11657</v>
      </c>
      <c r="N125" s="79"/>
      <c r="O125" s="80">
        <f t="shared" ref="O125:O144" si="39">K125+L125-M125-N125</f>
        <v>208343</v>
      </c>
      <c r="P125" s="81" t="s">
        <v>449</v>
      </c>
      <c r="Q125" s="81" t="s">
        <v>31</v>
      </c>
      <c r="R125" s="65"/>
      <c r="S125" s="91"/>
      <c r="T125" s="84" t="s">
        <v>33</v>
      </c>
      <c r="U125" s="122"/>
      <c r="V125" s="122"/>
      <c r="W125" s="155" t="s">
        <v>53</v>
      </c>
      <c r="X125" s="106"/>
      <c r="Y125" s="106"/>
      <c r="Z125" s="427"/>
      <c r="AA125" s="107"/>
      <c r="AB125" s="107"/>
      <c r="AC125" s="107"/>
      <c r="AD125" s="106"/>
    </row>
    <row r="126" ht="30.75" customHeight="1">
      <c r="A126" s="93">
        <v>81.0</v>
      </c>
      <c r="B126" s="103">
        <v>45152.0</v>
      </c>
      <c r="C126" s="672">
        <v>4834.0</v>
      </c>
      <c r="D126" s="92" t="s">
        <v>50</v>
      </c>
      <c r="E126" s="891" t="s">
        <v>1455</v>
      </c>
      <c r="F126" s="757" t="s">
        <v>84</v>
      </c>
      <c r="G126" s="680" t="s">
        <v>30</v>
      </c>
      <c r="H126" s="892">
        <v>2.0</v>
      </c>
      <c r="I126" s="455">
        <f t="shared" si="33"/>
        <v>220000</v>
      </c>
      <c r="J126" s="48">
        <f t="shared" si="34"/>
        <v>440000</v>
      </c>
      <c r="K126" s="76">
        <f t="shared" si="38"/>
        <v>440000</v>
      </c>
      <c r="L126" s="109"/>
      <c r="M126" s="78">
        <f>13476+8800</f>
        <v>22276</v>
      </c>
      <c r="N126" s="79"/>
      <c r="O126" s="80">
        <f t="shared" si="39"/>
        <v>417724</v>
      </c>
      <c r="P126" s="81" t="s">
        <v>449</v>
      </c>
      <c r="Q126" s="81" t="s">
        <v>31</v>
      </c>
      <c r="R126" s="65"/>
      <c r="S126" s="91"/>
      <c r="T126" s="84" t="s">
        <v>33</v>
      </c>
      <c r="U126" s="122"/>
      <c r="V126" s="122"/>
      <c r="W126" s="155" t="s">
        <v>53</v>
      </c>
      <c r="X126" s="106"/>
      <c r="Y126" s="106"/>
      <c r="Z126" s="427"/>
      <c r="AA126" s="107"/>
      <c r="AB126" s="107"/>
      <c r="AC126" s="107"/>
      <c r="AD126" s="106"/>
    </row>
    <row r="127" ht="30.75" customHeight="1">
      <c r="A127" s="93">
        <v>82.0</v>
      </c>
      <c r="B127" s="103">
        <v>45152.0</v>
      </c>
      <c r="C127" s="881" t="s">
        <v>1456</v>
      </c>
      <c r="D127" s="92" t="s">
        <v>50</v>
      </c>
      <c r="E127" s="891" t="s">
        <v>127</v>
      </c>
      <c r="F127" s="757" t="s">
        <v>1457</v>
      </c>
      <c r="G127" s="680" t="s">
        <v>30</v>
      </c>
      <c r="H127" s="892">
        <v>2.0</v>
      </c>
      <c r="I127" s="455">
        <f t="shared" si="33"/>
        <v>220000</v>
      </c>
      <c r="J127" s="48">
        <f t="shared" si="34"/>
        <v>440000</v>
      </c>
      <c r="K127" s="76">
        <f t="shared" si="38"/>
        <v>440000</v>
      </c>
      <c r="L127" s="109"/>
      <c r="M127" s="78">
        <f>15126+8800</f>
        <v>23926</v>
      </c>
      <c r="N127" s="79"/>
      <c r="O127" s="80">
        <f t="shared" si="39"/>
        <v>416074</v>
      </c>
      <c r="P127" s="81" t="s">
        <v>449</v>
      </c>
      <c r="Q127" s="81" t="s">
        <v>31</v>
      </c>
      <c r="R127" s="65"/>
      <c r="S127" s="91"/>
      <c r="T127" s="84" t="s">
        <v>33</v>
      </c>
      <c r="U127" s="122"/>
      <c r="V127" s="122"/>
      <c r="W127" s="155" t="s">
        <v>53</v>
      </c>
      <c r="X127" s="106"/>
      <c r="Y127" s="106"/>
      <c r="Z127" s="427"/>
      <c r="AA127" s="107"/>
      <c r="AB127" s="107"/>
      <c r="AC127" s="107"/>
      <c r="AD127" s="106"/>
    </row>
    <row r="128" ht="30.75" customHeight="1">
      <c r="A128" s="93">
        <v>83.0</v>
      </c>
      <c r="B128" s="103">
        <v>45152.0</v>
      </c>
      <c r="C128" s="672">
        <v>2731.0</v>
      </c>
      <c r="D128" s="92" t="s">
        <v>50</v>
      </c>
      <c r="E128" s="891" t="s">
        <v>787</v>
      </c>
      <c r="F128" s="757" t="s">
        <v>180</v>
      </c>
      <c r="G128" s="680" t="s">
        <v>30</v>
      </c>
      <c r="H128" s="892">
        <v>1.0</v>
      </c>
      <c r="I128" s="455">
        <f t="shared" si="33"/>
        <v>220000</v>
      </c>
      <c r="J128" s="48">
        <f t="shared" si="34"/>
        <v>220000</v>
      </c>
      <c r="K128" s="76">
        <f t="shared" si="38"/>
        <v>220000</v>
      </c>
      <c r="L128" s="109"/>
      <c r="M128" s="78">
        <f>6717+4400</f>
        <v>11117</v>
      </c>
      <c r="N128" s="79"/>
      <c r="O128" s="80">
        <f t="shared" si="39"/>
        <v>208883</v>
      </c>
      <c r="P128" s="81" t="s">
        <v>449</v>
      </c>
      <c r="Q128" s="81" t="s">
        <v>31</v>
      </c>
      <c r="R128" s="65"/>
      <c r="S128" s="91"/>
      <c r="T128" s="84" t="s">
        <v>33</v>
      </c>
      <c r="U128" s="122"/>
      <c r="V128" s="122"/>
      <c r="W128" s="155" t="s">
        <v>53</v>
      </c>
      <c r="X128" s="106"/>
      <c r="Y128" s="106"/>
      <c r="Z128" s="427"/>
      <c r="AA128" s="107"/>
      <c r="AB128" s="107"/>
      <c r="AC128" s="107"/>
      <c r="AD128" s="106"/>
    </row>
    <row r="129" ht="30.75" customHeight="1">
      <c r="A129" s="93">
        <v>84.0</v>
      </c>
      <c r="B129" s="103">
        <v>45152.0</v>
      </c>
      <c r="C129" s="672">
        <v>9737.0</v>
      </c>
      <c r="D129" s="92" t="s">
        <v>50</v>
      </c>
      <c r="E129" s="891" t="s">
        <v>1458</v>
      </c>
      <c r="F129" s="757" t="s">
        <v>180</v>
      </c>
      <c r="G129" s="680" t="s">
        <v>30</v>
      </c>
      <c r="H129" s="892">
        <v>1.0</v>
      </c>
      <c r="I129" s="455">
        <f t="shared" si="33"/>
        <v>220000</v>
      </c>
      <c r="J129" s="48">
        <f t="shared" si="34"/>
        <v>220000</v>
      </c>
      <c r="K129" s="76">
        <f t="shared" si="38"/>
        <v>220000</v>
      </c>
      <c r="L129" s="109"/>
      <c r="M129" s="78">
        <f>7017+4400</f>
        <v>11417</v>
      </c>
      <c r="N129" s="79"/>
      <c r="O129" s="80">
        <f t="shared" si="39"/>
        <v>208583</v>
      </c>
      <c r="P129" s="81" t="s">
        <v>449</v>
      </c>
      <c r="Q129" s="81" t="s">
        <v>31</v>
      </c>
      <c r="R129" s="65"/>
      <c r="S129" s="91"/>
      <c r="T129" s="84" t="s">
        <v>33</v>
      </c>
      <c r="U129" s="122"/>
      <c r="V129" s="122"/>
      <c r="W129" s="155" t="s">
        <v>53</v>
      </c>
      <c r="X129" s="106"/>
      <c r="Y129" s="106"/>
      <c r="Z129" s="427"/>
      <c r="AA129" s="107"/>
      <c r="AB129" s="107"/>
      <c r="AC129" s="107"/>
      <c r="AD129" s="106"/>
    </row>
    <row r="130" ht="30.75" customHeight="1">
      <c r="A130" s="93">
        <v>85.0</v>
      </c>
      <c r="B130" s="103">
        <v>45152.0</v>
      </c>
      <c r="C130" s="740" t="s">
        <v>1459</v>
      </c>
      <c r="D130" s="92" t="s">
        <v>50</v>
      </c>
      <c r="E130" s="891" t="s">
        <v>1460</v>
      </c>
      <c r="F130" s="757" t="s">
        <v>271</v>
      </c>
      <c r="G130" s="680" t="s">
        <v>30</v>
      </c>
      <c r="H130" s="893">
        <v>1.0</v>
      </c>
      <c r="I130" s="455">
        <f t="shared" si="33"/>
        <v>220000</v>
      </c>
      <c r="J130" s="48">
        <f t="shared" si="34"/>
        <v>220000</v>
      </c>
      <c r="K130" s="76">
        <f t="shared" si="38"/>
        <v>220000</v>
      </c>
      <c r="L130" s="109"/>
      <c r="M130" s="78">
        <f>7737+4400</f>
        <v>12137</v>
      </c>
      <c r="N130" s="79"/>
      <c r="O130" s="80">
        <f t="shared" si="39"/>
        <v>207863</v>
      </c>
      <c r="P130" s="81" t="s">
        <v>449</v>
      </c>
      <c r="Q130" s="81" t="s">
        <v>31</v>
      </c>
      <c r="R130" s="65"/>
      <c r="S130" s="91"/>
      <c r="T130" s="84" t="s">
        <v>33</v>
      </c>
      <c r="U130" s="122"/>
      <c r="V130" s="122"/>
      <c r="W130" s="155" t="s">
        <v>53</v>
      </c>
      <c r="X130" s="106"/>
      <c r="Y130" s="106"/>
      <c r="Z130" s="427"/>
      <c r="AA130" s="107"/>
      <c r="AB130" s="107"/>
      <c r="AC130" s="107"/>
      <c r="AD130" s="106"/>
    </row>
    <row r="131" ht="30.75" customHeight="1">
      <c r="A131" s="93">
        <v>86.0</v>
      </c>
      <c r="B131" s="103">
        <v>45152.0</v>
      </c>
      <c r="C131" s="740" t="s">
        <v>1461</v>
      </c>
      <c r="D131" s="92" t="s">
        <v>50</v>
      </c>
      <c r="E131" s="891" t="s">
        <v>1462</v>
      </c>
      <c r="F131" s="757" t="s">
        <v>104</v>
      </c>
      <c r="G131" s="680" t="s">
        <v>290</v>
      </c>
      <c r="H131" s="892">
        <v>1.0</v>
      </c>
      <c r="I131" s="455">
        <f t="shared" si="33"/>
        <v>220000</v>
      </c>
      <c r="J131" s="48">
        <f t="shared" si="34"/>
        <v>220000</v>
      </c>
      <c r="K131" s="76">
        <f t="shared" si="38"/>
        <v>220000</v>
      </c>
      <c r="L131" s="109"/>
      <c r="M131" s="78">
        <f>7587+4400</f>
        <v>11987</v>
      </c>
      <c r="N131" s="79"/>
      <c r="O131" s="80">
        <f t="shared" si="39"/>
        <v>208013</v>
      </c>
      <c r="P131" s="81" t="s">
        <v>449</v>
      </c>
      <c r="Q131" s="81" t="s">
        <v>31</v>
      </c>
      <c r="R131" s="65"/>
      <c r="S131" s="91"/>
      <c r="T131" s="84" t="s">
        <v>33</v>
      </c>
      <c r="U131" s="122"/>
      <c r="V131" s="122"/>
      <c r="W131" s="155" t="s">
        <v>53</v>
      </c>
      <c r="X131" s="106"/>
      <c r="Y131" s="106"/>
      <c r="Z131" s="427"/>
      <c r="AA131" s="107"/>
      <c r="AB131" s="107"/>
      <c r="AC131" s="107"/>
      <c r="AD131" s="106"/>
    </row>
    <row r="132" ht="30.75" customHeight="1">
      <c r="A132" s="93">
        <v>87.0</v>
      </c>
      <c r="B132" s="103">
        <v>45152.0</v>
      </c>
      <c r="C132" s="880">
        <v>2544.0</v>
      </c>
      <c r="D132" s="92" t="s">
        <v>50</v>
      </c>
      <c r="E132" s="891" t="s">
        <v>1463</v>
      </c>
      <c r="F132" s="757" t="s">
        <v>281</v>
      </c>
      <c r="G132" s="680" t="s">
        <v>30</v>
      </c>
      <c r="H132" s="892">
        <v>1.0</v>
      </c>
      <c r="I132" s="455">
        <f t="shared" si="33"/>
        <v>220000</v>
      </c>
      <c r="J132" s="48">
        <f t="shared" si="34"/>
        <v>220000</v>
      </c>
      <c r="K132" s="76">
        <f t="shared" si="38"/>
        <v>220000</v>
      </c>
      <c r="L132" s="109"/>
      <c r="M132" s="78">
        <f>7737+4400</f>
        <v>12137</v>
      </c>
      <c r="N132" s="79"/>
      <c r="O132" s="80">
        <f t="shared" si="39"/>
        <v>207863</v>
      </c>
      <c r="P132" s="81" t="s">
        <v>449</v>
      </c>
      <c r="Q132" s="81" t="s">
        <v>31</v>
      </c>
      <c r="R132" s="65"/>
      <c r="S132" s="91"/>
      <c r="T132" s="84" t="s">
        <v>33</v>
      </c>
      <c r="U132" s="122"/>
      <c r="V132" s="122"/>
      <c r="W132" s="155" t="s">
        <v>53</v>
      </c>
      <c r="X132" s="106"/>
      <c r="Y132" s="106"/>
      <c r="Z132" s="427"/>
      <c r="AA132" s="107"/>
      <c r="AB132" s="107"/>
      <c r="AC132" s="107"/>
      <c r="AD132" s="106"/>
    </row>
    <row r="133" ht="30.75" customHeight="1">
      <c r="A133" s="93">
        <v>88.0</v>
      </c>
      <c r="B133" s="103">
        <v>45152.0</v>
      </c>
      <c r="C133" s="672">
        <v>8439.0</v>
      </c>
      <c r="D133" s="92" t="s">
        <v>50</v>
      </c>
      <c r="E133" s="105" t="s">
        <v>1464</v>
      </c>
      <c r="F133" s="92" t="s">
        <v>104</v>
      </c>
      <c r="G133" s="680" t="s">
        <v>30</v>
      </c>
      <c r="H133" s="64">
        <v>1.0</v>
      </c>
      <c r="I133" s="455">
        <f t="shared" si="33"/>
        <v>220000</v>
      </c>
      <c r="J133" s="48">
        <f t="shared" si="34"/>
        <v>220000</v>
      </c>
      <c r="K133" s="76">
        <f t="shared" si="38"/>
        <v>220000</v>
      </c>
      <c r="L133" s="109"/>
      <c r="M133" s="78">
        <f>5100+4400</f>
        <v>9500</v>
      </c>
      <c r="N133" s="79"/>
      <c r="O133" s="80">
        <f t="shared" si="39"/>
        <v>210500</v>
      </c>
      <c r="P133" s="81" t="s">
        <v>449</v>
      </c>
      <c r="Q133" s="81" t="s">
        <v>31</v>
      </c>
      <c r="R133" s="65"/>
      <c r="S133" s="91"/>
      <c r="T133" s="84" t="s">
        <v>33</v>
      </c>
      <c r="U133" s="122"/>
      <c r="V133" s="122"/>
      <c r="W133" s="155" t="s">
        <v>53</v>
      </c>
      <c r="X133" s="106"/>
      <c r="Y133" s="106"/>
      <c r="Z133" s="427"/>
      <c r="AA133" s="107"/>
      <c r="AB133" s="107"/>
      <c r="AC133" s="107"/>
      <c r="AD133" s="106"/>
    </row>
    <row r="134" ht="30.75" customHeight="1">
      <c r="A134" s="93">
        <v>89.0</v>
      </c>
      <c r="B134" s="103">
        <v>45153.0</v>
      </c>
      <c r="C134" s="104">
        <v>7247.0</v>
      </c>
      <c r="D134" s="92" t="s">
        <v>50</v>
      </c>
      <c r="E134" s="105" t="s">
        <v>1465</v>
      </c>
      <c r="F134" s="184" t="s">
        <v>193</v>
      </c>
      <c r="G134" s="680" t="s">
        <v>30</v>
      </c>
      <c r="H134" s="64">
        <v>3.0</v>
      </c>
      <c r="I134" s="455">
        <f t="shared" si="33"/>
        <v>220000</v>
      </c>
      <c r="J134" s="48">
        <f t="shared" si="34"/>
        <v>660000</v>
      </c>
      <c r="K134" s="76">
        <f t="shared" si="38"/>
        <v>660000</v>
      </c>
      <c r="L134" s="109"/>
      <c r="M134" s="78">
        <f>21303+13200</f>
        <v>34503</v>
      </c>
      <c r="N134" s="79"/>
      <c r="O134" s="80">
        <f t="shared" si="39"/>
        <v>625497</v>
      </c>
      <c r="P134" s="81" t="s">
        <v>449</v>
      </c>
      <c r="Q134" s="81" t="s">
        <v>31</v>
      </c>
      <c r="R134" s="65"/>
      <c r="S134" s="91"/>
      <c r="T134" s="84" t="s">
        <v>33</v>
      </c>
      <c r="U134" s="122"/>
      <c r="V134" s="122"/>
      <c r="W134" s="155" t="s">
        <v>53</v>
      </c>
      <c r="X134" s="106"/>
      <c r="Y134" s="106"/>
      <c r="Z134" s="427"/>
      <c r="AA134" s="107"/>
      <c r="AB134" s="107"/>
      <c r="AC134" s="107"/>
      <c r="AD134" s="106"/>
    </row>
    <row r="135" ht="30.75" customHeight="1">
      <c r="A135" s="93">
        <v>90.0</v>
      </c>
      <c r="B135" s="103">
        <v>45153.0</v>
      </c>
      <c r="C135" s="104">
        <v>8945.0</v>
      </c>
      <c r="D135" s="92" t="s">
        <v>50</v>
      </c>
      <c r="E135" s="105" t="s">
        <v>1466</v>
      </c>
      <c r="F135" s="92" t="s">
        <v>461</v>
      </c>
      <c r="G135" s="680" t="s">
        <v>30</v>
      </c>
      <c r="H135" s="64">
        <v>1.0</v>
      </c>
      <c r="I135" s="455">
        <f t="shared" si="33"/>
        <v>220000</v>
      </c>
      <c r="J135" s="48">
        <f t="shared" si="34"/>
        <v>220000</v>
      </c>
      <c r="K135" s="76">
        <f t="shared" si="38"/>
        <v>220000</v>
      </c>
      <c r="L135" s="109"/>
      <c r="M135" s="78">
        <f>7857+4400</f>
        <v>12257</v>
      </c>
      <c r="N135" s="79"/>
      <c r="O135" s="80">
        <f t="shared" si="39"/>
        <v>207743</v>
      </c>
      <c r="P135" s="81" t="s">
        <v>449</v>
      </c>
      <c r="Q135" s="81" t="s">
        <v>31</v>
      </c>
      <c r="R135" s="65"/>
      <c r="S135" s="91"/>
      <c r="T135" s="84" t="s">
        <v>33</v>
      </c>
      <c r="U135" s="122"/>
      <c r="V135" s="122"/>
      <c r="W135" s="155" t="s">
        <v>53</v>
      </c>
      <c r="X135" s="106"/>
      <c r="Y135" s="106"/>
      <c r="Z135" s="427"/>
      <c r="AA135" s="107"/>
      <c r="AB135" s="107"/>
      <c r="AC135" s="107"/>
      <c r="AD135" s="106"/>
    </row>
    <row r="136" ht="30.75" customHeight="1">
      <c r="A136" s="93">
        <v>91.0</v>
      </c>
      <c r="B136" s="103">
        <v>45153.0</v>
      </c>
      <c r="C136" s="104">
        <v>2249.0</v>
      </c>
      <c r="D136" s="92" t="s">
        <v>50</v>
      </c>
      <c r="E136" s="105" t="s">
        <v>1467</v>
      </c>
      <c r="F136" s="92" t="s">
        <v>104</v>
      </c>
      <c r="G136" s="680" t="s">
        <v>30</v>
      </c>
      <c r="H136" s="64">
        <v>1.0</v>
      </c>
      <c r="I136" s="455">
        <f t="shared" si="33"/>
        <v>220000</v>
      </c>
      <c r="J136" s="48">
        <f t="shared" si="34"/>
        <v>220000</v>
      </c>
      <c r="K136" s="76">
        <f t="shared" si="38"/>
        <v>220000</v>
      </c>
      <c r="L136" s="109"/>
      <c r="M136" s="78">
        <f>6777+4400</f>
        <v>11177</v>
      </c>
      <c r="N136" s="79"/>
      <c r="O136" s="80">
        <f t="shared" si="39"/>
        <v>208823</v>
      </c>
      <c r="P136" s="81" t="s">
        <v>449</v>
      </c>
      <c r="Q136" s="81" t="s">
        <v>31</v>
      </c>
      <c r="R136" s="65"/>
      <c r="S136" s="91"/>
      <c r="T136" s="84" t="s">
        <v>33</v>
      </c>
      <c r="U136" s="122"/>
      <c r="V136" s="122"/>
      <c r="W136" s="155" t="s">
        <v>53</v>
      </c>
      <c r="X136" s="106"/>
      <c r="Y136" s="106"/>
      <c r="Z136" s="427"/>
      <c r="AA136" s="107"/>
      <c r="AB136" s="107"/>
      <c r="AC136" s="107"/>
      <c r="AD136" s="106"/>
    </row>
    <row r="137" ht="30.75" customHeight="1">
      <c r="A137" s="93">
        <v>92.0</v>
      </c>
      <c r="B137" s="103">
        <v>45153.0</v>
      </c>
      <c r="C137" s="104">
        <v>3241.0</v>
      </c>
      <c r="D137" s="92" t="s">
        <v>50</v>
      </c>
      <c r="E137" s="105" t="s">
        <v>1468</v>
      </c>
      <c r="F137" s="92" t="s">
        <v>281</v>
      </c>
      <c r="G137" s="680" t="s">
        <v>30</v>
      </c>
      <c r="H137" s="64">
        <v>1.0</v>
      </c>
      <c r="I137" s="455">
        <f t="shared" si="33"/>
        <v>220000</v>
      </c>
      <c r="J137" s="48">
        <f t="shared" si="34"/>
        <v>220000</v>
      </c>
      <c r="K137" s="76">
        <f t="shared" si="38"/>
        <v>220000</v>
      </c>
      <c r="L137" s="109"/>
      <c r="M137" s="78">
        <f>5100+4400</f>
        <v>9500</v>
      </c>
      <c r="N137" s="79"/>
      <c r="O137" s="80">
        <f t="shared" si="39"/>
        <v>210500</v>
      </c>
      <c r="P137" s="81" t="s">
        <v>449</v>
      </c>
      <c r="Q137" s="81" t="s">
        <v>31</v>
      </c>
      <c r="R137" s="65"/>
      <c r="S137" s="91"/>
      <c r="T137" s="84" t="s">
        <v>33</v>
      </c>
      <c r="U137" s="122"/>
      <c r="V137" s="122"/>
      <c r="W137" s="155" t="s">
        <v>53</v>
      </c>
      <c r="X137" s="106"/>
      <c r="Y137" s="106"/>
      <c r="Z137" s="427"/>
      <c r="AA137" s="107"/>
      <c r="AB137" s="107"/>
      <c r="AC137" s="107"/>
      <c r="AD137" s="106"/>
    </row>
    <row r="138" ht="30.75" customHeight="1">
      <c r="A138" s="696">
        <v>93.0</v>
      </c>
      <c r="B138" s="697">
        <v>45153.0</v>
      </c>
      <c r="C138" s="696">
        <v>1850.0</v>
      </c>
      <c r="D138" s="699" t="s">
        <v>50</v>
      </c>
      <c r="E138" s="700" t="s">
        <v>1469</v>
      </c>
      <c r="F138" s="699" t="s">
        <v>104</v>
      </c>
      <c r="G138" s="894" t="s">
        <v>30</v>
      </c>
      <c r="H138" s="702">
        <v>1.0</v>
      </c>
      <c r="I138" s="895"/>
      <c r="J138" s="704">
        <f t="shared" si="34"/>
        <v>0</v>
      </c>
      <c r="K138" s="705">
        <f t="shared" si="38"/>
        <v>0</v>
      </c>
      <c r="L138" s="896"/>
      <c r="M138" s="896"/>
      <c r="N138" s="896"/>
      <c r="O138" s="708">
        <f t="shared" si="39"/>
        <v>0</v>
      </c>
      <c r="P138" s="897"/>
      <c r="Q138" s="897"/>
      <c r="R138" s="698"/>
      <c r="S138" s="897"/>
      <c r="T138" s="710"/>
      <c r="U138" s="706"/>
      <c r="V138" s="706"/>
      <c r="W138" s="898" t="s">
        <v>875</v>
      </c>
      <c r="X138" s="106"/>
      <c r="Y138" s="106"/>
      <c r="Z138" s="427"/>
      <c r="AA138" s="107"/>
      <c r="AB138" s="107"/>
      <c r="AC138" s="107"/>
      <c r="AD138" s="106"/>
    </row>
    <row r="139" ht="30.75" customHeight="1">
      <c r="A139" s="93">
        <v>94.0</v>
      </c>
      <c r="B139" s="103">
        <v>45153.0</v>
      </c>
      <c r="C139" s="104">
        <v>2451.0</v>
      </c>
      <c r="D139" s="92" t="s">
        <v>50</v>
      </c>
      <c r="E139" s="105" t="s">
        <v>1470</v>
      </c>
      <c r="F139" s="92" t="s">
        <v>982</v>
      </c>
      <c r="G139" s="680" t="s">
        <v>30</v>
      </c>
      <c r="H139" s="64">
        <v>1.0</v>
      </c>
      <c r="I139" s="455">
        <f>VLOOKUP(G139,$Y$4:$Z$43,2,0)</f>
        <v>220000</v>
      </c>
      <c r="J139" s="48">
        <f t="shared" si="34"/>
        <v>220000</v>
      </c>
      <c r="K139" s="76">
        <f t="shared" si="38"/>
        <v>220000</v>
      </c>
      <c r="L139" s="109"/>
      <c r="M139" s="78">
        <f>7647+4400</f>
        <v>12047</v>
      </c>
      <c r="N139" s="79"/>
      <c r="O139" s="80">
        <f t="shared" si="39"/>
        <v>207953</v>
      </c>
      <c r="P139" s="81" t="s">
        <v>449</v>
      </c>
      <c r="Q139" s="81" t="s">
        <v>31</v>
      </c>
      <c r="R139" s="65"/>
      <c r="S139" s="91"/>
      <c r="T139" s="84" t="s">
        <v>33</v>
      </c>
      <c r="U139" s="122"/>
      <c r="V139" s="122"/>
      <c r="W139" s="155" t="s">
        <v>53</v>
      </c>
      <c r="X139" s="106"/>
      <c r="Y139" s="106"/>
      <c r="Z139" s="427"/>
      <c r="AA139" s="107"/>
      <c r="AB139" s="107"/>
      <c r="AC139" s="107"/>
      <c r="AD139" s="106"/>
    </row>
    <row r="140" ht="30.75" customHeight="1">
      <c r="A140" s="696">
        <v>95.0</v>
      </c>
      <c r="B140" s="697">
        <v>45153.0</v>
      </c>
      <c r="C140" s="696">
        <v>7941.0</v>
      </c>
      <c r="D140" s="699" t="s">
        <v>50</v>
      </c>
      <c r="E140" s="700" t="s">
        <v>1471</v>
      </c>
      <c r="F140" s="699" t="s">
        <v>84</v>
      </c>
      <c r="G140" s="894" t="s">
        <v>30</v>
      </c>
      <c r="H140" s="702">
        <v>1.0</v>
      </c>
      <c r="I140" s="895"/>
      <c r="J140" s="704">
        <f t="shared" si="34"/>
        <v>0</v>
      </c>
      <c r="K140" s="705">
        <f t="shared" si="38"/>
        <v>0</v>
      </c>
      <c r="L140" s="896"/>
      <c r="M140" s="896"/>
      <c r="N140" s="896"/>
      <c r="O140" s="708">
        <f t="shared" si="39"/>
        <v>0</v>
      </c>
      <c r="P140" s="897"/>
      <c r="Q140" s="897"/>
      <c r="R140" s="698"/>
      <c r="S140" s="897"/>
      <c r="T140" s="710"/>
      <c r="U140" s="706"/>
      <c r="V140" s="706"/>
      <c r="W140" s="898" t="s">
        <v>875</v>
      </c>
      <c r="X140" s="106"/>
      <c r="Y140" s="106"/>
      <c r="Z140" s="427"/>
      <c r="AA140" s="107"/>
      <c r="AB140" s="107"/>
      <c r="AC140" s="107"/>
      <c r="AD140" s="106"/>
    </row>
    <row r="141" ht="30.75" customHeight="1">
      <c r="A141" s="93">
        <v>96.0</v>
      </c>
      <c r="B141" s="103">
        <v>45154.0</v>
      </c>
      <c r="C141" s="93">
        <v>1.715809801779E12</v>
      </c>
      <c r="D141" s="92" t="s">
        <v>1472</v>
      </c>
      <c r="E141" s="105" t="s">
        <v>1473</v>
      </c>
      <c r="F141" s="92" t="s">
        <v>1474</v>
      </c>
      <c r="G141" s="899" t="s">
        <v>30</v>
      </c>
      <c r="H141" s="64">
        <v>4.0</v>
      </c>
      <c r="I141" s="455">
        <f t="shared" ref="I141:I179" si="40">VLOOKUP(G141,$Y$4:$Z$43,2,0)</f>
        <v>220000</v>
      </c>
      <c r="J141" s="48">
        <f t="shared" si="34"/>
        <v>880000</v>
      </c>
      <c r="K141" s="76">
        <f t="shared" si="38"/>
        <v>880000</v>
      </c>
      <c r="L141" s="109"/>
      <c r="M141" s="78"/>
      <c r="N141" s="79"/>
      <c r="O141" s="80">
        <f t="shared" si="39"/>
        <v>880000</v>
      </c>
      <c r="P141" s="81" t="s">
        <v>449</v>
      </c>
      <c r="Q141" s="81" t="s">
        <v>31</v>
      </c>
      <c r="R141" s="108">
        <v>52002.0</v>
      </c>
      <c r="S141" s="83" t="s">
        <v>32</v>
      </c>
      <c r="T141" s="84" t="s">
        <v>33</v>
      </c>
      <c r="U141" s="122"/>
      <c r="V141" s="122"/>
      <c r="W141" s="284"/>
      <c r="X141" s="106"/>
      <c r="Y141" s="106"/>
      <c r="Z141" s="427"/>
      <c r="AA141" s="107"/>
      <c r="AB141" s="107"/>
      <c r="AC141" s="107"/>
      <c r="AD141" s="106"/>
    </row>
    <row r="142" ht="39.75" customHeight="1">
      <c r="A142" s="93">
        <v>97.0</v>
      </c>
      <c r="B142" s="103">
        <v>45154.0</v>
      </c>
      <c r="C142" s="93">
        <v>1.716034518218E12</v>
      </c>
      <c r="D142" s="92" t="s">
        <v>1475</v>
      </c>
      <c r="E142" s="105" t="s">
        <v>1476</v>
      </c>
      <c r="F142" s="121" t="s">
        <v>1477</v>
      </c>
      <c r="G142" s="899" t="s">
        <v>30</v>
      </c>
      <c r="H142" s="64">
        <v>1.0</v>
      </c>
      <c r="I142" s="455">
        <f t="shared" si="40"/>
        <v>220000</v>
      </c>
      <c r="J142" s="48">
        <f t="shared" si="34"/>
        <v>220000</v>
      </c>
      <c r="K142" s="76">
        <f t="shared" si="38"/>
        <v>220000</v>
      </c>
      <c r="L142" s="108">
        <v>33000.0</v>
      </c>
      <c r="M142" s="78"/>
      <c r="N142" s="115">
        <v>13000.0</v>
      </c>
      <c r="O142" s="80">
        <f t="shared" si="39"/>
        <v>240000</v>
      </c>
      <c r="P142" s="81" t="s">
        <v>449</v>
      </c>
      <c r="Q142" s="81" t="s">
        <v>31</v>
      </c>
      <c r="R142" s="65"/>
      <c r="S142" s="91"/>
      <c r="T142" s="84" t="s">
        <v>33</v>
      </c>
      <c r="U142" s="122"/>
      <c r="V142" s="122"/>
      <c r="W142" s="284"/>
      <c r="X142" s="106"/>
      <c r="Y142" s="106"/>
      <c r="Z142" s="427"/>
      <c r="AA142" s="107"/>
      <c r="AB142" s="107"/>
      <c r="AC142" s="107"/>
      <c r="AD142" s="106"/>
    </row>
    <row r="143" ht="31.5" customHeight="1">
      <c r="A143" s="93">
        <v>98.0</v>
      </c>
      <c r="B143" s="103">
        <v>45154.0</v>
      </c>
      <c r="C143" s="93">
        <v>1.716216568149E12</v>
      </c>
      <c r="D143" s="92" t="s">
        <v>1230</v>
      </c>
      <c r="E143" s="105" t="s">
        <v>1231</v>
      </c>
      <c r="F143" s="121" t="s">
        <v>1478</v>
      </c>
      <c r="G143" s="899" t="s">
        <v>30</v>
      </c>
      <c r="H143" s="64">
        <v>5.0</v>
      </c>
      <c r="I143" s="455">
        <f t="shared" si="40"/>
        <v>220000</v>
      </c>
      <c r="J143" s="48">
        <f t="shared" si="34"/>
        <v>1100000</v>
      </c>
      <c r="K143" s="76">
        <f t="shared" si="38"/>
        <v>1100000</v>
      </c>
      <c r="L143" s="109"/>
      <c r="M143" s="78"/>
      <c r="N143" s="79"/>
      <c r="O143" s="80">
        <f t="shared" si="39"/>
        <v>1100000</v>
      </c>
      <c r="P143" s="81" t="s">
        <v>449</v>
      </c>
      <c r="Q143" s="81" t="s">
        <v>31</v>
      </c>
      <c r="R143" s="108">
        <v>42298.0</v>
      </c>
      <c r="S143" s="83" t="s">
        <v>32</v>
      </c>
      <c r="T143" s="84" t="s">
        <v>33</v>
      </c>
      <c r="U143" s="122"/>
      <c r="V143" s="122"/>
      <c r="W143" s="284"/>
      <c r="X143" s="106"/>
      <c r="Y143" s="106"/>
      <c r="Z143" s="427"/>
      <c r="AA143" s="107"/>
      <c r="AB143" s="107"/>
      <c r="AC143" s="107"/>
      <c r="AD143" s="106"/>
    </row>
    <row r="144" ht="30.75" customHeight="1">
      <c r="A144" s="111">
        <v>99.0</v>
      </c>
      <c r="B144" s="112">
        <v>45154.0</v>
      </c>
      <c r="C144" s="111">
        <v>1.715725206932E12</v>
      </c>
      <c r="D144" s="142" t="s">
        <v>1479</v>
      </c>
      <c r="E144" s="821" t="s">
        <v>1480</v>
      </c>
      <c r="F144" s="44" t="s">
        <v>1481</v>
      </c>
      <c r="G144" s="899" t="s">
        <v>30</v>
      </c>
      <c r="H144" s="64">
        <v>7.0</v>
      </c>
      <c r="I144" s="455">
        <f t="shared" si="40"/>
        <v>220000</v>
      </c>
      <c r="J144" s="48">
        <f t="shared" si="34"/>
        <v>1540000</v>
      </c>
      <c r="K144" s="49">
        <f>SUM(J144:J147)</f>
        <v>10840000</v>
      </c>
      <c r="L144" s="144"/>
      <c r="M144" s="51"/>
      <c r="N144" s="52"/>
      <c r="O144" s="53">
        <f t="shared" si="39"/>
        <v>10840000</v>
      </c>
      <c r="P144" s="99" t="s">
        <v>449</v>
      </c>
      <c r="Q144" s="99" t="s">
        <v>31</v>
      </c>
      <c r="R144" s="145">
        <v>342860.0</v>
      </c>
      <c r="S144" s="56" t="s">
        <v>32</v>
      </c>
      <c r="T144" s="57" t="s">
        <v>33</v>
      </c>
      <c r="U144" s="147"/>
      <c r="V144" s="147"/>
      <c r="W144" s="501"/>
      <c r="X144" s="106"/>
      <c r="Y144" s="106"/>
      <c r="Z144" s="427"/>
      <c r="AA144" s="107"/>
      <c r="AB144" s="107"/>
      <c r="AC144" s="107"/>
      <c r="AD144" s="106"/>
    </row>
    <row r="145" ht="30.75" customHeight="1">
      <c r="A145" s="62"/>
      <c r="B145" s="62"/>
      <c r="C145" s="62"/>
      <c r="D145" s="62"/>
      <c r="E145" s="62"/>
      <c r="F145" s="62"/>
      <c r="G145" s="899" t="s">
        <v>35</v>
      </c>
      <c r="H145" s="64">
        <v>27.0</v>
      </c>
      <c r="I145" s="455">
        <f t="shared" si="40"/>
        <v>220000</v>
      </c>
      <c r="J145" s="48">
        <f t="shared" si="34"/>
        <v>5940000</v>
      </c>
      <c r="K145" s="62"/>
      <c r="L145" s="62"/>
      <c r="M145" s="62"/>
      <c r="N145" s="62"/>
      <c r="O145" s="62"/>
      <c r="P145" s="62"/>
      <c r="Q145" s="62"/>
      <c r="R145" s="62"/>
      <c r="S145" s="62"/>
      <c r="T145" s="62"/>
      <c r="U145" s="62"/>
      <c r="V145" s="62"/>
      <c r="W145" s="62"/>
      <c r="X145" s="106"/>
      <c r="Y145" s="106"/>
      <c r="Z145" s="427"/>
      <c r="AA145" s="107"/>
      <c r="AB145" s="107"/>
      <c r="AC145" s="107"/>
      <c r="AD145" s="106"/>
    </row>
    <row r="146" ht="30.75" customHeight="1">
      <c r="A146" s="62"/>
      <c r="B146" s="62"/>
      <c r="C146" s="62"/>
      <c r="D146" s="62"/>
      <c r="E146" s="62"/>
      <c r="F146" s="62"/>
      <c r="G146" s="899" t="s">
        <v>122</v>
      </c>
      <c r="H146" s="64">
        <v>12.0</v>
      </c>
      <c r="I146" s="455">
        <f t="shared" si="40"/>
        <v>220000</v>
      </c>
      <c r="J146" s="48">
        <f t="shared" si="34"/>
        <v>2640000</v>
      </c>
      <c r="K146" s="62"/>
      <c r="L146" s="62"/>
      <c r="M146" s="62"/>
      <c r="N146" s="62"/>
      <c r="O146" s="62"/>
      <c r="P146" s="62"/>
      <c r="Q146" s="62"/>
      <c r="R146" s="62"/>
      <c r="S146" s="62"/>
      <c r="T146" s="62"/>
      <c r="U146" s="62"/>
      <c r="V146" s="62"/>
      <c r="W146" s="62"/>
      <c r="X146" s="106"/>
      <c r="Y146" s="106"/>
      <c r="Z146" s="427"/>
      <c r="AA146" s="107"/>
      <c r="AB146" s="107"/>
      <c r="AC146" s="107"/>
      <c r="AD146" s="106"/>
    </row>
    <row r="147" ht="30.75" customHeight="1">
      <c r="A147" s="67"/>
      <c r="B147" s="67"/>
      <c r="C147" s="67"/>
      <c r="D147" s="67"/>
      <c r="E147" s="67"/>
      <c r="F147" s="67"/>
      <c r="G147" s="899" t="s">
        <v>61</v>
      </c>
      <c r="H147" s="64">
        <v>8.0</v>
      </c>
      <c r="I147" s="455">
        <f t="shared" si="40"/>
        <v>90000</v>
      </c>
      <c r="J147" s="48">
        <f t="shared" si="34"/>
        <v>720000</v>
      </c>
      <c r="K147" s="67"/>
      <c r="L147" s="67"/>
      <c r="M147" s="67"/>
      <c r="N147" s="67"/>
      <c r="O147" s="67"/>
      <c r="P147" s="67"/>
      <c r="Q147" s="67"/>
      <c r="R147" s="67"/>
      <c r="S147" s="67"/>
      <c r="T147" s="67"/>
      <c r="U147" s="67"/>
      <c r="V147" s="67"/>
      <c r="W147" s="67"/>
      <c r="X147" s="106"/>
      <c r="Y147" s="106"/>
      <c r="Z147" s="427"/>
      <c r="AA147" s="107"/>
      <c r="AB147" s="107"/>
      <c r="AC147" s="107"/>
      <c r="AD147" s="106"/>
    </row>
    <row r="148" ht="30.75" customHeight="1">
      <c r="A148" s="93">
        <v>100.0</v>
      </c>
      <c r="B148" s="103">
        <v>45154.0</v>
      </c>
      <c r="C148" s="447" t="s">
        <v>1482</v>
      </c>
      <c r="D148" s="92" t="s">
        <v>50</v>
      </c>
      <c r="E148" s="105" t="s">
        <v>298</v>
      </c>
      <c r="F148" s="92" t="s">
        <v>74</v>
      </c>
      <c r="G148" s="899" t="s">
        <v>30</v>
      </c>
      <c r="H148" s="64">
        <v>1.0</v>
      </c>
      <c r="I148" s="455">
        <f t="shared" si="40"/>
        <v>220000</v>
      </c>
      <c r="J148" s="48">
        <f t="shared" si="34"/>
        <v>220000</v>
      </c>
      <c r="K148" s="76">
        <f t="shared" ref="K148:K159" si="41">SUM(J148)</f>
        <v>220000</v>
      </c>
      <c r="L148" s="109"/>
      <c r="M148" s="78">
        <f>7797+4400</f>
        <v>12197</v>
      </c>
      <c r="N148" s="79"/>
      <c r="O148" s="80">
        <f t="shared" ref="O148:O160" si="42">K148+L148-M148-N148</f>
        <v>207803</v>
      </c>
      <c r="P148" s="81" t="s">
        <v>449</v>
      </c>
      <c r="Q148" s="81" t="s">
        <v>31</v>
      </c>
      <c r="R148" s="65"/>
      <c r="S148" s="91"/>
      <c r="T148" s="84" t="s">
        <v>33</v>
      </c>
      <c r="U148" s="122"/>
      <c r="V148" s="122"/>
      <c r="W148" s="155" t="s">
        <v>53</v>
      </c>
      <c r="X148" s="106"/>
      <c r="Y148" s="106"/>
      <c r="Z148" s="427"/>
      <c r="AA148" s="107"/>
      <c r="AB148" s="107"/>
      <c r="AC148" s="107"/>
      <c r="AD148" s="106"/>
    </row>
    <row r="149" ht="30.75" customHeight="1">
      <c r="A149" s="93">
        <v>101.0</v>
      </c>
      <c r="B149" s="103">
        <v>45154.0</v>
      </c>
      <c r="C149" s="104">
        <v>1962.0</v>
      </c>
      <c r="D149" s="92" t="s">
        <v>50</v>
      </c>
      <c r="E149" s="105" t="s">
        <v>1483</v>
      </c>
      <c r="F149" s="92" t="s">
        <v>84</v>
      </c>
      <c r="G149" s="899" t="s">
        <v>30</v>
      </c>
      <c r="H149" s="64">
        <v>2.0</v>
      </c>
      <c r="I149" s="455">
        <f t="shared" si="40"/>
        <v>220000</v>
      </c>
      <c r="J149" s="48">
        <f t="shared" si="34"/>
        <v>440000</v>
      </c>
      <c r="K149" s="76">
        <f t="shared" si="41"/>
        <v>440000</v>
      </c>
      <c r="L149" s="109"/>
      <c r="M149" s="78">
        <f>13200+8800+44000</f>
        <v>66000</v>
      </c>
      <c r="N149" s="79"/>
      <c r="O149" s="80">
        <f t="shared" si="42"/>
        <v>374000</v>
      </c>
      <c r="P149" s="81" t="s">
        <v>449</v>
      </c>
      <c r="Q149" s="81" t="s">
        <v>31</v>
      </c>
      <c r="R149" s="65"/>
      <c r="S149" s="91"/>
      <c r="T149" s="84" t="s">
        <v>33</v>
      </c>
      <c r="U149" s="122"/>
      <c r="V149" s="122"/>
      <c r="W149" s="155" t="s">
        <v>53</v>
      </c>
      <c r="X149" s="106"/>
      <c r="Y149" s="106"/>
      <c r="Z149" s="427"/>
      <c r="AA149" s="107"/>
      <c r="AB149" s="107"/>
      <c r="AC149" s="107"/>
      <c r="AD149" s="106"/>
    </row>
    <row r="150" ht="30.75" customHeight="1">
      <c r="A150" s="93">
        <v>102.0</v>
      </c>
      <c r="B150" s="103">
        <v>45154.0</v>
      </c>
      <c r="C150" s="104">
        <v>5458.0</v>
      </c>
      <c r="D150" s="92" t="s">
        <v>50</v>
      </c>
      <c r="E150" s="105" t="s">
        <v>137</v>
      </c>
      <c r="F150" s="92" t="s">
        <v>613</v>
      </c>
      <c r="G150" s="899" t="s">
        <v>30</v>
      </c>
      <c r="H150" s="64">
        <v>1.0</v>
      </c>
      <c r="I150" s="455">
        <f t="shared" si="40"/>
        <v>220000</v>
      </c>
      <c r="J150" s="48">
        <f t="shared" si="34"/>
        <v>220000</v>
      </c>
      <c r="K150" s="76">
        <f t="shared" si="41"/>
        <v>220000</v>
      </c>
      <c r="L150" s="109"/>
      <c r="M150" s="78">
        <f>6600+4400</f>
        <v>11000</v>
      </c>
      <c r="N150" s="79"/>
      <c r="O150" s="80">
        <f t="shared" si="42"/>
        <v>209000</v>
      </c>
      <c r="P150" s="81" t="s">
        <v>449</v>
      </c>
      <c r="Q150" s="81" t="s">
        <v>31</v>
      </c>
      <c r="R150" s="65"/>
      <c r="S150" s="91"/>
      <c r="T150" s="84" t="s">
        <v>33</v>
      </c>
      <c r="U150" s="122"/>
      <c r="V150" s="122"/>
      <c r="W150" s="155" t="s">
        <v>53</v>
      </c>
      <c r="X150" s="106"/>
      <c r="Y150" s="106"/>
      <c r="Z150" s="427"/>
      <c r="AA150" s="107"/>
      <c r="AB150" s="107"/>
      <c r="AC150" s="107"/>
      <c r="AD150" s="106"/>
    </row>
    <row r="151" ht="30.75" customHeight="1">
      <c r="A151" s="93">
        <v>103.0</v>
      </c>
      <c r="B151" s="103">
        <v>45155.0</v>
      </c>
      <c r="C151" s="104">
        <v>6859.0</v>
      </c>
      <c r="D151" s="92" t="s">
        <v>50</v>
      </c>
      <c r="E151" s="890" t="s">
        <v>1484</v>
      </c>
      <c r="F151" s="122" t="s">
        <v>74</v>
      </c>
      <c r="G151" s="899" t="s">
        <v>30</v>
      </c>
      <c r="H151" s="64">
        <v>1.0</v>
      </c>
      <c r="I151" s="455">
        <f t="shared" si="40"/>
        <v>220000</v>
      </c>
      <c r="J151" s="48">
        <f t="shared" si="34"/>
        <v>220000</v>
      </c>
      <c r="K151" s="76">
        <f t="shared" si="41"/>
        <v>220000</v>
      </c>
      <c r="L151" s="109"/>
      <c r="M151" s="78">
        <f t="shared" ref="M151:M153" si="43">K151*5%</f>
        <v>11000</v>
      </c>
      <c r="N151" s="79"/>
      <c r="O151" s="80">
        <f t="shared" si="42"/>
        <v>209000</v>
      </c>
      <c r="P151" s="176"/>
      <c r="Q151" s="176"/>
      <c r="R151" s="65"/>
      <c r="S151" s="91"/>
      <c r="T151" s="183"/>
      <c r="U151" s="122"/>
      <c r="V151" s="122"/>
      <c r="W151" s="155" t="s">
        <v>53</v>
      </c>
      <c r="X151" s="106"/>
      <c r="Y151" s="106"/>
      <c r="Z151" s="427"/>
      <c r="AA151" s="107"/>
      <c r="AB151" s="107"/>
      <c r="AC151" s="107"/>
      <c r="AD151" s="106"/>
    </row>
    <row r="152" ht="30.75" customHeight="1">
      <c r="A152" s="93">
        <v>104.0</v>
      </c>
      <c r="B152" s="103">
        <v>45155.0</v>
      </c>
      <c r="C152" s="104">
        <v>3666.0</v>
      </c>
      <c r="D152" s="92" t="s">
        <v>50</v>
      </c>
      <c r="E152" s="890" t="s">
        <v>1485</v>
      </c>
      <c r="F152" s="122" t="s">
        <v>74</v>
      </c>
      <c r="G152" s="899" t="s">
        <v>30</v>
      </c>
      <c r="H152" s="64">
        <v>1.0</v>
      </c>
      <c r="I152" s="455">
        <f t="shared" si="40"/>
        <v>220000</v>
      </c>
      <c r="J152" s="48">
        <f t="shared" si="34"/>
        <v>220000</v>
      </c>
      <c r="K152" s="76">
        <f t="shared" si="41"/>
        <v>220000</v>
      </c>
      <c r="L152" s="109"/>
      <c r="M152" s="78">
        <f t="shared" si="43"/>
        <v>11000</v>
      </c>
      <c r="N152" s="79"/>
      <c r="O152" s="80">
        <f t="shared" si="42"/>
        <v>209000</v>
      </c>
      <c r="P152" s="176"/>
      <c r="Q152" s="176"/>
      <c r="R152" s="65"/>
      <c r="S152" s="91"/>
      <c r="T152" s="183"/>
      <c r="U152" s="122"/>
      <c r="V152" s="122"/>
      <c r="W152" s="155" t="s">
        <v>53</v>
      </c>
      <c r="X152" s="106"/>
      <c r="Y152" s="106"/>
      <c r="Z152" s="427"/>
      <c r="AA152" s="107"/>
      <c r="AB152" s="107"/>
      <c r="AC152" s="107"/>
      <c r="AD152" s="106"/>
    </row>
    <row r="153" ht="30.75" customHeight="1">
      <c r="A153" s="93">
        <v>105.0</v>
      </c>
      <c r="B153" s="103">
        <v>45155.0</v>
      </c>
      <c r="C153" s="104">
        <v>4864.0</v>
      </c>
      <c r="D153" s="92" t="s">
        <v>50</v>
      </c>
      <c r="E153" s="890" t="s">
        <v>1486</v>
      </c>
      <c r="F153" s="122" t="s">
        <v>119</v>
      </c>
      <c r="G153" s="899" t="s">
        <v>30</v>
      </c>
      <c r="H153" s="64">
        <v>1.0</v>
      </c>
      <c r="I153" s="455">
        <f t="shared" si="40"/>
        <v>220000</v>
      </c>
      <c r="J153" s="48">
        <f t="shared" si="34"/>
        <v>220000</v>
      </c>
      <c r="K153" s="76">
        <f t="shared" si="41"/>
        <v>220000</v>
      </c>
      <c r="L153" s="109"/>
      <c r="M153" s="78">
        <f t="shared" si="43"/>
        <v>11000</v>
      </c>
      <c r="N153" s="79"/>
      <c r="O153" s="80">
        <f t="shared" si="42"/>
        <v>209000</v>
      </c>
      <c r="P153" s="176"/>
      <c r="Q153" s="176"/>
      <c r="R153" s="65"/>
      <c r="S153" s="91"/>
      <c r="T153" s="183"/>
      <c r="U153" s="122"/>
      <c r="V153" s="122"/>
      <c r="W153" s="155" t="s">
        <v>53</v>
      </c>
      <c r="X153" s="106"/>
      <c r="Y153" s="106"/>
      <c r="Z153" s="427"/>
      <c r="AA153" s="107"/>
      <c r="AB153" s="107"/>
      <c r="AC153" s="107"/>
      <c r="AD153" s="106"/>
    </row>
    <row r="154" ht="30.75" customHeight="1">
      <c r="A154" s="93">
        <v>106.0</v>
      </c>
      <c r="B154" s="103">
        <v>45155.0</v>
      </c>
      <c r="C154" s="104">
        <v>5162.0</v>
      </c>
      <c r="D154" s="92" t="s">
        <v>50</v>
      </c>
      <c r="E154" s="890" t="s">
        <v>1487</v>
      </c>
      <c r="F154" s="122" t="s">
        <v>193</v>
      </c>
      <c r="G154" s="899" t="s">
        <v>30</v>
      </c>
      <c r="H154" s="64">
        <v>1.0</v>
      </c>
      <c r="I154" s="455">
        <f t="shared" si="40"/>
        <v>220000</v>
      </c>
      <c r="J154" s="48">
        <f t="shared" si="34"/>
        <v>220000</v>
      </c>
      <c r="K154" s="76">
        <f t="shared" si="41"/>
        <v>220000</v>
      </c>
      <c r="L154" s="109"/>
      <c r="M154" s="78">
        <f>7557+4400</f>
        <v>11957</v>
      </c>
      <c r="N154" s="79"/>
      <c r="O154" s="80">
        <f t="shared" si="42"/>
        <v>208043</v>
      </c>
      <c r="P154" s="81" t="s">
        <v>449</v>
      </c>
      <c r="Q154" s="81" t="s">
        <v>31</v>
      </c>
      <c r="R154" s="65"/>
      <c r="S154" s="91"/>
      <c r="T154" s="84" t="s">
        <v>33</v>
      </c>
      <c r="U154" s="122"/>
      <c r="V154" s="122"/>
      <c r="W154" s="155" t="s">
        <v>53</v>
      </c>
      <c r="X154" s="106"/>
      <c r="Y154" s="106"/>
      <c r="Z154" s="427"/>
      <c r="AA154" s="107"/>
      <c r="AB154" s="107"/>
      <c r="AC154" s="107"/>
      <c r="AD154" s="106"/>
    </row>
    <row r="155" ht="30.75" customHeight="1">
      <c r="A155" s="93">
        <v>107.0</v>
      </c>
      <c r="B155" s="103">
        <v>45155.0</v>
      </c>
      <c r="C155" s="447" t="s">
        <v>1488</v>
      </c>
      <c r="D155" s="92" t="s">
        <v>50</v>
      </c>
      <c r="E155" s="890" t="s">
        <v>1489</v>
      </c>
      <c r="F155" s="122" t="s">
        <v>156</v>
      </c>
      <c r="G155" s="899" t="s">
        <v>30</v>
      </c>
      <c r="H155" s="64">
        <v>1.0</v>
      </c>
      <c r="I155" s="455">
        <f t="shared" si="40"/>
        <v>220000</v>
      </c>
      <c r="J155" s="48">
        <f t="shared" si="34"/>
        <v>220000</v>
      </c>
      <c r="K155" s="76">
        <f t="shared" si="41"/>
        <v>220000</v>
      </c>
      <c r="L155" s="109"/>
      <c r="M155" s="78">
        <f>7257+4400</f>
        <v>11657</v>
      </c>
      <c r="N155" s="79"/>
      <c r="O155" s="80">
        <f t="shared" si="42"/>
        <v>208343</v>
      </c>
      <c r="P155" s="81" t="s">
        <v>449</v>
      </c>
      <c r="Q155" s="81" t="s">
        <v>31</v>
      </c>
      <c r="R155" s="65"/>
      <c r="S155" s="91"/>
      <c r="T155" s="84" t="s">
        <v>33</v>
      </c>
      <c r="U155" s="122"/>
      <c r="V155" s="122"/>
      <c r="W155" s="155" t="s">
        <v>53</v>
      </c>
      <c r="X155" s="106"/>
      <c r="Y155" s="106"/>
      <c r="Z155" s="427"/>
      <c r="AA155" s="107"/>
      <c r="AB155" s="107"/>
      <c r="AC155" s="107"/>
      <c r="AD155" s="106"/>
    </row>
    <row r="156" ht="30.75" customHeight="1">
      <c r="A156" s="93">
        <v>108.0</v>
      </c>
      <c r="B156" s="103">
        <v>45155.0</v>
      </c>
      <c r="C156" s="104">
        <v>7667.0</v>
      </c>
      <c r="D156" s="92" t="s">
        <v>50</v>
      </c>
      <c r="E156" s="890" t="s">
        <v>1490</v>
      </c>
      <c r="F156" s="122" t="s">
        <v>193</v>
      </c>
      <c r="G156" s="899" t="s">
        <v>30</v>
      </c>
      <c r="H156" s="64">
        <v>1.0</v>
      </c>
      <c r="I156" s="455">
        <f t="shared" si="40"/>
        <v>220000</v>
      </c>
      <c r="J156" s="48">
        <f t="shared" si="34"/>
        <v>220000</v>
      </c>
      <c r="K156" s="76">
        <f t="shared" si="41"/>
        <v>220000</v>
      </c>
      <c r="L156" s="109"/>
      <c r="M156" s="78">
        <f>7017+4400</f>
        <v>11417</v>
      </c>
      <c r="N156" s="79"/>
      <c r="O156" s="80">
        <f t="shared" si="42"/>
        <v>208583</v>
      </c>
      <c r="P156" s="81" t="s">
        <v>449</v>
      </c>
      <c r="Q156" s="81" t="s">
        <v>31</v>
      </c>
      <c r="R156" s="65"/>
      <c r="S156" s="91"/>
      <c r="T156" s="84" t="s">
        <v>33</v>
      </c>
      <c r="U156" s="122"/>
      <c r="V156" s="122"/>
      <c r="W156" s="155" t="s">
        <v>53</v>
      </c>
      <c r="X156" s="106"/>
      <c r="Y156" s="106"/>
      <c r="Z156" s="427"/>
      <c r="AA156" s="107"/>
      <c r="AB156" s="107"/>
      <c r="AC156" s="107"/>
      <c r="AD156" s="106"/>
    </row>
    <row r="157" ht="30.75" customHeight="1">
      <c r="A157" s="93">
        <v>109.0</v>
      </c>
      <c r="B157" s="103">
        <v>45155.0</v>
      </c>
      <c r="C157" s="93">
        <v>1860.0</v>
      </c>
      <c r="D157" s="92" t="s">
        <v>50</v>
      </c>
      <c r="E157" s="890" t="s">
        <v>1491</v>
      </c>
      <c r="F157" s="122" t="s">
        <v>897</v>
      </c>
      <c r="G157" s="899" t="s">
        <v>30</v>
      </c>
      <c r="H157" s="64">
        <v>1.0</v>
      </c>
      <c r="I157" s="455">
        <f t="shared" si="40"/>
        <v>220000</v>
      </c>
      <c r="J157" s="48">
        <f t="shared" si="34"/>
        <v>220000</v>
      </c>
      <c r="K157" s="76">
        <f t="shared" si="41"/>
        <v>220000</v>
      </c>
      <c r="L157" s="109"/>
      <c r="M157" s="78">
        <f t="shared" ref="M157:M158" si="44">K157*5%</f>
        <v>11000</v>
      </c>
      <c r="N157" s="79"/>
      <c r="O157" s="80">
        <f t="shared" si="42"/>
        <v>209000</v>
      </c>
      <c r="P157" s="176"/>
      <c r="Q157" s="176"/>
      <c r="R157" s="65"/>
      <c r="S157" s="91"/>
      <c r="T157" s="183"/>
      <c r="U157" s="122"/>
      <c r="V157" s="122"/>
      <c r="W157" s="155" t="s">
        <v>53</v>
      </c>
      <c r="X157" s="106"/>
      <c r="Y157" s="106"/>
      <c r="Z157" s="427"/>
      <c r="AA157" s="107"/>
      <c r="AB157" s="107"/>
      <c r="AC157" s="107"/>
      <c r="AD157" s="106"/>
    </row>
    <row r="158" ht="30.75" customHeight="1">
      <c r="A158" s="93">
        <v>110.0</v>
      </c>
      <c r="B158" s="900">
        <v>45155.0</v>
      </c>
      <c r="C158" s="93">
        <v>9860.0</v>
      </c>
      <c r="D158" s="92" t="s">
        <v>50</v>
      </c>
      <c r="E158" s="105" t="s">
        <v>1492</v>
      </c>
      <c r="F158" s="92" t="s">
        <v>281</v>
      </c>
      <c r="G158" s="899" t="s">
        <v>30</v>
      </c>
      <c r="H158" s="64">
        <v>1.0</v>
      </c>
      <c r="I158" s="455">
        <f t="shared" si="40"/>
        <v>220000</v>
      </c>
      <c r="J158" s="48">
        <f t="shared" si="34"/>
        <v>220000</v>
      </c>
      <c r="K158" s="76">
        <f t="shared" si="41"/>
        <v>220000</v>
      </c>
      <c r="L158" s="109"/>
      <c r="M158" s="78">
        <f t="shared" si="44"/>
        <v>11000</v>
      </c>
      <c r="N158" s="79"/>
      <c r="O158" s="80">
        <f t="shared" si="42"/>
        <v>209000</v>
      </c>
      <c r="P158" s="176"/>
      <c r="Q158" s="176"/>
      <c r="R158" s="108"/>
      <c r="S158" s="83"/>
      <c r="T158" s="183"/>
      <c r="U158" s="122"/>
      <c r="V158" s="122"/>
      <c r="W158" s="155" t="s">
        <v>53</v>
      </c>
      <c r="X158" s="106"/>
      <c r="Y158" s="106"/>
      <c r="Z158" s="427"/>
      <c r="AA158" s="107"/>
      <c r="AB158" s="107"/>
      <c r="AC158" s="107"/>
      <c r="AD158" s="106"/>
    </row>
    <row r="159" ht="30.75" customHeight="1">
      <c r="A159" s="93">
        <v>111.0</v>
      </c>
      <c r="B159" s="103">
        <v>45155.0</v>
      </c>
      <c r="C159" s="93">
        <v>1.701962562112E12</v>
      </c>
      <c r="D159" s="92" t="s">
        <v>162</v>
      </c>
      <c r="E159" s="105" t="s">
        <v>163</v>
      </c>
      <c r="F159" s="92" t="s">
        <v>583</v>
      </c>
      <c r="G159" s="899" t="s">
        <v>30</v>
      </c>
      <c r="H159" s="64">
        <v>3.0</v>
      </c>
      <c r="I159" s="455">
        <f t="shared" si="40"/>
        <v>220000</v>
      </c>
      <c r="J159" s="48">
        <f t="shared" si="34"/>
        <v>660000</v>
      </c>
      <c r="K159" s="76">
        <f t="shared" si="41"/>
        <v>660000</v>
      </c>
      <c r="L159" s="109"/>
      <c r="M159" s="575"/>
      <c r="N159" s="79"/>
      <c r="O159" s="80">
        <f t="shared" si="42"/>
        <v>660000</v>
      </c>
      <c r="P159" s="81" t="s">
        <v>449</v>
      </c>
      <c r="Q159" s="81" t="s">
        <v>31</v>
      </c>
      <c r="R159" s="108">
        <v>49002.0</v>
      </c>
      <c r="S159" s="83" t="s">
        <v>32</v>
      </c>
      <c r="T159" s="84" t="s">
        <v>33</v>
      </c>
      <c r="U159" s="122"/>
      <c r="V159" s="122"/>
      <c r="W159" s="284"/>
      <c r="X159" s="106"/>
      <c r="Y159" s="106"/>
      <c r="Z159" s="427"/>
      <c r="AA159" s="107"/>
      <c r="AB159" s="107"/>
      <c r="AC159" s="107"/>
      <c r="AD159" s="106"/>
    </row>
    <row r="160" ht="30.75" customHeight="1">
      <c r="A160" s="111">
        <v>112.0</v>
      </c>
      <c r="B160" s="112">
        <v>45156.0</v>
      </c>
      <c r="C160" s="147"/>
      <c r="D160" s="142" t="s">
        <v>357</v>
      </c>
      <c r="E160" s="143" t="s">
        <v>358</v>
      </c>
      <c r="F160" s="451" t="s">
        <v>359</v>
      </c>
      <c r="G160" s="901" t="s">
        <v>477</v>
      </c>
      <c r="H160" s="73">
        <v>4.0</v>
      </c>
      <c r="I160" s="874">
        <f t="shared" si="40"/>
        <v>65000</v>
      </c>
      <c r="J160" s="75">
        <f t="shared" si="34"/>
        <v>260000</v>
      </c>
      <c r="K160" s="49">
        <f>SUM(J160:J162)</f>
        <v>740000</v>
      </c>
      <c r="L160" s="144"/>
      <c r="M160" s="561"/>
      <c r="N160" s="52"/>
      <c r="O160" s="53">
        <f t="shared" si="42"/>
        <v>740000</v>
      </c>
      <c r="P160" s="99" t="s">
        <v>449</v>
      </c>
      <c r="Q160" s="99" t="s">
        <v>31</v>
      </c>
      <c r="R160" s="146"/>
      <c r="S160" s="119"/>
      <c r="T160" s="57" t="s">
        <v>33</v>
      </c>
      <c r="U160" s="147"/>
      <c r="V160" s="147"/>
      <c r="W160" s="148" t="s">
        <v>1493</v>
      </c>
      <c r="X160" s="106"/>
      <c r="Y160" s="106"/>
      <c r="Z160" s="427"/>
      <c r="AA160" s="107"/>
      <c r="AB160" s="107"/>
      <c r="AC160" s="107"/>
      <c r="AD160" s="106"/>
    </row>
    <row r="161" ht="30.75" customHeight="1">
      <c r="A161" s="62"/>
      <c r="B161" s="62"/>
      <c r="C161" s="62"/>
      <c r="D161" s="62"/>
      <c r="E161" s="62"/>
      <c r="F161" s="423"/>
      <c r="G161" s="901" t="s">
        <v>476</v>
      </c>
      <c r="H161" s="73">
        <v>4.0</v>
      </c>
      <c r="I161" s="874">
        <f t="shared" si="40"/>
        <v>55000</v>
      </c>
      <c r="J161" s="75">
        <f t="shared" si="34"/>
        <v>220000</v>
      </c>
      <c r="K161" s="62"/>
      <c r="L161" s="62"/>
      <c r="M161" s="62"/>
      <c r="N161" s="62"/>
      <c r="O161" s="62"/>
      <c r="P161" s="62"/>
      <c r="Q161" s="62"/>
      <c r="R161" s="62"/>
      <c r="S161" s="62"/>
      <c r="T161" s="62"/>
      <c r="U161" s="62"/>
      <c r="V161" s="62"/>
      <c r="W161" s="62"/>
      <c r="X161" s="106"/>
      <c r="Y161" s="106"/>
      <c r="Z161" s="427"/>
      <c r="AA161" s="107"/>
      <c r="AB161" s="107"/>
      <c r="AC161" s="107"/>
      <c r="AD161" s="106"/>
    </row>
    <row r="162" ht="30.75" customHeight="1">
      <c r="A162" s="67"/>
      <c r="B162" s="67"/>
      <c r="C162" s="67"/>
      <c r="D162" s="67"/>
      <c r="E162" s="67"/>
      <c r="F162" s="102"/>
      <c r="G162" s="72" t="s">
        <v>478</v>
      </c>
      <c r="H162" s="73">
        <v>4.0</v>
      </c>
      <c r="I162" s="874">
        <f t="shared" si="40"/>
        <v>65000</v>
      </c>
      <c r="J162" s="75">
        <f t="shared" si="34"/>
        <v>260000</v>
      </c>
      <c r="K162" s="67"/>
      <c r="L162" s="67"/>
      <c r="M162" s="67"/>
      <c r="N162" s="67"/>
      <c r="O162" s="67"/>
      <c r="P162" s="67"/>
      <c r="Q162" s="67"/>
      <c r="R162" s="67"/>
      <c r="S162" s="67"/>
      <c r="T162" s="67"/>
      <c r="U162" s="67"/>
      <c r="V162" s="67"/>
      <c r="W162" s="67"/>
      <c r="X162" s="106"/>
      <c r="Y162" s="106"/>
      <c r="Z162" s="427"/>
      <c r="AA162" s="107"/>
      <c r="AB162" s="107"/>
      <c r="AC162" s="107"/>
      <c r="AD162" s="106"/>
    </row>
    <row r="163" ht="30.75" customHeight="1">
      <c r="A163" s="111">
        <v>113.0</v>
      </c>
      <c r="B163" s="112">
        <v>45156.0</v>
      </c>
      <c r="C163" s="111">
        <v>7370.0</v>
      </c>
      <c r="D163" s="142" t="s">
        <v>50</v>
      </c>
      <c r="E163" s="143" t="s">
        <v>507</v>
      </c>
      <c r="F163" s="142" t="s">
        <v>193</v>
      </c>
      <c r="G163" s="63" t="s">
        <v>165</v>
      </c>
      <c r="H163" s="64">
        <v>1.0</v>
      </c>
      <c r="I163" s="455">
        <f t="shared" si="40"/>
        <v>220000</v>
      </c>
      <c r="J163" s="48">
        <f t="shared" si="34"/>
        <v>220000</v>
      </c>
      <c r="K163" s="49">
        <f>SUM(J163:J164)</f>
        <v>440000</v>
      </c>
      <c r="L163" s="144"/>
      <c r="M163" s="51">
        <f>K163*5%</f>
        <v>22000</v>
      </c>
      <c r="N163" s="52"/>
      <c r="O163" s="53">
        <f>K163+L163-M163-N163</f>
        <v>418000</v>
      </c>
      <c r="P163" s="196"/>
      <c r="Q163" s="196"/>
      <c r="R163" s="146"/>
      <c r="S163" s="119"/>
      <c r="T163" s="197"/>
      <c r="U163" s="147"/>
      <c r="V163" s="147"/>
      <c r="W163" s="148" t="s">
        <v>53</v>
      </c>
      <c r="X163" s="106"/>
      <c r="Y163" s="106"/>
      <c r="Z163" s="427"/>
      <c r="AA163" s="107"/>
      <c r="AB163" s="107"/>
      <c r="AC163" s="107"/>
      <c r="AD163" s="106"/>
    </row>
    <row r="164" ht="30.75" customHeight="1">
      <c r="A164" s="67"/>
      <c r="B164" s="67"/>
      <c r="C164" s="67"/>
      <c r="D164" s="67"/>
      <c r="E164" s="67"/>
      <c r="F164" s="67"/>
      <c r="G164" s="63" t="s">
        <v>30</v>
      </c>
      <c r="H164" s="64">
        <v>1.0</v>
      </c>
      <c r="I164" s="455">
        <f t="shared" si="40"/>
        <v>220000</v>
      </c>
      <c r="J164" s="48">
        <f t="shared" si="34"/>
        <v>220000</v>
      </c>
      <c r="K164" s="67"/>
      <c r="L164" s="67"/>
      <c r="M164" s="67"/>
      <c r="N164" s="67"/>
      <c r="O164" s="67"/>
      <c r="P164" s="67"/>
      <c r="Q164" s="67"/>
      <c r="R164" s="67"/>
      <c r="S164" s="67"/>
      <c r="T164" s="67"/>
      <c r="U164" s="67"/>
      <c r="V164" s="67"/>
      <c r="W164" s="67"/>
      <c r="X164" s="106"/>
      <c r="Y164" s="106"/>
      <c r="Z164" s="427"/>
      <c r="AA164" s="107"/>
      <c r="AB164" s="107"/>
      <c r="AC164" s="107"/>
      <c r="AD164" s="106"/>
    </row>
    <row r="165" ht="30.75" customHeight="1">
      <c r="A165" s="93">
        <v>114.0</v>
      </c>
      <c r="B165" s="103">
        <v>45156.0</v>
      </c>
      <c r="C165" s="93">
        <v>7078.0</v>
      </c>
      <c r="D165" s="92" t="s">
        <v>50</v>
      </c>
      <c r="E165" s="105" t="s">
        <v>1061</v>
      </c>
      <c r="F165" s="92" t="s">
        <v>70</v>
      </c>
      <c r="G165" s="63" t="s">
        <v>30</v>
      </c>
      <c r="H165" s="64">
        <v>1.0</v>
      </c>
      <c r="I165" s="455">
        <f t="shared" si="40"/>
        <v>220000</v>
      </c>
      <c r="J165" s="48">
        <f t="shared" si="34"/>
        <v>220000</v>
      </c>
      <c r="K165" s="76">
        <f t="shared" ref="K165:K188" si="45">SUM(J165)</f>
        <v>220000</v>
      </c>
      <c r="L165" s="109"/>
      <c r="M165" s="78">
        <f t="shared" ref="M165:M168" si="46">K165*5%</f>
        <v>11000</v>
      </c>
      <c r="N165" s="79"/>
      <c r="O165" s="80">
        <f t="shared" ref="O165:O189" si="47">K165+L165-M165-N165</f>
        <v>209000</v>
      </c>
      <c r="P165" s="176"/>
      <c r="Q165" s="176"/>
      <c r="R165" s="65"/>
      <c r="S165" s="91"/>
      <c r="T165" s="183"/>
      <c r="U165" s="122"/>
      <c r="V165" s="122"/>
      <c r="W165" s="155" t="s">
        <v>53</v>
      </c>
      <c r="X165" s="106"/>
      <c r="Y165" s="106"/>
      <c r="Z165" s="427"/>
      <c r="AA165" s="107"/>
      <c r="AB165" s="107"/>
      <c r="AC165" s="107"/>
      <c r="AD165" s="106"/>
    </row>
    <row r="166" ht="30.75" customHeight="1">
      <c r="A166" s="93">
        <v>115.0</v>
      </c>
      <c r="B166" s="103">
        <v>45157.0</v>
      </c>
      <c r="C166" s="93">
        <v>3884.0</v>
      </c>
      <c r="D166" s="92" t="s">
        <v>50</v>
      </c>
      <c r="E166" s="105" t="s">
        <v>701</v>
      </c>
      <c r="F166" s="92" t="s">
        <v>156</v>
      </c>
      <c r="G166" s="63" t="s">
        <v>30</v>
      </c>
      <c r="H166" s="64">
        <v>1.0</v>
      </c>
      <c r="I166" s="455">
        <f t="shared" si="40"/>
        <v>220000</v>
      </c>
      <c r="J166" s="48">
        <f t="shared" si="34"/>
        <v>220000</v>
      </c>
      <c r="K166" s="76">
        <f t="shared" si="45"/>
        <v>220000</v>
      </c>
      <c r="L166" s="109"/>
      <c r="M166" s="78">
        <f t="shared" si="46"/>
        <v>11000</v>
      </c>
      <c r="N166" s="79"/>
      <c r="O166" s="80">
        <f t="shared" si="47"/>
        <v>209000</v>
      </c>
      <c r="P166" s="176"/>
      <c r="Q166" s="176"/>
      <c r="R166" s="122"/>
      <c r="S166" s="91"/>
      <c r="T166" s="183"/>
      <c r="U166" s="122"/>
      <c r="V166" s="122"/>
      <c r="W166" s="284"/>
      <c r="X166" s="106"/>
      <c r="Y166" s="106"/>
      <c r="Z166" s="427"/>
      <c r="AA166" s="107"/>
      <c r="AB166" s="107"/>
      <c r="AC166" s="107"/>
      <c r="AD166" s="106"/>
    </row>
    <row r="167" ht="30.75" customHeight="1">
      <c r="A167" s="93">
        <v>116.0</v>
      </c>
      <c r="B167" s="103">
        <v>45157.0</v>
      </c>
      <c r="C167" s="93">
        <v>3585.0</v>
      </c>
      <c r="D167" s="92" t="s">
        <v>50</v>
      </c>
      <c r="E167" s="105" t="s">
        <v>1494</v>
      </c>
      <c r="F167" s="92" t="s">
        <v>281</v>
      </c>
      <c r="G167" s="63" t="s">
        <v>30</v>
      </c>
      <c r="H167" s="64">
        <v>2.0</v>
      </c>
      <c r="I167" s="455">
        <f t="shared" si="40"/>
        <v>220000</v>
      </c>
      <c r="J167" s="48">
        <f t="shared" si="34"/>
        <v>440000</v>
      </c>
      <c r="K167" s="76">
        <f t="shared" si="45"/>
        <v>440000</v>
      </c>
      <c r="L167" s="109"/>
      <c r="M167" s="78">
        <f t="shared" si="46"/>
        <v>22000</v>
      </c>
      <c r="N167" s="79"/>
      <c r="O167" s="80">
        <f t="shared" si="47"/>
        <v>418000</v>
      </c>
      <c r="P167" s="176"/>
      <c r="Q167" s="176"/>
      <c r="R167" s="122"/>
      <c r="S167" s="91"/>
      <c r="T167" s="183"/>
      <c r="U167" s="122"/>
      <c r="V167" s="122"/>
      <c r="W167" s="284"/>
      <c r="X167" s="106"/>
      <c r="Y167" s="106"/>
      <c r="Z167" s="427"/>
      <c r="AA167" s="107"/>
      <c r="AB167" s="107"/>
      <c r="AC167" s="107"/>
      <c r="AD167" s="106"/>
    </row>
    <row r="168" ht="30.75" customHeight="1">
      <c r="A168" s="93">
        <v>117.0</v>
      </c>
      <c r="B168" s="103">
        <v>45157.0</v>
      </c>
      <c r="C168" s="93">
        <v>7173.0</v>
      </c>
      <c r="D168" s="92" t="s">
        <v>50</v>
      </c>
      <c r="E168" s="105" t="s">
        <v>1495</v>
      </c>
      <c r="F168" s="92" t="s">
        <v>70</v>
      </c>
      <c r="G168" s="63" t="s">
        <v>30</v>
      </c>
      <c r="H168" s="64">
        <v>2.0</v>
      </c>
      <c r="I168" s="455">
        <f t="shared" si="40"/>
        <v>220000</v>
      </c>
      <c r="J168" s="48">
        <f t="shared" si="34"/>
        <v>440000</v>
      </c>
      <c r="K168" s="76">
        <f t="shared" si="45"/>
        <v>440000</v>
      </c>
      <c r="L168" s="109"/>
      <c r="M168" s="78">
        <f t="shared" si="46"/>
        <v>22000</v>
      </c>
      <c r="N168" s="79"/>
      <c r="O168" s="80">
        <f t="shared" si="47"/>
        <v>418000</v>
      </c>
      <c r="P168" s="176"/>
      <c r="Q168" s="176"/>
      <c r="R168" s="122"/>
      <c r="S168" s="91"/>
      <c r="T168" s="183"/>
      <c r="U168" s="122"/>
      <c r="V168" s="122"/>
      <c r="W168" s="284"/>
      <c r="X168" s="106"/>
      <c r="Y168" s="106"/>
      <c r="Z168" s="427"/>
      <c r="AA168" s="107"/>
      <c r="AB168" s="107"/>
      <c r="AC168" s="107"/>
      <c r="AD168" s="106"/>
    </row>
    <row r="169" ht="30.75" customHeight="1">
      <c r="A169" s="93">
        <v>118.0</v>
      </c>
      <c r="B169" s="103">
        <v>45159.0</v>
      </c>
      <c r="C169" s="93">
        <v>1.694105620524E12</v>
      </c>
      <c r="D169" s="92" t="s">
        <v>1496</v>
      </c>
      <c r="E169" s="105" t="s">
        <v>1497</v>
      </c>
      <c r="F169" s="902" t="s">
        <v>1498</v>
      </c>
      <c r="G169" s="63" t="s">
        <v>35</v>
      </c>
      <c r="H169" s="64">
        <v>4.0</v>
      </c>
      <c r="I169" s="455">
        <f t="shared" si="40"/>
        <v>220000</v>
      </c>
      <c r="J169" s="48">
        <f t="shared" si="34"/>
        <v>880000</v>
      </c>
      <c r="K169" s="76">
        <f t="shared" si="45"/>
        <v>880000</v>
      </c>
      <c r="L169" s="109"/>
      <c r="M169" s="575"/>
      <c r="N169" s="79"/>
      <c r="O169" s="80">
        <f t="shared" si="47"/>
        <v>880000</v>
      </c>
      <c r="P169" s="81" t="s">
        <v>449</v>
      </c>
      <c r="Q169" s="81" t="s">
        <v>31</v>
      </c>
      <c r="R169" s="108">
        <v>52002.0</v>
      </c>
      <c r="S169" s="83" t="s">
        <v>32</v>
      </c>
      <c r="T169" s="84" t="s">
        <v>33</v>
      </c>
      <c r="U169" s="122"/>
      <c r="V169" s="122"/>
      <c r="W169" s="284"/>
      <c r="X169" s="106"/>
      <c r="Y169" s="106"/>
      <c r="Z169" s="427"/>
      <c r="AA169" s="107"/>
      <c r="AB169" s="107"/>
      <c r="AC169" s="107"/>
      <c r="AD169" s="106"/>
    </row>
    <row r="170" ht="36.75" customHeight="1">
      <c r="A170" s="93">
        <v>119.0</v>
      </c>
      <c r="B170" s="103">
        <v>45159.0</v>
      </c>
      <c r="C170" s="93">
        <v>1.693609803133E12</v>
      </c>
      <c r="D170" s="92" t="s">
        <v>306</v>
      </c>
      <c r="E170" s="105" t="s">
        <v>307</v>
      </c>
      <c r="F170" s="121" t="s">
        <v>1499</v>
      </c>
      <c r="G170" s="63" t="s">
        <v>30</v>
      </c>
      <c r="H170" s="64">
        <v>2.0</v>
      </c>
      <c r="I170" s="455">
        <f t="shared" si="40"/>
        <v>220000</v>
      </c>
      <c r="J170" s="48">
        <f t="shared" si="34"/>
        <v>440000</v>
      </c>
      <c r="K170" s="76">
        <f t="shared" si="45"/>
        <v>440000</v>
      </c>
      <c r="L170" s="108">
        <v>43001.0</v>
      </c>
      <c r="M170" s="575"/>
      <c r="N170" s="115">
        <v>13001.0</v>
      </c>
      <c r="O170" s="80">
        <f t="shared" si="47"/>
        <v>470000</v>
      </c>
      <c r="P170" s="81" t="s">
        <v>449</v>
      </c>
      <c r="Q170" s="81" t="s">
        <v>31</v>
      </c>
      <c r="R170" s="122"/>
      <c r="S170" s="91"/>
      <c r="T170" s="84" t="s">
        <v>33</v>
      </c>
      <c r="U170" s="122"/>
      <c r="V170" s="122"/>
      <c r="W170" s="284"/>
      <c r="X170" s="106"/>
      <c r="Y170" s="106"/>
      <c r="Z170" s="427"/>
      <c r="AA170" s="107"/>
      <c r="AB170" s="107"/>
      <c r="AC170" s="107"/>
      <c r="AD170" s="106"/>
    </row>
    <row r="171" ht="30.75" customHeight="1">
      <c r="A171" s="93">
        <v>120.0</v>
      </c>
      <c r="B171" s="103">
        <v>45159.0</v>
      </c>
      <c r="C171" s="903">
        <v>1.701636881671E12</v>
      </c>
      <c r="D171" s="92" t="s">
        <v>603</v>
      </c>
      <c r="E171" s="105" t="s">
        <v>712</v>
      </c>
      <c r="F171" s="184" t="s">
        <v>713</v>
      </c>
      <c r="G171" s="63" t="s">
        <v>30</v>
      </c>
      <c r="H171" s="64">
        <v>2.0</v>
      </c>
      <c r="I171" s="455">
        <f t="shared" si="40"/>
        <v>220000</v>
      </c>
      <c r="J171" s="48">
        <f t="shared" si="34"/>
        <v>440000</v>
      </c>
      <c r="K171" s="76">
        <f t="shared" si="45"/>
        <v>440000</v>
      </c>
      <c r="L171" s="108">
        <v>36001.0</v>
      </c>
      <c r="M171" s="575"/>
      <c r="N171" s="115">
        <v>6001.0</v>
      </c>
      <c r="O171" s="80">
        <f t="shared" si="47"/>
        <v>470000</v>
      </c>
      <c r="P171" s="81" t="s">
        <v>449</v>
      </c>
      <c r="Q171" s="81" t="s">
        <v>31</v>
      </c>
      <c r="R171" s="122"/>
      <c r="S171" s="91"/>
      <c r="T171" s="84" t="s">
        <v>33</v>
      </c>
      <c r="U171" s="122"/>
      <c r="V171" s="122"/>
      <c r="W171" s="155"/>
      <c r="X171" s="106"/>
      <c r="Y171" s="106"/>
      <c r="Z171" s="427"/>
      <c r="AA171" s="107"/>
      <c r="AB171" s="107"/>
      <c r="AC171" s="107"/>
      <c r="AD171" s="106"/>
    </row>
    <row r="172" ht="30.75" customHeight="1">
      <c r="A172" s="93">
        <v>121.0</v>
      </c>
      <c r="B172" s="103">
        <v>45159.0</v>
      </c>
      <c r="C172" s="93">
        <v>6182.0</v>
      </c>
      <c r="D172" s="92" t="s">
        <v>50</v>
      </c>
      <c r="E172" s="105" t="s">
        <v>1500</v>
      </c>
      <c r="F172" s="92" t="s">
        <v>548</v>
      </c>
      <c r="G172" s="63" t="s">
        <v>30</v>
      </c>
      <c r="H172" s="64">
        <v>1.0</v>
      </c>
      <c r="I172" s="455">
        <f t="shared" si="40"/>
        <v>220000</v>
      </c>
      <c r="J172" s="48">
        <f t="shared" si="34"/>
        <v>220000</v>
      </c>
      <c r="K172" s="76">
        <f t="shared" si="45"/>
        <v>220000</v>
      </c>
      <c r="L172" s="109"/>
      <c r="M172" s="78">
        <f t="shared" ref="M172:M179" si="48">K172*5%</f>
        <v>11000</v>
      </c>
      <c r="N172" s="79"/>
      <c r="O172" s="80">
        <f t="shared" si="47"/>
        <v>209000</v>
      </c>
      <c r="P172" s="176"/>
      <c r="Q172" s="176"/>
      <c r="R172" s="122"/>
      <c r="S172" s="91"/>
      <c r="T172" s="183"/>
      <c r="U172" s="122"/>
      <c r="V172" s="122"/>
      <c r="W172" s="155" t="s">
        <v>53</v>
      </c>
      <c r="X172" s="106"/>
      <c r="Y172" s="106"/>
      <c r="Z172" s="427"/>
      <c r="AA172" s="107"/>
      <c r="AB172" s="107"/>
      <c r="AC172" s="107"/>
      <c r="AD172" s="106"/>
    </row>
    <row r="173" ht="30.75" customHeight="1">
      <c r="A173" s="93">
        <v>122.0</v>
      </c>
      <c r="B173" s="103">
        <v>45159.0</v>
      </c>
      <c r="C173" s="93">
        <v>7580.0</v>
      </c>
      <c r="D173" s="92" t="s">
        <v>50</v>
      </c>
      <c r="E173" s="105" t="s">
        <v>1501</v>
      </c>
      <c r="F173" s="92" t="s">
        <v>193</v>
      </c>
      <c r="G173" s="63" t="s">
        <v>30</v>
      </c>
      <c r="H173" s="64">
        <v>1.0</v>
      </c>
      <c r="I173" s="455">
        <f t="shared" si="40"/>
        <v>220000</v>
      </c>
      <c r="J173" s="48">
        <f t="shared" si="34"/>
        <v>220000</v>
      </c>
      <c r="K173" s="76">
        <f t="shared" si="45"/>
        <v>220000</v>
      </c>
      <c r="L173" s="109"/>
      <c r="M173" s="78">
        <f t="shared" si="48"/>
        <v>11000</v>
      </c>
      <c r="N173" s="79"/>
      <c r="O173" s="80">
        <f t="shared" si="47"/>
        <v>209000</v>
      </c>
      <c r="P173" s="176"/>
      <c r="Q173" s="176"/>
      <c r="R173" s="122"/>
      <c r="S173" s="91"/>
      <c r="T173" s="183"/>
      <c r="U173" s="122"/>
      <c r="V173" s="122"/>
      <c r="W173" s="155" t="s">
        <v>53</v>
      </c>
      <c r="X173" s="106"/>
      <c r="Y173" s="106"/>
      <c r="Z173" s="427"/>
      <c r="AA173" s="107"/>
      <c r="AB173" s="107"/>
      <c r="AC173" s="107"/>
      <c r="AD173" s="106"/>
    </row>
    <row r="174" ht="30.75" customHeight="1">
      <c r="A174" s="93">
        <v>123.0</v>
      </c>
      <c r="B174" s="103">
        <v>45159.0</v>
      </c>
      <c r="C174" s="93">
        <v>2182.0</v>
      </c>
      <c r="D174" s="92" t="s">
        <v>50</v>
      </c>
      <c r="E174" s="105" t="s">
        <v>1502</v>
      </c>
      <c r="F174" s="92" t="s">
        <v>132</v>
      </c>
      <c r="G174" s="63" t="s">
        <v>30</v>
      </c>
      <c r="H174" s="64">
        <v>1.0</v>
      </c>
      <c r="I174" s="455">
        <f t="shared" si="40"/>
        <v>220000</v>
      </c>
      <c r="J174" s="48">
        <f t="shared" si="34"/>
        <v>220000</v>
      </c>
      <c r="K174" s="76">
        <f t="shared" si="45"/>
        <v>220000</v>
      </c>
      <c r="L174" s="109"/>
      <c r="M174" s="78">
        <f t="shared" si="48"/>
        <v>11000</v>
      </c>
      <c r="N174" s="79"/>
      <c r="O174" s="80">
        <f t="shared" si="47"/>
        <v>209000</v>
      </c>
      <c r="P174" s="176"/>
      <c r="Q174" s="176"/>
      <c r="R174" s="122"/>
      <c r="S174" s="91"/>
      <c r="T174" s="183"/>
      <c r="U174" s="122"/>
      <c r="V174" s="122"/>
      <c r="W174" s="155" t="s">
        <v>53</v>
      </c>
      <c r="X174" s="106"/>
      <c r="Y174" s="106"/>
      <c r="Z174" s="427"/>
      <c r="AA174" s="107"/>
      <c r="AB174" s="107"/>
      <c r="AC174" s="107"/>
      <c r="AD174" s="106"/>
    </row>
    <row r="175" ht="30.75" customHeight="1">
      <c r="A175" s="93">
        <v>124.0</v>
      </c>
      <c r="B175" s="103">
        <v>45159.0</v>
      </c>
      <c r="C175" s="93">
        <v>6291.0</v>
      </c>
      <c r="D175" s="92" t="s">
        <v>50</v>
      </c>
      <c r="E175" s="105" t="s">
        <v>1503</v>
      </c>
      <c r="F175" s="92" t="s">
        <v>193</v>
      </c>
      <c r="G175" s="63" t="s">
        <v>30</v>
      </c>
      <c r="H175" s="64">
        <v>3.0</v>
      </c>
      <c r="I175" s="455">
        <f t="shared" si="40"/>
        <v>220000</v>
      </c>
      <c r="J175" s="48">
        <f t="shared" si="34"/>
        <v>660000</v>
      </c>
      <c r="K175" s="76">
        <f t="shared" si="45"/>
        <v>660000</v>
      </c>
      <c r="L175" s="109"/>
      <c r="M175" s="78">
        <f t="shared" si="48"/>
        <v>33000</v>
      </c>
      <c r="N175" s="79"/>
      <c r="O175" s="80">
        <f t="shared" si="47"/>
        <v>627000</v>
      </c>
      <c r="P175" s="176"/>
      <c r="Q175" s="176"/>
      <c r="R175" s="122"/>
      <c r="S175" s="91"/>
      <c r="T175" s="183"/>
      <c r="U175" s="122"/>
      <c r="V175" s="122"/>
      <c r="W175" s="155" t="s">
        <v>53</v>
      </c>
      <c r="X175" s="106"/>
      <c r="Y175" s="106"/>
      <c r="Z175" s="427"/>
      <c r="AA175" s="107"/>
      <c r="AB175" s="107"/>
      <c r="AC175" s="107"/>
      <c r="AD175" s="106"/>
    </row>
    <row r="176" ht="30.75" customHeight="1">
      <c r="A176" s="93">
        <v>125.0</v>
      </c>
      <c r="B176" s="103">
        <v>45159.0</v>
      </c>
      <c r="C176" s="93">
        <v>6794.0</v>
      </c>
      <c r="D176" s="92" t="s">
        <v>50</v>
      </c>
      <c r="E176" s="105" t="s">
        <v>1035</v>
      </c>
      <c r="F176" s="92" t="s">
        <v>613</v>
      </c>
      <c r="G176" s="63" t="s">
        <v>30</v>
      </c>
      <c r="H176" s="64">
        <v>1.0</v>
      </c>
      <c r="I176" s="455">
        <f t="shared" si="40"/>
        <v>220000</v>
      </c>
      <c r="J176" s="48">
        <f t="shared" si="34"/>
        <v>220000</v>
      </c>
      <c r="K176" s="76">
        <f t="shared" si="45"/>
        <v>220000</v>
      </c>
      <c r="L176" s="109"/>
      <c r="M176" s="78">
        <f t="shared" si="48"/>
        <v>11000</v>
      </c>
      <c r="N176" s="79"/>
      <c r="O176" s="80">
        <f t="shared" si="47"/>
        <v>209000</v>
      </c>
      <c r="P176" s="176"/>
      <c r="Q176" s="176"/>
      <c r="R176" s="122"/>
      <c r="S176" s="91"/>
      <c r="T176" s="183"/>
      <c r="U176" s="122"/>
      <c r="V176" s="122"/>
      <c r="W176" s="155" t="s">
        <v>53</v>
      </c>
      <c r="X176" s="106"/>
      <c r="Y176" s="106"/>
      <c r="Z176" s="427"/>
      <c r="AA176" s="107"/>
      <c r="AB176" s="107"/>
      <c r="AC176" s="107"/>
      <c r="AD176" s="106"/>
    </row>
    <row r="177" ht="30.75" customHeight="1">
      <c r="A177" s="93">
        <v>126.0</v>
      </c>
      <c r="B177" s="103">
        <v>45159.0</v>
      </c>
      <c r="C177" s="93">
        <v>9093.0</v>
      </c>
      <c r="D177" s="92" t="s">
        <v>50</v>
      </c>
      <c r="E177" s="890" t="s">
        <v>1504</v>
      </c>
      <c r="F177" s="122" t="s">
        <v>982</v>
      </c>
      <c r="G177" s="63" t="s">
        <v>30</v>
      </c>
      <c r="H177" s="64">
        <v>1.0</v>
      </c>
      <c r="I177" s="455">
        <f t="shared" si="40"/>
        <v>220000</v>
      </c>
      <c r="J177" s="48">
        <f t="shared" si="34"/>
        <v>220000</v>
      </c>
      <c r="K177" s="76">
        <f t="shared" si="45"/>
        <v>220000</v>
      </c>
      <c r="L177" s="109"/>
      <c r="M177" s="78">
        <f t="shared" si="48"/>
        <v>11000</v>
      </c>
      <c r="N177" s="79"/>
      <c r="O177" s="80">
        <f t="shared" si="47"/>
        <v>209000</v>
      </c>
      <c r="P177" s="176"/>
      <c r="Q177" s="176"/>
      <c r="R177" s="122"/>
      <c r="S177" s="91"/>
      <c r="T177" s="183"/>
      <c r="U177" s="122"/>
      <c r="V177" s="122"/>
      <c r="W177" s="155" t="s">
        <v>53</v>
      </c>
      <c r="X177" s="106"/>
      <c r="Y177" s="106"/>
      <c r="Z177" s="427"/>
      <c r="AA177" s="107"/>
      <c r="AB177" s="107"/>
      <c r="AC177" s="107"/>
      <c r="AD177" s="106"/>
    </row>
    <row r="178" ht="30.75" customHeight="1">
      <c r="A178" s="93">
        <v>127.0</v>
      </c>
      <c r="B178" s="103">
        <v>45159.0</v>
      </c>
      <c r="C178" s="93">
        <v>9895.0</v>
      </c>
      <c r="D178" s="92" t="s">
        <v>50</v>
      </c>
      <c r="E178" s="904" t="s">
        <v>1505</v>
      </c>
      <c r="F178" s="92" t="s">
        <v>119</v>
      </c>
      <c r="G178" s="63" t="s">
        <v>30</v>
      </c>
      <c r="H178" s="64">
        <v>1.0</v>
      </c>
      <c r="I178" s="455">
        <f t="shared" si="40"/>
        <v>220000</v>
      </c>
      <c r="J178" s="48">
        <f t="shared" si="34"/>
        <v>220000</v>
      </c>
      <c r="K178" s="76">
        <f t="shared" si="45"/>
        <v>220000</v>
      </c>
      <c r="L178" s="109"/>
      <c r="M178" s="78">
        <f t="shared" si="48"/>
        <v>11000</v>
      </c>
      <c r="N178" s="79"/>
      <c r="O178" s="80">
        <f t="shared" si="47"/>
        <v>209000</v>
      </c>
      <c r="P178" s="176"/>
      <c r="Q178" s="176"/>
      <c r="R178" s="122"/>
      <c r="S178" s="91"/>
      <c r="T178" s="183"/>
      <c r="U178" s="122"/>
      <c r="V178" s="122"/>
      <c r="W178" s="155" t="s">
        <v>53</v>
      </c>
      <c r="X178" s="106"/>
      <c r="Y178" s="106"/>
      <c r="Z178" s="427"/>
      <c r="AA178" s="107"/>
      <c r="AB178" s="107"/>
      <c r="AC178" s="107"/>
      <c r="AD178" s="106"/>
    </row>
    <row r="179" ht="30.75" customHeight="1">
      <c r="A179" s="93">
        <v>128.0</v>
      </c>
      <c r="B179" s="103">
        <v>45159.0</v>
      </c>
      <c r="C179" s="93">
        <v>4693.0</v>
      </c>
      <c r="D179" s="92" t="s">
        <v>50</v>
      </c>
      <c r="E179" s="105" t="s">
        <v>1087</v>
      </c>
      <c r="F179" s="92" t="s">
        <v>119</v>
      </c>
      <c r="G179" s="63" t="s">
        <v>30</v>
      </c>
      <c r="H179" s="64">
        <v>3.0</v>
      </c>
      <c r="I179" s="455">
        <f t="shared" si="40"/>
        <v>220000</v>
      </c>
      <c r="J179" s="48">
        <f t="shared" si="34"/>
        <v>660000</v>
      </c>
      <c r="K179" s="76">
        <f t="shared" si="45"/>
        <v>660000</v>
      </c>
      <c r="L179" s="109"/>
      <c r="M179" s="78">
        <f t="shared" si="48"/>
        <v>33000</v>
      </c>
      <c r="N179" s="79"/>
      <c r="O179" s="80">
        <f t="shared" si="47"/>
        <v>627000</v>
      </c>
      <c r="P179" s="176"/>
      <c r="Q179" s="176"/>
      <c r="R179" s="122"/>
      <c r="S179" s="91"/>
      <c r="T179" s="183"/>
      <c r="U179" s="122"/>
      <c r="V179" s="122"/>
      <c r="W179" s="155" t="s">
        <v>53</v>
      </c>
      <c r="X179" s="106"/>
      <c r="Y179" s="106"/>
      <c r="Z179" s="427"/>
      <c r="AA179" s="107"/>
      <c r="AB179" s="107"/>
      <c r="AC179" s="107"/>
      <c r="AD179" s="106"/>
    </row>
    <row r="180" ht="30.75" customHeight="1">
      <c r="A180" s="93">
        <v>129.0</v>
      </c>
      <c r="B180" s="103">
        <v>45160.0</v>
      </c>
      <c r="C180" s="93">
        <v>1.699058869173E12</v>
      </c>
      <c r="D180" s="92" t="s">
        <v>206</v>
      </c>
      <c r="E180" s="105" t="s">
        <v>207</v>
      </c>
      <c r="F180" s="92" t="s">
        <v>1506</v>
      </c>
      <c r="G180" s="682" t="s">
        <v>1360</v>
      </c>
      <c r="H180" s="64">
        <v>8.0</v>
      </c>
      <c r="I180" s="455">
        <f t="shared" ref="I180:I206" si="49">VLOOKUP(G180,$Y$4:$Z$44,2,0)</f>
        <v>85000</v>
      </c>
      <c r="J180" s="48">
        <f t="shared" si="34"/>
        <v>680000</v>
      </c>
      <c r="K180" s="76">
        <f t="shared" si="45"/>
        <v>680000</v>
      </c>
      <c r="L180" s="109"/>
      <c r="M180" s="575"/>
      <c r="N180" s="79"/>
      <c r="O180" s="80">
        <f t="shared" si="47"/>
        <v>680000</v>
      </c>
      <c r="P180" s="176"/>
      <c r="Q180" s="176"/>
      <c r="R180" s="108">
        <v>71004.0</v>
      </c>
      <c r="S180" s="83" t="s">
        <v>32</v>
      </c>
      <c r="T180" s="183"/>
      <c r="U180" s="122"/>
      <c r="V180" s="122"/>
      <c r="W180" s="284"/>
      <c r="X180" s="106"/>
      <c r="Y180" s="106"/>
      <c r="Z180" s="427"/>
      <c r="AA180" s="107"/>
      <c r="AB180" s="107"/>
      <c r="AC180" s="107"/>
      <c r="AD180" s="106"/>
    </row>
    <row r="181" ht="30.75" customHeight="1">
      <c r="A181" s="93">
        <v>130.0</v>
      </c>
      <c r="B181" s="103">
        <v>45160.0</v>
      </c>
      <c r="C181" s="93">
        <v>1107.0</v>
      </c>
      <c r="D181" s="92" t="s">
        <v>50</v>
      </c>
      <c r="E181" s="105" t="s">
        <v>1507</v>
      </c>
      <c r="F181" s="92" t="s">
        <v>84</v>
      </c>
      <c r="G181" s="63" t="s">
        <v>35</v>
      </c>
      <c r="H181" s="64">
        <v>1.0</v>
      </c>
      <c r="I181" s="455">
        <f t="shared" si="49"/>
        <v>220000</v>
      </c>
      <c r="J181" s="48">
        <f t="shared" si="34"/>
        <v>220000</v>
      </c>
      <c r="K181" s="76">
        <f t="shared" si="45"/>
        <v>220000</v>
      </c>
      <c r="L181" s="109"/>
      <c r="M181" s="78">
        <f>K181*5%</f>
        <v>11000</v>
      </c>
      <c r="N181" s="79"/>
      <c r="O181" s="80">
        <f t="shared" si="47"/>
        <v>209000</v>
      </c>
      <c r="P181" s="176"/>
      <c r="Q181" s="176"/>
      <c r="R181" s="122"/>
      <c r="S181" s="91"/>
      <c r="T181" s="183"/>
      <c r="U181" s="122"/>
      <c r="V181" s="122"/>
      <c r="W181" s="155" t="s">
        <v>53</v>
      </c>
      <c r="X181" s="106"/>
      <c r="Y181" s="106"/>
      <c r="Z181" s="427"/>
      <c r="AA181" s="107"/>
      <c r="AB181" s="107"/>
      <c r="AC181" s="107"/>
      <c r="AD181" s="106"/>
    </row>
    <row r="182" ht="30.75" customHeight="1">
      <c r="A182" s="93">
        <v>131.0</v>
      </c>
      <c r="B182" s="103">
        <v>45161.0</v>
      </c>
      <c r="C182" s="93">
        <v>1.695528165643E12</v>
      </c>
      <c r="D182" s="92" t="s">
        <v>536</v>
      </c>
      <c r="E182" s="105" t="s">
        <v>537</v>
      </c>
      <c r="F182" s="184" t="s">
        <v>538</v>
      </c>
      <c r="G182" s="63" t="s">
        <v>30</v>
      </c>
      <c r="H182" s="64">
        <v>3.0</v>
      </c>
      <c r="I182" s="455">
        <f t="shared" si="49"/>
        <v>220000</v>
      </c>
      <c r="J182" s="48">
        <f t="shared" si="34"/>
        <v>660000</v>
      </c>
      <c r="K182" s="76">
        <f t="shared" si="45"/>
        <v>660000</v>
      </c>
      <c r="L182" s="109"/>
      <c r="M182" s="575"/>
      <c r="N182" s="79"/>
      <c r="O182" s="80">
        <f t="shared" si="47"/>
        <v>660000</v>
      </c>
      <c r="P182" s="176"/>
      <c r="Q182" s="176"/>
      <c r="R182" s="108">
        <v>49002.0</v>
      </c>
      <c r="S182" s="83" t="s">
        <v>32</v>
      </c>
      <c r="T182" s="183"/>
      <c r="U182" s="122"/>
      <c r="V182" s="122"/>
      <c r="W182" s="284"/>
      <c r="X182" s="106"/>
      <c r="Y182" s="106"/>
      <c r="Z182" s="427"/>
      <c r="AA182" s="107"/>
      <c r="AB182" s="107"/>
      <c r="AC182" s="107"/>
      <c r="AD182" s="106"/>
    </row>
    <row r="183" ht="30.75" customHeight="1">
      <c r="A183" s="93">
        <v>132.0</v>
      </c>
      <c r="B183" s="103">
        <v>45161.0</v>
      </c>
      <c r="C183" s="93">
        <v>1.703158030448E12</v>
      </c>
      <c r="D183" s="92" t="s">
        <v>1508</v>
      </c>
      <c r="E183" s="105" t="s">
        <v>1509</v>
      </c>
      <c r="F183" s="905" t="s">
        <v>1510</v>
      </c>
      <c r="G183" s="63" t="s">
        <v>30</v>
      </c>
      <c r="H183" s="64">
        <v>1.0</v>
      </c>
      <c r="I183" s="455">
        <f t="shared" si="49"/>
        <v>220000</v>
      </c>
      <c r="J183" s="48">
        <f t="shared" si="34"/>
        <v>220000</v>
      </c>
      <c r="K183" s="76">
        <f t="shared" si="45"/>
        <v>220000</v>
      </c>
      <c r="L183" s="108">
        <v>40001.0</v>
      </c>
      <c r="M183" s="575"/>
      <c r="N183" s="115">
        <v>20001.0</v>
      </c>
      <c r="O183" s="80">
        <f t="shared" si="47"/>
        <v>240000</v>
      </c>
      <c r="P183" s="81" t="s">
        <v>449</v>
      </c>
      <c r="Q183" s="176"/>
      <c r="R183" s="122"/>
      <c r="S183" s="91"/>
      <c r="T183" s="183"/>
      <c r="U183" s="122"/>
      <c r="V183" s="122"/>
      <c r="W183" s="155"/>
      <c r="X183" s="106"/>
      <c r="Y183" s="106"/>
      <c r="Z183" s="427"/>
      <c r="AA183" s="107"/>
      <c r="AB183" s="107"/>
      <c r="AC183" s="107"/>
      <c r="AD183" s="106"/>
    </row>
    <row r="184" ht="30.75" customHeight="1">
      <c r="A184" s="93">
        <v>133.0</v>
      </c>
      <c r="B184" s="103">
        <v>45161.0</v>
      </c>
      <c r="C184" s="93">
        <v>4007.0</v>
      </c>
      <c r="D184" s="92" t="s">
        <v>50</v>
      </c>
      <c r="E184" s="105" t="s">
        <v>618</v>
      </c>
      <c r="F184" s="92" t="s">
        <v>548</v>
      </c>
      <c r="G184" s="63" t="s">
        <v>30</v>
      </c>
      <c r="H184" s="64">
        <v>1.0</v>
      </c>
      <c r="I184" s="455">
        <f t="shared" si="49"/>
        <v>220000</v>
      </c>
      <c r="J184" s="48">
        <f t="shared" si="34"/>
        <v>220000</v>
      </c>
      <c r="K184" s="76">
        <f t="shared" si="45"/>
        <v>220000</v>
      </c>
      <c r="L184" s="109"/>
      <c r="M184" s="78">
        <f t="shared" ref="M184:M186" si="50">K184*5%</f>
        <v>11000</v>
      </c>
      <c r="N184" s="79"/>
      <c r="O184" s="80">
        <f t="shared" si="47"/>
        <v>209000</v>
      </c>
      <c r="P184" s="176"/>
      <c r="Q184" s="176"/>
      <c r="R184" s="122"/>
      <c r="S184" s="91"/>
      <c r="T184" s="183"/>
      <c r="U184" s="122"/>
      <c r="V184" s="122"/>
      <c r="W184" s="155" t="s">
        <v>53</v>
      </c>
      <c r="X184" s="106"/>
      <c r="Y184" s="106"/>
      <c r="Z184" s="427"/>
      <c r="AA184" s="107"/>
      <c r="AB184" s="107"/>
      <c r="AC184" s="107"/>
      <c r="AD184" s="106"/>
    </row>
    <row r="185" ht="30.75" customHeight="1">
      <c r="A185" s="93">
        <v>134.0</v>
      </c>
      <c r="B185" s="103">
        <v>45161.0</v>
      </c>
      <c r="C185" s="93">
        <v>5801.0</v>
      </c>
      <c r="D185" s="92" t="s">
        <v>50</v>
      </c>
      <c r="E185" s="105" t="s">
        <v>1511</v>
      </c>
      <c r="F185" s="92" t="s">
        <v>74</v>
      </c>
      <c r="G185" s="63" t="s">
        <v>30</v>
      </c>
      <c r="H185" s="64">
        <v>1.0</v>
      </c>
      <c r="I185" s="455">
        <f t="shared" si="49"/>
        <v>220000</v>
      </c>
      <c r="J185" s="48">
        <f t="shared" si="34"/>
        <v>220000</v>
      </c>
      <c r="K185" s="76">
        <f t="shared" si="45"/>
        <v>220000</v>
      </c>
      <c r="L185" s="109"/>
      <c r="M185" s="78">
        <f t="shared" si="50"/>
        <v>11000</v>
      </c>
      <c r="N185" s="79"/>
      <c r="O185" s="80">
        <f t="shared" si="47"/>
        <v>209000</v>
      </c>
      <c r="P185" s="176"/>
      <c r="Q185" s="176"/>
      <c r="R185" s="122"/>
      <c r="S185" s="91"/>
      <c r="T185" s="183"/>
      <c r="U185" s="122"/>
      <c r="V185" s="122"/>
      <c r="W185" s="155" t="s">
        <v>53</v>
      </c>
      <c r="X185" s="106"/>
      <c r="Y185" s="106"/>
      <c r="Z185" s="427"/>
      <c r="AA185" s="107"/>
      <c r="AB185" s="107"/>
      <c r="AC185" s="107"/>
      <c r="AD185" s="106"/>
    </row>
    <row r="186" ht="30.75" customHeight="1">
      <c r="A186" s="93">
        <v>135.0</v>
      </c>
      <c r="B186" s="103">
        <v>45161.0</v>
      </c>
      <c r="C186" s="93">
        <v>9300.0</v>
      </c>
      <c r="D186" s="92" t="s">
        <v>50</v>
      </c>
      <c r="E186" s="105" t="s">
        <v>182</v>
      </c>
      <c r="F186" s="92" t="s">
        <v>119</v>
      </c>
      <c r="G186" s="63" t="s">
        <v>30</v>
      </c>
      <c r="H186" s="64">
        <v>1.0</v>
      </c>
      <c r="I186" s="455">
        <f t="shared" si="49"/>
        <v>220000</v>
      </c>
      <c r="J186" s="48">
        <f t="shared" si="34"/>
        <v>220000</v>
      </c>
      <c r="K186" s="76">
        <f t="shared" si="45"/>
        <v>220000</v>
      </c>
      <c r="L186" s="109"/>
      <c r="M186" s="78">
        <f t="shared" si="50"/>
        <v>11000</v>
      </c>
      <c r="N186" s="79"/>
      <c r="O186" s="80">
        <f t="shared" si="47"/>
        <v>209000</v>
      </c>
      <c r="P186" s="81"/>
      <c r="Q186" s="81"/>
      <c r="R186" s="122"/>
      <c r="S186" s="91"/>
      <c r="T186" s="183"/>
      <c r="U186" s="122"/>
      <c r="V186" s="122"/>
      <c r="W186" s="155"/>
      <c r="X186" s="106"/>
      <c r="Y186" s="106"/>
      <c r="Z186" s="427"/>
      <c r="AA186" s="107"/>
      <c r="AB186" s="107"/>
      <c r="AC186" s="107"/>
      <c r="AD186" s="106"/>
    </row>
    <row r="187" ht="30.75" customHeight="1">
      <c r="A187" s="93">
        <v>136.0</v>
      </c>
      <c r="B187" s="103">
        <v>45161.0</v>
      </c>
      <c r="C187" s="122"/>
      <c r="D187" s="92" t="s">
        <v>644</v>
      </c>
      <c r="E187" s="105" t="s">
        <v>45</v>
      </c>
      <c r="F187" s="92" t="s">
        <v>324</v>
      </c>
      <c r="G187" s="63" t="s">
        <v>30</v>
      </c>
      <c r="H187" s="64">
        <v>9.0</v>
      </c>
      <c r="I187" s="455">
        <f t="shared" si="49"/>
        <v>220000</v>
      </c>
      <c r="J187" s="48">
        <f t="shared" si="34"/>
        <v>1980000</v>
      </c>
      <c r="K187" s="76">
        <f t="shared" si="45"/>
        <v>1980000</v>
      </c>
      <c r="L187" s="109"/>
      <c r="M187" s="575"/>
      <c r="N187" s="79"/>
      <c r="O187" s="80">
        <f t="shared" si="47"/>
        <v>1980000</v>
      </c>
      <c r="P187" s="81" t="s">
        <v>449</v>
      </c>
      <c r="Q187" s="81" t="s">
        <v>31</v>
      </c>
      <c r="R187" s="122"/>
      <c r="S187" s="91"/>
      <c r="T187" s="84" t="s">
        <v>33</v>
      </c>
      <c r="U187" s="122"/>
      <c r="V187" s="122"/>
      <c r="W187" s="155" t="s">
        <v>1512</v>
      </c>
      <c r="X187" s="106"/>
      <c r="Y187" s="106"/>
      <c r="Z187" s="427"/>
      <c r="AA187" s="107"/>
      <c r="AB187" s="107"/>
      <c r="AC187" s="107"/>
      <c r="AD187" s="106"/>
    </row>
    <row r="188" ht="45.0" customHeight="1">
      <c r="A188" s="93">
        <v>137.0</v>
      </c>
      <c r="B188" s="103">
        <v>45162.0</v>
      </c>
      <c r="C188" s="409">
        <v>1.706451610607E12</v>
      </c>
      <c r="D188" s="92" t="s">
        <v>1513</v>
      </c>
      <c r="E188" s="105" t="s">
        <v>358</v>
      </c>
      <c r="F188" s="121" t="s">
        <v>359</v>
      </c>
      <c r="G188" s="63" t="s">
        <v>30</v>
      </c>
      <c r="H188" s="64">
        <v>2.0</v>
      </c>
      <c r="I188" s="455">
        <f t="shared" si="49"/>
        <v>220000</v>
      </c>
      <c r="J188" s="48">
        <f t="shared" si="34"/>
        <v>440000</v>
      </c>
      <c r="K188" s="76">
        <f t="shared" si="45"/>
        <v>440000</v>
      </c>
      <c r="L188" s="108">
        <v>33183.0</v>
      </c>
      <c r="M188" s="575"/>
      <c r="N188" s="115">
        <v>3183.0</v>
      </c>
      <c r="O188" s="80">
        <f t="shared" si="47"/>
        <v>470000</v>
      </c>
      <c r="P188" s="81" t="s">
        <v>449</v>
      </c>
      <c r="Q188" s="81" t="s">
        <v>31</v>
      </c>
      <c r="R188" s="122"/>
      <c r="S188" s="91"/>
      <c r="T188" s="84" t="s">
        <v>33</v>
      </c>
      <c r="U188" s="122"/>
      <c r="V188" s="122"/>
      <c r="W188" s="155" t="s">
        <v>1493</v>
      </c>
      <c r="X188" s="106"/>
      <c r="Y188" s="106"/>
      <c r="Z188" s="427"/>
      <c r="AA188" s="107"/>
      <c r="AB188" s="107"/>
      <c r="AC188" s="107"/>
      <c r="AD188" s="106"/>
    </row>
    <row r="189" ht="30.75" customHeight="1">
      <c r="A189" s="111">
        <v>138.0</v>
      </c>
      <c r="B189" s="112">
        <v>45162.0</v>
      </c>
      <c r="C189" s="111">
        <v>1.706260869149E12</v>
      </c>
      <c r="D189" s="142" t="s">
        <v>1514</v>
      </c>
      <c r="E189" s="143" t="s">
        <v>1515</v>
      </c>
      <c r="F189" s="142" t="s">
        <v>1516</v>
      </c>
      <c r="G189" s="63" t="s">
        <v>30</v>
      </c>
      <c r="H189" s="64">
        <v>1.0</v>
      </c>
      <c r="I189" s="455">
        <f t="shared" si="49"/>
        <v>220000</v>
      </c>
      <c r="J189" s="48">
        <f t="shared" si="34"/>
        <v>220000</v>
      </c>
      <c r="K189" s="49">
        <f>sum(J189:J191)</f>
        <v>520000</v>
      </c>
      <c r="L189" s="145">
        <v>46002.0</v>
      </c>
      <c r="M189" s="561"/>
      <c r="N189" s="117">
        <v>16002.0</v>
      </c>
      <c r="O189" s="53">
        <f t="shared" si="47"/>
        <v>550000</v>
      </c>
      <c r="P189" s="196"/>
      <c r="Q189" s="196"/>
      <c r="R189" s="147"/>
      <c r="S189" s="119"/>
      <c r="T189" s="197"/>
      <c r="U189" s="147"/>
      <c r="V189" s="147"/>
      <c r="W189" s="147"/>
      <c r="X189" s="106"/>
      <c r="Y189" s="106"/>
      <c r="Z189" s="427"/>
      <c r="AA189" s="107"/>
      <c r="AB189" s="107"/>
      <c r="AC189" s="107"/>
      <c r="AD189" s="106"/>
    </row>
    <row r="190" ht="30.75" customHeight="1">
      <c r="A190" s="62"/>
      <c r="B190" s="62"/>
      <c r="C190" s="62"/>
      <c r="D190" s="62"/>
      <c r="E190" s="62"/>
      <c r="F190" s="62"/>
      <c r="G190" s="63" t="s">
        <v>37</v>
      </c>
      <c r="H190" s="64">
        <v>1.0</v>
      </c>
      <c r="I190" s="455">
        <f t="shared" si="49"/>
        <v>220000</v>
      </c>
      <c r="J190" s="48">
        <f t="shared" si="34"/>
        <v>220000</v>
      </c>
      <c r="K190" s="62"/>
      <c r="L190" s="62"/>
      <c r="M190" s="62"/>
      <c r="N190" s="62"/>
      <c r="O190" s="62"/>
      <c r="P190" s="62"/>
      <c r="Q190" s="62"/>
      <c r="R190" s="62"/>
      <c r="S190" s="62"/>
      <c r="T190" s="62"/>
      <c r="U190" s="62"/>
      <c r="V190" s="62"/>
      <c r="W190" s="62"/>
      <c r="X190" s="106"/>
      <c r="Y190" s="106"/>
      <c r="Z190" s="427"/>
      <c r="AA190" s="107"/>
      <c r="AB190" s="107"/>
      <c r="AC190" s="107"/>
      <c r="AD190" s="106"/>
    </row>
    <row r="191" ht="30.75" customHeight="1">
      <c r="A191" s="67"/>
      <c r="B191" s="67"/>
      <c r="C191" s="67"/>
      <c r="D191" s="67"/>
      <c r="E191" s="67"/>
      <c r="F191" s="67"/>
      <c r="G191" s="63" t="s">
        <v>147</v>
      </c>
      <c r="H191" s="64">
        <v>1.0</v>
      </c>
      <c r="I191" s="455">
        <f t="shared" si="49"/>
        <v>80000</v>
      </c>
      <c r="J191" s="48">
        <f t="shared" si="34"/>
        <v>80000</v>
      </c>
      <c r="K191" s="67"/>
      <c r="L191" s="67"/>
      <c r="M191" s="67"/>
      <c r="N191" s="67"/>
      <c r="O191" s="67"/>
      <c r="P191" s="67"/>
      <c r="Q191" s="67"/>
      <c r="R191" s="67"/>
      <c r="S191" s="67"/>
      <c r="T191" s="67"/>
      <c r="U191" s="67"/>
      <c r="V191" s="67"/>
      <c r="W191" s="67"/>
      <c r="X191" s="106"/>
      <c r="Y191" s="106"/>
      <c r="Z191" s="427"/>
      <c r="AA191" s="107"/>
      <c r="AB191" s="107"/>
      <c r="AC191" s="107"/>
      <c r="AD191" s="106"/>
    </row>
    <row r="192" ht="30.75" customHeight="1">
      <c r="A192" s="93">
        <v>139.0</v>
      </c>
      <c r="B192" s="103">
        <v>45162.0</v>
      </c>
      <c r="C192" s="93">
        <v>1.706317490748E12</v>
      </c>
      <c r="D192" s="184" t="s">
        <v>620</v>
      </c>
      <c r="E192" s="105" t="s">
        <v>621</v>
      </c>
      <c r="F192" s="846" t="s">
        <v>1517</v>
      </c>
      <c r="G192" s="63" t="s">
        <v>30</v>
      </c>
      <c r="H192" s="64">
        <v>2.0</v>
      </c>
      <c r="I192" s="455">
        <f t="shared" si="49"/>
        <v>220000</v>
      </c>
      <c r="J192" s="48">
        <f t="shared" si="34"/>
        <v>440000</v>
      </c>
      <c r="K192" s="76">
        <f t="shared" ref="K192:K199" si="51">SUM(J192)</f>
        <v>440000</v>
      </c>
      <c r="L192" s="108">
        <v>36001.0</v>
      </c>
      <c r="M192" s="575"/>
      <c r="N192" s="115">
        <v>6001.0</v>
      </c>
      <c r="O192" s="80">
        <f t="shared" ref="O192:O200" si="52">K192+L192-M192-N192</f>
        <v>470000</v>
      </c>
      <c r="P192" s="176"/>
      <c r="Q192" s="176"/>
      <c r="R192" s="122"/>
      <c r="S192" s="91"/>
      <c r="T192" s="183"/>
      <c r="U192" s="122"/>
      <c r="V192" s="122"/>
      <c r="W192" s="284"/>
      <c r="X192" s="106"/>
      <c r="Y192" s="106"/>
      <c r="Z192" s="427"/>
      <c r="AA192" s="107"/>
      <c r="AB192" s="107"/>
      <c r="AC192" s="107"/>
      <c r="AD192" s="106"/>
    </row>
    <row r="193" ht="46.5" customHeight="1">
      <c r="A193" s="93">
        <v>140.0</v>
      </c>
      <c r="B193" s="103">
        <v>45162.0</v>
      </c>
      <c r="C193" s="93">
        <v>1.7064097803E12</v>
      </c>
      <c r="D193" s="92" t="s">
        <v>1176</v>
      </c>
      <c r="E193" s="105" t="s">
        <v>1177</v>
      </c>
      <c r="F193" s="869" t="s">
        <v>1518</v>
      </c>
      <c r="G193" s="63" t="s">
        <v>30</v>
      </c>
      <c r="H193" s="64">
        <v>5.0</v>
      </c>
      <c r="I193" s="455">
        <f t="shared" si="49"/>
        <v>220000</v>
      </c>
      <c r="J193" s="48">
        <f t="shared" ref="J193:J206" si="53">I193*H193</f>
        <v>1100000</v>
      </c>
      <c r="K193" s="76">
        <f t="shared" si="51"/>
        <v>1100000</v>
      </c>
      <c r="L193" s="109"/>
      <c r="M193" s="575"/>
      <c r="N193" s="79"/>
      <c r="O193" s="80">
        <f t="shared" si="52"/>
        <v>1100000</v>
      </c>
      <c r="P193" s="176"/>
      <c r="Q193" s="176"/>
      <c r="R193" s="108">
        <v>48002.0</v>
      </c>
      <c r="S193" s="83" t="s">
        <v>32</v>
      </c>
      <c r="T193" s="183"/>
      <c r="U193" s="122"/>
      <c r="V193" s="122"/>
      <c r="W193" s="284"/>
      <c r="X193" s="106"/>
      <c r="Y193" s="106"/>
      <c r="Z193" s="427"/>
      <c r="AA193" s="107"/>
      <c r="AB193" s="107"/>
      <c r="AC193" s="107"/>
      <c r="AD193" s="106"/>
    </row>
    <row r="194" ht="30.75" customHeight="1">
      <c r="A194" s="93">
        <v>141.0</v>
      </c>
      <c r="B194" s="103">
        <v>45162.0</v>
      </c>
      <c r="C194" s="93">
        <v>9511.0</v>
      </c>
      <c r="D194" s="92" t="s">
        <v>50</v>
      </c>
      <c r="E194" s="105" t="s">
        <v>1519</v>
      </c>
      <c r="F194" s="846" t="s">
        <v>119</v>
      </c>
      <c r="G194" s="63" t="s">
        <v>30</v>
      </c>
      <c r="H194" s="64">
        <v>1.0</v>
      </c>
      <c r="I194" s="455">
        <f t="shared" si="49"/>
        <v>220000</v>
      </c>
      <c r="J194" s="48">
        <f t="shared" si="53"/>
        <v>220000</v>
      </c>
      <c r="K194" s="76">
        <f t="shared" si="51"/>
        <v>220000</v>
      </c>
      <c r="L194" s="109"/>
      <c r="M194" s="78">
        <f t="shared" ref="M194:M199" si="54">K194*5%</f>
        <v>11000</v>
      </c>
      <c r="N194" s="79"/>
      <c r="O194" s="80">
        <f t="shared" si="52"/>
        <v>209000</v>
      </c>
      <c r="P194" s="176"/>
      <c r="Q194" s="176"/>
      <c r="R194" s="122"/>
      <c r="S194" s="91"/>
      <c r="T194" s="183"/>
      <c r="U194" s="122"/>
      <c r="V194" s="122"/>
      <c r="W194" s="155" t="s">
        <v>53</v>
      </c>
      <c r="X194" s="106"/>
      <c r="Y194" s="106"/>
      <c r="Z194" s="427"/>
      <c r="AA194" s="107"/>
      <c r="AB194" s="107"/>
      <c r="AC194" s="107"/>
      <c r="AD194" s="106"/>
    </row>
    <row r="195" ht="30.75" customHeight="1">
      <c r="A195" s="93">
        <v>142.0</v>
      </c>
      <c r="B195" s="103">
        <v>45162.0</v>
      </c>
      <c r="C195" s="105" t="s">
        <v>1520</v>
      </c>
      <c r="D195" s="92" t="s">
        <v>50</v>
      </c>
      <c r="E195" s="105" t="s">
        <v>507</v>
      </c>
      <c r="F195" s="846" t="s">
        <v>193</v>
      </c>
      <c r="G195" s="63" t="s">
        <v>35</v>
      </c>
      <c r="H195" s="64">
        <v>1.0</v>
      </c>
      <c r="I195" s="455">
        <f t="shared" si="49"/>
        <v>220000</v>
      </c>
      <c r="J195" s="48">
        <f t="shared" si="53"/>
        <v>220000</v>
      </c>
      <c r="K195" s="76">
        <f t="shared" si="51"/>
        <v>220000</v>
      </c>
      <c r="L195" s="109"/>
      <c r="M195" s="78">
        <f t="shared" si="54"/>
        <v>11000</v>
      </c>
      <c r="N195" s="79"/>
      <c r="O195" s="80">
        <f t="shared" si="52"/>
        <v>209000</v>
      </c>
      <c r="P195" s="176"/>
      <c r="Q195" s="176"/>
      <c r="R195" s="122"/>
      <c r="S195" s="91"/>
      <c r="T195" s="183"/>
      <c r="U195" s="122"/>
      <c r="V195" s="122"/>
      <c r="W195" s="155" t="s">
        <v>53</v>
      </c>
      <c r="X195" s="106"/>
      <c r="Y195" s="106"/>
      <c r="Z195" s="427"/>
      <c r="AA195" s="107"/>
      <c r="AB195" s="107"/>
      <c r="AC195" s="107"/>
      <c r="AD195" s="106"/>
    </row>
    <row r="196" ht="30.75" customHeight="1">
      <c r="A196" s="93">
        <v>143.0</v>
      </c>
      <c r="B196" s="103">
        <v>45162.0</v>
      </c>
      <c r="C196" s="93">
        <v>4919.0</v>
      </c>
      <c r="D196" s="92" t="s">
        <v>50</v>
      </c>
      <c r="E196" s="105" t="s">
        <v>1521</v>
      </c>
      <c r="F196" s="846" t="s">
        <v>70</v>
      </c>
      <c r="G196" s="63" t="s">
        <v>30</v>
      </c>
      <c r="H196" s="64">
        <v>1.0</v>
      </c>
      <c r="I196" s="455">
        <f t="shared" si="49"/>
        <v>220000</v>
      </c>
      <c r="J196" s="48">
        <f t="shared" si="53"/>
        <v>220000</v>
      </c>
      <c r="K196" s="76">
        <f t="shared" si="51"/>
        <v>220000</v>
      </c>
      <c r="L196" s="109"/>
      <c r="M196" s="78">
        <f t="shared" si="54"/>
        <v>11000</v>
      </c>
      <c r="N196" s="79"/>
      <c r="O196" s="80">
        <f t="shared" si="52"/>
        <v>209000</v>
      </c>
      <c r="P196" s="176"/>
      <c r="Q196" s="176"/>
      <c r="R196" s="122"/>
      <c r="S196" s="91"/>
      <c r="T196" s="183"/>
      <c r="U196" s="122"/>
      <c r="V196" s="122"/>
      <c r="W196" s="155" t="s">
        <v>53</v>
      </c>
      <c r="X196" s="106"/>
      <c r="Y196" s="106"/>
      <c r="Z196" s="427"/>
      <c r="AA196" s="107"/>
      <c r="AB196" s="107"/>
      <c r="AC196" s="107"/>
      <c r="AD196" s="106"/>
    </row>
    <row r="197" ht="30.75" customHeight="1">
      <c r="A197" s="93">
        <v>144.0</v>
      </c>
      <c r="B197" s="103">
        <v>45162.0</v>
      </c>
      <c r="C197" s="93">
        <v>3028.0</v>
      </c>
      <c r="D197" s="92" t="s">
        <v>50</v>
      </c>
      <c r="E197" s="105" t="s">
        <v>1522</v>
      </c>
      <c r="F197" s="846" t="s">
        <v>613</v>
      </c>
      <c r="G197" s="63" t="s">
        <v>30</v>
      </c>
      <c r="H197" s="64">
        <v>2.0</v>
      </c>
      <c r="I197" s="455">
        <f t="shared" si="49"/>
        <v>220000</v>
      </c>
      <c r="J197" s="48">
        <f t="shared" si="53"/>
        <v>440000</v>
      </c>
      <c r="K197" s="76">
        <f t="shared" si="51"/>
        <v>440000</v>
      </c>
      <c r="L197" s="109"/>
      <c r="M197" s="78">
        <f t="shared" si="54"/>
        <v>22000</v>
      </c>
      <c r="N197" s="79"/>
      <c r="O197" s="80">
        <f t="shared" si="52"/>
        <v>418000</v>
      </c>
      <c r="P197" s="176"/>
      <c r="Q197" s="176"/>
      <c r="R197" s="122"/>
      <c r="S197" s="91"/>
      <c r="T197" s="183"/>
      <c r="U197" s="122"/>
      <c r="V197" s="122"/>
      <c r="W197" s="155" t="s">
        <v>53</v>
      </c>
      <c r="X197" s="106"/>
      <c r="Y197" s="106"/>
      <c r="Z197" s="427"/>
      <c r="AA197" s="107"/>
      <c r="AB197" s="107"/>
      <c r="AC197" s="107"/>
      <c r="AD197" s="106"/>
    </row>
    <row r="198" ht="30.75" customHeight="1">
      <c r="A198" s="93">
        <v>145.0</v>
      </c>
      <c r="B198" s="103">
        <v>45162.0</v>
      </c>
      <c r="C198" s="93">
        <v>6517.0</v>
      </c>
      <c r="D198" s="92" t="s">
        <v>50</v>
      </c>
      <c r="E198" s="105" t="s">
        <v>1523</v>
      </c>
      <c r="F198" s="846" t="s">
        <v>74</v>
      </c>
      <c r="G198" s="63" t="s">
        <v>30</v>
      </c>
      <c r="H198" s="64">
        <v>2.0</v>
      </c>
      <c r="I198" s="455">
        <f t="shared" si="49"/>
        <v>220000</v>
      </c>
      <c r="J198" s="48">
        <f t="shared" si="53"/>
        <v>440000</v>
      </c>
      <c r="K198" s="76">
        <f t="shared" si="51"/>
        <v>440000</v>
      </c>
      <c r="L198" s="109"/>
      <c r="M198" s="78">
        <f t="shared" si="54"/>
        <v>22000</v>
      </c>
      <c r="N198" s="79"/>
      <c r="O198" s="80">
        <f t="shared" si="52"/>
        <v>418000</v>
      </c>
      <c r="P198" s="176"/>
      <c r="Q198" s="176"/>
      <c r="R198" s="122"/>
      <c r="S198" s="91"/>
      <c r="T198" s="183"/>
      <c r="U198" s="122"/>
      <c r="V198" s="122"/>
      <c r="W198" s="155" t="s">
        <v>53</v>
      </c>
      <c r="X198" s="106"/>
      <c r="Y198" s="106"/>
      <c r="Z198" s="427"/>
      <c r="AA198" s="107"/>
      <c r="AB198" s="107"/>
      <c r="AC198" s="107"/>
      <c r="AD198" s="106"/>
    </row>
    <row r="199" ht="30.75" customHeight="1">
      <c r="A199" s="93">
        <v>146.0</v>
      </c>
      <c r="B199" s="103">
        <v>45162.0</v>
      </c>
      <c r="C199" s="93">
        <v>7814.0</v>
      </c>
      <c r="D199" s="92" t="s">
        <v>50</v>
      </c>
      <c r="E199" s="105" t="s">
        <v>1524</v>
      </c>
      <c r="F199" s="846" t="s">
        <v>461</v>
      </c>
      <c r="G199" s="63" t="s">
        <v>30</v>
      </c>
      <c r="H199" s="64">
        <v>1.0</v>
      </c>
      <c r="I199" s="455">
        <f t="shared" si="49"/>
        <v>220000</v>
      </c>
      <c r="J199" s="48">
        <f t="shared" si="53"/>
        <v>220000</v>
      </c>
      <c r="K199" s="76">
        <f t="shared" si="51"/>
        <v>220000</v>
      </c>
      <c r="L199" s="109"/>
      <c r="M199" s="78">
        <f t="shared" si="54"/>
        <v>11000</v>
      </c>
      <c r="N199" s="79"/>
      <c r="O199" s="80">
        <f t="shared" si="52"/>
        <v>209000</v>
      </c>
      <c r="P199" s="176"/>
      <c r="Q199" s="176"/>
      <c r="R199" s="122"/>
      <c r="S199" s="91"/>
      <c r="T199" s="183"/>
      <c r="U199" s="122"/>
      <c r="V199" s="122"/>
      <c r="W199" s="155" t="s">
        <v>53</v>
      </c>
      <c r="X199" s="106"/>
      <c r="Y199" s="106"/>
      <c r="Z199" s="427"/>
      <c r="AA199" s="107"/>
      <c r="AB199" s="107"/>
      <c r="AC199" s="107"/>
      <c r="AD199" s="106"/>
    </row>
    <row r="200" ht="30.75" customHeight="1">
      <c r="A200" s="111">
        <v>147.0</v>
      </c>
      <c r="B200" s="112">
        <v>45163.0</v>
      </c>
      <c r="C200" s="906">
        <v>1.705371093918E12</v>
      </c>
      <c r="D200" s="142" t="s">
        <v>606</v>
      </c>
      <c r="E200" s="143" t="s">
        <v>607</v>
      </c>
      <c r="F200" s="142" t="s">
        <v>608</v>
      </c>
      <c r="G200" s="63" t="s">
        <v>35</v>
      </c>
      <c r="H200" s="64">
        <v>1.0</v>
      </c>
      <c r="I200" s="455">
        <f t="shared" si="49"/>
        <v>220000</v>
      </c>
      <c r="J200" s="48">
        <f t="shared" si="53"/>
        <v>220000</v>
      </c>
      <c r="K200" s="49">
        <f>SUM(J200:J202)</f>
        <v>475000</v>
      </c>
      <c r="L200" s="145">
        <v>43001.0</v>
      </c>
      <c r="M200" s="561"/>
      <c r="N200" s="52">
        <f>13001</f>
        <v>13001</v>
      </c>
      <c r="O200" s="53">
        <f t="shared" si="52"/>
        <v>505000</v>
      </c>
      <c r="P200" s="196"/>
      <c r="Q200" s="196"/>
      <c r="R200" s="147"/>
      <c r="S200" s="119"/>
      <c r="T200" s="197"/>
      <c r="U200" s="147"/>
      <c r="V200" s="147"/>
      <c r="W200" s="501"/>
      <c r="X200" s="106"/>
      <c r="Y200" s="106"/>
      <c r="Z200" s="427"/>
      <c r="AA200" s="107"/>
      <c r="AB200" s="107"/>
      <c r="AC200" s="107"/>
      <c r="AD200" s="106"/>
    </row>
    <row r="201" ht="30.75" customHeight="1">
      <c r="A201" s="62"/>
      <c r="B201" s="62"/>
      <c r="C201" s="423"/>
      <c r="D201" s="62"/>
      <c r="E201" s="62"/>
      <c r="F201" s="62"/>
      <c r="G201" s="63" t="s">
        <v>122</v>
      </c>
      <c r="H201" s="64">
        <v>1.0</v>
      </c>
      <c r="I201" s="455">
        <f t="shared" si="49"/>
        <v>220000</v>
      </c>
      <c r="J201" s="48">
        <f t="shared" si="53"/>
        <v>220000</v>
      </c>
      <c r="K201" s="62"/>
      <c r="L201" s="62"/>
      <c r="M201" s="62"/>
      <c r="N201" s="62"/>
      <c r="O201" s="62"/>
      <c r="P201" s="62"/>
      <c r="Q201" s="62"/>
      <c r="R201" s="62"/>
      <c r="S201" s="62"/>
      <c r="T201" s="62"/>
      <c r="U201" s="62"/>
      <c r="V201" s="62"/>
      <c r="W201" s="62"/>
      <c r="X201" s="106"/>
      <c r="Y201" s="106"/>
      <c r="Z201" s="427"/>
      <c r="AA201" s="107"/>
      <c r="AB201" s="107"/>
      <c r="AC201" s="107"/>
      <c r="AD201" s="106"/>
    </row>
    <row r="202" ht="30.75" customHeight="1">
      <c r="A202" s="67"/>
      <c r="B202" s="67"/>
      <c r="C202" s="102"/>
      <c r="D202" s="67"/>
      <c r="E202" s="67"/>
      <c r="F202" s="67"/>
      <c r="G202" s="63" t="s">
        <v>479</v>
      </c>
      <c r="H202" s="64">
        <v>1.0</v>
      </c>
      <c r="I202" s="455">
        <f t="shared" si="49"/>
        <v>35000</v>
      </c>
      <c r="J202" s="48">
        <f t="shared" si="53"/>
        <v>35000</v>
      </c>
      <c r="K202" s="67"/>
      <c r="L202" s="67"/>
      <c r="M202" s="67"/>
      <c r="N202" s="67"/>
      <c r="O202" s="67"/>
      <c r="P202" s="67"/>
      <c r="Q202" s="67"/>
      <c r="R202" s="67"/>
      <c r="S202" s="67"/>
      <c r="T202" s="67"/>
      <c r="U202" s="67"/>
      <c r="V202" s="67"/>
      <c r="W202" s="67"/>
      <c r="X202" s="106"/>
      <c r="Y202" s="106"/>
      <c r="Z202" s="427"/>
      <c r="AA202" s="107"/>
      <c r="AB202" s="107"/>
      <c r="AC202" s="107"/>
      <c r="AD202" s="106"/>
    </row>
    <row r="203" ht="30.75" customHeight="1">
      <c r="A203" s="93">
        <v>148.0</v>
      </c>
      <c r="B203" s="103">
        <v>45163.0</v>
      </c>
      <c r="C203" s="93">
        <v>1825.0</v>
      </c>
      <c r="D203" s="92" t="s">
        <v>50</v>
      </c>
      <c r="E203" s="105" t="s">
        <v>1525</v>
      </c>
      <c r="F203" s="92" t="s">
        <v>70</v>
      </c>
      <c r="G203" s="63" t="s">
        <v>30</v>
      </c>
      <c r="H203" s="64">
        <v>2.0</v>
      </c>
      <c r="I203" s="455">
        <f t="shared" si="49"/>
        <v>220000</v>
      </c>
      <c r="J203" s="48">
        <f t="shared" si="53"/>
        <v>440000</v>
      </c>
      <c r="K203" s="76">
        <f t="shared" ref="K203:K206" si="55">SUM(J203)</f>
        <v>440000</v>
      </c>
      <c r="L203" s="109"/>
      <c r="M203" s="78">
        <f t="shared" ref="M203:M205" si="56">K203*5%</f>
        <v>22000</v>
      </c>
      <c r="N203" s="79"/>
      <c r="O203" s="80">
        <f t="shared" ref="O203:O206" si="57">K203+L203-M203-N203</f>
        <v>418000</v>
      </c>
      <c r="P203" s="176"/>
      <c r="Q203" s="176"/>
      <c r="R203" s="122"/>
      <c r="S203" s="91"/>
      <c r="T203" s="183"/>
      <c r="U203" s="122"/>
      <c r="V203" s="122"/>
      <c r="W203" s="155" t="s">
        <v>53</v>
      </c>
      <c r="X203" s="106"/>
      <c r="Y203" s="106"/>
      <c r="Z203" s="427"/>
      <c r="AA203" s="107"/>
      <c r="AB203" s="107"/>
      <c r="AC203" s="107"/>
      <c r="AD203" s="106"/>
    </row>
    <row r="204" ht="30.75" customHeight="1">
      <c r="A204" s="93">
        <v>149.0</v>
      </c>
      <c r="B204" s="103">
        <v>45163.0</v>
      </c>
      <c r="C204" s="93">
        <v>3733.0</v>
      </c>
      <c r="D204" s="92" t="s">
        <v>50</v>
      </c>
      <c r="E204" s="105" t="s">
        <v>1526</v>
      </c>
      <c r="F204" s="92" t="s">
        <v>156</v>
      </c>
      <c r="G204" s="63" t="s">
        <v>30</v>
      </c>
      <c r="H204" s="64">
        <v>3.0</v>
      </c>
      <c r="I204" s="455">
        <f t="shared" si="49"/>
        <v>220000</v>
      </c>
      <c r="J204" s="48">
        <f t="shared" si="53"/>
        <v>660000</v>
      </c>
      <c r="K204" s="76">
        <f t="shared" si="55"/>
        <v>660000</v>
      </c>
      <c r="L204" s="109"/>
      <c r="M204" s="78">
        <f t="shared" si="56"/>
        <v>33000</v>
      </c>
      <c r="N204" s="79"/>
      <c r="O204" s="80">
        <f t="shared" si="57"/>
        <v>627000</v>
      </c>
      <c r="P204" s="176"/>
      <c r="Q204" s="176"/>
      <c r="R204" s="122"/>
      <c r="S204" s="91"/>
      <c r="T204" s="183"/>
      <c r="U204" s="122"/>
      <c r="V204" s="122"/>
      <c r="W204" s="155" t="s">
        <v>53</v>
      </c>
      <c r="X204" s="106"/>
      <c r="Y204" s="106"/>
      <c r="Z204" s="427"/>
      <c r="AA204" s="107"/>
      <c r="AB204" s="107"/>
      <c r="AC204" s="107"/>
      <c r="AD204" s="106"/>
    </row>
    <row r="205" ht="30.75" customHeight="1">
      <c r="A205" s="93">
        <v>150.0</v>
      </c>
      <c r="B205" s="103">
        <v>45163.0</v>
      </c>
      <c r="C205" s="93">
        <v>4537.0</v>
      </c>
      <c r="D205" s="92" t="s">
        <v>50</v>
      </c>
      <c r="E205" s="105" t="s">
        <v>1527</v>
      </c>
      <c r="F205" s="92" t="s">
        <v>70</v>
      </c>
      <c r="G205" s="63" t="s">
        <v>30</v>
      </c>
      <c r="H205" s="64">
        <v>1.0</v>
      </c>
      <c r="I205" s="455">
        <f t="shared" si="49"/>
        <v>220000</v>
      </c>
      <c r="J205" s="48">
        <f t="shared" si="53"/>
        <v>220000</v>
      </c>
      <c r="K205" s="76">
        <f t="shared" si="55"/>
        <v>220000</v>
      </c>
      <c r="L205" s="109"/>
      <c r="M205" s="78">
        <f t="shared" si="56"/>
        <v>11000</v>
      </c>
      <c r="N205" s="79"/>
      <c r="O205" s="80">
        <f t="shared" si="57"/>
        <v>209000</v>
      </c>
      <c r="P205" s="176"/>
      <c r="Q205" s="176"/>
      <c r="R205" s="108"/>
      <c r="S205" s="91"/>
      <c r="T205" s="183"/>
      <c r="U205" s="122"/>
      <c r="V205" s="122"/>
      <c r="W205" s="155" t="s">
        <v>53</v>
      </c>
      <c r="X205" s="106"/>
      <c r="Y205" s="106"/>
      <c r="Z205" s="427"/>
      <c r="AA205" s="107"/>
      <c r="AB205" s="107"/>
      <c r="AC205" s="107"/>
      <c r="AD205" s="106"/>
    </row>
    <row r="206" ht="30.75" customHeight="1">
      <c r="A206" s="93">
        <v>151.0</v>
      </c>
      <c r="B206" s="103">
        <v>45163.0</v>
      </c>
      <c r="C206" s="93">
        <v>1.718430876303E12</v>
      </c>
      <c r="D206" s="92" t="s">
        <v>644</v>
      </c>
      <c r="E206" s="105" t="s">
        <v>45</v>
      </c>
      <c r="F206" s="92" t="s">
        <v>324</v>
      </c>
      <c r="G206" s="63" t="s">
        <v>30</v>
      </c>
      <c r="H206" s="64">
        <v>10.0</v>
      </c>
      <c r="I206" s="455">
        <f t="shared" si="49"/>
        <v>220000</v>
      </c>
      <c r="J206" s="48">
        <f t="shared" si="53"/>
        <v>2200000</v>
      </c>
      <c r="K206" s="76">
        <f t="shared" si="55"/>
        <v>2200000</v>
      </c>
      <c r="L206" s="109"/>
      <c r="M206" s="575"/>
      <c r="N206" s="79"/>
      <c r="O206" s="80">
        <f t="shared" si="57"/>
        <v>2200000</v>
      </c>
      <c r="P206" s="176"/>
      <c r="Q206" s="176"/>
      <c r="R206" s="108">
        <v>78004.0</v>
      </c>
      <c r="S206" s="91"/>
      <c r="T206" s="183"/>
      <c r="U206" s="122"/>
      <c r="V206" s="122"/>
      <c r="W206" s="284"/>
      <c r="X206" s="106"/>
      <c r="Y206" s="106"/>
      <c r="Z206" s="427"/>
      <c r="AA206" s="107"/>
      <c r="AB206" s="107"/>
      <c r="AC206" s="107"/>
      <c r="AD206" s="106"/>
    </row>
    <row r="207" ht="30.75" customHeight="1">
      <c r="A207" s="907"/>
      <c r="B207" s="908"/>
      <c r="C207" s="908"/>
      <c r="D207" s="908"/>
      <c r="E207" s="908"/>
      <c r="F207" s="908"/>
      <c r="G207" s="908"/>
      <c r="H207" s="908"/>
      <c r="I207" s="909"/>
      <c r="J207" s="199"/>
      <c r="K207" s="76"/>
      <c r="L207" s="201"/>
      <c r="M207" s="202"/>
      <c r="N207" s="201"/>
      <c r="O207" s="80"/>
      <c r="P207" s="201"/>
      <c r="Q207" s="201"/>
      <c r="R207" s="201"/>
      <c r="S207" s="201"/>
      <c r="T207" s="201"/>
      <c r="U207" s="201"/>
      <c r="V207" s="201"/>
      <c r="W207" s="591"/>
      <c r="X207" s="9"/>
      <c r="Y207" s="9"/>
      <c r="Z207" s="204"/>
      <c r="AA207" s="205"/>
      <c r="AB207" s="205"/>
      <c r="AC207" s="205"/>
      <c r="AD207" s="9"/>
    </row>
    <row r="208" ht="30.75" customHeight="1">
      <c r="A208" s="9"/>
      <c r="B208" s="198" t="s">
        <v>384</v>
      </c>
      <c r="C208" s="16"/>
      <c r="D208" s="16"/>
      <c r="E208" s="16"/>
      <c r="F208" s="16"/>
      <c r="G208" s="16"/>
      <c r="H208" s="16"/>
      <c r="I208" s="17"/>
      <c r="J208" s="199">
        <f>sum(J4:J207)</f>
        <v>78725000</v>
      </c>
      <c r="K208" s="76">
        <f>SUM(J208)</f>
        <v>78725000</v>
      </c>
      <c r="L208" s="201">
        <f t="shared" ref="L208:N208" si="58">SUM(L4:L206)</f>
        <v>744190</v>
      </c>
      <c r="M208" s="202">
        <f t="shared" si="58"/>
        <v>1554493</v>
      </c>
      <c r="N208" s="201">
        <f t="shared" si="58"/>
        <v>254190</v>
      </c>
      <c r="O208" s="80">
        <f>K208+L208-N208</f>
        <v>79215000</v>
      </c>
      <c r="P208" s="201"/>
      <c r="Q208" s="201">
        <f t="shared" ref="Q208:W208" si="59">SUM(Q4:Q206)</f>
        <v>0</v>
      </c>
      <c r="R208" s="201">
        <f t="shared" si="59"/>
        <v>2160111</v>
      </c>
      <c r="S208" s="201">
        <f t="shared" si="59"/>
        <v>0</v>
      </c>
      <c r="T208" s="201">
        <f t="shared" si="59"/>
        <v>0</v>
      </c>
      <c r="U208" s="201">
        <f t="shared" si="59"/>
        <v>0</v>
      </c>
      <c r="V208" s="201">
        <f t="shared" si="59"/>
        <v>32</v>
      </c>
      <c r="W208" s="591">
        <f t="shared" si="59"/>
        <v>1</v>
      </c>
      <c r="X208" s="9"/>
      <c r="Y208" s="9"/>
      <c r="Z208" s="204"/>
      <c r="AA208" s="205"/>
      <c r="AB208" s="205"/>
      <c r="AC208" s="205"/>
      <c r="AD208" s="9"/>
    </row>
    <row r="209" ht="30.75" customHeight="1">
      <c r="A209" s="9"/>
      <c r="B209" s="910" t="s">
        <v>1528</v>
      </c>
      <c r="C209" s="16"/>
      <c r="D209" s="16"/>
      <c r="E209" s="16"/>
      <c r="F209" s="16"/>
      <c r="G209" s="16"/>
      <c r="H209" s="16"/>
      <c r="I209" s="17"/>
      <c r="J209" s="207">
        <f>SUMIF(G4:G206, "&lt;&gt;*Omi*", J4:J206)</f>
        <v>5780000</v>
      </c>
      <c r="K209" s="208"/>
      <c r="L209" s="208"/>
      <c r="M209" s="209"/>
      <c r="N209" s="210"/>
      <c r="O209" s="211"/>
      <c r="P209" s="210"/>
      <c r="Q209" s="210"/>
      <c r="R209" s="23"/>
      <c r="S209" s="23"/>
      <c r="T209" s="23"/>
      <c r="U209" s="23"/>
      <c r="V209" s="464"/>
      <c r="W209" s="911"/>
      <c r="X209" s="9"/>
      <c r="Y209" s="9"/>
      <c r="Z209" s="204"/>
      <c r="AA209" s="205"/>
      <c r="AB209" s="205"/>
      <c r="AC209" s="205"/>
      <c r="AD209" s="9"/>
    </row>
    <row r="210" ht="24.75" customHeight="1">
      <c r="A210" s="9"/>
      <c r="B210" s="214" t="s">
        <v>386</v>
      </c>
      <c r="C210" s="16"/>
      <c r="D210" s="16"/>
      <c r="E210" s="16"/>
      <c r="F210" s="16"/>
      <c r="G210" s="16"/>
      <c r="H210" s="16"/>
      <c r="I210" s="17"/>
      <c r="J210" s="215">
        <f>J208-J209</f>
        <v>72945000</v>
      </c>
      <c r="K210" s="208"/>
      <c r="L210" s="216"/>
      <c r="M210" s="216"/>
      <c r="N210" s="216"/>
      <c r="O210" s="216"/>
      <c r="P210" s="216"/>
      <c r="Q210" s="23"/>
      <c r="R210" s="23"/>
      <c r="S210" s="23"/>
      <c r="T210" s="23"/>
      <c r="U210" s="23"/>
      <c r="V210" s="464"/>
      <c r="W210" s="911"/>
      <c r="X210" s="9"/>
      <c r="Y210" s="9"/>
      <c r="Z210" s="204"/>
      <c r="AA210" s="205"/>
      <c r="AB210" s="205"/>
      <c r="AC210" s="205"/>
      <c r="AD210" s="9"/>
    </row>
    <row r="211" ht="24.75" customHeight="1">
      <c r="A211" s="9"/>
      <c r="B211" s="217" t="s">
        <v>387</v>
      </c>
      <c r="C211" s="16"/>
      <c r="D211" s="16"/>
      <c r="E211" s="16"/>
      <c r="F211" s="16"/>
      <c r="G211" s="16"/>
      <c r="H211" s="16"/>
      <c r="I211" s="17"/>
      <c r="J211" s="207">
        <f>SUMIF(S4:S206,"Cty trả ship",R4:R206)</f>
        <v>1860712</v>
      </c>
      <c r="K211" s="208"/>
      <c r="L211" s="216"/>
      <c r="M211" s="216"/>
      <c r="N211" s="216"/>
      <c r="O211" s="216"/>
      <c r="P211" s="216"/>
      <c r="Q211" s="23"/>
      <c r="R211" s="23"/>
      <c r="S211" s="23"/>
      <c r="T211" s="23"/>
      <c r="U211" s="23"/>
      <c r="V211" s="464"/>
      <c r="W211" s="911"/>
      <c r="X211" s="9"/>
      <c r="Y211" s="218"/>
      <c r="Z211" s="219"/>
      <c r="AA211" s="205"/>
      <c r="AB211" s="205"/>
      <c r="AC211" s="205"/>
      <c r="AD211" s="9"/>
    </row>
    <row r="212" ht="24.75" customHeight="1">
      <c r="A212" s="9"/>
      <c r="B212" s="220" t="s">
        <v>388</v>
      </c>
      <c r="C212" s="16"/>
      <c r="D212" s="16"/>
      <c r="E212" s="16"/>
      <c r="F212" s="16"/>
      <c r="G212" s="16"/>
      <c r="H212" s="16"/>
      <c r="I212" s="17"/>
      <c r="J212" s="221">
        <f>N208</f>
        <v>254190</v>
      </c>
      <c r="K212" s="208"/>
      <c r="L212" s="208"/>
      <c r="M212" s="210"/>
      <c r="N212" s="210"/>
      <c r="O212" s="211"/>
      <c r="P212" s="210"/>
      <c r="Q212" s="210"/>
      <c r="R212" s="23"/>
      <c r="S212" s="23"/>
      <c r="T212" s="210"/>
      <c r="U212" s="210"/>
      <c r="V212" s="466"/>
      <c r="W212" s="912"/>
      <c r="X212" s="210"/>
      <c r="Y212" s="218"/>
      <c r="Z212" s="219"/>
      <c r="AA212" s="205"/>
      <c r="AB212" s="205"/>
      <c r="AC212" s="205"/>
      <c r="AD212" s="9"/>
    </row>
    <row r="213" ht="15.75" customHeight="1">
      <c r="A213" s="9"/>
      <c r="B213" s="223"/>
      <c r="C213" s="9"/>
      <c r="D213" s="9"/>
      <c r="E213" s="223"/>
      <c r="F213" s="222"/>
      <c r="G213" s="223"/>
      <c r="H213" s="224"/>
      <c r="I213" s="225"/>
      <c r="J213" s="225"/>
      <c r="K213" s="22"/>
      <c r="L213" s="9"/>
      <c r="M213" s="9"/>
      <c r="N213" s="9"/>
      <c r="O213" s="226"/>
      <c r="P213" s="9"/>
      <c r="Q213" s="9"/>
      <c r="R213" s="9"/>
      <c r="S213" s="9"/>
      <c r="T213" s="223"/>
      <c r="U213" s="9"/>
      <c r="V213" s="913"/>
      <c r="W213" s="914"/>
      <c r="X213" s="9"/>
      <c r="Y213" s="9"/>
      <c r="Z213" s="204"/>
      <c r="AA213" s="205"/>
      <c r="AB213" s="205"/>
      <c r="AC213" s="205"/>
      <c r="AD213" s="9"/>
    </row>
    <row r="214" ht="15.75" customHeight="1">
      <c r="A214" s="218"/>
      <c r="B214" s="227"/>
      <c r="C214" s="228"/>
      <c r="D214" s="229"/>
      <c r="E214" s="772"/>
      <c r="F214" s="229"/>
      <c r="G214" s="231"/>
      <c r="H214" s="231"/>
      <c r="I214" s="231"/>
      <c r="J214" s="232"/>
      <c r="K214" s="233"/>
      <c r="L214" s="232"/>
      <c r="M214" s="232"/>
      <c r="N214" s="232"/>
      <c r="O214" s="234"/>
      <c r="P214" s="218"/>
      <c r="Q214" s="218"/>
      <c r="R214" s="218"/>
      <c r="S214" s="218"/>
      <c r="T214" s="218"/>
      <c r="U214" s="218"/>
      <c r="V214" s="601"/>
      <c r="W214" s="915"/>
      <c r="X214" s="235"/>
      <c r="Y214" s="218"/>
      <c r="Z214" s="219"/>
      <c r="AA214" s="205"/>
      <c r="AB214" s="205"/>
      <c r="AC214" s="205"/>
      <c r="AD214" s="9"/>
    </row>
    <row r="215" ht="15.75" customHeight="1">
      <c r="A215" s="218"/>
      <c r="B215" s="236"/>
      <c r="C215" s="16"/>
      <c r="D215" s="17"/>
      <c r="E215" s="237" t="s">
        <v>389</v>
      </c>
      <c r="F215" s="16"/>
      <c r="G215" s="16"/>
      <c r="H215" s="16"/>
      <c r="I215" s="16"/>
      <c r="J215" s="17"/>
      <c r="K215" s="23"/>
      <c r="L215" s="218"/>
      <c r="M215" s="238"/>
      <c r="N215" s="602" t="s">
        <v>864</v>
      </c>
      <c r="O215" s="16"/>
      <c r="P215" s="16"/>
      <c r="Q215" s="16"/>
      <c r="R215" s="16"/>
      <c r="S215" s="16"/>
      <c r="T215" s="17"/>
      <c r="U215" s="275"/>
      <c r="V215" s="603"/>
      <c r="W215" s="916"/>
      <c r="X215" s="240"/>
      <c r="Y215" s="218"/>
      <c r="Z215" s="219"/>
      <c r="AA215" s="205"/>
      <c r="AB215" s="205"/>
      <c r="AC215" s="205"/>
      <c r="AD215" s="9"/>
    </row>
    <row r="216" ht="15.75" customHeight="1">
      <c r="A216" s="218"/>
      <c r="B216" s="241" t="s">
        <v>391</v>
      </c>
      <c r="C216" s="242" t="s">
        <v>392</v>
      </c>
      <c r="D216" s="243" t="s">
        <v>393</v>
      </c>
      <c r="E216" s="244" t="s">
        <v>394</v>
      </c>
      <c r="F216" s="245" t="s">
        <v>395</v>
      </c>
      <c r="G216" s="201" t="s">
        <v>396</v>
      </c>
      <c r="H216" s="243" t="s">
        <v>397</v>
      </c>
      <c r="I216" s="246" t="s">
        <v>398</v>
      </c>
      <c r="J216" s="247" t="s">
        <v>399</v>
      </c>
      <c r="K216" s="23"/>
      <c r="L216" s="218"/>
      <c r="M216" s="248"/>
      <c r="N216" s="605" t="s">
        <v>400</v>
      </c>
      <c r="O216" s="250" t="s">
        <v>1529</v>
      </c>
      <c r="P216" s="250" t="s">
        <v>1291</v>
      </c>
      <c r="Q216" s="251" t="s">
        <v>1530</v>
      </c>
      <c r="R216" s="251" t="s">
        <v>1292</v>
      </c>
      <c r="S216" s="252" t="s">
        <v>405</v>
      </c>
      <c r="T216" s="253" t="s">
        <v>406</v>
      </c>
      <c r="U216" s="606"/>
      <c r="V216" s="607"/>
      <c r="W216" s="916"/>
      <c r="X216" s="240"/>
      <c r="Y216" s="218"/>
      <c r="Z216" s="219"/>
      <c r="AA216" s="205"/>
      <c r="AB216" s="205"/>
      <c r="AC216" s="205"/>
      <c r="AD216" s="9"/>
    </row>
    <row r="217" ht="15.75" customHeight="1">
      <c r="A217" s="218"/>
      <c r="B217" s="254" t="s">
        <v>407</v>
      </c>
      <c r="C217" s="85" t="s">
        <v>121</v>
      </c>
      <c r="D217" s="255">
        <f t="shared" ref="D217:D255" si="60">SUMIF($G$4:$G$210,C217,$H$4:$H$210)</f>
        <v>42</v>
      </c>
      <c r="E217" s="93">
        <v>7.0</v>
      </c>
      <c r="F217" s="613"/>
      <c r="G217" s="256">
        <f t="shared" ref="G217:G255" si="61">D217-E217-F217</f>
        <v>35</v>
      </c>
      <c r="H217" s="128">
        <v>220000.0</v>
      </c>
      <c r="I217" s="217">
        <f t="shared" ref="I217:I255" si="62">G217*H217</f>
        <v>7700000</v>
      </c>
      <c r="J217" s="257">
        <f t="shared" ref="J217:J255" si="63">SUMIF($U$4:$U$206,C217,$V$4:$V$206)</f>
        <v>0</v>
      </c>
      <c r="K217" s="23"/>
      <c r="L217" s="218"/>
      <c r="M217" s="258"/>
      <c r="N217" s="103">
        <v>45133.0</v>
      </c>
      <c r="O217" s="261">
        <f>660000+660000+1980000+660000+9000000+1320000+660000+900000+2200000</f>
        <v>18040000</v>
      </c>
      <c r="P217" s="261"/>
      <c r="Q217" s="263">
        <f>54999+333582+102500+54999+54999+47999+74499</f>
        <v>723577</v>
      </c>
      <c r="R217" s="262"/>
      <c r="S217" s="609">
        <f t="shared" ref="S217:S255" si="64">O217+P217-Q217-R217</f>
        <v>17316423</v>
      </c>
      <c r="T217" s="488"/>
      <c r="U217" s="282"/>
      <c r="V217" s="610"/>
      <c r="W217" s="917"/>
      <c r="X217" s="266"/>
      <c r="Y217" s="218"/>
      <c r="Z217" s="219"/>
      <c r="AA217" s="205"/>
      <c r="AB217" s="205"/>
      <c r="AC217" s="205"/>
      <c r="AD217" s="9"/>
    </row>
    <row r="218" ht="15.75" customHeight="1">
      <c r="A218" s="218"/>
      <c r="B218" s="62"/>
      <c r="C218" s="85" t="s">
        <v>123</v>
      </c>
      <c r="D218" s="255">
        <f t="shared" si="60"/>
        <v>1</v>
      </c>
      <c r="E218" s="65"/>
      <c r="F218" s="255"/>
      <c r="G218" s="256">
        <f t="shared" si="61"/>
        <v>1</v>
      </c>
      <c r="H218" s="128">
        <v>220000.0</v>
      </c>
      <c r="I218" s="217">
        <f t="shared" si="62"/>
        <v>220000</v>
      </c>
      <c r="J218" s="257">
        <f t="shared" si="63"/>
        <v>0</v>
      </c>
      <c r="K218" s="23"/>
      <c r="L218" s="218"/>
      <c r="M218" s="258"/>
      <c r="N218" s="103">
        <v>45133.0</v>
      </c>
      <c r="O218" s="261">
        <f>2088515+208343+207263+627270+210590+627000+417370</f>
        <v>4386351</v>
      </c>
      <c r="P218" s="261"/>
      <c r="Q218" s="487"/>
      <c r="R218" s="262"/>
      <c r="S218" s="609">
        <f t="shared" si="64"/>
        <v>4386351</v>
      </c>
      <c r="T218" s="483" t="s">
        <v>659</v>
      </c>
      <c r="U218" s="282"/>
      <c r="V218" s="610"/>
      <c r="W218" s="917"/>
      <c r="X218" s="266"/>
      <c r="Y218" s="218"/>
      <c r="Z218" s="219"/>
      <c r="AA218" s="205"/>
      <c r="AB218" s="205"/>
      <c r="AC218" s="205"/>
      <c r="AD218" s="9"/>
    </row>
    <row r="219" ht="15.75" customHeight="1">
      <c r="A219" s="218"/>
      <c r="B219" s="62"/>
      <c r="C219" s="85" t="s">
        <v>124</v>
      </c>
      <c r="D219" s="255">
        <f t="shared" si="60"/>
        <v>11</v>
      </c>
      <c r="E219" s="65"/>
      <c r="F219" s="255"/>
      <c r="G219" s="256">
        <f t="shared" si="61"/>
        <v>11</v>
      </c>
      <c r="H219" s="128">
        <v>220000.0</v>
      </c>
      <c r="I219" s="217">
        <f t="shared" si="62"/>
        <v>2420000</v>
      </c>
      <c r="J219" s="257">
        <f t="shared" si="63"/>
        <v>0</v>
      </c>
      <c r="K219" s="23"/>
      <c r="L219" s="218"/>
      <c r="M219" s="258"/>
      <c r="N219" s="103">
        <v>45135.0</v>
      </c>
      <c r="O219" s="261">
        <f>1980000+240000+21150000+1320000+10200000+660000+660000+660000+1320000</f>
        <v>38190000</v>
      </c>
      <c r="P219" s="261">
        <f>O20</f>
        <v>120000</v>
      </c>
      <c r="Q219" s="487">
        <f>47999+54999+54999+54999+881703+99000+579536+54999+74499+33000+74499+74499+99000+40000+47999+54999</f>
        <v>2326729</v>
      </c>
      <c r="R219" s="262"/>
      <c r="S219" s="609">
        <f t="shared" si="64"/>
        <v>35983271</v>
      </c>
      <c r="T219" s="488"/>
      <c r="U219" s="282"/>
      <c r="V219" s="610"/>
      <c r="W219" s="917"/>
      <c r="X219" s="266"/>
      <c r="Y219" s="218"/>
      <c r="Z219" s="219"/>
      <c r="AA219" s="205"/>
      <c r="AB219" s="205"/>
      <c r="AC219" s="205"/>
      <c r="AD219" s="9"/>
    </row>
    <row r="220" ht="15.75" customHeight="1">
      <c r="A220" s="218"/>
      <c r="B220" s="62"/>
      <c r="C220" s="129" t="s">
        <v>125</v>
      </c>
      <c r="D220" s="255">
        <f t="shared" si="60"/>
        <v>0</v>
      </c>
      <c r="E220" s="65"/>
      <c r="F220" s="255"/>
      <c r="G220" s="256">
        <f t="shared" si="61"/>
        <v>0</v>
      </c>
      <c r="H220" s="80">
        <v>220000.0</v>
      </c>
      <c r="I220" s="217">
        <f t="shared" si="62"/>
        <v>0</v>
      </c>
      <c r="J220" s="257">
        <f t="shared" si="63"/>
        <v>0</v>
      </c>
      <c r="K220" s="23"/>
      <c r="L220" s="218"/>
      <c r="M220" s="258"/>
      <c r="N220" s="103">
        <v>45136.0</v>
      </c>
      <c r="O220" s="261">
        <f>208343+208916</f>
        <v>417259</v>
      </c>
      <c r="P220" s="261"/>
      <c r="Q220" s="487"/>
      <c r="R220" s="262"/>
      <c r="S220" s="609">
        <f t="shared" si="64"/>
        <v>417259</v>
      </c>
      <c r="T220" s="483" t="s">
        <v>659</v>
      </c>
      <c r="U220" s="282"/>
      <c r="V220" s="610"/>
      <c r="W220" s="917"/>
      <c r="X220" s="266"/>
      <c r="Y220" s="218"/>
      <c r="Z220" s="219"/>
      <c r="AA220" s="205"/>
      <c r="AB220" s="205"/>
      <c r="AC220" s="205"/>
      <c r="AD220" s="9"/>
    </row>
    <row r="221" ht="15.75" customHeight="1">
      <c r="A221" s="218"/>
      <c r="B221" s="62"/>
      <c r="C221" s="129" t="s">
        <v>129</v>
      </c>
      <c r="D221" s="255">
        <f t="shared" si="60"/>
        <v>19</v>
      </c>
      <c r="E221" s="268"/>
      <c r="F221" s="269"/>
      <c r="G221" s="256">
        <f t="shared" si="61"/>
        <v>19</v>
      </c>
      <c r="H221" s="80">
        <v>220000.0</v>
      </c>
      <c r="I221" s="217">
        <f t="shared" si="62"/>
        <v>4180000</v>
      </c>
      <c r="J221" s="257">
        <f t="shared" si="63"/>
        <v>1</v>
      </c>
      <c r="K221" s="23"/>
      <c r="L221" s="218"/>
      <c r="M221" s="258"/>
      <c r="N221" s="103">
        <v>45138.0</v>
      </c>
      <c r="O221" s="261">
        <f>210800</f>
        <v>210800</v>
      </c>
      <c r="P221" s="261"/>
      <c r="Q221" s="487"/>
      <c r="R221" s="262"/>
      <c r="S221" s="609">
        <f t="shared" si="64"/>
        <v>210800</v>
      </c>
      <c r="T221" s="483" t="s">
        <v>659</v>
      </c>
      <c r="U221" s="282"/>
      <c r="V221" s="610"/>
      <c r="W221" s="917"/>
      <c r="X221" s="266"/>
      <c r="Y221" s="218"/>
      <c r="Z221" s="219"/>
      <c r="AA221" s="205"/>
      <c r="AB221" s="205"/>
      <c r="AC221" s="205"/>
      <c r="AD221" s="9"/>
    </row>
    <row r="222" ht="15.75" customHeight="1">
      <c r="A222" s="218"/>
      <c r="B222" s="62"/>
      <c r="C222" s="85" t="s">
        <v>133</v>
      </c>
      <c r="D222" s="255">
        <f t="shared" si="60"/>
        <v>51</v>
      </c>
      <c r="E222" s="65"/>
      <c r="F222" s="269"/>
      <c r="G222" s="256">
        <f t="shared" si="61"/>
        <v>51</v>
      </c>
      <c r="H222" s="128">
        <v>220000.0</v>
      </c>
      <c r="I222" s="217">
        <f t="shared" si="62"/>
        <v>11220000</v>
      </c>
      <c r="J222" s="257">
        <f t="shared" si="63"/>
        <v>0</v>
      </c>
      <c r="K222" s="23"/>
      <c r="L222" s="218"/>
      <c r="M222" s="258"/>
      <c r="N222" s="103">
        <v>45138.0</v>
      </c>
      <c r="O222" s="261"/>
      <c r="P222" s="261">
        <f>220000</f>
        <v>220000</v>
      </c>
      <c r="Q222" s="487"/>
      <c r="R222" s="262"/>
      <c r="S222" s="609">
        <f t="shared" si="64"/>
        <v>220000</v>
      </c>
      <c r="T222" s="483" t="s">
        <v>1531</v>
      </c>
      <c r="U222" s="282"/>
      <c r="V222" s="610"/>
      <c r="W222" s="917"/>
      <c r="X222" s="266"/>
      <c r="Y222" s="218"/>
      <c r="Z222" s="219"/>
      <c r="AA222" s="205"/>
      <c r="AB222" s="205"/>
      <c r="AC222" s="205"/>
      <c r="AD222" s="9"/>
    </row>
    <row r="223" ht="15.75" customHeight="1">
      <c r="A223" s="218"/>
      <c r="B223" s="62"/>
      <c r="C223" s="85" t="s">
        <v>135</v>
      </c>
      <c r="D223" s="255">
        <f t="shared" si="60"/>
        <v>0</v>
      </c>
      <c r="E223" s="268"/>
      <c r="F223" s="269"/>
      <c r="G223" s="256">
        <f t="shared" si="61"/>
        <v>0</v>
      </c>
      <c r="H223" s="128">
        <v>220000.0</v>
      </c>
      <c r="I223" s="217">
        <f t="shared" si="62"/>
        <v>0</v>
      </c>
      <c r="J223" s="257">
        <f t="shared" si="63"/>
        <v>0</v>
      </c>
      <c r="K223" s="23"/>
      <c r="L223" s="218"/>
      <c r="M223" s="258"/>
      <c r="N223" s="103">
        <v>45138.0</v>
      </c>
      <c r="O223" s="261">
        <f>10200000+660000+660000</f>
        <v>11520000</v>
      </c>
      <c r="P223" s="261">
        <f>660000+3180000</f>
        <v>3840000</v>
      </c>
      <c r="Q223" s="487"/>
      <c r="R223" s="262">
        <f>R28+R20+L33+R22</f>
        <v>328438</v>
      </c>
      <c r="S223" s="609">
        <f t="shared" si="64"/>
        <v>15031562</v>
      </c>
      <c r="T223" s="488"/>
      <c r="U223" s="282"/>
      <c r="V223" s="610"/>
      <c r="W223" s="917"/>
      <c r="X223" s="266"/>
      <c r="Y223" s="218"/>
      <c r="Z223" s="219"/>
      <c r="AA223" s="205"/>
      <c r="AB223" s="205"/>
      <c r="AC223" s="205"/>
      <c r="AD223" s="9"/>
    </row>
    <row r="224" ht="15.75" customHeight="1">
      <c r="A224" s="218"/>
      <c r="B224" s="62"/>
      <c r="C224" s="85" t="s">
        <v>139</v>
      </c>
      <c r="D224" s="255">
        <f t="shared" si="60"/>
        <v>1</v>
      </c>
      <c r="E224" s="65"/>
      <c r="F224" s="269"/>
      <c r="G224" s="256">
        <f t="shared" si="61"/>
        <v>1</v>
      </c>
      <c r="H224" s="128">
        <v>80000.0</v>
      </c>
      <c r="I224" s="217">
        <f t="shared" si="62"/>
        <v>80000</v>
      </c>
      <c r="J224" s="257">
        <f t="shared" si="63"/>
        <v>0</v>
      </c>
      <c r="K224" s="23"/>
      <c r="L224" s="218"/>
      <c r="M224" s="258"/>
      <c r="N224" s="103">
        <v>45139.0</v>
      </c>
      <c r="O224" s="261">
        <f>208343+207743+208343+208343</f>
        <v>832772</v>
      </c>
      <c r="P224" s="261"/>
      <c r="Q224" s="487"/>
      <c r="R224" s="262"/>
      <c r="S224" s="609">
        <f t="shared" si="64"/>
        <v>832772</v>
      </c>
      <c r="T224" s="483" t="s">
        <v>659</v>
      </c>
      <c r="U224" s="282"/>
      <c r="V224" s="610"/>
      <c r="W224" s="917"/>
      <c r="X224" s="266"/>
      <c r="Y224" s="218"/>
      <c r="Z224" s="219"/>
      <c r="AA224" s="205"/>
      <c r="AB224" s="205"/>
      <c r="AC224" s="205"/>
      <c r="AD224" s="9"/>
    </row>
    <row r="225" ht="15.75" customHeight="1">
      <c r="A225" s="218"/>
      <c r="B225" s="62"/>
      <c r="C225" s="85" t="s">
        <v>142</v>
      </c>
      <c r="D225" s="255">
        <f t="shared" si="60"/>
        <v>3</v>
      </c>
      <c r="E225" s="65"/>
      <c r="F225" s="269"/>
      <c r="G225" s="256">
        <f t="shared" si="61"/>
        <v>3</v>
      </c>
      <c r="H225" s="128">
        <v>220000.0</v>
      </c>
      <c r="I225" s="217">
        <f t="shared" si="62"/>
        <v>660000</v>
      </c>
      <c r="J225" s="257">
        <f t="shared" si="63"/>
        <v>0</v>
      </c>
      <c r="K225" s="23"/>
      <c r="L225" s="218"/>
      <c r="M225" s="258"/>
      <c r="N225" s="103">
        <v>45140.0</v>
      </c>
      <c r="O225" s="261"/>
      <c r="P225" s="261">
        <f>O44</f>
        <v>660000</v>
      </c>
      <c r="Q225" s="487"/>
      <c r="R225" s="262">
        <f>R42+R55+R41+R54+R43+R49+R44+5000</f>
        <v>277700</v>
      </c>
      <c r="S225" s="609">
        <f t="shared" si="64"/>
        <v>382300</v>
      </c>
      <c r="T225" s="483"/>
      <c r="U225" s="282"/>
      <c r="V225" s="610"/>
      <c r="W225" s="917"/>
      <c r="X225" s="266"/>
      <c r="Y225" s="218"/>
      <c r="Z225" s="219"/>
      <c r="AA225" s="205"/>
      <c r="AB225" s="205"/>
      <c r="AC225" s="205"/>
      <c r="AD225" s="9"/>
    </row>
    <row r="226" ht="15.75" customHeight="1">
      <c r="A226" s="218"/>
      <c r="B226" s="62"/>
      <c r="C226" s="85" t="s">
        <v>145</v>
      </c>
      <c r="D226" s="255">
        <f t="shared" si="60"/>
        <v>203</v>
      </c>
      <c r="E226" s="93">
        <v>1.0</v>
      </c>
      <c r="F226" s="613">
        <v>3.0</v>
      </c>
      <c r="G226" s="256">
        <f t="shared" si="61"/>
        <v>199</v>
      </c>
      <c r="H226" s="128">
        <v>220000.0</v>
      </c>
      <c r="I226" s="217">
        <f t="shared" si="62"/>
        <v>43780000</v>
      </c>
      <c r="J226" s="257">
        <f t="shared" si="63"/>
        <v>5</v>
      </c>
      <c r="K226" s="23"/>
      <c r="L226" s="218"/>
      <c r="M226" s="258"/>
      <c r="N226" s="103">
        <v>45142.0</v>
      </c>
      <c r="O226" s="261">
        <f>209003+418000+208343</f>
        <v>835346</v>
      </c>
      <c r="P226" s="261"/>
      <c r="Q226" s="487"/>
      <c r="R226" s="262"/>
      <c r="S226" s="609">
        <f t="shared" si="64"/>
        <v>835346</v>
      </c>
      <c r="T226" s="483" t="s">
        <v>659</v>
      </c>
      <c r="U226" s="282"/>
      <c r="V226" s="610"/>
      <c r="W226" s="917"/>
      <c r="X226" s="266"/>
      <c r="Y226" s="218"/>
      <c r="Z226" s="219"/>
      <c r="AA226" s="205"/>
      <c r="AB226" s="205"/>
      <c r="AC226" s="205"/>
      <c r="AD226" s="9"/>
    </row>
    <row r="227" ht="15.75" customHeight="1">
      <c r="A227" s="218"/>
      <c r="B227" s="62"/>
      <c r="C227" s="85" t="s">
        <v>153</v>
      </c>
      <c r="D227" s="255">
        <f t="shared" si="60"/>
        <v>1</v>
      </c>
      <c r="E227" s="65"/>
      <c r="F227" s="269"/>
      <c r="G227" s="256">
        <f t="shared" si="61"/>
        <v>1</v>
      </c>
      <c r="H227" s="128">
        <v>45000.0</v>
      </c>
      <c r="I227" s="217">
        <f t="shared" si="62"/>
        <v>45000</v>
      </c>
      <c r="J227" s="257">
        <f t="shared" si="63"/>
        <v>8</v>
      </c>
      <c r="K227" s="23"/>
      <c r="L227" s="218"/>
      <c r="M227" s="258"/>
      <c r="N227" s="103">
        <v>45142.0</v>
      </c>
      <c r="O227" s="261">
        <f>240000</f>
        <v>240000</v>
      </c>
      <c r="P227" s="261">
        <f>O54+O33</f>
        <v>900000</v>
      </c>
      <c r="Q227" s="487"/>
      <c r="R227" s="262">
        <f>R59+R57+L60+5093</f>
        <v>100093</v>
      </c>
      <c r="S227" s="609">
        <f t="shared" si="64"/>
        <v>1039907</v>
      </c>
      <c r="T227" s="483" t="s">
        <v>1532</v>
      </c>
      <c r="U227" s="282"/>
      <c r="V227" s="610"/>
      <c r="W227" s="917"/>
      <c r="X227" s="266"/>
      <c r="Y227" s="218"/>
      <c r="Z227" s="219"/>
      <c r="AA227" s="205"/>
      <c r="AB227" s="205"/>
      <c r="AC227" s="205"/>
      <c r="AD227" s="9"/>
    </row>
    <row r="228" ht="15.75" customHeight="1">
      <c r="A228" s="218"/>
      <c r="B228" s="62"/>
      <c r="C228" s="273" t="s">
        <v>161</v>
      </c>
      <c r="D228" s="255">
        <f t="shared" si="60"/>
        <v>1</v>
      </c>
      <c r="E228" s="65"/>
      <c r="F228" s="269"/>
      <c r="G228" s="256">
        <f t="shared" si="61"/>
        <v>1</v>
      </c>
      <c r="H228" s="274">
        <v>220000.0</v>
      </c>
      <c r="I228" s="217">
        <f t="shared" si="62"/>
        <v>220000</v>
      </c>
      <c r="J228" s="257">
        <f t="shared" si="63"/>
        <v>0</v>
      </c>
      <c r="K228" s="23"/>
      <c r="L228" s="218"/>
      <c r="M228" s="258"/>
      <c r="N228" s="103">
        <v>45145.0</v>
      </c>
      <c r="O228" s="261">
        <f>209000+208523+207863</f>
        <v>625386</v>
      </c>
      <c r="P228" s="261">
        <f>O36+O35+O34+O37</f>
        <v>830642</v>
      </c>
      <c r="Q228" s="487"/>
      <c r="R228" s="262"/>
      <c r="S228" s="609">
        <f t="shared" si="64"/>
        <v>1456028</v>
      </c>
      <c r="T228" s="483" t="s">
        <v>659</v>
      </c>
      <c r="U228" s="282"/>
      <c r="V228" s="610"/>
      <c r="W228" s="917"/>
      <c r="X228" s="266"/>
      <c r="Y228" s="218"/>
      <c r="Z228" s="219"/>
      <c r="AA228" s="205"/>
      <c r="AB228" s="205"/>
      <c r="AC228" s="205"/>
      <c r="AD228" s="9"/>
    </row>
    <row r="229" ht="15.75" customHeight="1">
      <c r="A229" s="218"/>
      <c r="B229" s="62"/>
      <c r="C229" s="273" t="s">
        <v>488</v>
      </c>
      <c r="D229" s="255">
        <f t="shared" si="60"/>
        <v>0</v>
      </c>
      <c r="E229" s="65"/>
      <c r="F229" s="269"/>
      <c r="G229" s="256">
        <f t="shared" si="61"/>
        <v>0</v>
      </c>
      <c r="H229" s="274">
        <v>45000.0</v>
      </c>
      <c r="I229" s="217">
        <f t="shared" si="62"/>
        <v>0</v>
      </c>
      <c r="J229" s="257">
        <f t="shared" si="63"/>
        <v>8</v>
      </c>
      <c r="K229" s="23"/>
      <c r="L229" s="218"/>
      <c r="M229" s="258"/>
      <c r="N229" s="103">
        <v>45145.0</v>
      </c>
      <c r="O229" s="261"/>
      <c r="P229" s="261">
        <f>O67+O64+O59+O60+O57+O49</f>
        <v>6035000</v>
      </c>
      <c r="Q229" s="487"/>
      <c r="R229" s="262">
        <f>L66+R64+L68</f>
        <v>178401</v>
      </c>
      <c r="S229" s="609">
        <f t="shared" si="64"/>
        <v>5856599</v>
      </c>
      <c r="T229" s="488"/>
      <c r="U229" s="282"/>
      <c r="V229" s="610"/>
      <c r="W229" s="917"/>
      <c r="X229" s="266"/>
      <c r="Y229" s="218"/>
      <c r="Z229" s="219"/>
      <c r="AA229" s="205"/>
      <c r="AB229" s="205"/>
      <c r="AC229" s="205"/>
      <c r="AD229" s="9"/>
    </row>
    <row r="230" ht="15.75" customHeight="1">
      <c r="A230" s="218"/>
      <c r="B230" s="62"/>
      <c r="C230" s="273" t="s">
        <v>412</v>
      </c>
      <c r="D230" s="255">
        <f t="shared" si="60"/>
        <v>0</v>
      </c>
      <c r="E230" s="65"/>
      <c r="F230" s="269"/>
      <c r="G230" s="256">
        <f t="shared" si="61"/>
        <v>0</v>
      </c>
      <c r="H230" s="274">
        <v>45000.0</v>
      </c>
      <c r="I230" s="217">
        <f t="shared" si="62"/>
        <v>0</v>
      </c>
      <c r="J230" s="257">
        <f t="shared" si="63"/>
        <v>8</v>
      </c>
      <c r="K230" s="23"/>
      <c r="L230" s="218"/>
      <c r="M230" s="258"/>
      <c r="N230" s="103">
        <v>45147.0</v>
      </c>
      <c r="O230" s="261"/>
      <c r="P230" s="261">
        <f>O45+O48+O46</f>
        <v>835343</v>
      </c>
      <c r="Q230" s="487"/>
      <c r="R230" s="262"/>
      <c r="S230" s="609">
        <f t="shared" si="64"/>
        <v>835343</v>
      </c>
      <c r="T230" s="483" t="s">
        <v>659</v>
      </c>
      <c r="U230" s="282"/>
      <c r="V230" s="610"/>
      <c r="W230" s="917"/>
      <c r="X230" s="266"/>
      <c r="Y230" s="218"/>
      <c r="Z230" s="219"/>
      <c r="AA230" s="205"/>
      <c r="AB230" s="205"/>
      <c r="AC230" s="205"/>
      <c r="AD230" s="9"/>
    </row>
    <row r="231" ht="15.75" customHeight="1">
      <c r="A231" s="218"/>
      <c r="B231" s="62"/>
      <c r="C231" s="273" t="s">
        <v>151</v>
      </c>
      <c r="D231" s="255">
        <f t="shared" si="60"/>
        <v>8</v>
      </c>
      <c r="E231" s="93">
        <v>1.0</v>
      </c>
      <c r="F231" s="613"/>
      <c r="G231" s="256">
        <f t="shared" si="61"/>
        <v>7</v>
      </c>
      <c r="H231" s="274">
        <v>220000.0</v>
      </c>
      <c r="I231" s="217">
        <f t="shared" si="62"/>
        <v>1540000</v>
      </c>
      <c r="J231" s="257">
        <f t="shared" si="63"/>
        <v>2</v>
      </c>
      <c r="K231" s="23"/>
      <c r="L231" s="218"/>
      <c r="M231" s="258"/>
      <c r="N231" s="103">
        <v>45147.0</v>
      </c>
      <c r="O231" s="261"/>
      <c r="P231" s="261">
        <f>O68+O66</f>
        <v>710000</v>
      </c>
      <c r="Q231" s="487"/>
      <c r="R231" s="262">
        <f>R72</f>
        <v>42001</v>
      </c>
      <c r="S231" s="609">
        <f t="shared" si="64"/>
        <v>667999</v>
      </c>
      <c r="T231" s="488"/>
      <c r="U231" s="282"/>
      <c r="V231" s="610"/>
      <c r="W231" s="917"/>
      <c r="X231" s="266"/>
      <c r="Y231" s="218"/>
      <c r="Z231" s="219"/>
      <c r="AA231" s="205"/>
      <c r="AB231" s="205"/>
      <c r="AC231" s="205"/>
      <c r="AD231" s="9"/>
    </row>
    <row r="232" ht="15.75" customHeight="1">
      <c r="A232" s="218"/>
      <c r="B232" s="62"/>
      <c r="C232" s="65" t="s">
        <v>148</v>
      </c>
      <c r="D232" s="255">
        <f t="shared" si="60"/>
        <v>4</v>
      </c>
      <c r="E232" s="65"/>
      <c r="F232" s="269"/>
      <c r="G232" s="256">
        <f t="shared" si="61"/>
        <v>4</v>
      </c>
      <c r="H232" s="66">
        <v>220000.0</v>
      </c>
      <c r="I232" s="217">
        <f t="shared" si="62"/>
        <v>880000</v>
      </c>
      <c r="J232" s="257">
        <f t="shared" si="63"/>
        <v>0</v>
      </c>
      <c r="K232" s="23"/>
      <c r="L232" s="218"/>
      <c r="M232" s="258"/>
      <c r="N232" s="103">
        <v>45146.0</v>
      </c>
      <c r="O232" s="261"/>
      <c r="P232" s="261">
        <f t="shared" ref="P232:P233" si="65">220000</f>
        <v>220000</v>
      </c>
      <c r="Q232" s="487"/>
      <c r="R232" s="262"/>
      <c r="S232" s="609">
        <f t="shared" si="64"/>
        <v>220000</v>
      </c>
      <c r="T232" s="483" t="s">
        <v>1533</v>
      </c>
      <c r="U232" s="282"/>
      <c r="V232" s="610"/>
      <c r="W232" s="917"/>
      <c r="X232" s="266"/>
      <c r="Y232" s="218"/>
      <c r="Z232" s="219"/>
      <c r="AA232" s="205"/>
      <c r="AB232" s="205"/>
      <c r="AC232" s="205"/>
      <c r="AD232" s="9"/>
    </row>
    <row r="233" ht="15.75" customHeight="1">
      <c r="A233" s="218"/>
      <c r="B233" s="254" t="s">
        <v>415</v>
      </c>
      <c r="C233" s="918" t="s">
        <v>34</v>
      </c>
      <c r="D233" s="255">
        <f t="shared" si="60"/>
        <v>19</v>
      </c>
      <c r="E233" s="65"/>
      <c r="F233" s="269"/>
      <c r="G233" s="256">
        <f t="shared" si="61"/>
        <v>19</v>
      </c>
      <c r="H233" s="61">
        <v>65000.0</v>
      </c>
      <c r="I233" s="217">
        <f t="shared" si="62"/>
        <v>1235000</v>
      </c>
      <c r="J233" s="257">
        <f t="shared" si="63"/>
        <v>0</v>
      </c>
      <c r="K233" s="23"/>
      <c r="L233" s="218"/>
      <c r="M233" s="258"/>
      <c r="N233" s="103">
        <v>45146.0</v>
      </c>
      <c r="O233" s="261"/>
      <c r="P233" s="261">
        <f t="shared" si="65"/>
        <v>220000</v>
      </c>
      <c r="Q233" s="487"/>
      <c r="R233" s="262"/>
      <c r="S233" s="609">
        <f t="shared" si="64"/>
        <v>220000</v>
      </c>
      <c r="T233" s="483" t="s">
        <v>1533</v>
      </c>
      <c r="U233" s="615"/>
      <c r="V233" s="607"/>
      <c r="W233" s="919"/>
      <c r="X233" s="266"/>
      <c r="Y233" s="218"/>
      <c r="Z233" s="219"/>
      <c r="AA233" s="205"/>
      <c r="AB233" s="205"/>
      <c r="AC233" s="205"/>
      <c r="AD233" s="9"/>
    </row>
    <row r="234" ht="15.75" customHeight="1">
      <c r="A234" s="218"/>
      <c r="B234" s="62"/>
      <c r="C234" s="285" t="s">
        <v>36</v>
      </c>
      <c r="D234" s="255">
        <f t="shared" si="60"/>
        <v>0</v>
      </c>
      <c r="E234" s="65"/>
      <c r="F234" s="269"/>
      <c r="G234" s="256">
        <f t="shared" si="61"/>
        <v>0</v>
      </c>
      <c r="H234" s="66">
        <v>180000.0</v>
      </c>
      <c r="I234" s="217">
        <f t="shared" si="62"/>
        <v>0</v>
      </c>
      <c r="J234" s="257">
        <f t="shared" si="63"/>
        <v>0</v>
      </c>
      <c r="K234" s="23"/>
      <c r="L234" s="218"/>
      <c r="M234" s="286"/>
      <c r="N234" s="103">
        <v>45149.0</v>
      </c>
      <c r="O234" s="261"/>
      <c r="P234" s="261">
        <f>O82+O72+O92</f>
        <v>1560000</v>
      </c>
      <c r="Q234" s="487"/>
      <c r="R234" s="262">
        <f>R89+L90+R85+L81+R94+R82+L92</f>
        <v>275001</v>
      </c>
      <c r="S234" s="609">
        <f t="shared" si="64"/>
        <v>1284999</v>
      </c>
      <c r="T234" s="483"/>
      <c r="U234" s="615"/>
      <c r="V234" s="607"/>
      <c r="W234" s="919"/>
      <c r="X234" s="266"/>
      <c r="Y234" s="218"/>
      <c r="Z234" s="219"/>
      <c r="AA234" s="205"/>
      <c r="AB234" s="205"/>
      <c r="AC234" s="205"/>
      <c r="AD234" s="9"/>
    </row>
    <row r="235" ht="15.75" customHeight="1">
      <c r="A235" s="218"/>
      <c r="B235" s="62"/>
      <c r="C235" s="285" t="s">
        <v>38</v>
      </c>
      <c r="D235" s="255">
        <f t="shared" si="60"/>
        <v>0</v>
      </c>
      <c r="E235" s="65"/>
      <c r="F235" s="269"/>
      <c r="G235" s="256">
        <f t="shared" si="61"/>
        <v>0</v>
      </c>
      <c r="H235" s="66">
        <v>160000.0</v>
      </c>
      <c r="I235" s="217">
        <f t="shared" si="62"/>
        <v>0</v>
      </c>
      <c r="J235" s="257">
        <f t="shared" si="63"/>
        <v>0</v>
      </c>
      <c r="K235" s="23"/>
      <c r="L235" s="218"/>
      <c r="M235" s="218"/>
      <c r="N235" s="103">
        <v>45152.0</v>
      </c>
      <c r="O235" s="261"/>
      <c r="P235" s="261">
        <f>O99+O94+O89+O110+O81+O98+O90+O101</f>
        <v>4035000</v>
      </c>
      <c r="Q235" s="487"/>
      <c r="R235" s="262">
        <f>L99+R108+R100+L101+L110+R98+R109</f>
        <v>389898</v>
      </c>
      <c r="S235" s="609">
        <f t="shared" si="64"/>
        <v>3645102</v>
      </c>
      <c r="T235" s="483"/>
      <c r="U235" s="617"/>
      <c r="V235" s="618"/>
      <c r="W235" s="919"/>
      <c r="X235" s="266"/>
      <c r="Y235" s="218"/>
      <c r="Z235" s="219"/>
      <c r="AA235" s="205"/>
      <c r="AB235" s="205"/>
      <c r="AC235" s="205"/>
      <c r="AD235" s="9"/>
    </row>
    <row r="236" ht="15.75" customHeight="1">
      <c r="A236" s="218"/>
      <c r="B236" s="62"/>
      <c r="C236" s="285" t="s">
        <v>43</v>
      </c>
      <c r="D236" s="255">
        <f t="shared" si="60"/>
        <v>18</v>
      </c>
      <c r="E236" s="65"/>
      <c r="F236" s="269"/>
      <c r="G236" s="256">
        <f t="shared" si="61"/>
        <v>18</v>
      </c>
      <c r="H236" s="87">
        <v>65000.0</v>
      </c>
      <c r="I236" s="217">
        <f t="shared" si="62"/>
        <v>1170000</v>
      </c>
      <c r="J236" s="257">
        <f t="shared" si="63"/>
        <v>0</v>
      </c>
      <c r="K236" s="23"/>
      <c r="L236" s="218"/>
      <c r="M236" s="218"/>
      <c r="N236" s="103">
        <v>45153.0</v>
      </c>
      <c r="O236" s="261"/>
      <c r="P236" s="261">
        <f>O56+O61+O62+O63+O69</f>
        <v>1674706</v>
      </c>
      <c r="Q236" s="487"/>
      <c r="R236" s="262"/>
      <c r="S236" s="609">
        <f t="shared" si="64"/>
        <v>1674706</v>
      </c>
      <c r="T236" s="483" t="s">
        <v>659</v>
      </c>
      <c r="U236" s="617"/>
      <c r="V236" s="618"/>
      <c r="W236" s="919"/>
      <c r="X236" s="266"/>
      <c r="Y236" s="218"/>
      <c r="Z236" s="219"/>
      <c r="AA236" s="205"/>
      <c r="AB236" s="205"/>
      <c r="AC236" s="205"/>
      <c r="AD236" s="9"/>
    </row>
    <row r="237" ht="15.75" customHeight="1">
      <c r="A237" s="218"/>
      <c r="B237" s="62"/>
      <c r="C237" s="285" t="s">
        <v>48</v>
      </c>
      <c r="D237" s="255">
        <f t="shared" si="60"/>
        <v>19</v>
      </c>
      <c r="E237" s="65"/>
      <c r="F237" s="269"/>
      <c r="G237" s="256">
        <f t="shared" si="61"/>
        <v>19</v>
      </c>
      <c r="H237" s="66">
        <v>55000.0</v>
      </c>
      <c r="I237" s="217">
        <f t="shared" si="62"/>
        <v>1045000</v>
      </c>
      <c r="J237" s="257">
        <f t="shared" si="63"/>
        <v>0</v>
      </c>
      <c r="K237" s="23"/>
      <c r="L237" s="218"/>
      <c r="M237" s="218"/>
      <c r="N237" s="103">
        <v>45154.0</v>
      </c>
      <c r="O237" s="261"/>
      <c r="P237" s="261">
        <f>O70+O71+O75+O76</f>
        <v>2353949</v>
      </c>
      <c r="Q237" s="487"/>
      <c r="R237" s="262"/>
      <c r="S237" s="609">
        <f t="shared" si="64"/>
        <v>2353949</v>
      </c>
      <c r="T237" s="483" t="s">
        <v>659</v>
      </c>
      <c r="U237" s="617"/>
      <c r="V237" s="618"/>
      <c r="W237" s="919"/>
      <c r="X237" s="266"/>
      <c r="Y237" s="218"/>
      <c r="Z237" s="219"/>
      <c r="AA237" s="205"/>
      <c r="AB237" s="205"/>
      <c r="AC237" s="205"/>
      <c r="AD237" s="9"/>
    </row>
    <row r="238" ht="15.75" customHeight="1">
      <c r="A238" s="218"/>
      <c r="B238" s="62"/>
      <c r="C238" s="287" t="s">
        <v>54</v>
      </c>
      <c r="D238" s="255">
        <f t="shared" si="60"/>
        <v>6</v>
      </c>
      <c r="E238" s="65"/>
      <c r="F238" s="269"/>
      <c r="G238" s="256">
        <f t="shared" si="61"/>
        <v>6</v>
      </c>
      <c r="H238" s="87">
        <v>35000.0</v>
      </c>
      <c r="I238" s="217">
        <f t="shared" si="62"/>
        <v>210000</v>
      </c>
      <c r="J238" s="257">
        <f t="shared" si="63"/>
        <v>0</v>
      </c>
      <c r="K238" s="23"/>
      <c r="L238" s="218"/>
      <c r="M238" s="218"/>
      <c r="N238" s="103">
        <v>45154.0</v>
      </c>
      <c r="O238" s="261"/>
      <c r="P238" s="261">
        <f>1100000</f>
        <v>1100000</v>
      </c>
      <c r="Q238" s="487"/>
      <c r="R238" s="262"/>
      <c r="S238" s="609">
        <f t="shared" si="64"/>
        <v>1100000</v>
      </c>
      <c r="T238" s="483" t="s">
        <v>1297</v>
      </c>
      <c r="U238" s="617"/>
      <c r="V238" s="618"/>
      <c r="W238" s="919"/>
      <c r="X238" s="266"/>
      <c r="Y238" s="218"/>
      <c r="Z238" s="219"/>
      <c r="AA238" s="205"/>
      <c r="AB238" s="205"/>
      <c r="AC238" s="205"/>
      <c r="AD238" s="9"/>
    </row>
    <row r="239" ht="15.75" customHeight="1">
      <c r="A239" s="218"/>
      <c r="B239" s="62"/>
      <c r="C239" s="285" t="s">
        <v>60</v>
      </c>
      <c r="D239" s="255">
        <f t="shared" si="60"/>
        <v>0</v>
      </c>
      <c r="E239" s="65"/>
      <c r="F239" s="269"/>
      <c r="G239" s="256">
        <f t="shared" si="61"/>
        <v>0</v>
      </c>
      <c r="H239" s="66">
        <v>45000.0</v>
      </c>
      <c r="I239" s="217">
        <f t="shared" si="62"/>
        <v>0</v>
      </c>
      <c r="J239" s="257">
        <f t="shared" si="63"/>
        <v>0</v>
      </c>
      <c r="K239" s="23"/>
      <c r="L239" s="218"/>
      <c r="M239" s="218"/>
      <c r="N239" s="103">
        <v>45154.0</v>
      </c>
      <c r="O239" s="261"/>
      <c r="P239" s="261">
        <f>O108+O85+O109</f>
        <v>5430000</v>
      </c>
      <c r="Q239" s="487"/>
      <c r="R239" s="262"/>
      <c r="S239" s="609">
        <f t="shared" si="64"/>
        <v>5430000</v>
      </c>
      <c r="T239" s="488"/>
      <c r="U239" s="617"/>
      <c r="V239" s="618"/>
      <c r="W239" s="919"/>
      <c r="X239" s="266"/>
      <c r="Y239" s="218"/>
      <c r="Z239" s="219"/>
      <c r="AA239" s="205"/>
      <c r="AB239" s="205"/>
      <c r="AC239" s="205"/>
      <c r="AD239" s="9"/>
    </row>
    <row r="240" ht="15.75" customHeight="1">
      <c r="A240" s="218"/>
      <c r="B240" s="62"/>
      <c r="C240" s="285" t="s">
        <v>679</v>
      </c>
      <c r="D240" s="255">
        <f t="shared" si="60"/>
        <v>0</v>
      </c>
      <c r="E240" s="65"/>
      <c r="F240" s="269"/>
      <c r="G240" s="256">
        <f t="shared" si="61"/>
        <v>0</v>
      </c>
      <c r="H240" s="66">
        <v>110000.0</v>
      </c>
      <c r="I240" s="217">
        <f t="shared" si="62"/>
        <v>0</v>
      </c>
      <c r="J240" s="257">
        <f t="shared" si="63"/>
        <v>0</v>
      </c>
      <c r="K240" s="23"/>
      <c r="L240" s="218"/>
      <c r="M240" s="218"/>
      <c r="N240" s="103">
        <v>45156.0</v>
      </c>
      <c r="O240" s="261"/>
      <c r="P240" s="261">
        <f>O121+O142+O119</f>
        <v>1590000</v>
      </c>
      <c r="Q240" s="487"/>
      <c r="R240" s="262">
        <f>L121+R141+R143+R119+R122+R144+L142</f>
        <v>665656</v>
      </c>
      <c r="S240" s="609">
        <f t="shared" si="64"/>
        <v>924344</v>
      </c>
      <c r="T240" s="488"/>
      <c r="U240" s="617"/>
      <c r="V240" s="618"/>
      <c r="W240" s="919"/>
      <c r="X240" s="266"/>
      <c r="Y240" s="218"/>
      <c r="Z240" s="219"/>
      <c r="AA240" s="205"/>
      <c r="AB240" s="205"/>
      <c r="AC240" s="205"/>
      <c r="AD240" s="9"/>
    </row>
    <row r="241" ht="15.75" customHeight="1">
      <c r="A241" s="218"/>
      <c r="B241" s="62"/>
      <c r="C241" s="285" t="s">
        <v>66</v>
      </c>
      <c r="D241" s="255">
        <f t="shared" si="60"/>
        <v>0</v>
      </c>
      <c r="E241" s="65"/>
      <c r="F241" s="269"/>
      <c r="G241" s="256">
        <f t="shared" si="61"/>
        <v>0</v>
      </c>
      <c r="H241" s="66">
        <v>205000.0</v>
      </c>
      <c r="I241" s="217">
        <f t="shared" si="62"/>
        <v>0</v>
      </c>
      <c r="J241" s="257">
        <f t="shared" si="63"/>
        <v>0</v>
      </c>
      <c r="K241" s="23"/>
      <c r="L241" s="218"/>
      <c r="M241" s="218"/>
      <c r="N241" s="103">
        <v>45156.0</v>
      </c>
      <c r="O241" s="261"/>
      <c r="P241" s="261">
        <f>740000</f>
        <v>740000</v>
      </c>
      <c r="Q241" s="487"/>
      <c r="R241" s="262"/>
      <c r="S241" s="609">
        <f t="shared" si="64"/>
        <v>740000</v>
      </c>
      <c r="T241" s="483" t="s">
        <v>417</v>
      </c>
      <c r="U241" s="617"/>
      <c r="V241" s="618"/>
      <c r="W241" s="919"/>
      <c r="X241" s="266"/>
      <c r="Y241" s="218"/>
      <c r="Z241" s="219"/>
      <c r="AA241" s="205"/>
      <c r="AB241" s="205"/>
      <c r="AC241" s="205"/>
      <c r="AD241" s="9"/>
    </row>
    <row r="242" ht="15.75" customHeight="1">
      <c r="A242" s="218"/>
      <c r="B242" s="62"/>
      <c r="C242" s="285" t="s">
        <v>684</v>
      </c>
      <c r="D242" s="255">
        <f t="shared" si="60"/>
        <v>0</v>
      </c>
      <c r="E242" s="65"/>
      <c r="F242" s="269"/>
      <c r="G242" s="256">
        <f t="shared" si="61"/>
        <v>0</v>
      </c>
      <c r="H242" s="66">
        <v>150000.0</v>
      </c>
      <c r="I242" s="217">
        <f t="shared" si="62"/>
        <v>0</v>
      </c>
      <c r="J242" s="257">
        <f t="shared" si="63"/>
        <v>0</v>
      </c>
      <c r="K242" s="23"/>
      <c r="L242" s="218"/>
      <c r="M242" s="218"/>
      <c r="N242" s="103">
        <v>45156.0</v>
      </c>
      <c r="O242" s="261"/>
      <c r="P242" s="261">
        <f>O91</f>
        <v>208343</v>
      </c>
      <c r="Q242" s="487"/>
      <c r="R242" s="262"/>
      <c r="S242" s="609">
        <f t="shared" si="64"/>
        <v>208343</v>
      </c>
      <c r="T242" s="483" t="s">
        <v>659</v>
      </c>
      <c r="U242" s="617"/>
      <c r="V242" s="618"/>
      <c r="W242" s="919"/>
      <c r="X242" s="266"/>
      <c r="Y242" s="218"/>
      <c r="Z242" s="219"/>
      <c r="AA242" s="205"/>
      <c r="AB242" s="205"/>
      <c r="AC242" s="205"/>
      <c r="AD242" s="9"/>
    </row>
    <row r="243" ht="15.75" customHeight="1">
      <c r="A243" s="218"/>
      <c r="B243" s="62"/>
      <c r="C243" s="285" t="s">
        <v>76</v>
      </c>
      <c r="D243" s="255">
        <f t="shared" si="60"/>
        <v>3</v>
      </c>
      <c r="E243" s="65"/>
      <c r="F243" s="269"/>
      <c r="G243" s="256">
        <f t="shared" si="61"/>
        <v>3</v>
      </c>
      <c r="H243" s="66">
        <v>90000.0</v>
      </c>
      <c r="I243" s="217">
        <f t="shared" si="62"/>
        <v>270000</v>
      </c>
      <c r="J243" s="257">
        <f t="shared" si="63"/>
        <v>0</v>
      </c>
      <c r="K243" s="23"/>
      <c r="L243" s="218"/>
      <c r="M243" s="218"/>
      <c r="N243" s="103">
        <v>45157.0</v>
      </c>
      <c r="O243" s="261"/>
      <c r="P243" s="261">
        <f>O93</f>
        <v>207893</v>
      </c>
      <c r="Q243" s="487"/>
      <c r="R243" s="487"/>
      <c r="S243" s="609">
        <f t="shared" si="64"/>
        <v>207893</v>
      </c>
      <c r="T243" s="483" t="s">
        <v>659</v>
      </c>
      <c r="U243" s="617"/>
      <c r="V243" s="618"/>
      <c r="W243" s="919"/>
      <c r="X243" s="266"/>
      <c r="Y243" s="218"/>
      <c r="Z243" s="219"/>
      <c r="AA243" s="205"/>
      <c r="AB243" s="205"/>
      <c r="AC243" s="205"/>
      <c r="AD243" s="9"/>
    </row>
    <row r="244" ht="15.75" customHeight="1">
      <c r="A244" s="218"/>
      <c r="B244" s="62"/>
      <c r="C244" s="285" t="s">
        <v>80</v>
      </c>
      <c r="D244" s="255">
        <f t="shared" si="60"/>
        <v>0</v>
      </c>
      <c r="E244" s="65"/>
      <c r="F244" s="269"/>
      <c r="G244" s="256">
        <f t="shared" si="61"/>
        <v>0</v>
      </c>
      <c r="H244" s="66">
        <v>85000.0</v>
      </c>
      <c r="I244" s="217">
        <f t="shared" si="62"/>
        <v>0</v>
      </c>
      <c r="J244" s="257">
        <f t="shared" si="63"/>
        <v>0</v>
      </c>
      <c r="K244" s="23"/>
      <c r="L244" s="218"/>
      <c r="M244" s="218"/>
      <c r="N244" s="103">
        <v>45159.0</v>
      </c>
      <c r="O244" s="261"/>
      <c r="P244" s="261">
        <f>O105+O104+O112+O114+O106+O107+O113</f>
        <v>2293429</v>
      </c>
      <c r="Q244" s="487"/>
      <c r="R244" s="487"/>
      <c r="S244" s="609">
        <f t="shared" si="64"/>
        <v>2293429</v>
      </c>
      <c r="T244" s="483" t="s">
        <v>659</v>
      </c>
      <c r="U244" s="617"/>
      <c r="V244" s="618"/>
      <c r="W244" s="919"/>
      <c r="X244" s="266"/>
      <c r="Y244" s="218"/>
      <c r="Z244" s="219"/>
      <c r="AA244" s="205"/>
      <c r="AB244" s="205"/>
      <c r="AC244" s="205"/>
      <c r="AD244" s="9"/>
    </row>
    <row r="245" ht="15.75" customHeight="1">
      <c r="A245" s="218"/>
      <c r="B245" s="62"/>
      <c r="C245" s="285" t="s">
        <v>81</v>
      </c>
      <c r="D245" s="255">
        <f t="shared" si="60"/>
        <v>0</v>
      </c>
      <c r="E245" s="65"/>
      <c r="F245" s="269"/>
      <c r="G245" s="256">
        <f t="shared" si="61"/>
        <v>0</v>
      </c>
      <c r="H245" s="66">
        <v>150000.0</v>
      </c>
      <c r="I245" s="217">
        <f t="shared" si="62"/>
        <v>0</v>
      </c>
      <c r="J245" s="257">
        <f t="shared" si="63"/>
        <v>0</v>
      </c>
      <c r="K245" s="23"/>
      <c r="L245" s="218"/>
      <c r="M245" s="218"/>
      <c r="N245" s="103">
        <v>45159.0</v>
      </c>
      <c r="O245" s="261"/>
      <c r="P245" s="261">
        <f>O122+O141+O159</f>
        <v>3040000</v>
      </c>
      <c r="Q245" s="487"/>
      <c r="R245" s="487">
        <f>R159</f>
        <v>49002</v>
      </c>
      <c r="S245" s="609">
        <f t="shared" si="64"/>
        <v>2990998</v>
      </c>
      <c r="T245" s="488"/>
      <c r="U245" s="617"/>
      <c r="V245" s="618"/>
      <c r="W245" s="919"/>
      <c r="X245" s="266"/>
      <c r="Y245" s="218"/>
      <c r="Z245" s="219"/>
      <c r="AA245" s="205"/>
      <c r="AB245" s="205"/>
      <c r="AC245" s="205"/>
      <c r="AD245" s="9"/>
    </row>
    <row r="246" ht="15.75" customHeight="1">
      <c r="A246" s="218"/>
      <c r="B246" s="62"/>
      <c r="C246" s="285" t="s">
        <v>85</v>
      </c>
      <c r="D246" s="255">
        <f t="shared" si="60"/>
        <v>0</v>
      </c>
      <c r="E246" s="65"/>
      <c r="F246" s="269"/>
      <c r="G246" s="256">
        <f t="shared" si="61"/>
        <v>0</v>
      </c>
      <c r="H246" s="66">
        <v>125000.0</v>
      </c>
      <c r="I246" s="217">
        <f t="shared" si="62"/>
        <v>0</v>
      </c>
      <c r="J246" s="257">
        <f t="shared" si="63"/>
        <v>0</v>
      </c>
      <c r="K246" s="23"/>
      <c r="L246" s="218"/>
      <c r="M246" s="218"/>
      <c r="N246" s="103">
        <v>45160.0</v>
      </c>
      <c r="O246" s="261"/>
      <c r="P246" s="261">
        <f>O103+O111+O115+O116+O117+O118</f>
        <v>2293268</v>
      </c>
      <c r="Q246" s="487"/>
      <c r="R246" s="487"/>
      <c r="S246" s="609">
        <f t="shared" si="64"/>
        <v>2293268</v>
      </c>
      <c r="T246" s="483" t="s">
        <v>659</v>
      </c>
      <c r="U246" s="617"/>
      <c r="V246" s="618"/>
      <c r="W246" s="920"/>
      <c r="X246" s="235"/>
      <c r="Y246" s="218"/>
      <c r="Z246" s="219"/>
      <c r="AA246" s="205"/>
      <c r="AB246" s="205"/>
      <c r="AC246" s="205"/>
      <c r="AD246" s="9"/>
    </row>
    <row r="247" ht="15.75" customHeight="1">
      <c r="A247" s="218"/>
      <c r="B247" s="62"/>
      <c r="C247" s="285" t="s">
        <v>89</v>
      </c>
      <c r="D247" s="255">
        <f t="shared" si="60"/>
        <v>0</v>
      </c>
      <c r="E247" s="65"/>
      <c r="F247" s="269"/>
      <c r="G247" s="256">
        <f t="shared" si="61"/>
        <v>0</v>
      </c>
      <c r="H247" s="66">
        <v>35000.0</v>
      </c>
      <c r="I247" s="217">
        <f t="shared" si="62"/>
        <v>0</v>
      </c>
      <c r="J247" s="257">
        <f t="shared" si="63"/>
        <v>0</v>
      </c>
      <c r="K247" s="23"/>
      <c r="L247" s="218"/>
      <c r="M247" s="218"/>
      <c r="N247" s="103">
        <v>45161.0</v>
      </c>
      <c r="O247" s="261"/>
      <c r="P247" s="261">
        <f>1980000</f>
        <v>1980000</v>
      </c>
      <c r="Q247" s="487"/>
      <c r="R247" s="487"/>
      <c r="S247" s="609">
        <f t="shared" si="64"/>
        <v>1980000</v>
      </c>
      <c r="T247" s="483" t="s">
        <v>1512</v>
      </c>
      <c r="U247" s="617"/>
      <c r="V247" s="618"/>
      <c r="W247" s="919"/>
      <c r="X247" s="266"/>
      <c r="Y247" s="218"/>
      <c r="Z247" s="219"/>
      <c r="AA247" s="205"/>
      <c r="AB247" s="205"/>
      <c r="AC247" s="205"/>
      <c r="AD247" s="9"/>
    </row>
    <row r="248" ht="15.75" customHeight="1">
      <c r="A248" s="218"/>
      <c r="B248" s="62"/>
      <c r="C248" s="285" t="s">
        <v>93</v>
      </c>
      <c r="D248" s="255">
        <f t="shared" si="60"/>
        <v>13</v>
      </c>
      <c r="E248" s="65"/>
      <c r="F248" s="269"/>
      <c r="G248" s="256">
        <f t="shared" si="61"/>
        <v>13</v>
      </c>
      <c r="H248" s="66">
        <v>90000.0</v>
      </c>
      <c r="I248" s="217">
        <f t="shared" si="62"/>
        <v>1170000</v>
      </c>
      <c r="J248" s="257">
        <f t="shared" si="63"/>
        <v>0</v>
      </c>
      <c r="K248" s="23"/>
      <c r="L248" s="218"/>
      <c r="M248" s="218"/>
      <c r="N248" s="103">
        <v>45161.0</v>
      </c>
      <c r="O248" s="261"/>
      <c r="P248" s="261">
        <f>O171+O144</f>
        <v>11310000</v>
      </c>
      <c r="Q248" s="487"/>
      <c r="R248" s="487">
        <f>L171+N170+R169</f>
        <v>101004</v>
      </c>
      <c r="S248" s="609">
        <f t="shared" si="64"/>
        <v>11208996</v>
      </c>
      <c r="T248" s="488"/>
      <c r="U248" s="617"/>
      <c r="V248" s="618"/>
      <c r="W248" s="919"/>
      <c r="X248" s="266"/>
      <c r="Y248" s="218"/>
      <c r="Z248" s="219"/>
      <c r="AA248" s="205"/>
      <c r="AB248" s="205"/>
      <c r="AC248" s="205"/>
      <c r="AD248" s="9"/>
    </row>
    <row r="249" ht="15.75" customHeight="1">
      <c r="A249" s="218"/>
      <c r="B249" s="62"/>
      <c r="C249" s="287" t="s">
        <v>62</v>
      </c>
      <c r="D249" s="255">
        <f t="shared" si="60"/>
        <v>0</v>
      </c>
      <c r="F249" s="269"/>
      <c r="G249" s="256">
        <f t="shared" si="61"/>
        <v>0</v>
      </c>
      <c r="H249" s="87">
        <v>55000.0</v>
      </c>
      <c r="I249" s="217">
        <f t="shared" si="62"/>
        <v>0</v>
      </c>
      <c r="J249" s="257">
        <f t="shared" si="63"/>
        <v>0</v>
      </c>
      <c r="K249" s="23"/>
      <c r="L249" s="218"/>
      <c r="M249" s="218"/>
      <c r="N249" s="103">
        <v>45162.0</v>
      </c>
      <c r="O249" s="261"/>
      <c r="P249" s="261">
        <f>470000</f>
        <v>470000</v>
      </c>
      <c r="Q249" s="487"/>
      <c r="R249" s="487"/>
      <c r="S249" s="609">
        <f t="shared" si="64"/>
        <v>470000</v>
      </c>
      <c r="T249" s="483" t="s">
        <v>1493</v>
      </c>
      <c r="U249" s="617"/>
      <c r="V249" s="618"/>
      <c r="W249" s="917"/>
      <c r="X249" s="266"/>
      <c r="Y249" s="218"/>
      <c r="Z249" s="219"/>
      <c r="AA249" s="205"/>
      <c r="AB249" s="205"/>
      <c r="AC249" s="205"/>
      <c r="AD249" s="9"/>
    </row>
    <row r="250" ht="15.75" customHeight="1">
      <c r="A250" s="218"/>
      <c r="B250" s="62"/>
      <c r="C250" s="285" t="s">
        <v>94</v>
      </c>
      <c r="D250" s="255">
        <f t="shared" si="60"/>
        <v>0</v>
      </c>
      <c r="E250" s="65"/>
      <c r="F250" s="269"/>
      <c r="G250" s="256">
        <f t="shared" si="61"/>
        <v>0</v>
      </c>
      <c r="H250" s="66">
        <v>140000.0</v>
      </c>
      <c r="I250" s="217">
        <f t="shared" si="62"/>
        <v>0</v>
      </c>
      <c r="J250" s="257">
        <f t="shared" si="63"/>
        <v>0</v>
      </c>
      <c r="K250" s="23"/>
      <c r="L250" s="218"/>
      <c r="M250" s="218"/>
      <c r="N250" s="103">
        <v>45162.0</v>
      </c>
      <c r="O250" s="261"/>
      <c r="P250" s="261">
        <f>O125+O127+O128+O131+O133+O134+O136</f>
        <v>2086133</v>
      </c>
      <c r="Q250" s="487"/>
      <c r="R250" s="487"/>
      <c r="S250" s="609">
        <f t="shared" si="64"/>
        <v>2086133</v>
      </c>
      <c r="T250" s="483" t="s">
        <v>659</v>
      </c>
      <c r="U250" s="617"/>
      <c r="V250" s="618"/>
      <c r="W250" s="917"/>
      <c r="X250" s="266"/>
      <c r="Y250" s="218"/>
      <c r="Z250" s="219"/>
      <c r="AA250" s="205"/>
      <c r="AB250" s="205"/>
      <c r="AC250" s="205"/>
      <c r="AD250" s="9"/>
    </row>
    <row r="251" ht="15.75" customHeight="1">
      <c r="A251" s="218"/>
      <c r="B251" s="62"/>
      <c r="C251" s="285" t="s">
        <v>97</v>
      </c>
      <c r="D251" s="255">
        <f t="shared" si="60"/>
        <v>0</v>
      </c>
      <c r="E251" s="65"/>
      <c r="F251" s="269"/>
      <c r="G251" s="256">
        <f t="shared" si="61"/>
        <v>0</v>
      </c>
      <c r="H251" s="66">
        <v>95000.0</v>
      </c>
      <c r="I251" s="217">
        <f t="shared" si="62"/>
        <v>0</v>
      </c>
      <c r="J251" s="257">
        <f t="shared" si="63"/>
        <v>0</v>
      </c>
      <c r="K251" s="23"/>
      <c r="L251" s="218"/>
      <c r="M251" s="218"/>
      <c r="N251" s="103">
        <v>45163.0</v>
      </c>
      <c r="O251" s="261"/>
      <c r="P251" s="261">
        <f>O126+O129+O130+O132+O135+O150+O137+O139+O148+O149+O154+O155+O156</f>
        <v>3084001</v>
      </c>
      <c r="Q251" s="487"/>
      <c r="R251" s="487"/>
      <c r="S251" s="609">
        <f t="shared" si="64"/>
        <v>3084001</v>
      </c>
      <c r="T251" s="483" t="s">
        <v>659</v>
      </c>
      <c r="U251" s="617"/>
      <c r="V251" s="608"/>
      <c r="W251" s="917"/>
      <c r="X251" s="266"/>
      <c r="Y251" s="218"/>
      <c r="Z251" s="219"/>
      <c r="AA251" s="205"/>
      <c r="AB251" s="205"/>
      <c r="AC251" s="205"/>
      <c r="AD251" s="9"/>
    </row>
    <row r="252" ht="15.75" customHeight="1">
      <c r="A252" s="218"/>
      <c r="B252" s="62"/>
      <c r="C252" s="285" t="s">
        <v>99</v>
      </c>
      <c r="D252" s="255">
        <f t="shared" si="60"/>
        <v>0</v>
      </c>
      <c r="E252" s="65"/>
      <c r="F252" s="269"/>
      <c r="G252" s="256">
        <f t="shared" si="61"/>
        <v>0</v>
      </c>
      <c r="H252" s="66">
        <v>140000.0</v>
      </c>
      <c r="I252" s="217">
        <f t="shared" si="62"/>
        <v>0</v>
      </c>
      <c r="J252" s="257">
        <f t="shared" si="63"/>
        <v>0</v>
      </c>
      <c r="K252" s="23"/>
      <c r="L252" s="218"/>
      <c r="M252" s="218"/>
      <c r="N252" s="103">
        <v>45163.0</v>
      </c>
      <c r="O252" s="261"/>
      <c r="P252" s="261">
        <f>O170+O169</f>
        <v>1350000</v>
      </c>
      <c r="Q252" s="487"/>
      <c r="R252" s="487">
        <f>L183+R182+R180</f>
        <v>160007</v>
      </c>
      <c r="S252" s="609">
        <f t="shared" si="64"/>
        <v>1189993</v>
      </c>
      <c r="T252" s="488"/>
      <c r="U252" s="218"/>
      <c r="V252" s="608"/>
      <c r="W252" s="917"/>
      <c r="X252" s="266"/>
      <c r="Y252" s="218"/>
      <c r="Z252" s="219"/>
      <c r="AA252" s="205"/>
      <c r="AB252" s="205"/>
      <c r="AC252" s="205"/>
      <c r="AD252" s="9"/>
    </row>
    <row r="253" ht="15.75" customHeight="1">
      <c r="A253" s="218"/>
      <c r="B253" s="62"/>
      <c r="C253" s="285" t="s">
        <v>101</v>
      </c>
      <c r="D253" s="255">
        <f t="shared" si="60"/>
        <v>0</v>
      </c>
      <c r="E253" s="65"/>
      <c r="F253" s="269"/>
      <c r="G253" s="256">
        <f t="shared" si="61"/>
        <v>0</v>
      </c>
      <c r="H253" s="66">
        <v>150000.0</v>
      </c>
      <c r="I253" s="217">
        <f t="shared" si="62"/>
        <v>0</v>
      </c>
      <c r="J253" s="257">
        <f t="shared" si="63"/>
        <v>0</v>
      </c>
      <c r="K253" s="23"/>
      <c r="L253" s="218"/>
      <c r="M253" s="218"/>
      <c r="N253" s="103">
        <v>45133.0</v>
      </c>
      <c r="O253" s="261"/>
      <c r="P253" s="261">
        <f>660000</f>
        <v>660000</v>
      </c>
      <c r="Q253" s="487"/>
      <c r="R253" s="487"/>
      <c r="S253" s="609">
        <f t="shared" si="64"/>
        <v>660000</v>
      </c>
      <c r="T253" s="483" t="s">
        <v>1533</v>
      </c>
      <c r="U253" s="218"/>
      <c r="V253" s="608"/>
      <c r="W253" s="917"/>
      <c r="X253" s="266"/>
      <c r="Y253" s="218"/>
      <c r="Z253" s="219"/>
      <c r="AA253" s="205"/>
      <c r="AB253" s="205"/>
      <c r="AC253" s="205"/>
      <c r="AD253" s="9"/>
    </row>
    <row r="254" ht="15.75" customHeight="1">
      <c r="A254" s="218"/>
      <c r="B254" s="62"/>
      <c r="C254" s="285" t="s">
        <v>109</v>
      </c>
      <c r="D254" s="255">
        <f t="shared" si="60"/>
        <v>0</v>
      </c>
      <c r="E254" s="65"/>
      <c r="F254" s="269"/>
      <c r="G254" s="256">
        <f t="shared" si="61"/>
        <v>0</v>
      </c>
      <c r="H254" s="66">
        <v>125000.0</v>
      </c>
      <c r="I254" s="217">
        <f t="shared" si="62"/>
        <v>0</v>
      </c>
      <c r="J254" s="257">
        <f t="shared" si="63"/>
        <v>0</v>
      </c>
      <c r="K254" s="23"/>
      <c r="L254" s="218"/>
      <c r="M254" s="218"/>
      <c r="N254" s="103">
        <v>45161.0</v>
      </c>
      <c r="O254" s="261"/>
      <c r="P254" s="261">
        <f>O77</f>
        <v>210800</v>
      </c>
      <c r="Q254" s="487"/>
      <c r="R254" s="487"/>
      <c r="S254" s="609">
        <f t="shared" si="64"/>
        <v>210800</v>
      </c>
      <c r="T254" s="483" t="s">
        <v>1534</v>
      </c>
      <c r="U254" s="218"/>
      <c r="V254" s="608"/>
      <c r="W254" s="920"/>
      <c r="X254" s="235"/>
      <c r="Y254" s="218"/>
      <c r="Z254" s="219"/>
      <c r="AA254" s="205"/>
      <c r="AB254" s="205"/>
      <c r="AC254" s="205"/>
      <c r="AD254" s="9"/>
    </row>
    <row r="255" ht="25.5" customHeight="1">
      <c r="A255" s="218"/>
      <c r="B255" s="921" t="s">
        <v>1535</v>
      </c>
      <c r="C255" s="922" t="s">
        <v>1360</v>
      </c>
      <c r="D255" s="301">
        <f t="shared" si="60"/>
        <v>8</v>
      </c>
      <c r="E255" s="146"/>
      <c r="F255" s="305"/>
      <c r="G255" s="624">
        <f t="shared" si="61"/>
        <v>8</v>
      </c>
      <c r="H255" s="923">
        <v>85000.0</v>
      </c>
      <c r="I255" s="217">
        <f t="shared" si="62"/>
        <v>680000</v>
      </c>
      <c r="J255" s="257">
        <f t="shared" si="63"/>
        <v>0</v>
      </c>
      <c r="K255" s="23"/>
      <c r="L255" s="218"/>
      <c r="M255" s="218"/>
      <c r="N255" s="797"/>
      <c r="O255" s="261"/>
      <c r="P255" s="261"/>
      <c r="Q255" s="487"/>
      <c r="R255" s="487"/>
      <c r="S255" s="609">
        <f t="shared" si="64"/>
        <v>0</v>
      </c>
      <c r="T255" s="488"/>
      <c r="U255" s="218"/>
      <c r="V255" s="608"/>
      <c r="W255" s="920"/>
      <c r="X255" s="235"/>
      <c r="Y255" s="218"/>
      <c r="Z255" s="219"/>
      <c r="AA255" s="205"/>
      <c r="AB255" s="205"/>
      <c r="AC255" s="205"/>
      <c r="AD255" s="9"/>
    </row>
    <row r="256" ht="22.5" customHeight="1">
      <c r="A256" s="218"/>
      <c r="B256" s="924" t="s">
        <v>419</v>
      </c>
      <c r="C256" s="16"/>
      <c r="D256" s="16"/>
      <c r="E256" s="16"/>
      <c r="F256" s="16"/>
      <c r="G256" s="16"/>
      <c r="H256" s="17"/>
      <c r="I256" s="925">
        <f>SUM(I217:I232)</f>
        <v>72945000</v>
      </c>
      <c r="J256" s="23"/>
      <c r="K256" s="23"/>
      <c r="L256" s="218"/>
      <c r="M256" s="218"/>
      <c r="N256" s="621" t="s">
        <v>418</v>
      </c>
      <c r="O256" s="291">
        <f t="shared" ref="O256:T256" si="66">sum(O217:O255)</f>
        <v>75297914</v>
      </c>
      <c r="P256" s="291">
        <f t="shared" si="66"/>
        <v>62268507</v>
      </c>
      <c r="Q256" s="291">
        <f t="shared" si="66"/>
        <v>3050306</v>
      </c>
      <c r="R256" s="291">
        <f t="shared" si="66"/>
        <v>2567201</v>
      </c>
      <c r="S256" s="291">
        <f t="shared" si="66"/>
        <v>131948914</v>
      </c>
      <c r="T256" s="291">
        <f t="shared" si="66"/>
        <v>0</v>
      </c>
      <c r="U256" s="299"/>
      <c r="V256" s="608"/>
      <c r="W256" s="915"/>
      <c r="X256" s="235"/>
      <c r="Y256" s="218"/>
      <c r="Z256" s="219"/>
      <c r="AA256" s="205"/>
      <c r="AB256" s="205"/>
      <c r="AC256" s="205"/>
      <c r="AD256" s="9"/>
    </row>
    <row r="257" ht="22.5" customHeight="1">
      <c r="A257" s="218"/>
      <c r="B257" s="308" t="s">
        <v>385</v>
      </c>
      <c r="C257" s="16"/>
      <c r="D257" s="16"/>
      <c r="E257" s="16"/>
      <c r="F257" s="16"/>
      <c r="G257" s="16"/>
      <c r="H257" s="17"/>
      <c r="I257" s="309">
        <f>SUM(I233:I254)</f>
        <v>5100000</v>
      </c>
      <c r="J257" s="23"/>
      <c r="N257" s="289"/>
      <c r="O257" s="294"/>
      <c r="P257" s="294"/>
      <c r="Q257" s="294"/>
      <c r="R257" s="294"/>
      <c r="S257" s="295"/>
      <c r="T257" s="926"/>
      <c r="U257" s="299"/>
      <c r="V257" s="608"/>
      <c r="W257" s="915"/>
      <c r="X257" s="235"/>
      <c r="Y257" s="218"/>
      <c r="Z257" s="219"/>
      <c r="AA257" s="205"/>
      <c r="AB257" s="205"/>
      <c r="AC257" s="205"/>
      <c r="AD257" s="9"/>
    </row>
    <row r="258" ht="22.5" customHeight="1">
      <c r="A258" s="218"/>
      <c r="B258" s="927"/>
      <c r="C258" s="16"/>
      <c r="D258" s="17"/>
      <c r="E258" s="928" t="s">
        <v>1536</v>
      </c>
      <c r="F258" s="16"/>
      <c r="G258" s="16"/>
      <c r="H258" s="17"/>
      <c r="I258" s="929">
        <f>I255</f>
        <v>680000</v>
      </c>
      <c r="J258" s="23"/>
      <c r="K258" s="310" t="s">
        <v>420</v>
      </c>
      <c r="L258" s="16"/>
      <c r="M258" s="17"/>
      <c r="N258" s="218"/>
      <c r="O258" s="234"/>
      <c r="P258" s="218"/>
      <c r="Q258" s="218"/>
      <c r="R258" s="218"/>
      <c r="S258" s="218"/>
      <c r="T258" s="218"/>
      <c r="U258" s="218"/>
      <c r="V258" s="601"/>
      <c r="W258" s="915"/>
      <c r="X258" s="235"/>
      <c r="Y258" s="218"/>
      <c r="Z258" s="219"/>
      <c r="AA258" s="205"/>
      <c r="AB258" s="205"/>
      <c r="AC258" s="205"/>
      <c r="AD258" s="9"/>
    </row>
    <row r="259" ht="22.5" customHeight="1">
      <c r="A259" s="218"/>
      <c r="B259" s="312" t="s">
        <v>421</v>
      </c>
      <c r="C259" s="16"/>
      <c r="D259" s="16"/>
      <c r="E259" s="16"/>
      <c r="F259" s="16"/>
      <c r="G259" s="16"/>
      <c r="H259" s="17"/>
      <c r="I259" s="313">
        <f>SUM(I256:I258)</f>
        <v>78725000</v>
      </c>
      <c r="J259" s="23"/>
      <c r="K259" s="314" t="s">
        <v>422</v>
      </c>
      <c r="L259" s="625">
        <v>7.034E7</v>
      </c>
      <c r="M259" s="625"/>
      <c r="N259" s="218"/>
      <c r="O259" s="234"/>
      <c r="P259" s="218"/>
      <c r="Q259" s="218"/>
      <c r="R259" s="218"/>
      <c r="S259" s="218"/>
      <c r="T259" s="218"/>
      <c r="U259" s="218"/>
      <c r="V259" s="601"/>
      <c r="W259" s="915"/>
      <c r="X259" s="235"/>
      <c r="Y259" s="218"/>
      <c r="Z259" s="219"/>
      <c r="AA259" s="205"/>
      <c r="AB259" s="205"/>
      <c r="AC259" s="205"/>
      <c r="AD259" s="9"/>
    </row>
    <row r="260" ht="22.5" customHeight="1">
      <c r="A260" s="218"/>
      <c r="B260" s="317"/>
      <c r="C260" s="16"/>
      <c r="D260" s="17"/>
      <c r="E260" s="777" t="s">
        <v>423</v>
      </c>
      <c r="F260" s="16"/>
      <c r="G260" s="16"/>
      <c r="H260" s="17"/>
      <c r="I260" s="319">
        <f>O208</f>
        <v>79215000</v>
      </c>
      <c r="J260" s="23"/>
      <c r="K260" s="320" t="s">
        <v>424</v>
      </c>
      <c r="L260" s="316">
        <f>sumif(Q4:Q206,"Đã thu",K4:K206)</f>
        <v>62970000</v>
      </c>
      <c r="M260" s="316"/>
      <c r="N260" s="218"/>
      <c r="O260" s="234"/>
      <c r="P260" s="218"/>
      <c r="Q260" s="218"/>
      <c r="R260" s="218"/>
      <c r="S260" s="218"/>
      <c r="T260" s="218"/>
      <c r="U260" s="218"/>
      <c r="V260" s="601"/>
      <c r="W260" s="915"/>
      <c r="X260" s="235"/>
      <c r="Y260" s="218"/>
      <c r="Z260" s="219"/>
      <c r="AA260" s="205"/>
      <c r="AB260" s="205"/>
      <c r="AC260" s="205"/>
      <c r="AD260" s="9"/>
    </row>
    <row r="261" ht="22.5" customHeight="1">
      <c r="A261" s="218"/>
      <c r="B261" s="321" t="s">
        <v>425</v>
      </c>
      <c r="C261" s="16"/>
      <c r="D261" s="16"/>
      <c r="E261" s="16"/>
      <c r="F261" s="16"/>
      <c r="G261" s="16"/>
      <c r="H261" s="17"/>
      <c r="I261" s="322">
        <f>SUMIF(Q4:Q206,"Đã thu",O4:O206)</f>
        <v>62268507</v>
      </c>
      <c r="J261" s="23"/>
      <c r="K261" s="320" t="s">
        <v>1535</v>
      </c>
      <c r="L261" s="316">
        <f>I258</f>
        <v>680000</v>
      </c>
      <c r="M261" s="316"/>
      <c r="N261" s="235"/>
      <c r="O261" s="234"/>
      <c r="P261" s="218"/>
      <c r="Q261" s="218"/>
      <c r="R261" s="218"/>
      <c r="S261" s="218"/>
      <c r="T261" s="218"/>
      <c r="U261" s="218"/>
      <c r="V261" s="601"/>
      <c r="W261" s="915"/>
      <c r="X261" s="235"/>
      <c r="Y261" s="218"/>
      <c r="Z261" s="219"/>
      <c r="AA261" s="205"/>
      <c r="AB261" s="205"/>
      <c r="AC261" s="205"/>
      <c r="AD261" s="9"/>
    </row>
    <row r="262" ht="22.5" customHeight="1">
      <c r="A262" s="325"/>
      <c r="B262" s="326" t="s">
        <v>426</v>
      </c>
      <c r="C262" s="16"/>
      <c r="D262" s="16"/>
      <c r="E262" s="16"/>
      <c r="F262" s="16"/>
      <c r="G262" s="16"/>
      <c r="H262" s="17"/>
      <c r="I262" s="327">
        <f>I260-I261</f>
        <v>16946493</v>
      </c>
      <c r="J262" s="23"/>
      <c r="K262" s="565" t="s">
        <v>415</v>
      </c>
      <c r="L262" s="316">
        <f>I257</f>
        <v>5100000</v>
      </c>
      <c r="M262" s="324"/>
      <c r="N262" s="235"/>
      <c r="O262" s="234"/>
      <c r="P262" s="218"/>
      <c r="Q262" s="218"/>
      <c r="R262" s="218"/>
      <c r="S262" s="218"/>
      <c r="T262" s="218"/>
      <c r="U262" s="218"/>
      <c r="V262" s="601"/>
      <c r="W262" s="915"/>
      <c r="X262" s="235"/>
      <c r="Y262" s="218"/>
      <c r="Z262" s="219"/>
      <c r="AA262" s="205"/>
      <c r="AB262" s="205"/>
      <c r="AC262" s="205"/>
      <c r="AD262" s="9"/>
    </row>
    <row r="263" ht="22.5" customHeight="1">
      <c r="A263" s="325"/>
      <c r="B263" s="330" t="s">
        <v>427</v>
      </c>
      <c r="C263" s="16"/>
      <c r="D263" s="16"/>
      <c r="E263" s="16"/>
      <c r="F263" s="16"/>
      <c r="G263" s="16"/>
      <c r="H263" s="17"/>
      <c r="I263" s="331">
        <f>L208+R208</f>
        <v>2904301</v>
      </c>
      <c r="J263" s="23"/>
      <c r="K263" s="328" t="s">
        <v>407</v>
      </c>
      <c r="L263" s="329">
        <f>sum(L259:L260)-L262-L261</f>
        <v>127530000</v>
      </c>
      <c r="M263" s="324"/>
      <c r="N263" s="218"/>
      <c r="O263" s="234"/>
      <c r="P263" s="218"/>
      <c r="Q263" s="218"/>
      <c r="R263" s="218"/>
      <c r="S263" s="218"/>
      <c r="T263" s="218"/>
      <c r="U263" s="218"/>
      <c r="V263" s="601"/>
      <c r="W263" s="915"/>
      <c r="X263" s="235"/>
      <c r="Y263" s="218"/>
      <c r="Z263" s="219"/>
      <c r="AA263" s="205"/>
      <c r="AB263" s="205"/>
      <c r="AC263" s="205"/>
      <c r="AD263" s="9"/>
    </row>
    <row r="264" ht="22.5" customHeight="1">
      <c r="A264" s="218"/>
      <c r="B264" s="321" t="s">
        <v>428</v>
      </c>
      <c r="C264" s="16"/>
      <c r="D264" s="16"/>
      <c r="E264" s="16"/>
      <c r="F264" s="16"/>
      <c r="G264" s="16"/>
      <c r="H264" s="17"/>
      <c r="I264" s="207">
        <f>SUMIF($T$4:$T$206,"x",R4:R206)+SUMIF($T$4:$T$206,"x",$L$4:$L$206)</f>
        <v>2381289</v>
      </c>
      <c r="J264" s="23"/>
      <c r="K264" s="335"/>
      <c r="L264" s="299"/>
      <c r="M264" s="299"/>
      <c r="N264" s="299"/>
      <c r="O264" s="234"/>
      <c r="P264" s="218"/>
      <c r="Q264" s="218"/>
      <c r="R264" s="218"/>
      <c r="S264" s="218"/>
      <c r="T264" s="218"/>
      <c r="U264" s="218"/>
      <c r="V264" s="601"/>
      <c r="W264" s="915"/>
      <c r="X264" s="235"/>
      <c r="Y264" s="218"/>
      <c r="Z264" s="219"/>
      <c r="AA264" s="205"/>
      <c r="AB264" s="205"/>
      <c r="AC264" s="205"/>
      <c r="AD264" s="9"/>
    </row>
    <row r="265" ht="22.5" customHeight="1">
      <c r="A265" s="218"/>
      <c r="B265" s="326" t="s">
        <v>429</v>
      </c>
      <c r="C265" s="16"/>
      <c r="D265" s="16"/>
      <c r="E265" s="16"/>
      <c r="F265" s="16"/>
      <c r="G265" s="16"/>
      <c r="H265" s="17"/>
      <c r="I265" s="327">
        <f>I263-I264</f>
        <v>523012</v>
      </c>
      <c r="J265" s="23"/>
      <c r="K265" s="335">
        <f>I259-L260</f>
        <v>15755000</v>
      </c>
      <c r="L265" s="930"/>
      <c r="M265" s="218"/>
      <c r="N265" s="218"/>
      <c r="O265" s="234"/>
      <c r="P265" s="218"/>
      <c r="Q265" s="218"/>
      <c r="R265" s="218"/>
      <c r="S265" s="218"/>
      <c r="T265" s="218"/>
      <c r="U265" s="218"/>
      <c r="V265" s="601"/>
      <c r="W265" s="915"/>
      <c r="X265" s="235"/>
      <c r="Y265" s="218"/>
      <c r="Z265" s="219"/>
      <c r="AA265" s="205"/>
      <c r="AB265" s="205"/>
      <c r="AC265" s="205"/>
      <c r="AD265" s="9"/>
    </row>
    <row r="266" ht="15.75" customHeight="1">
      <c r="A266" s="218"/>
      <c r="B266" s="336"/>
      <c r="C266" s="336"/>
      <c r="D266" s="336"/>
      <c r="E266" s="345"/>
      <c r="F266" s="338"/>
      <c r="G266" s="218"/>
      <c r="H266" s="218"/>
      <c r="I266" s="218"/>
      <c r="J266" s="218"/>
      <c r="K266" s="23"/>
      <c r="L266" s="218"/>
      <c r="M266" s="218"/>
      <c r="N266" s="218"/>
      <c r="O266" s="234"/>
      <c r="P266" s="218"/>
      <c r="Q266" s="218"/>
      <c r="R266" s="218"/>
      <c r="S266" s="218"/>
      <c r="T266" s="218"/>
      <c r="U266" s="218"/>
      <c r="V266" s="601"/>
      <c r="W266" s="915"/>
      <c r="X266" s="235"/>
      <c r="Y266" s="218"/>
      <c r="Z266" s="219"/>
      <c r="AA266" s="205"/>
      <c r="AB266" s="205"/>
      <c r="AC266" s="205"/>
      <c r="AD266" s="9"/>
    </row>
    <row r="267" ht="15.75" customHeight="1">
      <c r="A267" s="339" t="s">
        <v>430</v>
      </c>
      <c r="E267" s="345"/>
      <c r="F267" s="338"/>
      <c r="G267" s="218"/>
      <c r="H267" s="218"/>
      <c r="I267" s="218"/>
      <c r="J267" s="218"/>
      <c r="K267" s="23"/>
      <c r="L267" s="218"/>
      <c r="M267" s="218"/>
      <c r="N267" s="218"/>
      <c r="O267" s="234"/>
      <c r="P267" s="218"/>
      <c r="Q267" s="218"/>
      <c r="R267" s="218"/>
      <c r="S267" s="218"/>
      <c r="T267" s="218"/>
      <c r="U267" s="218"/>
      <c r="V267" s="601"/>
      <c r="W267" s="915"/>
      <c r="X267" s="235"/>
      <c r="Y267" s="218"/>
      <c r="Z267" s="219"/>
      <c r="AA267" s="205"/>
      <c r="AB267" s="205"/>
      <c r="AC267" s="205"/>
      <c r="AD267" s="9"/>
    </row>
    <row r="268" ht="15.75" customHeight="1">
      <c r="A268" s="340"/>
      <c r="B268" s="342"/>
      <c r="C268" s="341"/>
      <c r="D268" s="341"/>
      <c r="E268" s="342"/>
      <c r="F268" s="341"/>
      <c r="G268" s="341"/>
      <c r="H268" s="341"/>
      <c r="I268" s="341"/>
      <c r="J268" s="341"/>
      <c r="K268" s="341"/>
      <c r="L268" s="341"/>
      <c r="M268" s="341"/>
      <c r="N268" s="341"/>
      <c r="O268" s="343"/>
      <c r="P268" s="344"/>
      <c r="Q268" s="344"/>
      <c r="R268" s="344"/>
      <c r="S268" s="344"/>
      <c r="T268" s="345"/>
      <c r="U268" s="344"/>
      <c r="V268" s="662"/>
      <c r="W268" s="931"/>
      <c r="X268" s="344"/>
      <c r="Y268" s="344"/>
      <c r="Z268" s="219"/>
      <c r="AA268" s="205"/>
      <c r="AB268" s="205"/>
      <c r="AC268" s="205"/>
      <c r="AD268" s="9"/>
    </row>
    <row r="269" ht="15.75" customHeight="1">
      <c r="A269" s="340"/>
      <c r="B269" s="346" t="s">
        <v>431</v>
      </c>
      <c r="C269" s="347" t="s">
        <v>432</v>
      </c>
      <c r="D269" s="348" t="s">
        <v>433</v>
      </c>
      <c r="E269" s="348" t="s">
        <v>434</v>
      </c>
      <c r="F269" s="349" t="s">
        <v>5</v>
      </c>
      <c r="G269" s="348" t="s">
        <v>435</v>
      </c>
      <c r="H269" s="348" t="s">
        <v>25</v>
      </c>
      <c r="I269" s="349" t="s">
        <v>26</v>
      </c>
      <c r="J269" s="349" t="s">
        <v>436</v>
      </c>
      <c r="K269" s="349" t="s">
        <v>437</v>
      </c>
      <c r="L269" s="349" t="s">
        <v>438</v>
      </c>
      <c r="M269" s="518"/>
      <c r="N269" s="932" t="s">
        <v>9</v>
      </c>
      <c r="O269" s="933" t="s">
        <v>439</v>
      </c>
      <c r="P269" s="17"/>
      <c r="Q269" s="344"/>
      <c r="R269" s="340"/>
      <c r="S269" s="340"/>
      <c r="T269" s="340"/>
      <c r="U269" s="340"/>
      <c r="V269" s="779"/>
      <c r="W269" s="934"/>
      <c r="X269" s="340"/>
      <c r="Y269" s="299"/>
      <c r="Z269" s="353"/>
      <c r="AA269" s="205"/>
      <c r="AB269" s="205"/>
      <c r="AC269" s="205"/>
      <c r="AD269" s="9"/>
    </row>
    <row r="270" ht="27.0" customHeight="1">
      <c r="A270" s="354"/>
      <c r="B270" s="634">
        <v>8.0</v>
      </c>
      <c r="C270" s="112">
        <v>45133.0</v>
      </c>
      <c r="D270" s="111">
        <v>1.702987085532E12</v>
      </c>
      <c r="E270" s="142" t="s">
        <v>1332</v>
      </c>
      <c r="F270" s="143" t="s">
        <v>1333</v>
      </c>
      <c r="G270" s="44" t="s">
        <v>1334</v>
      </c>
      <c r="H270" s="366" t="s">
        <v>477</v>
      </c>
      <c r="I270" s="355">
        <v>1.0</v>
      </c>
      <c r="J270" s="367">
        <v>65000.0</v>
      </c>
      <c r="K270" s="368">
        <f t="shared" ref="K270:K272" si="67">J270*I270</f>
        <v>65000</v>
      </c>
      <c r="L270" s="935"/>
      <c r="M270" s="791"/>
      <c r="N270" s="936">
        <v>35001.0</v>
      </c>
      <c r="O270" s="937" t="s">
        <v>1537</v>
      </c>
      <c r="P270" s="938"/>
      <c r="Q270" s="344"/>
      <c r="R270" s="364"/>
      <c r="S270" s="364"/>
      <c r="T270" s="364"/>
      <c r="U270" s="364"/>
      <c r="V270" s="601"/>
      <c r="W270" s="920"/>
      <c r="X270" s="364"/>
      <c r="Y270" s="364"/>
      <c r="Z270" s="365"/>
      <c r="AA270" s="205"/>
      <c r="AB270" s="205"/>
      <c r="AC270" s="205"/>
      <c r="AD270" s="9"/>
    </row>
    <row r="271" ht="25.5" customHeight="1">
      <c r="A271" s="354"/>
      <c r="B271" s="67"/>
      <c r="C271" s="67"/>
      <c r="D271" s="67"/>
      <c r="E271" s="67"/>
      <c r="F271" s="67"/>
      <c r="G271" s="67"/>
      <c r="H271" s="366" t="s">
        <v>476</v>
      </c>
      <c r="I271" s="355">
        <v>1.0</v>
      </c>
      <c r="J271" s="367">
        <v>55000.0</v>
      </c>
      <c r="K271" s="368">
        <f t="shared" si="67"/>
        <v>55000</v>
      </c>
      <c r="L271" s="67"/>
      <c r="M271" s="154"/>
      <c r="N271" s="453"/>
      <c r="O271" s="154"/>
      <c r="P271" s="102"/>
      <c r="Q271" s="642"/>
      <c r="R271" s="784"/>
      <c r="S271" s="364"/>
      <c r="T271" s="364"/>
      <c r="U271" s="364"/>
      <c r="V271" s="601"/>
      <c r="W271" s="915"/>
      <c r="X271" s="370"/>
      <c r="Y271" s="364"/>
      <c r="Z271" s="365"/>
      <c r="AA271" s="205"/>
      <c r="AB271" s="205"/>
      <c r="AC271" s="205"/>
      <c r="AD271" s="9"/>
    </row>
    <row r="272" ht="55.5" customHeight="1">
      <c r="A272" s="939"/>
      <c r="B272" s="940">
        <v>7.0</v>
      </c>
      <c r="C272" s="941">
        <v>45132.0</v>
      </c>
      <c r="D272" s="942">
        <v>1.70423903788E12</v>
      </c>
      <c r="E272" s="943" t="s">
        <v>1538</v>
      </c>
      <c r="F272" s="944" t="s">
        <v>1539</v>
      </c>
      <c r="G272" s="424" t="s">
        <v>1540</v>
      </c>
      <c r="H272" s="377" t="s">
        <v>290</v>
      </c>
      <c r="I272" s="377">
        <v>3.0</v>
      </c>
      <c r="J272" s="646">
        <v>220000.0</v>
      </c>
      <c r="K272" s="368">
        <f t="shared" si="67"/>
        <v>660000</v>
      </c>
      <c r="L272" s="945" t="s">
        <v>33</v>
      </c>
      <c r="M272" s="946"/>
      <c r="N272" s="947">
        <f>54999+5000</f>
        <v>59999</v>
      </c>
      <c r="O272" s="948" t="s">
        <v>1541</v>
      </c>
      <c r="P272" s="17"/>
      <c r="Q272" s="106"/>
      <c r="R272" s="949"/>
      <c r="S272" s="949"/>
      <c r="T272" s="949"/>
      <c r="U272" s="949"/>
      <c r="V272" s="950"/>
      <c r="W272" s="951"/>
      <c r="X272" s="952"/>
      <c r="Y272" s="949"/>
      <c r="Z272" s="953"/>
      <c r="AA272" s="22"/>
      <c r="AB272" s="22"/>
      <c r="AC272" s="22"/>
      <c r="AD272" s="22"/>
    </row>
    <row r="273" ht="45.75" customHeight="1">
      <c r="A273" s="954"/>
      <c r="B273" s="67"/>
      <c r="C273" s="67"/>
      <c r="D273" s="67"/>
      <c r="E273" s="67"/>
      <c r="F273" s="67"/>
      <c r="G273" s="67"/>
      <c r="H273" s="377" t="s">
        <v>30</v>
      </c>
      <c r="I273" s="377">
        <v>1.0</v>
      </c>
      <c r="J273" s="646"/>
      <c r="K273" s="368"/>
      <c r="L273" s="945" t="s">
        <v>33</v>
      </c>
      <c r="M273" s="946"/>
      <c r="N273" s="947"/>
      <c r="O273" s="948" t="s">
        <v>1542</v>
      </c>
      <c r="P273" s="17"/>
      <c r="Q273" s="123"/>
      <c r="R273" s="950"/>
      <c r="S273" s="950"/>
      <c r="T273" s="950"/>
      <c r="U273" s="950"/>
      <c r="V273" s="950"/>
      <c r="W273" s="951"/>
      <c r="X273" s="955"/>
      <c r="Y273" s="950"/>
      <c r="Z273" s="956"/>
      <c r="AA273" s="492"/>
      <c r="AB273" s="492"/>
      <c r="AC273" s="492"/>
      <c r="AD273" s="492"/>
    </row>
    <row r="274" ht="45.75" customHeight="1">
      <c r="A274" s="954"/>
      <c r="B274" s="957">
        <v>8.0</v>
      </c>
      <c r="C274" s="378">
        <v>45136.0</v>
      </c>
      <c r="D274" s="377">
        <v>1.692855531215E12</v>
      </c>
      <c r="E274" s="958" t="s">
        <v>1351</v>
      </c>
      <c r="F274" s="379" t="s">
        <v>1352</v>
      </c>
      <c r="G274" s="959" t="s">
        <v>1353</v>
      </c>
      <c r="H274" s="377" t="s">
        <v>30</v>
      </c>
      <c r="I274" s="377">
        <v>1.0</v>
      </c>
      <c r="J274" s="646">
        <v>220000.0</v>
      </c>
      <c r="K274" s="368">
        <f t="shared" ref="K274:K278" si="68">J274*I274</f>
        <v>220000</v>
      </c>
      <c r="L274" s="945" t="s">
        <v>33</v>
      </c>
      <c r="M274" s="946"/>
      <c r="N274" s="947">
        <f>40000+5093</f>
        <v>45093</v>
      </c>
      <c r="O274" s="948" t="s">
        <v>1543</v>
      </c>
      <c r="P274" s="17"/>
      <c r="Q274" s="123"/>
      <c r="R274" s="950"/>
      <c r="S274" s="950"/>
      <c r="T274" s="950"/>
      <c r="U274" s="950"/>
      <c r="V274" s="950"/>
      <c r="W274" s="951"/>
      <c r="X274" s="955"/>
      <c r="Y274" s="950"/>
      <c r="Z274" s="956"/>
      <c r="AA274" s="492"/>
      <c r="AB274" s="492"/>
      <c r="AC274" s="492"/>
      <c r="AD274" s="492"/>
    </row>
    <row r="275" ht="67.5" customHeight="1">
      <c r="A275" s="939"/>
      <c r="B275" s="957">
        <v>8.0</v>
      </c>
      <c r="C275" s="378">
        <v>45136.0</v>
      </c>
      <c r="D275" s="694">
        <v>1.692667924043E12</v>
      </c>
      <c r="E275" s="800" t="s">
        <v>517</v>
      </c>
      <c r="F275" s="684" t="s">
        <v>518</v>
      </c>
      <c r="G275" s="960" t="s">
        <v>519</v>
      </c>
      <c r="H275" s="377" t="s">
        <v>30</v>
      </c>
      <c r="I275" s="377">
        <v>1.0</v>
      </c>
      <c r="J275" s="646">
        <v>220000.0</v>
      </c>
      <c r="K275" s="368">
        <f t="shared" si="68"/>
        <v>220000</v>
      </c>
      <c r="L275" s="945" t="s">
        <v>33</v>
      </c>
      <c r="M275" s="961"/>
      <c r="N275" s="947">
        <f>22501+28000</f>
        <v>50501</v>
      </c>
      <c r="O275" s="962" t="s">
        <v>1354</v>
      </c>
      <c r="P275" s="17"/>
      <c r="Q275" s="106"/>
      <c r="R275" s="949"/>
      <c r="S275" s="949"/>
      <c r="T275" s="949"/>
      <c r="U275" s="949"/>
      <c r="V275" s="950"/>
      <c r="W275" s="951"/>
      <c r="X275" s="952"/>
      <c r="Y275" s="949"/>
      <c r="Z275" s="953"/>
      <c r="AA275" s="22"/>
      <c r="AB275" s="22"/>
      <c r="AC275" s="22"/>
      <c r="AD275" s="22"/>
    </row>
    <row r="276" ht="31.5" customHeight="1">
      <c r="A276" s="954"/>
      <c r="B276" s="377">
        <v>7.0</v>
      </c>
      <c r="C276" s="378">
        <v>45132.0</v>
      </c>
      <c r="D276" s="377">
        <v>7486.0</v>
      </c>
      <c r="E276" s="648" t="s">
        <v>1369</v>
      </c>
      <c r="F276" s="379" t="s">
        <v>862</v>
      </c>
      <c r="G276" s="648" t="s">
        <v>485</v>
      </c>
      <c r="H276" s="377" t="s">
        <v>37</v>
      </c>
      <c r="I276" s="377">
        <v>5.0</v>
      </c>
      <c r="J276" s="646">
        <v>220000.0</v>
      </c>
      <c r="K276" s="368">
        <f t="shared" si="68"/>
        <v>1100000</v>
      </c>
      <c r="L276" s="945" t="s">
        <v>33</v>
      </c>
      <c r="M276" s="946"/>
      <c r="N276" s="946"/>
      <c r="O276" s="948" t="s">
        <v>1544</v>
      </c>
      <c r="P276" s="17"/>
      <c r="Q276" s="123"/>
      <c r="R276" s="950"/>
      <c r="S276" s="950"/>
      <c r="T276" s="950"/>
      <c r="U276" s="950"/>
      <c r="V276" s="950"/>
      <c r="W276" s="951"/>
      <c r="X276" s="955"/>
      <c r="Y276" s="950"/>
      <c r="Z276" s="956"/>
      <c r="AA276" s="492"/>
      <c r="AB276" s="492"/>
      <c r="AC276" s="492"/>
      <c r="AD276" s="492"/>
    </row>
    <row r="277" ht="31.5" customHeight="1">
      <c r="A277" s="963"/>
      <c r="B277" s="377">
        <v>8.0</v>
      </c>
      <c r="C277" s="378">
        <v>45153.0</v>
      </c>
      <c r="D277" s="377">
        <v>7941.0</v>
      </c>
      <c r="E277" s="648" t="s">
        <v>50</v>
      </c>
      <c r="F277" s="379" t="s">
        <v>1471</v>
      </c>
      <c r="G277" s="648" t="s">
        <v>84</v>
      </c>
      <c r="H277" s="964" t="s">
        <v>30</v>
      </c>
      <c r="I277" s="377">
        <v>1.0</v>
      </c>
      <c r="J277" s="646">
        <v>220000.0</v>
      </c>
      <c r="K277" s="368">
        <f t="shared" si="68"/>
        <v>220000</v>
      </c>
      <c r="L277" s="265" t="s">
        <v>33</v>
      </c>
      <c r="M277" s="533"/>
      <c r="N277" s="533"/>
      <c r="O277" s="965" t="s">
        <v>444</v>
      </c>
      <c r="P277" s="17"/>
      <c r="Q277" s="651"/>
      <c r="R277" s="601"/>
      <c r="S277" s="601"/>
      <c r="T277" s="601"/>
      <c r="U277" s="601"/>
      <c r="V277" s="601"/>
      <c r="W277" s="915"/>
      <c r="X277" s="622"/>
      <c r="Y277" s="601"/>
      <c r="Z277" s="966"/>
      <c r="AA277" s="281"/>
      <c r="AB277" s="281"/>
      <c r="AC277" s="281"/>
      <c r="AD277" s="282"/>
    </row>
    <row r="278" ht="31.5" customHeight="1">
      <c r="A278" s="963"/>
      <c r="B278" s="377">
        <v>8.0</v>
      </c>
      <c r="C278" s="378">
        <v>45153.0</v>
      </c>
      <c r="D278" s="377">
        <v>1850.0</v>
      </c>
      <c r="E278" s="648" t="s">
        <v>50</v>
      </c>
      <c r="F278" s="379" t="s">
        <v>1469</v>
      </c>
      <c r="G278" s="648" t="s">
        <v>104</v>
      </c>
      <c r="H278" s="964" t="s">
        <v>30</v>
      </c>
      <c r="I278" s="377">
        <v>1.0</v>
      </c>
      <c r="J278" s="646">
        <v>220000.0</v>
      </c>
      <c r="K278" s="368">
        <f t="shared" si="68"/>
        <v>220000</v>
      </c>
      <c r="L278" s="265" t="s">
        <v>33</v>
      </c>
      <c r="M278" s="533"/>
      <c r="N278" s="533"/>
      <c r="O278" s="965" t="s">
        <v>1545</v>
      </c>
      <c r="P278" s="17"/>
      <c r="Q278" s="651"/>
      <c r="R278" s="601"/>
      <c r="S278" s="601"/>
      <c r="T278" s="601"/>
      <c r="U278" s="601"/>
      <c r="V278" s="601"/>
      <c r="W278" s="915"/>
      <c r="X278" s="622"/>
      <c r="Y278" s="601"/>
      <c r="Z278" s="966"/>
      <c r="AA278" s="281"/>
      <c r="AB278" s="281"/>
      <c r="AC278" s="281"/>
      <c r="AD278" s="282"/>
    </row>
    <row r="279" ht="31.5" customHeight="1">
      <c r="A279" s="354"/>
      <c r="B279" s="389" t="s">
        <v>421</v>
      </c>
      <c r="C279" s="16"/>
      <c r="D279" s="16"/>
      <c r="E279" s="16"/>
      <c r="F279" s="16"/>
      <c r="G279" s="16"/>
      <c r="H279" s="16"/>
      <c r="I279" s="16"/>
      <c r="J279" s="17"/>
      <c r="K279" s="390">
        <f>SUM(K270:K278)</f>
        <v>2760000</v>
      </c>
      <c r="L279" s="392"/>
      <c r="M279" s="542"/>
      <c r="N279" s="967">
        <f>SUM(N270:N278)</f>
        <v>190594</v>
      </c>
      <c r="O279" s="542"/>
      <c r="P279" s="17"/>
      <c r="Q279" s="344"/>
      <c r="R279" s="364"/>
      <c r="S279" s="364"/>
      <c r="T279" s="364"/>
      <c r="U279" s="364"/>
      <c r="V279" s="601"/>
      <c r="W279" s="915"/>
      <c r="X279" s="370"/>
      <c r="Y279" s="364"/>
      <c r="Z279" s="365"/>
      <c r="AA279" s="205"/>
      <c r="AB279" s="205"/>
      <c r="AC279" s="205"/>
      <c r="AD279" s="9"/>
    </row>
    <row r="280" ht="15.75" customHeight="1">
      <c r="A280" s="344"/>
      <c r="B280" s="345"/>
      <c r="C280" s="394"/>
      <c r="D280" s="395"/>
      <c r="E280" s="396"/>
      <c r="F280" s="395"/>
      <c r="G280" s="396"/>
      <c r="H280" s="345"/>
      <c r="I280" s="344"/>
      <c r="J280" s="344"/>
      <c r="K280" s="428"/>
      <c r="L280" s="344"/>
      <c r="M280" s="344"/>
      <c r="N280" s="344"/>
      <c r="O280" s="343"/>
      <c r="P280" s="344"/>
      <c r="Q280" s="344"/>
      <c r="R280" s="344"/>
      <c r="S280" s="344"/>
      <c r="T280" s="345"/>
      <c r="U280" s="344"/>
      <c r="V280" s="662"/>
      <c r="W280" s="931"/>
      <c r="X280" s="344"/>
      <c r="Y280" s="344"/>
      <c r="Z280" s="219"/>
      <c r="AA280" s="205"/>
      <c r="AB280" s="205"/>
      <c r="AC280" s="205"/>
      <c r="AD280" s="9"/>
    </row>
    <row r="281" ht="15.75" customHeight="1">
      <c r="A281" s="9"/>
      <c r="B281" s="223"/>
      <c r="C281" s="394"/>
      <c r="D281" s="395"/>
      <c r="E281" s="396"/>
      <c r="F281" s="395"/>
      <c r="G281" s="396"/>
      <c r="H281" s="224"/>
      <c r="I281" s="225"/>
      <c r="J281" s="225"/>
      <c r="K281" s="22"/>
      <c r="L281" s="9"/>
      <c r="M281" s="9"/>
      <c r="N281" s="9"/>
      <c r="O281" s="226"/>
      <c r="P281" s="9"/>
      <c r="Q281" s="9"/>
      <c r="R281" s="9"/>
      <c r="S281" s="9"/>
      <c r="T281" s="223"/>
      <c r="U281" s="9"/>
      <c r="V281" s="913"/>
      <c r="W281" s="914"/>
      <c r="X281" s="9"/>
      <c r="Y281" s="9"/>
      <c r="Z281" s="204"/>
      <c r="AA281" s="205"/>
      <c r="AB281" s="205"/>
      <c r="AC281" s="205"/>
      <c r="AD281" s="9"/>
    </row>
    <row r="282" ht="15.75" customHeight="1">
      <c r="A282" s="9"/>
      <c r="B282" s="223"/>
      <c r="C282" s="397"/>
      <c r="D282" s="9"/>
      <c r="E282" s="223"/>
      <c r="F282" s="222"/>
      <c r="G282" s="223"/>
      <c r="H282" s="224"/>
      <c r="I282" s="225"/>
      <c r="J282" s="225"/>
      <c r="K282" s="22"/>
      <c r="L282" s="9"/>
      <c r="M282" s="9"/>
      <c r="N282" s="9"/>
      <c r="O282" s="226"/>
      <c r="P282" s="9"/>
      <c r="Q282" s="9"/>
      <c r="R282" s="9"/>
      <c r="S282" s="9"/>
      <c r="T282" s="223"/>
      <c r="U282" s="9"/>
      <c r="V282" s="913"/>
      <c r="W282" s="914"/>
      <c r="X282" s="9"/>
      <c r="Y282" s="9"/>
      <c r="Z282" s="204"/>
      <c r="AA282" s="9"/>
      <c r="AB282" s="9"/>
      <c r="AC282" s="9"/>
      <c r="AD282" s="9"/>
    </row>
    <row r="283" ht="15.75" customHeight="1">
      <c r="A283" s="9"/>
      <c r="B283" s="794" t="s">
        <v>1302</v>
      </c>
      <c r="E283" s="223"/>
      <c r="F283" s="222"/>
      <c r="G283" s="223"/>
      <c r="H283" s="224"/>
      <c r="I283" s="225"/>
      <c r="J283" s="225"/>
      <c r="K283" s="22"/>
      <c r="L283" s="9"/>
      <c r="M283" s="9"/>
      <c r="N283" s="9"/>
      <c r="O283" s="226"/>
      <c r="P283" s="9"/>
      <c r="Q283" s="9"/>
      <c r="R283" s="9"/>
      <c r="S283" s="9"/>
      <c r="T283" s="223"/>
      <c r="U283" s="9"/>
      <c r="V283" s="913"/>
      <c r="W283" s="914"/>
      <c r="X283" s="9"/>
      <c r="Y283" s="9"/>
      <c r="Z283" s="204"/>
      <c r="AA283" s="9"/>
      <c r="AB283" s="9"/>
      <c r="AC283" s="9"/>
      <c r="AD283" s="9"/>
    </row>
    <row r="284" ht="15.75" customHeight="1">
      <c r="A284" s="9"/>
      <c r="B284" s="223"/>
      <c r="C284" s="397"/>
      <c r="D284" s="9"/>
      <c r="E284" s="223"/>
      <c r="F284" s="222"/>
      <c r="G284" s="223"/>
      <c r="H284" s="224"/>
      <c r="I284" s="225"/>
      <c r="J284" s="225"/>
      <c r="K284" s="22"/>
      <c r="L284" s="9"/>
      <c r="M284" s="9"/>
      <c r="N284" s="9"/>
      <c r="O284" s="226"/>
      <c r="P284" s="9"/>
      <c r="Q284" s="9"/>
      <c r="R284" s="9"/>
      <c r="S284" s="9"/>
      <c r="T284" s="223"/>
      <c r="U284" s="9"/>
      <c r="V284" s="913"/>
      <c r="W284" s="914"/>
      <c r="X284" s="9"/>
      <c r="Y284" s="9"/>
      <c r="Z284" s="204"/>
      <c r="AA284" s="9"/>
      <c r="AB284" s="9"/>
      <c r="AC284" s="9"/>
      <c r="AD284" s="9"/>
    </row>
    <row r="285" ht="15.75" customHeight="1">
      <c r="A285" s="9"/>
      <c r="B285" s="795" t="s">
        <v>431</v>
      </c>
      <c r="C285" s="796" t="s">
        <v>432</v>
      </c>
      <c r="D285" s="795" t="s">
        <v>433</v>
      </c>
      <c r="E285" s="795" t="s">
        <v>434</v>
      </c>
      <c r="F285" s="797" t="s">
        <v>435</v>
      </c>
      <c r="G285" s="795" t="s">
        <v>5</v>
      </c>
      <c r="H285" s="797" t="s">
        <v>26</v>
      </c>
      <c r="I285" s="399"/>
      <c r="J285" s="399"/>
      <c r="K285" s="968"/>
      <c r="L285" s="9"/>
      <c r="M285" s="9"/>
      <c r="N285" s="9"/>
      <c r="O285" s="226"/>
      <c r="P285" s="9"/>
      <c r="Q285" s="9"/>
      <c r="R285" s="9"/>
      <c r="S285" s="9"/>
      <c r="T285" s="223"/>
      <c r="U285" s="9"/>
      <c r="V285" s="913"/>
      <c r="W285" s="914"/>
      <c r="X285" s="9"/>
      <c r="Y285" s="9"/>
      <c r="Z285" s="204"/>
      <c r="AA285" s="9"/>
      <c r="AB285" s="9"/>
      <c r="AC285" s="9"/>
      <c r="AD285" s="9"/>
    </row>
    <row r="286" ht="24.75" customHeight="1">
      <c r="A286" s="9"/>
      <c r="B286" s="795">
        <v>7.0</v>
      </c>
      <c r="C286" s="103">
        <v>45138.0</v>
      </c>
      <c r="D286" s="694">
        <v>1.701430100625E12</v>
      </c>
      <c r="E286" s="429" t="s">
        <v>902</v>
      </c>
      <c r="F286" s="64" t="s">
        <v>442</v>
      </c>
      <c r="G286" s="684" t="s">
        <v>441</v>
      </c>
      <c r="H286" s="93">
        <v>1.0</v>
      </c>
      <c r="I286" s="225"/>
      <c r="J286" s="225"/>
      <c r="K286" s="22"/>
      <c r="L286" s="9"/>
      <c r="M286" s="9"/>
      <c r="N286" s="9"/>
      <c r="O286" s="226"/>
      <c r="P286" s="9"/>
      <c r="Q286" s="9"/>
      <c r="R286" s="9"/>
      <c r="S286" s="9"/>
      <c r="T286" s="223"/>
      <c r="U286" s="9"/>
      <c r="V286" s="913"/>
      <c r="W286" s="914"/>
      <c r="X286" s="9"/>
      <c r="Y286" s="9"/>
      <c r="Z286" s="204"/>
      <c r="AA286" s="9"/>
      <c r="AB286" s="9"/>
      <c r="AC286" s="9"/>
      <c r="AD286" s="9"/>
    </row>
    <row r="287" ht="24.75" customHeight="1">
      <c r="A287" s="9"/>
      <c r="B287" s="223"/>
      <c r="C287" s="397"/>
      <c r="D287" s="9"/>
      <c r="E287" s="223"/>
      <c r="F287" s="222"/>
      <c r="G287" s="223"/>
      <c r="H287" s="224"/>
      <c r="I287" s="225"/>
      <c r="J287" s="225"/>
      <c r="K287" s="22"/>
      <c r="L287" s="9"/>
      <c r="M287" s="9"/>
      <c r="N287" s="9"/>
      <c r="O287" s="226"/>
      <c r="P287" s="9"/>
      <c r="Q287" s="9"/>
      <c r="R287" s="9"/>
      <c r="S287" s="9"/>
      <c r="T287" s="223"/>
      <c r="U287" s="9"/>
      <c r="V287" s="913"/>
      <c r="W287" s="914"/>
      <c r="X287" s="9"/>
      <c r="Y287" s="9"/>
      <c r="Z287" s="204"/>
      <c r="AA287" s="9"/>
      <c r="AB287" s="9"/>
      <c r="AC287" s="9"/>
      <c r="AD287" s="9"/>
    </row>
    <row r="288" ht="24.75" customHeight="1">
      <c r="A288" s="106"/>
      <c r="B288" s="969" t="s">
        <v>1546</v>
      </c>
      <c r="E288" s="589"/>
      <c r="F288" s="511"/>
      <c r="G288" s="589"/>
      <c r="H288" s="428"/>
      <c r="I288" s="107"/>
      <c r="J288" s="107"/>
      <c r="K288" s="106"/>
      <c r="L288" s="106"/>
      <c r="M288" s="106"/>
      <c r="N288" s="106"/>
      <c r="O288" s="801"/>
      <c r="P288" s="106"/>
      <c r="Q288" s="106"/>
      <c r="R288" s="106"/>
      <c r="S288" s="106"/>
      <c r="T288" s="589"/>
      <c r="U288" s="106"/>
      <c r="V288" s="517"/>
      <c r="W288" s="970"/>
      <c r="X288" s="106"/>
      <c r="Y288" s="106"/>
      <c r="Z288" s="427"/>
      <c r="AA288" s="106"/>
      <c r="AB288" s="106"/>
      <c r="AC288" s="106"/>
      <c r="AD288" s="106"/>
    </row>
    <row r="289" ht="24.75" customHeight="1">
      <c r="A289" s="9"/>
      <c r="B289" s="223"/>
      <c r="C289" s="397"/>
      <c r="D289" s="9"/>
      <c r="E289" s="223"/>
      <c r="F289" s="222"/>
      <c r="G289" s="223"/>
      <c r="H289" s="224"/>
      <c r="I289" s="225"/>
      <c r="J289" s="225"/>
      <c r="K289" s="22"/>
      <c r="L289" s="9"/>
      <c r="M289" s="9"/>
      <c r="N289" s="9"/>
      <c r="O289" s="226"/>
      <c r="P289" s="9"/>
      <c r="Q289" s="9"/>
      <c r="R289" s="9"/>
      <c r="S289" s="9"/>
      <c r="T289" s="223"/>
      <c r="U289" s="9"/>
      <c r="V289" s="913"/>
      <c r="W289" s="914"/>
      <c r="X289" s="9"/>
      <c r="Y289" s="9"/>
      <c r="Z289" s="204"/>
      <c r="AA289" s="9"/>
      <c r="AB289" s="9"/>
      <c r="AC289" s="9"/>
      <c r="AD289" s="9"/>
    </row>
    <row r="290" ht="24.75" customHeight="1">
      <c r="A290" s="9"/>
      <c r="B290" s="795" t="s">
        <v>431</v>
      </c>
      <c r="C290" s="796" t="s">
        <v>432</v>
      </c>
      <c r="D290" s="795" t="s">
        <v>433</v>
      </c>
      <c r="E290" s="795" t="s">
        <v>434</v>
      </c>
      <c r="F290" s="797" t="s">
        <v>435</v>
      </c>
      <c r="G290" s="795" t="s">
        <v>5</v>
      </c>
      <c r="H290" s="797" t="s">
        <v>26</v>
      </c>
      <c r="I290" s="225"/>
      <c r="J290" s="225"/>
      <c r="K290" s="22"/>
      <c r="L290" s="9"/>
      <c r="M290" s="9"/>
      <c r="N290" s="9"/>
      <c r="O290" s="226"/>
      <c r="P290" s="9"/>
      <c r="Q290" s="9"/>
      <c r="R290" s="9"/>
      <c r="S290" s="9"/>
      <c r="T290" s="223"/>
      <c r="U290" s="9"/>
      <c r="V290" s="913"/>
      <c r="W290" s="914"/>
      <c r="X290" s="9"/>
      <c r="Y290" s="9"/>
      <c r="Z290" s="204"/>
      <c r="AA290" s="9"/>
      <c r="AB290" s="9"/>
      <c r="AC290" s="9"/>
      <c r="AD290" s="9"/>
    </row>
    <row r="291" ht="24.75" customHeight="1">
      <c r="A291" s="9"/>
      <c r="B291" s="795">
        <v>7.0</v>
      </c>
      <c r="C291" s="103">
        <v>45138.0</v>
      </c>
      <c r="D291" s="694">
        <v>1.701430100625E12</v>
      </c>
      <c r="E291" s="429" t="s">
        <v>902</v>
      </c>
      <c r="F291" s="64" t="s">
        <v>442</v>
      </c>
      <c r="G291" s="684" t="s">
        <v>441</v>
      </c>
      <c r="H291" s="93">
        <v>1.0</v>
      </c>
      <c r="I291" s="225"/>
      <c r="J291" s="225"/>
      <c r="K291" s="22"/>
      <c r="L291" s="9"/>
      <c r="M291" s="9"/>
      <c r="N291" s="9"/>
      <c r="O291" s="226"/>
      <c r="P291" s="9"/>
      <c r="Q291" s="9"/>
      <c r="R291" s="9"/>
      <c r="S291" s="9"/>
      <c r="T291" s="223"/>
      <c r="U291" s="9"/>
      <c r="V291" s="913"/>
      <c r="W291" s="914"/>
      <c r="X291" s="9"/>
      <c r="Y291" s="9"/>
      <c r="Z291" s="204"/>
      <c r="AA291" s="9"/>
      <c r="AB291" s="9"/>
      <c r="AC291" s="9"/>
      <c r="AD291" s="9"/>
    </row>
    <row r="292" ht="24.75" customHeight="1">
      <c r="A292" s="9"/>
      <c r="B292" s="223"/>
      <c r="C292" s="397"/>
      <c r="D292" s="9"/>
      <c r="E292" s="223"/>
      <c r="F292" s="222"/>
      <c r="G292" s="223"/>
      <c r="H292" s="224"/>
      <c r="I292" s="225"/>
      <c r="J292" s="225"/>
      <c r="K292" s="22"/>
      <c r="L292" s="9"/>
      <c r="M292" s="9"/>
      <c r="N292" s="9"/>
      <c r="O292" s="226"/>
      <c r="P292" s="9"/>
      <c r="Q292" s="9"/>
      <c r="R292" s="9"/>
      <c r="S292" s="9"/>
      <c r="T292" s="223"/>
      <c r="U292" s="9"/>
      <c r="V292" s="913"/>
      <c r="W292" s="914"/>
      <c r="X292" s="9"/>
      <c r="Y292" s="9"/>
      <c r="Z292" s="204"/>
      <c r="AA292" s="9"/>
      <c r="AB292" s="9"/>
      <c r="AC292" s="9"/>
      <c r="AD292" s="9"/>
    </row>
    <row r="293" ht="24.75" customHeight="1">
      <c r="A293" s="9"/>
      <c r="B293" s="223"/>
      <c r="C293" s="397"/>
      <c r="D293" s="9"/>
      <c r="E293" s="223"/>
      <c r="F293" s="222"/>
      <c r="G293" s="223"/>
      <c r="H293" s="224"/>
      <c r="I293" s="225"/>
      <c r="J293" s="225"/>
      <c r="K293" s="22"/>
      <c r="L293" s="9"/>
      <c r="M293" s="9"/>
      <c r="N293" s="9"/>
      <c r="O293" s="226"/>
      <c r="P293" s="9"/>
      <c r="Q293" s="9"/>
      <c r="R293" s="9"/>
      <c r="S293" s="9"/>
      <c r="T293" s="223"/>
      <c r="U293" s="9"/>
      <c r="V293" s="913"/>
      <c r="W293" s="914"/>
      <c r="X293" s="9"/>
      <c r="Y293" s="9"/>
      <c r="Z293" s="204"/>
      <c r="AA293" s="9"/>
      <c r="AB293" s="9"/>
      <c r="AC293" s="9"/>
      <c r="AD293" s="9"/>
    </row>
    <row r="294" ht="24.75" customHeight="1">
      <c r="A294" s="9"/>
      <c r="B294" s="803" t="s">
        <v>1303</v>
      </c>
      <c r="E294" s="589"/>
      <c r="F294" s="222"/>
      <c r="G294" s="223"/>
      <c r="H294" s="224"/>
      <c r="I294" s="225"/>
      <c r="J294" s="225"/>
      <c r="K294" s="22"/>
      <c r="L294" s="9"/>
      <c r="M294" s="9"/>
      <c r="N294" s="9"/>
      <c r="O294" s="226"/>
      <c r="P294" s="9"/>
      <c r="Q294" s="9"/>
      <c r="R294" s="9"/>
      <c r="S294" s="9"/>
      <c r="T294" s="223"/>
      <c r="U294" s="9"/>
      <c r="V294" s="913"/>
      <c r="W294" s="914"/>
      <c r="X294" s="9"/>
      <c r="Y294" s="9"/>
      <c r="Z294" s="204"/>
      <c r="AA294" s="9"/>
      <c r="AB294" s="9"/>
      <c r="AC294" s="9"/>
      <c r="AD294" s="9"/>
    </row>
    <row r="295" ht="25.5" customHeight="1">
      <c r="A295" s="9"/>
      <c r="B295" s="795" t="s">
        <v>1304</v>
      </c>
      <c r="C295" s="796" t="s">
        <v>1305</v>
      </c>
      <c r="D295" s="795" t="s">
        <v>1306</v>
      </c>
      <c r="E295" s="795" t="s">
        <v>1307</v>
      </c>
      <c r="F295" s="797" t="s">
        <v>1308</v>
      </c>
      <c r="G295" s="223"/>
      <c r="H295" s="224"/>
      <c r="I295" s="225"/>
      <c r="J295" s="225"/>
      <c r="K295" s="22"/>
      <c r="L295" s="9"/>
      <c r="M295" s="9"/>
      <c r="N295" s="9"/>
      <c r="O295" s="226"/>
      <c r="P295" s="9"/>
      <c r="Q295" s="9"/>
      <c r="R295" s="9"/>
      <c r="S295" s="9"/>
      <c r="T295" s="223"/>
      <c r="U295" s="9"/>
      <c r="V295" s="913"/>
      <c r="W295" s="914"/>
      <c r="X295" s="9"/>
      <c r="Y295" s="9"/>
      <c r="Z295" s="204"/>
      <c r="AA295" s="9"/>
      <c r="AB295" s="9"/>
      <c r="AC295" s="9"/>
      <c r="AD295" s="9"/>
    </row>
    <row r="296" ht="25.5" customHeight="1">
      <c r="A296" s="9"/>
      <c r="B296" s="804">
        <v>45134.0</v>
      </c>
      <c r="C296" s="109">
        <f>2200000+660000+220000+220000+220000+660000+440000</f>
        <v>4620000</v>
      </c>
      <c r="D296" s="805">
        <f>4386351</f>
        <v>4386351</v>
      </c>
      <c r="E296" s="806">
        <f>(67485+44000)+(7257+4400)+(98337+4400)+(19530+13200)+(5010+4400)+(198000+13200)+(13830+8800)</f>
        <v>501849</v>
      </c>
      <c r="F296" s="109">
        <f t="shared" ref="F296:F310" si="69">C296-D296-E296</f>
        <v>-268200</v>
      </c>
      <c r="G296" s="223"/>
      <c r="H296" s="224"/>
      <c r="I296" s="225"/>
      <c r="J296" s="225"/>
      <c r="K296" s="22"/>
      <c r="L296" s="9"/>
      <c r="M296" s="9"/>
      <c r="N296" s="9"/>
      <c r="O296" s="226"/>
      <c r="P296" s="9"/>
      <c r="Q296" s="9"/>
      <c r="R296" s="9"/>
      <c r="S296" s="9"/>
      <c r="T296" s="223"/>
      <c r="U296" s="9"/>
      <c r="V296" s="913"/>
      <c r="W296" s="914"/>
      <c r="X296" s="9"/>
      <c r="Y296" s="9"/>
      <c r="Z296" s="204"/>
      <c r="AA296" s="9"/>
      <c r="AB296" s="9"/>
      <c r="AC296" s="9"/>
      <c r="AD296" s="9"/>
    </row>
    <row r="297" ht="25.5" customHeight="1">
      <c r="A297" s="9"/>
      <c r="B297" s="804">
        <v>45136.0</v>
      </c>
      <c r="C297" s="109">
        <f>220000+220000</f>
        <v>440000</v>
      </c>
      <c r="D297" s="805">
        <f>417259</f>
        <v>417259</v>
      </c>
      <c r="E297" s="805">
        <f>7257+4400+6684+4400</f>
        <v>22741</v>
      </c>
      <c r="F297" s="109">
        <f t="shared" si="69"/>
        <v>0</v>
      </c>
      <c r="G297" s="223"/>
      <c r="H297" s="224"/>
      <c r="I297" s="225"/>
      <c r="J297" s="225"/>
      <c r="K297" s="22"/>
      <c r="L297" s="9"/>
      <c r="M297" s="9"/>
      <c r="N297" s="9"/>
      <c r="O297" s="226"/>
      <c r="P297" s="9"/>
      <c r="Q297" s="9"/>
      <c r="R297" s="9"/>
      <c r="S297" s="9"/>
      <c r="T297" s="223"/>
      <c r="U297" s="9"/>
      <c r="V297" s="913"/>
      <c r="W297" s="914"/>
      <c r="X297" s="9"/>
      <c r="Y297" s="9"/>
      <c r="Z297" s="204"/>
      <c r="AA297" s="9"/>
      <c r="AB297" s="9"/>
      <c r="AC297" s="9"/>
      <c r="AD297" s="9"/>
    </row>
    <row r="298" ht="25.5" customHeight="1">
      <c r="A298" s="9"/>
      <c r="B298" s="804">
        <v>45138.0</v>
      </c>
      <c r="C298" s="109">
        <f>220000</f>
        <v>220000</v>
      </c>
      <c r="D298" s="805">
        <f>210800</f>
        <v>210800</v>
      </c>
      <c r="E298" s="805">
        <f>4800+4400</f>
        <v>9200</v>
      </c>
      <c r="F298" s="109">
        <f t="shared" si="69"/>
        <v>0</v>
      </c>
      <c r="G298" s="223"/>
      <c r="H298" s="224"/>
      <c r="I298" s="225"/>
      <c r="J298" s="225"/>
      <c r="K298" s="22"/>
      <c r="L298" s="9"/>
      <c r="M298" s="9"/>
      <c r="N298" s="9"/>
      <c r="O298" s="226"/>
      <c r="P298" s="9"/>
      <c r="Q298" s="9"/>
      <c r="R298" s="9"/>
      <c r="S298" s="9"/>
      <c r="T298" s="223"/>
      <c r="U298" s="9"/>
      <c r="V298" s="913"/>
      <c r="W298" s="914"/>
      <c r="X298" s="9"/>
      <c r="Y298" s="9"/>
      <c r="Z298" s="204"/>
      <c r="AA298" s="9"/>
      <c r="AB298" s="9"/>
      <c r="AC298" s="9"/>
      <c r="AD298" s="9"/>
    </row>
    <row r="299" ht="25.5" customHeight="1">
      <c r="A299" s="9"/>
      <c r="B299" s="804">
        <v>45139.0</v>
      </c>
      <c r="C299" s="109">
        <f>220000+220000+220000+220000</f>
        <v>880000</v>
      </c>
      <c r="D299" s="805">
        <f>832772</f>
        <v>832772</v>
      </c>
      <c r="E299" s="805">
        <f>7257+4400+7857+4400+7257+4400+7257+4400</f>
        <v>47228</v>
      </c>
      <c r="F299" s="109">
        <f t="shared" si="69"/>
        <v>0</v>
      </c>
      <c r="G299" s="223"/>
      <c r="H299" s="224"/>
      <c r="I299" s="225"/>
      <c r="J299" s="225"/>
      <c r="K299" s="22"/>
      <c r="L299" s="9"/>
      <c r="M299" s="9"/>
      <c r="N299" s="9"/>
      <c r="O299" s="226"/>
      <c r="P299" s="9"/>
      <c r="Q299" s="9"/>
      <c r="R299" s="9"/>
      <c r="S299" s="9"/>
      <c r="T299" s="223"/>
      <c r="U299" s="9"/>
      <c r="V299" s="913"/>
      <c r="W299" s="914"/>
      <c r="X299" s="9"/>
      <c r="Y299" s="9"/>
      <c r="Z299" s="204"/>
      <c r="AA299" s="9"/>
      <c r="AB299" s="9"/>
      <c r="AC299" s="9"/>
      <c r="AD299" s="9"/>
    </row>
    <row r="300" ht="25.5" customHeight="1">
      <c r="A300" s="9"/>
      <c r="B300" s="804">
        <v>45142.0</v>
      </c>
      <c r="C300" s="109">
        <f>220000+440000+220000</f>
        <v>880000</v>
      </c>
      <c r="D300" s="805">
        <f>835346</f>
        <v>835346</v>
      </c>
      <c r="E300" s="805">
        <f>6579+4400+13200+8800+7257+4400</f>
        <v>44636</v>
      </c>
      <c r="F300" s="109">
        <f t="shared" si="69"/>
        <v>18</v>
      </c>
      <c r="G300" s="223"/>
      <c r="H300" s="224"/>
      <c r="I300" s="225"/>
      <c r="J300" s="225"/>
      <c r="K300" s="22"/>
      <c r="L300" s="9"/>
      <c r="M300" s="9"/>
      <c r="N300" s="9"/>
      <c r="O300" s="226"/>
      <c r="P300" s="9"/>
      <c r="Q300" s="9"/>
      <c r="R300" s="9"/>
      <c r="S300" s="9"/>
      <c r="T300" s="223"/>
      <c r="U300" s="9"/>
      <c r="V300" s="913"/>
      <c r="W300" s="914"/>
      <c r="X300" s="9"/>
      <c r="Y300" s="9"/>
      <c r="Z300" s="204"/>
      <c r="AA300" s="9"/>
      <c r="AB300" s="9"/>
      <c r="AC300" s="9"/>
      <c r="AD300" s="9"/>
    </row>
    <row r="301" ht="25.5" customHeight="1">
      <c r="A301" s="9"/>
      <c r="B301" s="804">
        <v>45145.0</v>
      </c>
      <c r="C301" s="109">
        <f>220000+220000+220000+220000+220000+220000+220000</f>
        <v>1540000</v>
      </c>
      <c r="D301" s="805">
        <f>1456028</f>
        <v>1456028</v>
      </c>
      <c r="E301" s="805">
        <f>6600+4400+7077+4400+7737+4400+M34+M35+M36+M37</f>
        <v>83972</v>
      </c>
      <c r="F301" s="109">
        <f t="shared" si="69"/>
        <v>0</v>
      </c>
      <c r="G301" s="223"/>
      <c r="H301" s="224"/>
      <c r="I301" s="225"/>
      <c r="J301" s="225"/>
      <c r="K301" s="22"/>
      <c r="L301" s="9"/>
      <c r="M301" s="9"/>
      <c r="N301" s="9"/>
      <c r="O301" s="226"/>
      <c r="P301" s="9"/>
      <c r="Q301" s="9"/>
      <c r="R301" s="9"/>
      <c r="S301" s="9"/>
      <c r="T301" s="223"/>
      <c r="U301" s="9"/>
      <c r="V301" s="913"/>
      <c r="W301" s="914"/>
      <c r="X301" s="9"/>
      <c r="Y301" s="9"/>
      <c r="Z301" s="204"/>
      <c r="AA301" s="9"/>
      <c r="AB301" s="9"/>
      <c r="AC301" s="9"/>
      <c r="AD301" s="9"/>
    </row>
    <row r="302" ht="25.5" customHeight="1">
      <c r="A302" s="9"/>
      <c r="B302" s="804">
        <v>45147.0</v>
      </c>
      <c r="C302" s="109">
        <f>220000+220000+440000</f>
        <v>880000</v>
      </c>
      <c r="D302" s="805">
        <f>835343</f>
        <v>835343</v>
      </c>
      <c r="E302" s="805">
        <f>M45+M48+M46</f>
        <v>44657</v>
      </c>
      <c r="F302" s="109">
        <f t="shared" si="69"/>
        <v>0</v>
      </c>
      <c r="G302" s="223"/>
      <c r="H302" s="224"/>
      <c r="I302" s="225"/>
      <c r="J302" s="225"/>
      <c r="K302" s="22"/>
      <c r="L302" s="9"/>
      <c r="M302" s="9"/>
      <c r="N302" s="9"/>
      <c r="O302" s="226"/>
      <c r="P302" s="9"/>
      <c r="Q302" s="9"/>
      <c r="R302" s="9"/>
      <c r="S302" s="9"/>
      <c r="T302" s="223"/>
      <c r="U302" s="9"/>
      <c r="V302" s="913"/>
      <c r="W302" s="914"/>
      <c r="X302" s="9"/>
      <c r="Y302" s="9"/>
      <c r="Z302" s="204"/>
      <c r="AA302" s="9"/>
      <c r="AB302" s="9"/>
      <c r="AC302" s="9"/>
      <c r="AD302" s="9"/>
    </row>
    <row r="303" ht="25.5" customHeight="1">
      <c r="A303" s="9"/>
      <c r="B303" s="804">
        <v>45153.0</v>
      </c>
      <c r="C303" s="805">
        <f>660000+440000+220000+220000+220000</f>
        <v>1760000</v>
      </c>
      <c r="D303" s="805">
        <f>1674706</f>
        <v>1674706</v>
      </c>
      <c r="E303" s="805">
        <f>M56+M61+M62+M63+M69</f>
        <v>85294</v>
      </c>
      <c r="F303" s="109">
        <f t="shared" si="69"/>
        <v>0</v>
      </c>
      <c r="G303" s="223"/>
      <c r="H303" s="224"/>
      <c r="I303" s="225"/>
      <c r="J303" s="225"/>
      <c r="K303" s="22"/>
      <c r="L303" s="9"/>
      <c r="M303" s="9"/>
      <c r="N303" s="9"/>
      <c r="O303" s="226"/>
      <c r="P303" s="9"/>
      <c r="Q303" s="9"/>
      <c r="R303" s="9"/>
      <c r="S303" s="9"/>
      <c r="T303" s="223"/>
      <c r="U303" s="9"/>
      <c r="V303" s="913"/>
      <c r="W303" s="914"/>
      <c r="X303" s="9"/>
      <c r="Y303" s="9"/>
      <c r="Z303" s="204"/>
      <c r="AA303" s="9"/>
      <c r="AB303" s="9"/>
      <c r="AC303" s="9"/>
      <c r="AD303" s="9"/>
    </row>
    <row r="304" ht="25.5" customHeight="1">
      <c r="A304" s="9"/>
      <c r="B304" s="804">
        <v>45154.0</v>
      </c>
      <c r="C304" s="805">
        <f>440000+1100000+660000+440000</f>
        <v>2640000</v>
      </c>
      <c r="D304" s="805">
        <f>2353949</f>
        <v>2353949</v>
      </c>
      <c r="E304" s="805">
        <f>M70+M71+M75+M76</f>
        <v>286051</v>
      </c>
      <c r="F304" s="109">
        <f t="shared" si="69"/>
        <v>0</v>
      </c>
      <c r="G304" s="9"/>
      <c r="H304" s="9"/>
      <c r="I304" s="9"/>
      <c r="J304" s="9"/>
      <c r="K304" s="9"/>
      <c r="L304" s="9"/>
      <c r="M304" s="9"/>
      <c r="N304" s="9"/>
      <c r="O304" s="9"/>
      <c r="P304" s="9"/>
      <c r="Q304" s="9"/>
      <c r="R304" s="9"/>
      <c r="S304" s="9"/>
      <c r="T304" s="223"/>
      <c r="U304" s="9"/>
      <c r="V304" s="9"/>
      <c r="W304" s="971"/>
      <c r="X304" s="9"/>
      <c r="Y304" s="9"/>
      <c r="Z304" s="204"/>
      <c r="AA304" s="9"/>
      <c r="AB304" s="9"/>
      <c r="AC304" s="9"/>
      <c r="AD304" s="9"/>
    </row>
    <row r="305" ht="25.5" customHeight="1">
      <c r="A305" s="9"/>
      <c r="B305" s="808">
        <v>45156.0</v>
      </c>
      <c r="C305" s="805">
        <f t="shared" ref="C305:C306" si="70">220000</f>
        <v>220000</v>
      </c>
      <c r="D305" s="805">
        <f>208343</f>
        <v>208343</v>
      </c>
      <c r="E305" s="805">
        <f>M91</f>
        <v>11657</v>
      </c>
      <c r="F305" s="109">
        <f t="shared" si="69"/>
        <v>0</v>
      </c>
      <c r="G305" s="9"/>
      <c r="H305" s="9"/>
      <c r="I305" s="9"/>
      <c r="J305" s="9"/>
      <c r="K305" s="9"/>
      <c r="L305" s="9"/>
      <c r="M305" s="9"/>
      <c r="N305" s="9"/>
      <c r="O305" s="9"/>
      <c r="P305" s="9"/>
      <c r="Q305" s="9"/>
      <c r="R305" s="9"/>
      <c r="S305" s="9"/>
      <c r="T305" s="223"/>
      <c r="U305" s="9"/>
      <c r="V305" s="9"/>
      <c r="W305" s="971"/>
      <c r="X305" s="9"/>
      <c r="Y305" s="9"/>
      <c r="Z305" s="204"/>
      <c r="AA305" s="9"/>
      <c r="AB305" s="9"/>
      <c r="AC305" s="9"/>
      <c r="AD305" s="9"/>
    </row>
    <row r="306" ht="25.5" customHeight="1">
      <c r="A306" s="9"/>
      <c r="B306" s="808">
        <v>45157.0</v>
      </c>
      <c r="C306" s="805">
        <f t="shared" si="70"/>
        <v>220000</v>
      </c>
      <c r="D306" s="805">
        <f>207893</f>
        <v>207893</v>
      </c>
      <c r="E306" s="805">
        <f>M93</f>
        <v>12107</v>
      </c>
      <c r="F306" s="109">
        <f t="shared" si="69"/>
        <v>0</v>
      </c>
      <c r="G306" s="9"/>
      <c r="H306" s="9"/>
      <c r="I306" s="9"/>
      <c r="J306" s="9"/>
      <c r="K306" s="9"/>
      <c r="L306" s="9"/>
      <c r="M306" s="9"/>
      <c r="N306" s="9"/>
      <c r="O306" s="9"/>
      <c r="P306" s="9"/>
      <c r="Q306" s="9"/>
      <c r="R306" s="9"/>
      <c r="S306" s="9"/>
      <c r="T306" s="223"/>
      <c r="U306" s="9"/>
      <c r="V306" s="9"/>
      <c r="W306" s="971"/>
      <c r="X306" s="9"/>
      <c r="Y306" s="9"/>
      <c r="Z306" s="204"/>
      <c r="AA306" s="9"/>
      <c r="AB306" s="9"/>
      <c r="AC306" s="9"/>
      <c r="AD306" s="9"/>
    </row>
    <row r="307" ht="25.5" customHeight="1">
      <c r="A307" s="9"/>
      <c r="B307" s="808">
        <v>45159.0</v>
      </c>
      <c r="C307" s="805">
        <f>880000+220000+220000+220000+440000+220000+220000</f>
        <v>2420000</v>
      </c>
      <c r="D307" s="805">
        <f>2293429</f>
        <v>2293429</v>
      </c>
      <c r="E307" s="805">
        <f>M105+M104+M112+M114+M107+M113+M106</f>
        <v>126571</v>
      </c>
      <c r="F307" s="109">
        <f t="shared" si="69"/>
        <v>0</v>
      </c>
      <c r="G307" s="9"/>
      <c r="H307" s="9"/>
      <c r="I307" s="9"/>
      <c r="J307" s="9"/>
      <c r="K307" s="9"/>
      <c r="L307" s="9"/>
      <c r="M307" s="9"/>
      <c r="N307" s="9"/>
      <c r="O307" s="9"/>
      <c r="P307" s="9"/>
      <c r="Q307" s="9"/>
      <c r="R307" s="9"/>
      <c r="S307" s="9"/>
      <c r="T307" s="223"/>
      <c r="U307" s="9"/>
      <c r="V307" s="9"/>
      <c r="W307" s="971"/>
      <c r="X307" s="9"/>
      <c r="Y307" s="9"/>
      <c r="Z307" s="204"/>
      <c r="AA307" s="9"/>
      <c r="AB307" s="9"/>
      <c r="AC307" s="9"/>
      <c r="AD307" s="9"/>
    </row>
    <row r="308" ht="25.5" customHeight="1">
      <c r="A308" s="9"/>
      <c r="B308" s="808">
        <v>45160.0</v>
      </c>
      <c r="C308" s="805">
        <f>220000+220000+220000+440000+880000+440000</f>
        <v>2420000</v>
      </c>
      <c r="D308" s="805">
        <f>O103+O111+O115+O116+O117+O118</f>
        <v>2293268</v>
      </c>
      <c r="E308" s="805">
        <f>M103+M111+M115+M116+M117+M118</f>
        <v>126732</v>
      </c>
      <c r="F308" s="109">
        <f t="shared" si="69"/>
        <v>0</v>
      </c>
      <c r="G308" s="9"/>
      <c r="H308" s="9"/>
      <c r="I308" s="9"/>
      <c r="J308" s="9"/>
      <c r="K308" s="9"/>
      <c r="L308" s="9"/>
      <c r="M308" s="9"/>
      <c r="N308" s="9"/>
      <c r="O308" s="9"/>
      <c r="P308" s="9"/>
      <c r="Q308" s="9"/>
      <c r="R308" s="9"/>
      <c r="S308" s="9"/>
      <c r="T308" s="223"/>
      <c r="U308" s="9"/>
      <c r="V308" s="9"/>
      <c r="W308" s="971"/>
      <c r="X308" s="9"/>
      <c r="Y308" s="9"/>
      <c r="Z308" s="204"/>
      <c r="AA308" s="9"/>
      <c r="AB308" s="9"/>
      <c r="AC308" s="9"/>
      <c r="AD308" s="9"/>
    </row>
    <row r="309" ht="25.5" customHeight="1">
      <c r="A309" s="9"/>
      <c r="B309" s="808">
        <v>45162.0</v>
      </c>
      <c r="C309" s="805">
        <f>440000+660000+220000+220000+220000+220000+220000</f>
        <v>2200000</v>
      </c>
      <c r="D309" s="805">
        <f>2086133</f>
        <v>2086133</v>
      </c>
      <c r="E309" s="805">
        <f>M125+M127+M128+M131+M133+M134+M136</f>
        <v>113867</v>
      </c>
      <c r="F309" s="109">
        <f t="shared" si="69"/>
        <v>0</v>
      </c>
      <c r="G309" s="9"/>
      <c r="H309" s="9"/>
      <c r="I309" s="9"/>
      <c r="J309" s="9"/>
      <c r="K309" s="9"/>
      <c r="L309" s="9"/>
      <c r="M309" s="9"/>
      <c r="N309" s="9"/>
      <c r="O309" s="9"/>
      <c r="P309" s="9"/>
      <c r="Q309" s="9"/>
      <c r="R309" s="9"/>
      <c r="S309" s="9"/>
      <c r="T309" s="223"/>
      <c r="U309" s="9"/>
      <c r="V309" s="9"/>
      <c r="W309" s="971"/>
      <c r="X309" s="9"/>
      <c r="Y309" s="9"/>
      <c r="Z309" s="204"/>
      <c r="AA309" s="9"/>
      <c r="AB309" s="9"/>
      <c r="AC309" s="9"/>
      <c r="AD309" s="9"/>
    </row>
    <row r="310" ht="25.5" customHeight="1">
      <c r="A310" s="9"/>
      <c r="B310" s="808">
        <v>45163.0</v>
      </c>
      <c r="C310" s="805">
        <f>220000+440000+220000+220000+220000+220000+440000+220000+220000+220000+220000+220000+220000</f>
        <v>3300000</v>
      </c>
      <c r="D310" s="805">
        <f>3084001</f>
        <v>3084001</v>
      </c>
      <c r="E310" s="805">
        <f>M126+M129+M130+M132+M135+M150+M137+M139+M148+M149+M154+M155+M156</f>
        <v>215999</v>
      </c>
      <c r="F310" s="109">
        <f t="shared" si="69"/>
        <v>0</v>
      </c>
      <c r="G310" s="9"/>
      <c r="H310" s="9"/>
      <c r="I310" s="9"/>
      <c r="J310" s="9"/>
      <c r="K310" s="9"/>
      <c r="L310" s="9"/>
      <c r="M310" s="9"/>
      <c r="N310" s="9"/>
      <c r="O310" s="9"/>
      <c r="P310" s="9"/>
      <c r="Q310" s="9"/>
      <c r="R310" s="9"/>
      <c r="S310" s="9"/>
      <c r="T310" s="223"/>
      <c r="U310" s="9"/>
      <c r="V310" s="9"/>
      <c r="W310" s="971"/>
      <c r="X310" s="9"/>
      <c r="Y310" s="9"/>
      <c r="Z310" s="204"/>
      <c r="AA310" s="9"/>
      <c r="AB310" s="9"/>
      <c r="AC310" s="9"/>
      <c r="AD310" s="9"/>
    </row>
    <row r="311" ht="25.5" customHeight="1">
      <c r="A311" s="9"/>
      <c r="B311" s="808">
        <v>45161.0</v>
      </c>
      <c r="C311" s="805">
        <f>220000</f>
        <v>220000</v>
      </c>
      <c r="D311" s="805">
        <f>210800</f>
        <v>210800</v>
      </c>
      <c r="E311" s="972"/>
      <c r="F311" s="805">
        <f>M77</f>
        <v>9200</v>
      </c>
      <c r="G311" s="9"/>
      <c r="H311" s="9"/>
      <c r="I311" s="9"/>
      <c r="J311" s="9"/>
      <c r="K311" s="9"/>
      <c r="L311" s="9"/>
      <c r="M311" s="9"/>
      <c r="N311" s="9"/>
      <c r="O311" s="9"/>
      <c r="P311" s="9"/>
      <c r="Q311" s="9"/>
      <c r="R311" s="9"/>
      <c r="S311" s="9"/>
      <c r="T311" s="223"/>
      <c r="U311" s="9"/>
      <c r="V311" s="9"/>
      <c r="W311" s="971"/>
      <c r="X311" s="9"/>
      <c r="Y311" s="9"/>
      <c r="Z311" s="204"/>
      <c r="AA311" s="9"/>
      <c r="AB311" s="9"/>
      <c r="AC311" s="9"/>
      <c r="AD311" s="9"/>
    </row>
    <row r="312" ht="25.5" customHeight="1">
      <c r="A312" s="9"/>
      <c r="B312" s="687"/>
      <c r="C312" s="805"/>
      <c r="D312" s="972"/>
      <c r="E312" s="972"/>
      <c r="F312" s="972">
        <f>sum(F296:F311)</f>
        <v>-258982</v>
      </c>
      <c r="G312" s="9"/>
      <c r="H312" s="9"/>
      <c r="I312" s="9"/>
      <c r="J312" s="9"/>
      <c r="K312" s="9"/>
      <c r="L312" s="9"/>
      <c r="M312" s="9"/>
      <c r="N312" s="9"/>
      <c r="O312" s="9"/>
      <c r="P312" s="9"/>
      <c r="Q312" s="9"/>
      <c r="R312" s="9"/>
      <c r="S312" s="9"/>
      <c r="T312" s="223"/>
      <c r="U312" s="9"/>
      <c r="V312" s="9"/>
      <c r="W312" s="971"/>
      <c r="X312" s="9"/>
      <c r="Y312" s="9"/>
      <c r="Z312" s="204"/>
      <c r="AA312" s="9"/>
      <c r="AB312" s="9"/>
      <c r="AC312" s="9"/>
      <c r="AD312" s="9"/>
    </row>
    <row r="313" ht="15.75" customHeight="1">
      <c r="A313" s="9"/>
      <c r="B313" s="223"/>
      <c r="C313" s="9"/>
      <c r="D313" s="9"/>
      <c r="E313" s="223"/>
      <c r="F313" s="9"/>
      <c r="G313" s="9"/>
      <c r="H313" s="9"/>
      <c r="I313" s="9"/>
      <c r="J313" s="9"/>
      <c r="K313" s="9"/>
      <c r="L313" s="9"/>
      <c r="M313" s="9"/>
      <c r="N313" s="9"/>
      <c r="O313" s="9"/>
      <c r="P313" s="9"/>
      <c r="Q313" s="9"/>
      <c r="R313" s="9"/>
      <c r="S313" s="9"/>
      <c r="T313" s="223"/>
      <c r="U313" s="9"/>
      <c r="V313" s="9"/>
      <c r="W313" s="971"/>
      <c r="X313" s="9"/>
      <c r="Y313" s="9"/>
      <c r="Z313" s="204"/>
      <c r="AA313" s="9"/>
      <c r="AB313" s="9"/>
      <c r="AC313" s="9"/>
      <c r="AD313" s="9"/>
    </row>
    <row r="314" ht="15.75" customHeight="1">
      <c r="A314" s="9"/>
      <c r="B314" s="223"/>
      <c r="C314" s="9"/>
      <c r="D314" s="9"/>
      <c r="E314" s="223"/>
      <c r="F314" s="9"/>
      <c r="G314" s="9"/>
      <c r="H314" s="9"/>
      <c r="I314" s="9"/>
      <c r="J314" s="9"/>
      <c r="K314" s="9"/>
      <c r="L314" s="9"/>
      <c r="M314" s="9"/>
      <c r="N314" s="9"/>
      <c r="O314" s="9"/>
      <c r="P314" s="9"/>
      <c r="Q314" s="9"/>
      <c r="R314" s="9"/>
      <c r="S314" s="9"/>
      <c r="T314" s="223"/>
      <c r="U314" s="9"/>
      <c r="V314" s="9"/>
      <c r="W314" s="971"/>
      <c r="X314" s="9"/>
      <c r="Y314" s="9"/>
      <c r="Z314" s="204"/>
      <c r="AA314" s="9"/>
      <c r="AB314" s="9"/>
      <c r="AC314" s="9"/>
      <c r="AD314" s="9"/>
    </row>
    <row r="315" ht="15.75" customHeight="1">
      <c r="A315" s="9"/>
      <c r="B315" s="223"/>
      <c r="C315" s="9"/>
      <c r="D315" s="9"/>
      <c r="E315" s="223"/>
      <c r="F315" s="9"/>
      <c r="G315" s="9"/>
      <c r="H315" s="9"/>
      <c r="I315" s="9"/>
      <c r="J315" s="9"/>
      <c r="K315" s="9"/>
      <c r="L315" s="9"/>
      <c r="M315" s="9"/>
      <c r="N315" s="9"/>
      <c r="O315" s="9"/>
      <c r="P315" s="9"/>
      <c r="Q315" s="9"/>
      <c r="R315" s="9"/>
      <c r="S315" s="9"/>
      <c r="T315" s="223"/>
      <c r="U315" s="9"/>
      <c r="V315" s="9"/>
      <c r="W315" s="971"/>
      <c r="X315" s="9"/>
      <c r="Y315" s="9"/>
      <c r="Z315" s="204"/>
      <c r="AA315" s="9"/>
      <c r="AB315" s="9"/>
      <c r="AC315" s="9"/>
      <c r="AD315" s="9"/>
    </row>
    <row r="316" ht="15.75" customHeight="1">
      <c r="A316" s="9"/>
      <c r="B316" s="223"/>
      <c r="C316" s="9"/>
      <c r="D316" s="9"/>
      <c r="E316" s="223"/>
      <c r="F316" s="9"/>
      <c r="G316" s="9"/>
      <c r="H316" s="9"/>
      <c r="I316" s="9"/>
      <c r="J316" s="9"/>
      <c r="K316" s="9"/>
      <c r="L316" s="9"/>
      <c r="M316" s="9"/>
      <c r="N316" s="9"/>
      <c r="O316" s="9"/>
      <c r="P316" s="9"/>
      <c r="Q316" s="9"/>
      <c r="R316" s="9"/>
      <c r="S316" s="9"/>
      <c r="T316" s="223"/>
      <c r="U316" s="9"/>
      <c r="V316" s="9"/>
      <c r="W316" s="971"/>
      <c r="X316" s="9"/>
      <c r="Y316" s="9"/>
      <c r="Z316" s="204"/>
      <c r="AA316" s="9"/>
      <c r="AB316" s="9"/>
      <c r="AC316" s="9"/>
      <c r="AD316" s="9"/>
    </row>
    <row r="317" ht="15.75" customHeight="1">
      <c r="A317" s="9"/>
      <c r="B317" s="223"/>
      <c r="C317" s="9"/>
      <c r="D317" s="9"/>
      <c r="E317" s="223"/>
      <c r="F317" s="9"/>
      <c r="G317" s="9"/>
      <c r="H317" s="9"/>
      <c r="I317" s="9"/>
      <c r="J317" s="9"/>
      <c r="K317" s="9"/>
      <c r="L317" s="9"/>
      <c r="M317" s="9"/>
      <c r="N317" s="9"/>
      <c r="O317" s="9"/>
      <c r="P317" s="9"/>
      <c r="Q317" s="9"/>
      <c r="R317" s="9"/>
      <c r="S317" s="9"/>
      <c r="T317" s="223"/>
      <c r="U317" s="9"/>
      <c r="V317" s="9"/>
      <c r="W317" s="971"/>
      <c r="X317" s="9"/>
      <c r="Y317" s="9"/>
      <c r="Z317" s="204"/>
      <c r="AA317" s="9"/>
      <c r="AB317" s="9"/>
      <c r="AC317" s="9"/>
      <c r="AD317" s="9"/>
    </row>
    <row r="318" ht="15.75" customHeight="1">
      <c r="A318" s="9"/>
      <c r="B318" s="223"/>
      <c r="C318" s="9"/>
      <c r="D318" s="9"/>
      <c r="E318" s="223"/>
      <c r="F318" s="9"/>
      <c r="G318" s="9"/>
      <c r="H318" s="9"/>
      <c r="I318" s="9"/>
      <c r="J318" s="9"/>
      <c r="K318" s="9"/>
      <c r="L318" s="9"/>
      <c r="M318" s="9"/>
      <c r="N318" s="9"/>
      <c r="O318" s="9"/>
      <c r="P318" s="9"/>
      <c r="Q318" s="9"/>
      <c r="R318" s="9"/>
      <c r="S318" s="9"/>
      <c r="T318" s="223"/>
      <c r="U318" s="9"/>
      <c r="V318" s="9"/>
      <c r="W318" s="971"/>
      <c r="X318" s="9"/>
      <c r="Y318" s="9"/>
      <c r="Z318" s="204"/>
      <c r="AA318" s="9"/>
      <c r="AB318" s="9"/>
      <c r="AC318" s="9"/>
      <c r="AD318" s="9"/>
    </row>
    <row r="319" ht="15.75" customHeight="1">
      <c r="A319" s="9"/>
      <c r="B319" s="223"/>
      <c r="C319" s="9"/>
      <c r="D319" s="9"/>
      <c r="E319" s="223"/>
      <c r="F319" s="9"/>
      <c r="G319" s="9"/>
      <c r="H319" s="9"/>
      <c r="I319" s="9"/>
      <c r="J319" s="9"/>
      <c r="K319" s="9"/>
      <c r="L319" s="9"/>
      <c r="M319" s="9"/>
      <c r="N319" s="9"/>
      <c r="O319" s="9"/>
      <c r="P319" s="9"/>
      <c r="Q319" s="9"/>
      <c r="R319" s="9"/>
      <c r="S319" s="9"/>
      <c r="T319" s="223"/>
      <c r="U319" s="9"/>
      <c r="V319" s="9"/>
      <c r="W319" s="971"/>
      <c r="X319" s="9"/>
      <c r="Y319" s="9"/>
      <c r="Z319" s="204"/>
      <c r="AA319" s="9"/>
      <c r="AB319" s="9"/>
      <c r="AC319" s="9"/>
      <c r="AD319" s="9"/>
    </row>
    <row r="320" ht="15.75" customHeight="1">
      <c r="A320" s="9"/>
      <c r="B320" s="223"/>
      <c r="C320" s="9"/>
      <c r="D320" s="9"/>
      <c r="E320" s="223"/>
      <c r="F320" s="9"/>
      <c r="G320" s="9"/>
      <c r="H320" s="9"/>
      <c r="I320" s="9"/>
      <c r="J320" s="9"/>
      <c r="K320" s="9"/>
      <c r="L320" s="9"/>
      <c r="M320" s="9"/>
      <c r="N320" s="9"/>
      <c r="O320" s="9"/>
      <c r="P320" s="9"/>
      <c r="Q320" s="9"/>
      <c r="R320" s="9"/>
      <c r="S320" s="9"/>
      <c r="T320" s="223"/>
      <c r="U320" s="9"/>
      <c r="V320" s="9"/>
      <c r="W320" s="971"/>
      <c r="X320" s="9"/>
      <c r="Y320" s="9"/>
      <c r="Z320" s="204"/>
      <c r="AA320" s="9"/>
      <c r="AB320" s="9"/>
      <c r="AC320" s="9"/>
      <c r="AD320" s="9"/>
    </row>
    <row r="321" ht="15.75" customHeight="1">
      <c r="A321" s="9"/>
      <c r="B321" s="223"/>
      <c r="C321" s="9"/>
      <c r="D321" s="9"/>
      <c r="E321" s="223"/>
      <c r="F321" s="9"/>
      <c r="G321" s="9"/>
      <c r="H321" s="9"/>
      <c r="I321" s="9"/>
      <c r="J321" s="9"/>
      <c r="K321" s="9"/>
      <c r="L321" s="9"/>
      <c r="M321" s="9"/>
      <c r="N321" s="9"/>
      <c r="O321" s="9"/>
      <c r="P321" s="9"/>
      <c r="Q321" s="9"/>
      <c r="R321" s="9"/>
      <c r="S321" s="9"/>
      <c r="T321" s="223"/>
      <c r="U321" s="9"/>
      <c r="V321" s="9"/>
      <c r="W321" s="971"/>
      <c r="X321" s="9"/>
      <c r="Y321" s="9"/>
      <c r="Z321" s="204"/>
      <c r="AA321" s="9"/>
      <c r="AB321" s="9"/>
      <c r="AC321" s="9"/>
      <c r="AD321" s="9"/>
    </row>
    <row r="322" ht="15.75" customHeight="1">
      <c r="A322" s="9"/>
      <c r="B322" s="223"/>
      <c r="C322" s="9"/>
      <c r="D322" s="9"/>
      <c r="E322" s="223"/>
      <c r="F322" s="9"/>
      <c r="G322" s="9"/>
      <c r="H322" s="9"/>
      <c r="I322" s="9"/>
      <c r="J322" s="9"/>
      <c r="K322" s="9"/>
      <c r="L322" s="9"/>
      <c r="M322" s="9"/>
      <c r="N322" s="9"/>
      <c r="O322" s="9"/>
      <c r="P322" s="9"/>
      <c r="Q322" s="9"/>
      <c r="R322" s="9"/>
      <c r="S322" s="9"/>
      <c r="T322" s="223"/>
      <c r="U322" s="9"/>
      <c r="V322" s="9"/>
      <c r="W322" s="971"/>
      <c r="X322" s="9"/>
      <c r="Y322" s="9"/>
      <c r="Z322" s="204"/>
      <c r="AA322" s="9"/>
      <c r="AB322" s="9"/>
      <c r="AC322" s="9"/>
      <c r="AD322" s="9"/>
    </row>
    <row r="323" ht="15.75" customHeight="1">
      <c r="A323" s="9"/>
      <c r="B323" s="223"/>
      <c r="C323" s="9"/>
      <c r="D323" s="9"/>
      <c r="E323" s="223"/>
      <c r="F323" s="9"/>
      <c r="G323" s="9"/>
      <c r="H323" s="9"/>
      <c r="I323" s="9"/>
      <c r="J323" s="9"/>
      <c r="K323" s="9"/>
      <c r="L323" s="9"/>
      <c r="M323" s="9"/>
      <c r="N323" s="9"/>
      <c r="O323" s="9"/>
      <c r="P323" s="9"/>
      <c r="Q323" s="9"/>
      <c r="R323" s="9"/>
      <c r="S323" s="9"/>
      <c r="T323" s="223"/>
      <c r="U323" s="9"/>
      <c r="V323" s="9"/>
      <c r="W323" s="971"/>
      <c r="X323" s="9"/>
      <c r="Y323" s="9"/>
      <c r="Z323" s="204"/>
      <c r="AA323" s="9"/>
      <c r="AB323" s="9"/>
      <c r="AC323" s="9"/>
      <c r="AD323" s="9"/>
    </row>
    <row r="324" ht="15.75" customHeight="1">
      <c r="A324" s="9"/>
      <c r="B324" s="223"/>
      <c r="C324" s="9"/>
      <c r="D324" s="9"/>
      <c r="E324" s="223"/>
      <c r="F324" s="9"/>
      <c r="G324" s="9"/>
      <c r="H324" s="9"/>
      <c r="I324" s="9"/>
      <c r="J324" s="9"/>
      <c r="K324" s="9"/>
      <c r="L324" s="9"/>
      <c r="M324" s="9"/>
      <c r="N324" s="9"/>
      <c r="O324" s="9"/>
      <c r="P324" s="9"/>
      <c r="Q324" s="9"/>
      <c r="R324" s="9"/>
      <c r="S324" s="9"/>
      <c r="T324" s="223"/>
      <c r="U324" s="9"/>
      <c r="V324" s="9"/>
      <c r="W324" s="971"/>
      <c r="X324" s="9"/>
      <c r="Y324" s="9"/>
      <c r="Z324" s="204"/>
      <c r="AA324" s="9"/>
      <c r="AB324" s="9"/>
      <c r="AC324" s="9"/>
      <c r="AD324" s="9"/>
    </row>
    <row r="325" ht="15.75" customHeight="1">
      <c r="A325" s="9"/>
      <c r="B325" s="223"/>
      <c r="C325" s="9"/>
      <c r="D325" s="9"/>
      <c r="E325" s="223"/>
      <c r="F325" s="9"/>
      <c r="G325" s="9"/>
      <c r="H325" s="9"/>
      <c r="I325" s="9"/>
      <c r="J325" s="9"/>
      <c r="K325" s="9"/>
      <c r="L325" s="9"/>
      <c r="M325" s="9"/>
      <c r="N325" s="9"/>
      <c r="O325" s="9"/>
      <c r="P325" s="9"/>
      <c r="Q325" s="9"/>
      <c r="R325" s="9"/>
      <c r="S325" s="9"/>
      <c r="T325" s="223"/>
      <c r="U325" s="9"/>
      <c r="V325" s="9"/>
      <c r="W325" s="971"/>
      <c r="X325" s="9"/>
      <c r="Y325" s="9"/>
      <c r="Z325" s="204"/>
      <c r="AA325" s="9"/>
      <c r="AB325" s="9"/>
      <c r="AC325" s="9"/>
      <c r="AD325" s="9"/>
    </row>
    <row r="326" ht="15.75" customHeight="1">
      <c r="A326" s="9"/>
      <c r="B326" s="223"/>
      <c r="C326" s="9"/>
      <c r="D326" s="9"/>
      <c r="E326" s="223"/>
      <c r="F326" s="9"/>
      <c r="G326" s="9"/>
      <c r="H326" s="9"/>
      <c r="I326" s="9"/>
      <c r="J326" s="9"/>
      <c r="K326" s="9"/>
      <c r="L326" s="9"/>
      <c r="M326" s="9"/>
      <c r="N326" s="9"/>
      <c r="O326" s="9"/>
      <c r="P326" s="9"/>
      <c r="Q326" s="9"/>
      <c r="R326" s="9"/>
      <c r="S326" s="9"/>
      <c r="T326" s="223"/>
      <c r="U326" s="9"/>
      <c r="V326" s="9"/>
      <c r="W326" s="971"/>
      <c r="X326" s="9"/>
      <c r="Y326" s="9"/>
      <c r="Z326" s="204"/>
      <c r="AA326" s="9"/>
      <c r="AB326" s="9"/>
      <c r="AC326" s="9"/>
      <c r="AD326" s="9"/>
    </row>
    <row r="327" ht="15.75" customHeight="1">
      <c r="A327" s="9"/>
      <c r="B327" s="223"/>
      <c r="C327" s="9"/>
      <c r="D327" s="9"/>
      <c r="E327" s="223"/>
      <c r="F327" s="9"/>
      <c r="G327" s="9"/>
      <c r="H327" s="9"/>
      <c r="I327" s="9"/>
      <c r="J327" s="9"/>
      <c r="K327" s="9"/>
      <c r="L327" s="9"/>
      <c r="M327" s="9"/>
      <c r="N327" s="9"/>
      <c r="O327" s="9"/>
      <c r="P327" s="9"/>
      <c r="Q327" s="9"/>
      <c r="R327" s="9"/>
      <c r="S327" s="9"/>
      <c r="T327" s="223"/>
      <c r="U327" s="9"/>
      <c r="V327" s="9"/>
      <c r="W327" s="971"/>
      <c r="X327" s="9"/>
      <c r="Y327" s="9"/>
      <c r="Z327" s="204"/>
      <c r="AA327" s="9"/>
      <c r="AB327" s="9"/>
      <c r="AC327" s="9"/>
      <c r="AD327" s="9"/>
    </row>
    <row r="328" ht="15.75" customHeight="1">
      <c r="A328" s="9"/>
      <c r="B328" s="223"/>
      <c r="C328" s="9"/>
      <c r="D328" s="9"/>
      <c r="E328" s="223"/>
      <c r="F328" s="9"/>
      <c r="G328" s="9"/>
      <c r="H328" s="9"/>
      <c r="I328" s="9"/>
      <c r="J328" s="9"/>
      <c r="K328" s="9"/>
      <c r="L328" s="9"/>
      <c r="M328" s="9"/>
      <c r="N328" s="9"/>
      <c r="O328" s="9"/>
      <c r="P328" s="9"/>
      <c r="Q328" s="9"/>
      <c r="R328" s="9"/>
      <c r="S328" s="9"/>
      <c r="T328" s="223"/>
      <c r="U328" s="9"/>
      <c r="V328" s="9"/>
      <c r="W328" s="971"/>
      <c r="X328" s="9"/>
      <c r="Y328" s="9"/>
      <c r="Z328" s="204"/>
      <c r="AA328" s="9"/>
      <c r="AB328" s="9"/>
      <c r="AC328" s="9"/>
      <c r="AD328" s="9"/>
    </row>
    <row r="329" ht="15.75" customHeight="1">
      <c r="A329" s="9"/>
      <c r="B329" s="223"/>
      <c r="C329" s="9"/>
      <c r="D329" s="9"/>
      <c r="E329" s="223"/>
      <c r="F329" s="9"/>
      <c r="G329" s="9"/>
      <c r="H329" s="9"/>
      <c r="I329" s="9"/>
      <c r="J329" s="9"/>
      <c r="K329" s="9"/>
      <c r="L329" s="9"/>
      <c r="M329" s="9"/>
      <c r="N329" s="9"/>
      <c r="O329" s="9"/>
      <c r="P329" s="9"/>
      <c r="Q329" s="9"/>
      <c r="R329" s="9"/>
      <c r="S329" s="9"/>
      <c r="T329" s="223"/>
      <c r="U329" s="9"/>
      <c r="V329" s="9"/>
      <c r="W329" s="971"/>
      <c r="X329" s="9"/>
      <c r="Y329" s="9"/>
      <c r="Z329" s="204"/>
      <c r="AA329" s="9"/>
      <c r="AB329" s="9"/>
      <c r="AC329" s="9"/>
      <c r="AD329" s="9"/>
    </row>
    <row r="330" ht="15.75" customHeight="1">
      <c r="A330" s="9"/>
      <c r="B330" s="223"/>
      <c r="C330" s="9"/>
      <c r="D330" s="9"/>
      <c r="E330" s="223"/>
      <c r="F330" s="9"/>
      <c r="G330" s="9"/>
      <c r="H330" s="9"/>
      <c r="I330" s="9"/>
      <c r="J330" s="9"/>
      <c r="K330" s="9"/>
      <c r="L330" s="9"/>
      <c r="M330" s="9"/>
      <c r="N330" s="9"/>
      <c r="O330" s="9"/>
      <c r="P330" s="9"/>
      <c r="Q330" s="9"/>
      <c r="R330" s="9"/>
      <c r="S330" s="9"/>
      <c r="T330" s="223"/>
      <c r="U330" s="9"/>
      <c r="V330" s="9"/>
      <c r="W330" s="971"/>
      <c r="X330" s="9"/>
      <c r="Y330" s="9"/>
      <c r="Z330" s="204"/>
      <c r="AA330" s="9"/>
      <c r="AB330" s="9"/>
      <c r="AC330" s="9"/>
      <c r="AD330" s="9"/>
    </row>
    <row r="331" ht="15.75" customHeight="1">
      <c r="A331" s="9"/>
      <c r="B331" s="223"/>
      <c r="C331" s="9"/>
      <c r="D331" s="9"/>
      <c r="E331" s="223"/>
      <c r="F331" s="9"/>
      <c r="G331" s="9"/>
      <c r="H331" s="9"/>
      <c r="I331" s="9"/>
      <c r="J331" s="9"/>
      <c r="K331" s="9"/>
      <c r="L331" s="9"/>
      <c r="M331" s="9"/>
      <c r="N331" s="9"/>
      <c r="O331" s="9"/>
      <c r="P331" s="9"/>
      <c r="Q331" s="9"/>
      <c r="R331" s="9"/>
      <c r="S331" s="9"/>
      <c r="T331" s="223"/>
      <c r="U331" s="9"/>
      <c r="V331" s="9"/>
      <c r="W331" s="971"/>
      <c r="X331" s="9"/>
      <c r="Y331" s="9"/>
      <c r="Z331" s="204"/>
      <c r="AA331" s="9"/>
      <c r="AB331" s="9"/>
      <c r="AC331" s="9"/>
      <c r="AD331" s="9"/>
    </row>
    <row r="332" ht="15.75" customHeight="1">
      <c r="A332" s="9"/>
      <c r="B332" s="223"/>
      <c r="C332" s="9"/>
      <c r="D332" s="9"/>
      <c r="E332" s="223"/>
      <c r="F332" s="9"/>
      <c r="G332" s="9"/>
      <c r="H332" s="9"/>
      <c r="I332" s="9"/>
      <c r="J332" s="9"/>
      <c r="K332" s="9"/>
      <c r="L332" s="9"/>
      <c r="M332" s="9"/>
      <c r="N332" s="9"/>
      <c r="O332" s="9"/>
      <c r="P332" s="9"/>
      <c r="Q332" s="9"/>
      <c r="R332" s="9"/>
      <c r="S332" s="9"/>
      <c r="T332" s="223"/>
      <c r="U332" s="9"/>
      <c r="V332" s="9"/>
      <c r="W332" s="971"/>
      <c r="X332" s="9"/>
      <c r="Y332" s="9"/>
      <c r="Z332" s="204"/>
      <c r="AA332" s="9"/>
      <c r="AB332" s="9"/>
      <c r="AC332" s="9"/>
      <c r="AD332" s="9"/>
    </row>
    <row r="333" ht="15.75" customHeight="1">
      <c r="A333" s="9"/>
      <c r="B333" s="223"/>
      <c r="C333" s="9"/>
      <c r="D333" s="9"/>
      <c r="E333" s="223"/>
      <c r="F333" s="9"/>
      <c r="G333" s="9"/>
      <c r="H333" s="9"/>
      <c r="I333" s="9"/>
      <c r="J333" s="9"/>
      <c r="K333" s="9"/>
      <c r="L333" s="9"/>
      <c r="M333" s="9"/>
      <c r="N333" s="9"/>
      <c r="O333" s="9"/>
      <c r="P333" s="9"/>
      <c r="Q333" s="9"/>
      <c r="R333" s="9"/>
      <c r="S333" s="9"/>
      <c r="T333" s="223"/>
      <c r="U333" s="9"/>
      <c r="V333" s="9"/>
      <c r="W333" s="971"/>
      <c r="X333" s="9"/>
      <c r="Y333" s="9"/>
      <c r="Z333" s="204"/>
      <c r="AA333" s="9"/>
      <c r="AB333" s="9"/>
      <c r="AC333" s="9"/>
      <c r="AD333" s="9"/>
    </row>
    <row r="334" ht="15.75" customHeight="1">
      <c r="A334" s="9"/>
      <c r="B334" s="223"/>
      <c r="C334" s="9"/>
      <c r="D334" s="9"/>
      <c r="E334" s="223"/>
      <c r="F334" s="9"/>
      <c r="G334" s="9"/>
      <c r="H334" s="9"/>
      <c r="I334" s="9"/>
      <c r="J334" s="9"/>
      <c r="K334" s="9"/>
      <c r="L334" s="9"/>
      <c r="M334" s="9"/>
      <c r="N334" s="9"/>
      <c r="O334" s="9"/>
      <c r="P334" s="9"/>
      <c r="Q334" s="9"/>
      <c r="R334" s="9"/>
      <c r="S334" s="9"/>
      <c r="T334" s="223"/>
      <c r="U334" s="9"/>
      <c r="V334" s="9"/>
      <c r="W334" s="971"/>
      <c r="X334" s="9"/>
      <c r="Y334" s="9"/>
      <c r="Z334" s="204"/>
      <c r="AA334" s="9"/>
      <c r="AB334" s="9"/>
      <c r="AC334" s="9"/>
      <c r="AD334" s="9"/>
    </row>
    <row r="335" ht="15.75" customHeight="1">
      <c r="A335" s="9"/>
      <c r="B335" s="223"/>
      <c r="C335" s="9"/>
      <c r="D335" s="9"/>
      <c r="E335" s="223"/>
      <c r="F335" s="9"/>
      <c r="G335" s="9"/>
      <c r="H335" s="9"/>
      <c r="I335" s="9"/>
      <c r="J335" s="9"/>
      <c r="K335" s="9"/>
      <c r="L335" s="9"/>
      <c r="M335" s="9"/>
      <c r="N335" s="9"/>
      <c r="O335" s="9"/>
      <c r="P335" s="9"/>
      <c r="Q335" s="9"/>
      <c r="R335" s="9"/>
      <c r="S335" s="9"/>
      <c r="T335" s="223"/>
      <c r="U335" s="9"/>
      <c r="V335" s="9"/>
      <c r="W335" s="971"/>
      <c r="X335" s="9"/>
      <c r="Y335" s="9"/>
      <c r="Z335" s="204"/>
      <c r="AA335" s="9"/>
      <c r="AB335" s="9"/>
      <c r="AC335" s="9"/>
      <c r="AD335" s="9"/>
    </row>
    <row r="336" ht="15.75" customHeight="1">
      <c r="A336" s="9"/>
      <c r="B336" s="223"/>
      <c r="C336" s="9"/>
      <c r="D336" s="9"/>
      <c r="E336" s="223"/>
      <c r="F336" s="9"/>
      <c r="G336" s="9"/>
      <c r="H336" s="9"/>
      <c r="I336" s="9"/>
      <c r="J336" s="9"/>
      <c r="K336" s="9"/>
      <c r="L336" s="9"/>
      <c r="M336" s="9"/>
      <c r="N336" s="9"/>
      <c r="O336" s="9"/>
      <c r="P336" s="9"/>
      <c r="Q336" s="9"/>
      <c r="R336" s="9"/>
      <c r="S336" s="9"/>
      <c r="T336" s="223"/>
      <c r="U336" s="9"/>
      <c r="V336" s="9"/>
      <c r="W336" s="971"/>
      <c r="X336" s="9"/>
      <c r="Y336" s="9"/>
      <c r="Z336" s="204"/>
      <c r="AA336" s="9"/>
      <c r="AB336" s="9"/>
      <c r="AC336" s="9"/>
      <c r="AD336" s="9"/>
    </row>
    <row r="337" ht="15.75" customHeight="1">
      <c r="A337" s="9"/>
      <c r="B337" s="223"/>
      <c r="C337" s="9"/>
      <c r="D337" s="9"/>
      <c r="E337" s="223"/>
      <c r="F337" s="9"/>
      <c r="G337" s="9"/>
      <c r="H337" s="9"/>
      <c r="I337" s="9"/>
      <c r="J337" s="9"/>
      <c r="K337" s="9"/>
      <c r="L337" s="9"/>
      <c r="M337" s="9"/>
      <c r="N337" s="9"/>
      <c r="O337" s="9"/>
      <c r="P337" s="9"/>
      <c r="Q337" s="9"/>
      <c r="R337" s="9"/>
      <c r="S337" s="9"/>
      <c r="T337" s="223"/>
      <c r="U337" s="9"/>
      <c r="V337" s="9"/>
      <c r="W337" s="971"/>
      <c r="X337" s="9"/>
      <c r="Y337" s="9"/>
      <c r="Z337" s="204"/>
      <c r="AA337" s="9"/>
      <c r="AB337" s="9"/>
      <c r="AC337" s="9"/>
      <c r="AD337" s="9"/>
    </row>
    <row r="338" ht="15.75" customHeight="1">
      <c r="A338" s="9"/>
      <c r="B338" s="223"/>
      <c r="C338" s="9"/>
      <c r="D338" s="9"/>
      <c r="E338" s="223"/>
      <c r="F338" s="9"/>
      <c r="G338" s="9"/>
      <c r="H338" s="9"/>
      <c r="I338" s="9"/>
      <c r="J338" s="9"/>
      <c r="K338" s="9"/>
      <c r="L338" s="9"/>
      <c r="M338" s="9"/>
      <c r="N338" s="9"/>
      <c r="O338" s="9"/>
      <c r="P338" s="9"/>
      <c r="Q338" s="9"/>
      <c r="R338" s="9"/>
      <c r="S338" s="9"/>
      <c r="T338" s="223"/>
      <c r="U338" s="9"/>
      <c r="V338" s="9"/>
      <c r="W338" s="971"/>
      <c r="X338" s="9"/>
      <c r="Y338" s="9"/>
      <c r="Z338" s="204"/>
      <c r="AA338" s="9"/>
      <c r="AB338" s="9"/>
      <c r="AC338" s="9"/>
      <c r="AD338" s="9"/>
    </row>
    <row r="339" ht="15.75" customHeight="1">
      <c r="A339" s="9"/>
      <c r="B339" s="223"/>
      <c r="C339" s="9"/>
      <c r="D339" s="9"/>
      <c r="E339" s="223"/>
      <c r="F339" s="9"/>
      <c r="G339" s="9"/>
      <c r="H339" s="9"/>
      <c r="I339" s="9"/>
      <c r="J339" s="9"/>
      <c r="K339" s="9"/>
      <c r="L339" s="9"/>
      <c r="M339" s="9"/>
      <c r="N339" s="9"/>
      <c r="O339" s="9"/>
      <c r="P339" s="9"/>
      <c r="Q339" s="9"/>
      <c r="R339" s="9"/>
      <c r="S339" s="9"/>
      <c r="T339" s="223"/>
      <c r="U339" s="9"/>
      <c r="V339" s="9"/>
      <c r="W339" s="971"/>
      <c r="X339" s="9"/>
      <c r="Y339" s="9"/>
      <c r="Z339" s="204"/>
      <c r="AA339" s="9"/>
      <c r="AB339" s="9"/>
      <c r="AC339" s="9"/>
      <c r="AD339" s="9"/>
    </row>
    <row r="340" ht="15.75" customHeight="1">
      <c r="A340" s="9"/>
      <c r="B340" s="223"/>
      <c r="C340" s="9"/>
      <c r="D340" s="9"/>
      <c r="E340" s="223"/>
      <c r="F340" s="9"/>
      <c r="G340" s="9"/>
      <c r="H340" s="9"/>
      <c r="I340" s="9"/>
      <c r="J340" s="9"/>
      <c r="K340" s="9"/>
      <c r="L340" s="9"/>
      <c r="M340" s="9"/>
      <c r="N340" s="9"/>
      <c r="O340" s="9"/>
      <c r="P340" s="9"/>
      <c r="Q340" s="9"/>
      <c r="R340" s="9"/>
      <c r="S340" s="9"/>
      <c r="T340" s="223"/>
      <c r="U340" s="9"/>
      <c r="V340" s="9"/>
      <c r="W340" s="971"/>
      <c r="X340" s="9"/>
      <c r="Y340" s="9"/>
      <c r="Z340" s="204"/>
      <c r="AA340" s="9"/>
      <c r="AB340" s="9"/>
      <c r="AC340" s="9"/>
      <c r="AD340" s="9"/>
    </row>
    <row r="341" ht="15.75" customHeight="1">
      <c r="A341" s="9"/>
      <c r="B341" s="223"/>
      <c r="C341" s="9"/>
      <c r="D341" s="9"/>
      <c r="E341" s="223"/>
      <c r="F341" s="9"/>
      <c r="G341" s="9"/>
      <c r="H341" s="9"/>
      <c r="I341" s="9"/>
      <c r="J341" s="9"/>
      <c r="K341" s="9"/>
      <c r="L341" s="9"/>
      <c r="M341" s="9"/>
      <c r="N341" s="9"/>
      <c r="O341" s="9"/>
      <c r="P341" s="9"/>
      <c r="Q341" s="9"/>
      <c r="R341" s="9"/>
      <c r="S341" s="9"/>
      <c r="T341" s="223"/>
      <c r="U341" s="9"/>
      <c r="V341" s="9"/>
      <c r="W341" s="971"/>
      <c r="X341" s="9"/>
      <c r="Y341" s="9"/>
      <c r="Z341" s="204"/>
      <c r="AA341" s="9"/>
      <c r="AB341" s="9"/>
      <c r="AC341" s="9"/>
      <c r="AD341" s="9"/>
    </row>
    <row r="342" ht="15.75" customHeight="1">
      <c r="A342" s="9"/>
      <c r="B342" s="223"/>
      <c r="C342" s="9"/>
      <c r="D342" s="9"/>
      <c r="E342" s="223"/>
      <c r="F342" s="9"/>
      <c r="G342" s="9"/>
      <c r="H342" s="9"/>
      <c r="I342" s="9"/>
      <c r="J342" s="9"/>
      <c r="K342" s="9"/>
      <c r="L342" s="9"/>
      <c r="M342" s="9"/>
      <c r="N342" s="9"/>
      <c r="O342" s="9"/>
      <c r="P342" s="9"/>
      <c r="Q342" s="9"/>
      <c r="R342" s="9"/>
      <c r="S342" s="9"/>
      <c r="T342" s="223"/>
      <c r="U342" s="9"/>
      <c r="V342" s="9"/>
      <c r="W342" s="971"/>
      <c r="X342" s="9"/>
      <c r="Y342" s="9"/>
      <c r="Z342" s="204"/>
      <c r="AA342" s="9"/>
      <c r="AB342" s="9"/>
      <c r="AC342" s="9"/>
      <c r="AD342" s="9"/>
    </row>
    <row r="343" ht="15.75" customHeight="1">
      <c r="A343" s="9"/>
      <c r="B343" s="223"/>
      <c r="C343" s="9"/>
      <c r="D343" s="9"/>
      <c r="E343" s="223"/>
      <c r="F343" s="9"/>
      <c r="G343" s="9"/>
      <c r="H343" s="9"/>
      <c r="I343" s="9"/>
      <c r="J343" s="9"/>
      <c r="K343" s="9"/>
      <c r="L343" s="9"/>
      <c r="M343" s="9"/>
      <c r="N343" s="9"/>
      <c r="O343" s="9"/>
      <c r="P343" s="9"/>
      <c r="Q343" s="9"/>
      <c r="R343" s="9"/>
      <c r="S343" s="9"/>
      <c r="T343" s="223"/>
      <c r="U343" s="9"/>
      <c r="V343" s="9"/>
      <c r="W343" s="971"/>
      <c r="X343" s="9"/>
      <c r="Y343" s="9"/>
      <c r="Z343" s="204"/>
      <c r="AA343" s="9"/>
      <c r="AB343" s="9"/>
      <c r="AC343" s="9"/>
      <c r="AD343" s="9"/>
    </row>
    <row r="344" ht="15.75" customHeight="1">
      <c r="A344" s="9"/>
      <c r="B344" s="223"/>
      <c r="C344" s="9"/>
      <c r="D344" s="9"/>
      <c r="E344" s="223"/>
      <c r="F344" s="9"/>
      <c r="G344" s="9"/>
      <c r="H344" s="9"/>
      <c r="I344" s="9"/>
      <c r="J344" s="9"/>
      <c r="K344" s="9"/>
      <c r="L344" s="9"/>
      <c r="M344" s="9"/>
      <c r="N344" s="9"/>
      <c r="O344" s="9"/>
      <c r="P344" s="9"/>
      <c r="Q344" s="9"/>
      <c r="R344" s="9"/>
      <c r="S344" s="9"/>
      <c r="T344" s="223"/>
      <c r="U344" s="9"/>
      <c r="V344" s="9"/>
      <c r="W344" s="971"/>
      <c r="X344" s="9"/>
      <c r="Y344" s="9"/>
      <c r="Z344" s="204"/>
      <c r="AA344" s="9"/>
      <c r="AB344" s="9"/>
      <c r="AC344" s="9"/>
      <c r="AD344" s="9"/>
    </row>
    <row r="345" ht="15.75" customHeight="1">
      <c r="A345" s="9"/>
      <c r="B345" s="223"/>
      <c r="C345" s="9"/>
      <c r="D345" s="9"/>
      <c r="E345" s="223"/>
      <c r="F345" s="9"/>
      <c r="G345" s="9"/>
      <c r="H345" s="9"/>
      <c r="I345" s="9"/>
      <c r="J345" s="9"/>
      <c r="K345" s="9"/>
      <c r="L345" s="9"/>
      <c r="M345" s="9"/>
      <c r="N345" s="9"/>
      <c r="O345" s="9"/>
      <c r="P345" s="9"/>
      <c r="Q345" s="9"/>
      <c r="R345" s="9"/>
      <c r="S345" s="9"/>
      <c r="T345" s="223"/>
      <c r="U345" s="9"/>
      <c r="V345" s="9"/>
      <c r="W345" s="971"/>
      <c r="X345" s="9"/>
      <c r="Y345" s="9"/>
      <c r="Z345" s="204"/>
      <c r="AA345" s="9"/>
      <c r="AB345" s="9"/>
      <c r="AC345" s="9"/>
      <c r="AD345" s="9"/>
    </row>
    <row r="346" ht="15.75" customHeight="1">
      <c r="A346" s="9"/>
      <c r="B346" s="223"/>
      <c r="C346" s="9"/>
      <c r="D346" s="9"/>
      <c r="E346" s="223"/>
      <c r="F346" s="9"/>
      <c r="G346" s="9"/>
      <c r="H346" s="9"/>
      <c r="I346" s="9"/>
      <c r="J346" s="9"/>
      <c r="K346" s="9"/>
      <c r="L346" s="9"/>
      <c r="M346" s="9"/>
      <c r="N346" s="9"/>
      <c r="O346" s="9"/>
      <c r="P346" s="9"/>
      <c r="Q346" s="9"/>
      <c r="R346" s="9"/>
      <c r="S346" s="9"/>
      <c r="T346" s="223"/>
      <c r="U346" s="9"/>
      <c r="V346" s="9"/>
      <c r="W346" s="971"/>
      <c r="X346" s="9"/>
      <c r="Y346" s="9"/>
      <c r="Z346" s="204"/>
      <c r="AA346" s="9"/>
      <c r="AB346" s="9"/>
      <c r="AC346" s="9"/>
      <c r="AD346" s="9"/>
    </row>
    <row r="347" ht="15.75" customHeight="1">
      <c r="A347" s="9"/>
      <c r="B347" s="223"/>
      <c r="C347" s="9"/>
      <c r="D347" s="9"/>
      <c r="E347" s="223"/>
      <c r="F347" s="9"/>
      <c r="G347" s="9"/>
      <c r="H347" s="9"/>
      <c r="I347" s="9"/>
      <c r="J347" s="9"/>
      <c r="K347" s="9"/>
      <c r="L347" s="9"/>
      <c r="M347" s="9"/>
      <c r="N347" s="9"/>
      <c r="O347" s="9"/>
      <c r="P347" s="9"/>
      <c r="Q347" s="9"/>
      <c r="R347" s="9"/>
      <c r="S347" s="9"/>
      <c r="T347" s="223"/>
      <c r="U347" s="9"/>
      <c r="V347" s="9"/>
      <c r="W347" s="971"/>
      <c r="X347" s="9"/>
      <c r="Y347" s="9"/>
      <c r="Z347" s="204"/>
      <c r="AA347" s="9"/>
      <c r="AB347" s="9"/>
      <c r="AC347" s="9"/>
      <c r="AD347" s="9"/>
    </row>
    <row r="348" ht="15.75" customHeight="1">
      <c r="A348" s="9"/>
      <c r="B348" s="223"/>
      <c r="C348" s="9"/>
      <c r="D348" s="9"/>
      <c r="E348" s="223"/>
      <c r="F348" s="9"/>
      <c r="G348" s="9"/>
      <c r="H348" s="9"/>
      <c r="I348" s="9"/>
      <c r="J348" s="9"/>
      <c r="K348" s="9"/>
      <c r="L348" s="9"/>
      <c r="M348" s="9"/>
      <c r="N348" s="9"/>
      <c r="O348" s="9"/>
      <c r="P348" s="9"/>
      <c r="Q348" s="9"/>
      <c r="R348" s="9"/>
      <c r="S348" s="9"/>
      <c r="T348" s="223"/>
      <c r="U348" s="9"/>
      <c r="V348" s="9"/>
      <c r="W348" s="971"/>
      <c r="X348" s="9"/>
      <c r="Y348" s="9"/>
      <c r="Z348" s="204"/>
      <c r="AA348" s="9"/>
      <c r="AB348" s="9"/>
      <c r="AC348" s="9"/>
      <c r="AD348" s="9"/>
    </row>
    <row r="349" ht="15.75" customHeight="1">
      <c r="A349" s="9"/>
      <c r="B349" s="223"/>
      <c r="C349" s="9"/>
      <c r="D349" s="9"/>
      <c r="E349" s="223"/>
      <c r="F349" s="9"/>
      <c r="G349" s="9"/>
      <c r="H349" s="9"/>
      <c r="I349" s="9"/>
      <c r="J349" s="9"/>
      <c r="K349" s="9"/>
      <c r="L349" s="9"/>
      <c r="M349" s="9"/>
      <c r="N349" s="9"/>
      <c r="O349" s="9"/>
      <c r="P349" s="9"/>
      <c r="Q349" s="9"/>
      <c r="R349" s="9"/>
      <c r="S349" s="9"/>
      <c r="T349" s="223"/>
      <c r="U349" s="9"/>
      <c r="V349" s="9"/>
      <c r="W349" s="971"/>
      <c r="X349" s="9"/>
      <c r="Y349" s="9"/>
      <c r="Z349" s="204"/>
      <c r="AA349" s="9"/>
      <c r="AB349" s="9"/>
      <c r="AC349" s="9"/>
      <c r="AD349" s="9"/>
    </row>
    <row r="350" ht="15.75" customHeight="1">
      <c r="A350" s="9"/>
      <c r="B350" s="223"/>
      <c r="C350" s="9"/>
      <c r="D350" s="9"/>
      <c r="E350" s="223"/>
      <c r="F350" s="9"/>
      <c r="G350" s="9"/>
      <c r="H350" s="9"/>
      <c r="I350" s="9"/>
      <c r="J350" s="9"/>
      <c r="K350" s="9"/>
      <c r="L350" s="9"/>
      <c r="M350" s="9"/>
      <c r="N350" s="9"/>
      <c r="O350" s="9"/>
      <c r="P350" s="9"/>
      <c r="Q350" s="9"/>
      <c r="R350" s="9"/>
      <c r="S350" s="9"/>
      <c r="T350" s="223"/>
      <c r="U350" s="9"/>
      <c r="V350" s="9"/>
      <c r="W350" s="971"/>
      <c r="X350" s="9"/>
      <c r="Y350" s="9"/>
      <c r="Z350" s="204"/>
      <c r="AA350" s="9"/>
      <c r="AB350" s="9"/>
      <c r="AC350" s="9"/>
      <c r="AD350" s="9"/>
    </row>
    <row r="351" ht="15.75" customHeight="1">
      <c r="A351" s="9"/>
      <c r="B351" s="223"/>
      <c r="C351" s="9"/>
      <c r="D351" s="9"/>
      <c r="E351" s="223"/>
      <c r="F351" s="9"/>
      <c r="G351" s="9"/>
      <c r="H351" s="9"/>
      <c r="I351" s="9"/>
      <c r="J351" s="9"/>
      <c r="K351" s="9"/>
      <c r="L351" s="9"/>
      <c r="M351" s="9"/>
      <c r="N351" s="9"/>
      <c r="O351" s="9"/>
      <c r="P351" s="9"/>
      <c r="Q351" s="9"/>
      <c r="R351" s="9"/>
      <c r="S351" s="9"/>
      <c r="T351" s="223"/>
      <c r="U351" s="9"/>
      <c r="V351" s="9"/>
      <c r="W351" s="971"/>
      <c r="X351" s="9"/>
      <c r="Y351" s="9"/>
      <c r="Z351" s="204"/>
      <c r="AA351" s="9"/>
      <c r="AB351" s="9"/>
      <c r="AC351" s="9"/>
      <c r="AD351" s="9"/>
    </row>
    <row r="352" ht="15.75" customHeight="1">
      <c r="A352" s="9"/>
      <c r="B352" s="223"/>
      <c r="C352" s="9"/>
      <c r="D352" s="9"/>
      <c r="E352" s="223"/>
      <c r="F352" s="9"/>
      <c r="G352" s="9"/>
      <c r="H352" s="9"/>
      <c r="I352" s="9"/>
      <c r="J352" s="9"/>
      <c r="K352" s="9"/>
      <c r="L352" s="9"/>
      <c r="M352" s="9"/>
      <c r="N352" s="9"/>
      <c r="O352" s="9"/>
      <c r="P352" s="9"/>
      <c r="Q352" s="9"/>
      <c r="R352" s="9"/>
      <c r="S352" s="9"/>
      <c r="T352" s="223"/>
      <c r="U352" s="9"/>
      <c r="V352" s="9"/>
      <c r="W352" s="971"/>
      <c r="X352" s="9"/>
      <c r="Y352" s="9"/>
      <c r="Z352" s="204"/>
      <c r="AA352" s="9"/>
      <c r="AB352" s="9"/>
      <c r="AC352" s="9"/>
      <c r="AD352" s="9"/>
    </row>
    <row r="353" ht="15.75" customHeight="1">
      <c r="A353" s="9"/>
      <c r="B353" s="223"/>
      <c r="C353" s="9"/>
      <c r="D353" s="9"/>
      <c r="E353" s="223"/>
      <c r="F353" s="9"/>
      <c r="G353" s="9"/>
      <c r="H353" s="9"/>
      <c r="I353" s="9"/>
      <c r="J353" s="9"/>
      <c r="K353" s="9"/>
      <c r="L353" s="9"/>
      <c r="M353" s="9"/>
      <c r="N353" s="9"/>
      <c r="O353" s="9"/>
      <c r="P353" s="9"/>
      <c r="Q353" s="9"/>
      <c r="R353" s="9"/>
      <c r="S353" s="9"/>
      <c r="T353" s="223"/>
      <c r="U353" s="9"/>
      <c r="V353" s="9"/>
      <c r="W353" s="971"/>
      <c r="X353" s="9"/>
      <c r="Y353" s="9"/>
      <c r="Z353" s="204"/>
      <c r="AA353" s="9"/>
      <c r="AB353" s="9"/>
      <c r="AC353" s="9"/>
      <c r="AD353" s="9"/>
    </row>
    <row r="354" ht="15.75" customHeight="1">
      <c r="A354" s="9"/>
      <c r="B354" s="223"/>
      <c r="C354" s="9"/>
      <c r="D354" s="9"/>
      <c r="E354" s="223"/>
      <c r="F354" s="9"/>
      <c r="G354" s="9"/>
      <c r="H354" s="9"/>
      <c r="I354" s="9"/>
      <c r="J354" s="9"/>
      <c r="K354" s="9"/>
      <c r="L354" s="9"/>
      <c r="M354" s="9"/>
      <c r="N354" s="9"/>
      <c r="O354" s="9"/>
      <c r="P354" s="9"/>
      <c r="Q354" s="9"/>
      <c r="R354" s="9"/>
      <c r="S354" s="9"/>
      <c r="T354" s="223"/>
      <c r="U354" s="9"/>
      <c r="V354" s="9"/>
      <c r="W354" s="971"/>
      <c r="X354" s="9"/>
      <c r="Y354" s="9"/>
      <c r="Z354" s="204"/>
      <c r="AA354" s="9"/>
      <c r="AB354" s="9"/>
      <c r="AC354" s="9"/>
      <c r="AD354" s="9"/>
    </row>
    <row r="355" ht="15.75" customHeight="1">
      <c r="A355" s="9"/>
      <c r="B355" s="223"/>
      <c r="C355" s="9"/>
      <c r="D355" s="9"/>
      <c r="E355" s="223"/>
      <c r="F355" s="9"/>
      <c r="G355" s="9"/>
      <c r="H355" s="9"/>
      <c r="I355" s="9"/>
      <c r="J355" s="9"/>
      <c r="K355" s="9"/>
      <c r="L355" s="9"/>
      <c r="M355" s="9"/>
      <c r="N355" s="9"/>
      <c r="O355" s="9"/>
      <c r="P355" s="9"/>
      <c r="Q355" s="9"/>
      <c r="R355" s="9"/>
      <c r="S355" s="9"/>
      <c r="T355" s="223"/>
      <c r="U355" s="9"/>
      <c r="V355" s="9"/>
      <c r="W355" s="971"/>
      <c r="X355" s="9"/>
      <c r="Y355" s="9"/>
      <c r="Z355" s="204"/>
      <c r="AA355" s="9"/>
      <c r="AB355" s="9"/>
      <c r="AC355" s="9"/>
      <c r="AD355" s="9"/>
    </row>
    <row r="356" ht="15.75" customHeight="1">
      <c r="A356" s="9"/>
      <c r="B356" s="223"/>
      <c r="C356" s="9"/>
      <c r="D356" s="9"/>
      <c r="E356" s="223"/>
      <c r="F356" s="9"/>
      <c r="G356" s="9"/>
      <c r="H356" s="9"/>
      <c r="I356" s="9"/>
      <c r="J356" s="9"/>
      <c r="K356" s="9"/>
      <c r="L356" s="9"/>
      <c r="M356" s="9"/>
      <c r="N356" s="9"/>
      <c r="O356" s="9"/>
      <c r="P356" s="9"/>
      <c r="Q356" s="9"/>
      <c r="R356" s="9"/>
      <c r="S356" s="9"/>
      <c r="T356" s="223"/>
      <c r="U356" s="9"/>
      <c r="V356" s="9"/>
      <c r="W356" s="971"/>
      <c r="X356" s="9"/>
      <c r="Y356" s="9"/>
      <c r="Z356" s="204"/>
      <c r="AA356" s="9"/>
      <c r="AB356" s="9"/>
      <c r="AC356" s="9"/>
      <c r="AD356" s="9"/>
    </row>
    <row r="357" ht="15.75" customHeight="1">
      <c r="A357" s="9"/>
      <c r="B357" s="223"/>
      <c r="C357" s="9"/>
      <c r="D357" s="9"/>
      <c r="E357" s="223"/>
      <c r="F357" s="9"/>
      <c r="G357" s="9"/>
      <c r="H357" s="9"/>
      <c r="I357" s="9"/>
      <c r="J357" s="9"/>
      <c r="K357" s="9"/>
      <c r="L357" s="9"/>
      <c r="M357" s="9"/>
      <c r="N357" s="9"/>
      <c r="O357" s="9"/>
      <c r="P357" s="9"/>
      <c r="Q357" s="9"/>
      <c r="R357" s="9"/>
      <c r="S357" s="9"/>
      <c r="T357" s="223"/>
      <c r="U357" s="9"/>
      <c r="V357" s="9"/>
      <c r="W357" s="971"/>
      <c r="X357" s="9"/>
      <c r="Y357" s="9"/>
      <c r="Z357" s="204"/>
      <c r="AA357" s="9"/>
      <c r="AB357" s="9"/>
      <c r="AC357" s="9"/>
      <c r="AD357" s="9"/>
    </row>
    <row r="358" ht="15.75" customHeight="1">
      <c r="A358" s="9"/>
      <c r="B358" s="223"/>
      <c r="C358" s="9"/>
      <c r="D358" s="9"/>
      <c r="E358" s="223"/>
      <c r="F358" s="9"/>
      <c r="G358" s="9"/>
      <c r="H358" s="9"/>
      <c r="I358" s="9"/>
      <c r="J358" s="9"/>
      <c r="K358" s="9"/>
      <c r="L358" s="9"/>
      <c r="M358" s="9"/>
      <c r="N358" s="9"/>
      <c r="O358" s="9"/>
      <c r="P358" s="9"/>
      <c r="Q358" s="9"/>
      <c r="R358" s="9"/>
      <c r="S358" s="9"/>
      <c r="T358" s="223"/>
      <c r="U358" s="9"/>
      <c r="V358" s="9"/>
      <c r="W358" s="971"/>
      <c r="X358" s="9"/>
      <c r="Y358" s="9"/>
      <c r="Z358" s="204"/>
      <c r="AA358" s="9"/>
      <c r="AB358" s="9"/>
      <c r="AC358" s="9"/>
      <c r="AD358" s="9"/>
    </row>
    <row r="359" ht="15.75" customHeight="1">
      <c r="A359" s="9"/>
      <c r="B359" s="223"/>
      <c r="C359" s="9"/>
      <c r="D359" s="9"/>
      <c r="E359" s="223"/>
      <c r="F359" s="9"/>
      <c r="G359" s="9"/>
      <c r="H359" s="9"/>
      <c r="I359" s="9"/>
      <c r="J359" s="9"/>
      <c r="K359" s="9"/>
      <c r="L359" s="9"/>
      <c r="M359" s="9"/>
      <c r="N359" s="9"/>
      <c r="O359" s="9"/>
      <c r="P359" s="9"/>
      <c r="Q359" s="9"/>
      <c r="R359" s="9"/>
      <c r="S359" s="9"/>
      <c r="T359" s="223"/>
      <c r="U359" s="9"/>
      <c r="V359" s="9"/>
      <c r="W359" s="971"/>
      <c r="X359" s="9"/>
      <c r="Y359" s="9"/>
      <c r="Z359" s="204"/>
      <c r="AA359" s="9"/>
      <c r="AB359" s="9"/>
      <c r="AC359" s="9"/>
      <c r="AD359" s="9"/>
    </row>
    <row r="360" ht="15.75" customHeight="1">
      <c r="A360" s="9"/>
      <c r="B360" s="223"/>
      <c r="C360" s="9"/>
      <c r="D360" s="9"/>
      <c r="E360" s="223"/>
      <c r="F360" s="9"/>
      <c r="G360" s="9"/>
      <c r="H360" s="9"/>
      <c r="I360" s="9"/>
      <c r="J360" s="9"/>
      <c r="K360" s="9"/>
      <c r="L360" s="9"/>
      <c r="M360" s="9"/>
      <c r="N360" s="9"/>
      <c r="O360" s="9"/>
      <c r="P360" s="9"/>
      <c r="Q360" s="9"/>
      <c r="R360" s="9"/>
      <c r="S360" s="9"/>
      <c r="T360" s="223"/>
      <c r="U360" s="9"/>
      <c r="V360" s="9"/>
      <c r="W360" s="971"/>
      <c r="X360" s="9"/>
      <c r="Y360" s="9"/>
      <c r="Z360" s="204"/>
      <c r="AA360" s="9"/>
      <c r="AB360" s="9"/>
      <c r="AC360" s="9"/>
      <c r="AD360" s="9"/>
    </row>
    <row r="361" ht="15.75" customHeight="1">
      <c r="A361" s="9"/>
      <c r="B361" s="223"/>
      <c r="C361" s="9"/>
      <c r="D361" s="9"/>
      <c r="E361" s="223"/>
      <c r="F361" s="9"/>
      <c r="G361" s="9"/>
      <c r="H361" s="9"/>
      <c r="I361" s="9"/>
      <c r="J361" s="9"/>
      <c r="K361" s="9"/>
      <c r="L361" s="9"/>
      <c r="M361" s="9"/>
      <c r="N361" s="9"/>
      <c r="O361" s="9"/>
      <c r="P361" s="9"/>
      <c r="Q361" s="9"/>
      <c r="R361" s="9"/>
      <c r="S361" s="9"/>
      <c r="T361" s="223"/>
      <c r="U361" s="9"/>
      <c r="V361" s="9"/>
      <c r="W361" s="971"/>
      <c r="X361" s="9"/>
      <c r="Y361" s="9"/>
      <c r="Z361" s="204"/>
      <c r="AA361" s="9"/>
      <c r="AB361" s="9"/>
      <c r="AC361" s="9"/>
      <c r="AD361" s="9"/>
    </row>
    <row r="362" ht="15.75" customHeight="1">
      <c r="A362" s="9"/>
      <c r="B362" s="223"/>
      <c r="C362" s="9"/>
      <c r="D362" s="9"/>
      <c r="E362" s="223"/>
      <c r="F362" s="9"/>
      <c r="G362" s="9"/>
      <c r="H362" s="9"/>
      <c r="I362" s="9"/>
      <c r="J362" s="9"/>
      <c r="K362" s="9"/>
      <c r="L362" s="9"/>
      <c r="M362" s="9"/>
      <c r="N362" s="9"/>
      <c r="O362" s="9"/>
      <c r="P362" s="9"/>
      <c r="Q362" s="9"/>
      <c r="R362" s="9"/>
      <c r="S362" s="9"/>
      <c r="T362" s="223"/>
      <c r="U362" s="9"/>
      <c r="V362" s="9"/>
      <c r="W362" s="971"/>
      <c r="X362" s="9"/>
      <c r="Y362" s="9"/>
      <c r="Z362" s="204"/>
      <c r="AA362" s="9"/>
      <c r="AB362" s="9"/>
      <c r="AC362" s="9"/>
      <c r="AD362" s="9"/>
    </row>
    <row r="363" ht="15.75" customHeight="1">
      <c r="A363" s="9"/>
      <c r="B363" s="223"/>
      <c r="C363" s="9"/>
      <c r="D363" s="9"/>
      <c r="E363" s="223"/>
      <c r="F363" s="9"/>
      <c r="G363" s="9"/>
      <c r="H363" s="9"/>
      <c r="I363" s="9"/>
      <c r="J363" s="9"/>
      <c r="K363" s="9"/>
      <c r="L363" s="9"/>
      <c r="M363" s="9"/>
      <c r="N363" s="9"/>
      <c r="O363" s="9"/>
      <c r="P363" s="9"/>
      <c r="Q363" s="9"/>
      <c r="R363" s="9"/>
      <c r="S363" s="9"/>
      <c r="T363" s="223"/>
      <c r="U363" s="9"/>
      <c r="V363" s="9"/>
      <c r="W363" s="971"/>
      <c r="X363" s="9"/>
      <c r="Y363" s="9"/>
      <c r="Z363" s="204"/>
      <c r="AA363" s="9"/>
      <c r="AB363" s="9"/>
      <c r="AC363" s="9"/>
      <c r="AD363" s="9"/>
    </row>
    <row r="364" ht="15.75" customHeight="1">
      <c r="A364" s="9"/>
      <c r="B364" s="223"/>
      <c r="C364" s="9"/>
      <c r="D364" s="9"/>
      <c r="E364" s="223"/>
      <c r="F364" s="9"/>
      <c r="G364" s="9"/>
      <c r="H364" s="9"/>
      <c r="I364" s="9"/>
      <c r="J364" s="9"/>
      <c r="K364" s="9"/>
      <c r="L364" s="9"/>
      <c r="M364" s="9"/>
      <c r="N364" s="9"/>
      <c r="O364" s="9"/>
      <c r="P364" s="9"/>
      <c r="Q364" s="9"/>
      <c r="R364" s="9"/>
      <c r="S364" s="9"/>
      <c r="T364" s="223"/>
      <c r="U364" s="9"/>
      <c r="V364" s="9"/>
      <c r="W364" s="971"/>
      <c r="X364" s="9"/>
      <c r="Y364" s="9"/>
      <c r="Z364" s="204"/>
      <c r="AA364" s="9"/>
      <c r="AB364" s="9"/>
      <c r="AC364" s="9"/>
      <c r="AD364" s="9"/>
    </row>
    <row r="365" ht="15.75" customHeight="1">
      <c r="A365" s="9"/>
      <c r="B365" s="223"/>
      <c r="C365" s="9"/>
      <c r="D365" s="9"/>
      <c r="E365" s="223"/>
      <c r="F365" s="9"/>
      <c r="G365" s="9"/>
      <c r="H365" s="9"/>
      <c r="I365" s="9"/>
      <c r="J365" s="9"/>
      <c r="K365" s="9"/>
      <c r="L365" s="9"/>
      <c r="M365" s="9"/>
      <c r="N365" s="9"/>
      <c r="O365" s="9"/>
      <c r="P365" s="9"/>
      <c r="Q365" s="9"/>
      <c r="R365" s="9"/>
      <c r="S365" s="9"/>
      <c r="T365" s="223"/>
      <c r="U365" s="9"/>
      <c r="V365" s="9"/>
      <c r="W365" s="971"/>
      <c r="X365" s="9"/>
      <c r="Y365" s="9"/>
      <c r="Z365" s="204"/>
      <c r="AA365" s="9"/>
      <c r="AB365" s="9"/>
      <c r="AC365" s="9"/>
      <c r="AD365" s="9"/>
    </row>
    <row r="366" ht="15.75" customHeight="1">
      <c r="A366" s="9"/>
      <c r="B366" s="223"/>
      <c r="C366" s="9"/>
      <c r="D366" s="9"/>
      <c r="E366" s="223"/>
      <c r="F366" s="9"/>
      <c r="G366" s="9"/>
      <c r="H366" s="9"/>
      <c r="I366" s="9"/>
      <c r="J366" s="9"/>
      <c r="K366" s="9"/>
      <c r="L366" s="9"/>
      <c r="M366" s="9"/>
      <c r="N366" s="9"/>
      <c r="O366" s="9"/>
      <c r="P366" s="9"/>
      <c r="Q366" s="9"/>
      <c r="R366" s="9"/>
      <c r="S366" s="9"/>
      <c r="T366" s="223"/>
      <c r="U366" s="9"/>
      <c r="V366" s="9"/>
      <c r="W366" s="971"/>
      <c r="X366" s="9"/>
      <c r="Y366" s="9"/>
      <c r="Z366" s="204"/>
      <c r="AA366" s="9"/>
      <c r="AB366" s="9"/>
      <c r="AC366" s="9"/>
      <c r="AD366" s="9"/>
    </row>
    <row r="367" ht="15.75" customHeight="1">
      <c r="A367" s="9"/>
      <c r="B367" s="223"/>
      <c r="C367" s="9"/>
      <c r="D367" s="9"/>
      <c r="E367" s="223"/>
      <c r="F367" s="9"/>
      <c r="G367" s="9"/>
      <c r="H367" s="9"/>
      <c r="I367" s="9"/>
      <c r="J367" s="9"/>
      <c r="K367" s="9"/>
      <c r="L367" s="9"/>
      <c r="M367" s="9"/>
      <c r="N367" s="9"/>
      <c r="O367" s="9"/>
      <c r="P367" s="9"/>
      <c r="Q367" s="9"/>
      <c r="R367" s="9"/>
      <c r="S367" s="9"/>
      <c r="T367" s="223"/>
      <c r="U367" s="9"/>
      <c r="V367" s="9"/>
      <c r="W367" s="971"/>
      <c r="X367" s="9"/>
      <c r="Y367" s="9"/>
      <c r="Z367" s="204"/>
      <c r="AA367" s="9"/>
      <c r="AB367" s="9"/>
      <c r="AC367" s="9"/>
      <c r="AD367" s="9"/>
    </row>
    <row r="368" ht="15.75" customHeight="1">
      <c r="A368" s="9"/>
      <c r="B368" s="223"/>
      <c r="C368" s="9"/>
      <c r="D368" s="9"/>
      <c r="E368" s="223"/>
      <c r="F368" s="9"/>
      <c r="G368" s="9"/>
      <c r="H368" s="9"/>
      <c r="I368" s="9"/>
      <c r="J368" s="9"/>
      <c r="K368" s="9"/>
      <c r="L368" s="9"/>
      <c r="M368" s="9"/>
      <c r="N368" s="9"/>
      <c r="O368" s="9"/>
      <c r="P368" s="9"/>
      <c r="Q368" s="9"/>
      <c r="R368" s="9"/>
      <c r="S368" s="9"/>
      <c r="T368" s="223"/>
      <c r="U368" s="9"/>
      <c r="V368" s="9"/>
      <c r="W368" s="971"/>
      <c r="X368" s="9"/>
      <c r="Y368" s="9"/>
      <c r="Z368" s="204"/>
      <c r="AA368" s="9"/>
      <c r="AB368" s="9"/>
      <c r="AC368" s="9"/>
      <c r="AD368" s="9"/>
    </row>
    <row r="369" ht="15.75" customHeight="1">
      <c r="A369" s="9"/>
      <c r="B369" s="223"/>
      <c r="C369" s="9"/>
      <c r="D369" s="9"/>
      <c r="E369" s="223"/>
      <c r="F369" s="9"/>
      <c r="G369" s="9"/>
      <c r="H369" s="9"/>
      <c r="I369" s="9"/>
      <c r="J369" s="9"/>
      <c r="K369" s="9"/>
      <c r="L369" s="9"/>
      <c r="M369" s="9"/>
      <c r="N369" s="9"/>
      <c r="O369" s="9"/>
      <c r="P369" s="9"/>
      <c r="Q369" s="9"/>
      <c r="R369" s="9"/>
      <c r="S369" s="9"/>
      <c r="T369" s="223"/>
      <c r="U369" s="9"/>
      <c r="V369" s="9"/>
      <c r="W369" s="971"/>
      <c r="X369" s="9"/>
      <c r="Y369" s="9"/>
      <c r="Z369" s="204"/>
      <c r="AA369" s="9"/>
      <c r="AB369" s="9"/>
      <c r="AC369" s="9"/>
      <c r="AD369" s="9"/>
    </row>
    <row r="370" ht="15.75" customHeight="1">
      <c r="A370" s="9"/>
      <c r="B370" s="223"/>
      <c r="C370" s="9"/>
      <c r="D370" s="9"/>
      <c r="E370" s="223"/>
      <c r="F370" s="9"/>
      <c r="G370" s="9"/>
      <c r="H370" s="9"/>
      <c r="I370" s="9"/>
      <c r="J370" s="9"/>
      <c r="K370" s="9"/>
      <c r="L370" s="9"/>
      <c r="M370" s="9"/>
      <c r="N370" s="9"/>
      <c r="O370" s="9"/>
      <c r="P370" s="9"/>
      <c r="Q370" s="9"/>
      <c r="R370" s="9"/>
      <c r="S370" s="9"/>
      <c r="T370" s="223"/>
      <c r="U370" s="9"/>
      <c r="V370" s="9"/>
      <c r="W370" s="971"/>
      <c r="X370" s="9"/>
      <c r="Y370" s="9"/>
      <c r="Z370" s="204"/>
      <c r="AA370" s="9"/>
      <c r="AB370" s="9"/>
      <c r="AC370" s="9"/>
      <c r="AD370" s="9"/>
    </row>
    <row r="371" ht="15.75" customHeight="1">
      <c r="A371" s="9"/>
      <c r="B371" s="223"/>
      <c r="C371" s="9"/>
      <c r="D371" s="9"/>
      <c r="E371" s="223"/>
      <c r="F371" s="9"/>
      <c r="G371" s="9"/>
      <c r="H371" s="9"/>
      <c r="I371" s="9"/>
      <c r="J371" s="9"/>
      <c r="K371" s="9"/>
      <c r="L371" s="9"/>
      <c r="M371" s="9"/>
      <c r="N371" s="9"/>
      <c r="O371" s="9"/>
      <c r="P371" s="9"/>
      <c r="Q371" s="9"/>
      <c r="R371" s="9"/>
      <c r="S371" s="9"/>
      <c r="T371" s="223"/>
      <c r="U371" s="9"/>
      <c r="V371" s="9"/>
      <c r="W371" s="971"/>
      <c r="X371" s="9"/>
      <c r="Y371" s="9"/>
      <c r="Z371" s="204"/>
      <c r="AA371" s="9"/>
      <c r="AB371" s="9"/>
      <c r="AC371" s="9"/>
      <c r="AD371" s="9"/>
    </row>
    <row r="372" ht="15.75" customHeight="1">
      <c r="A372" s="9"/>
      <c r="B372" s="223"/>
      <c r="C372" s="9"/>
      <c r="D372" s="9"/>
      <c r="E372" s="223"/>
      <c r="F372" s="9"/>
      <c r="G372" s="9"/>
      <c r="H372" s="9"/>
      <c r="I372" s="9"/>
      <c r="J372" s="9"/>
      <c r="K372" s="9"/>
      <c r="L372" s="9"/>
      <c r="M372" s="9"/>
      <c r="N372" s="9"/>
      <c r="O372" s="9"/>
      <c r="P372" s="9"/>
      <c r="Q372" s="9"/>
      <c r="R372" s="9"/>
      <c r="S372" s="9"/>
      <c r="T372" s="223"/>
      <c r="U372" s="9"/>
      <c r="V372" s="9"/>
      <c r="W372" s="971"/>
      <c r="X372" s="9"/>
      <c r="Y372" s="9"/>
      <c r="Z372" s="204"/>
      <c r="AA372" s="9"/>
      <c r="AB372" s="9"/>
      <c r="AC372" s="9"/>
      <c r="AD372" s="9"/>
    </row>
    <row r="373" ht="15.75" customHeight="1">
      <c r="A373" s="9"/>
      <c r="B373" s="223"/>
      <c r="C373" s="9"/>
      <c r="D373" s="9"/>
      <c r="E373" s="223"/>
      <c r="F373" s="9"/>
      <c r="G373" s="9"/>
      <c r="H373" s="9"/>
      <c r="I373" s="9"/>
      <c r="J373" s="9"/>
      <c r="K373" s="9"/>
      <c r="L373" s="9"/>
      <c r="M373" s="9"/>
      <c r="N373" s="9"/>
      <c r="O373" s="9"/>
      <c r="P373" s="9"/>
      <c r="Q373" s="9"/>
      <c r="R373" s="9"/>
      <c r="S373" s="9"/>
      <c r="T373" s="223"/>
      <c r="U373" s="9"/>
      <c r="V373" s="9"/>
      <c r="W373" s="971"/>
      <c r="X373" s="9"/>
      <c r="Y373" s="9"/>
      <c r="Z373" s="204"/>
      <c r="AA373" s="9"/>
      <c r="AB373" s="9"/>
      <c r="AC373" s="9"/>
      <c r="AD373" s="9"/>
    </row>
    <row r="374" ht="15.75" customHeight="1">
      <c r="A374" s="9"/>
      <c r="B374" s="223"/>
      <c r="C374" s="9"/>
      <c r="D374" s="9"/>
      <c r="E374" s="223"/>
      <c r="F374" s="9"/>
      <c r="G374" s="9"/>
      <c r="H374" s="9"/>
      <c r="I374" s="9"/>
      <c r="J374" s="9"/>
      <c r="K374" s="9"/>
      <c r="L374" s="9"/>
      <c r="M374" s="9"/>
      <c r="N374" s="9"/>
      <c r="O374" s="9"/>
      <c r="P374" s="9"/>
      <c r="Q374" s="9"/>
      <c r="R374" s="9"/>
      <c r="S374" s="9"/>
      <c r="T374" s="223"/>
      <c r="U374" s="9"/>
      <c r="V374" s="9"/>
      <c r="W374" s="971"/>
      <c r="X374" s="9"/>
      <c r="Y374" s="9"/>
      <c r="Z374" s="204"/>
      <c r="AA374" s="9"/>
      <c r="AB374" s="9"/>
      <c r="AC374" s="9"/>
      <c r="AD374" s="9"/>
    </row>
    <row r="375" ht="15.75" customHeight="1">
      <c r="A375" s="9"/>
      <c r="B375" s="223"/>
      <c r="C375" s="9"/>
      <c r="D375" s="9"/>
      <c r="E375" s="223"/>
      <c r="F375" s="9"/>
      <c r="G375" s="9"/>
      <c r="H375" s="9"/>
      <c r="I375" s="9"/>
      <c r="J375" s="9"/>
      <c r="K375" s="9"/>
      <c r="L375" s="9"/>
      <c r="M375" s="9"/>
      <c r="N375" s="9"/>
      <c r="O375" s="9"/>
      <c r="P375" s="9"/>
      <c r="Q375" s="9"/>
      <c r="R375" s="9"/>
      <c r="S375" s="9"/>
      <c r="T375" s="223"/>
      <c r="U375" s="9"/>
      <c r="V375" s="9"/>
      <c r="W375" s="971"/>
      <c r="X375" s="9"/>
      <c r="Y375" s="9"/>
      <c r="Z375" s="204"/>
      <c r="AA375" s="9"/>
      <c r="AB375" s="9"/>
      <c r="AC375" s="9"/>
      <c r="AD375" s="9"/>
    </row>
    <row r="376" ht="15.75" customHeight="1">
      <c r="A376" s="9"/>
      <c r="B376" s="223"/>
      <c r="C376" s="9"/>
      <c r="D376" s="9"/>
      <c r="E376" s="223"/>
      <c r="F376" s="9"/>
      <c r="G376" s="9"/>
      <c r="H376" s="9"/>
      <c r="I376" s="9"/>
      <c r="J376" s="9"/>
      <c r="K376" s="9"/>
      <c r="L376" s="9"/>
      <c r="M376" s="9"/>
      <c r="N376" s="9"/>
      <c r="O376" s="9"/>
      <c r="P376" s="9"/>
      <c r="Q376" s="9"/>
      <c r="R376" s="9"/>
      <c r="S376" s="9"/>
      <c r="T376" s="223"/>
      <c r="U376" s="9"/>
      <c r="V376" s="9"/>
      <c r="W376" s="971"/>
      <c r="X376" s="9"/>
      <c r="Y376" s="9"/>
      <c r="Z376" s="204"/>
      <c r="AA376" s="9"/>
      <c r="AB376" s="9"/>
      <c r="AC376" s="9"/>
      <c r="AD376" s="9"/>
    </row>
    <row r="377" ht="15.75" customHeight="1">
      <c r="A377" s="9"/>
      <c r="B377" s="223"/>
      <c r="C377" s="9"/>
      <c r="D377" s="9"/>
      <c r="E377" s="223"/>
      <c r="F377" s="9"/>
      <c r="G377" s="9"/>
      <c r="H377" s="9"/>
      <c r="I377" s="9"/>
      <c r="J377" s="9"/>
      <c r="K377" s="9"/>
      <c r="L377" s="9"/>
      <c r="M377" s="9"/>
      <c r="N377" s="9"/>
      <c r="O377" s="9"/>
      <c r="P377" s="9"/>
      <c r="Q377" s="9"/>
      <c r="R377" s="9"/>
      <c r="S377" s="9"/>
      <c r="T377" s="223"/>
      <c r="U377" s="9"/>
      <c r="V377" s="9"/>
      <c r="W377" s="971"/>
      <c r="X377" s="9"/>
      <c r="Y377" s="9"/>
      <c r="Z377" s="204"/>
      <c r="AA377" s="9"/>
      <c r="AB377" s="9"/>
      <c r="AC377" s="9"/>
      <c r="AD377" s="9"/>
    </row>
    <row r="378" ht="15.75" customHeight="1">
      <c r="A378" s="9"/>
      <c r="B378" s="223"/>
      <c r="C378" s="9"/>
      <c r="D378" s="9"/>
      <c r="E378" s="223"/>
      <c r="F378" s="9"/>
      <c r="G378" s="9"/>
      <c r="H378" s="9"/>
      <c r="I378" s="9"/>
      <c r="J378" s="9"/>
      <c r="K378" s="9"/>
      <c r="L378" s="9"/>
      <c r="M378" s="9"/>
      <c r="N378" s="9"/>
      <c r="O378" s="9"/>
      <c r="P378" s="9"/>
      <c r="Q378" s="9"/>
      <c r="R378" s="9"/>
      <c r="S378" s="9"/>
      <c r="T378" s="223"/>
      <c r="U378" s="9"/>
      <c r="V378" s="9"/>
      <c r="W378" s="971"/>
      <c r="X378" s="9"/>
      <c r="Y378" s="9"/>
      <c r="Z378" s="204"/>
      <c r="AA378" s="9"/>
      <c r="AB378" s="9"/>
      <c r="AC378" s="9"/>
      <c r="AD378" s="9"/>
    </row>
    <row r="379" ht="15.75" customHeight="1">
      <c r="A379" s="9"/>
      <c r="B379" s="223"/>
      <c r="C379" s="9"/>
      <c r="D379" s="9"/>
      <c r="E379" s="223"/>
      <c r="F379" s="9"/>
      <c r="G379" s="9"/>
      <c r="H379" s="9"/>
      <c r="I379" s="9"/>
      <c r="J379" s="9"/>
      <c r="K379" s="9"/>
      <c r="L379" s="9"/>
      <c r="M379" s="9"/>
      <c r="N379" s="9"/>
      <c r="O379" s="9"/>
      <c r="P379" s="9"/>
      <c r="Q379" s="9"/>
      <c r="R379" s="9"/>
      <c r="S379" s="9"/>
      <c r="T379" s="223"/>
      <c r="U379" s="9"/>
      <c r="V379" s="9"/>
      <c r="W379" s="971"/>
      <c r="X379" s="9"/>
      <c r="Y379" s="9"/>
      <c r="Z379" s="204"/>
      <c r="AA379" s="9"/>
      <c r="AB379" s="9"/>
      <c r="AC379" s="9"/>
      <c r="AD379" s="9"/>
    </row>
    <row r="380" ht="15.75" customHeight="1">
      <c r="A380" s="9"/>
      <c r="B380" s="223"/>
      <c r="C380" s="9"/>
      <c r="D380" s="9"/>
      <c r="E380" s="223"/>
      <c r="F380" s="9"/>
      <c r="G380" s="9"/>
      <c r="H380" s="9"/>
      <c r="I380" s="9"/>
      <c r="J380" s="9"/>
      <c r="K380" s="9"/>
      <c r="L380" s="9"/>
      <c r="M380" s="9"/>
      <c r="N380" s="9"/>
      <c r="O380" s="9"/>
      <c r="P380" s="9"/>
      <c r="Q380" s="9"/>
      <c r="R380" s="9"/>
      <c r="S380" s="9"/>
      <c r="T380" s="223"/>
      <c r="U380" s="9"/>
      <c r="V380" s="9"/>
      <c r="W380" s="971"/>
      <c r="X380" s="9"/>
      <c r="Y380" s="9"/>
      <c r="Z380" s="204"/>
      <c r="AA380" s="9"/>
      <c r="AB380" s="9"/>
      <c r="AC380" s="9"/>
      <c r="AD380" s="9"/>
    </row>
    <row r="381" ht="15.75" customHeight="1">
      <c r="A381" s="9"/>
      <c r="B381" s="223"/>
      <c r="C381" s="9"/>
      <c r="D381" s="9"/>
      <c r="E381" s="223"/>
      <c r="F381" s="9"/>
      <c r="G381" s="9"/>
      <c r="H381" s="9"/>
      <c r="I381" s="9"/>
      <c r="J381" s="9"/>
      <c r="K381" s="9"/>
      <c r="L381" s="9"/>
      <c r="M381" s="9"/>
      <c r="N381" s="9"/>
      <c r="O381" s="9"/>
      <c r="P381" s="9"/>
      <c r="Q381" s="9"/>
      <c r="R381" s="9"/>
      <c r="S381" s="9"/>
      <c r="T381" s="223"/>
      <c r="U381" s="9"/>
      <c r="V381" s="9"/>
      <c r="W381" s="971"/>
      <c r="X381" s="9"/>
      <c r="Y381" s="9"/>
      <c r="Z381" s="204"/>
      <c r="AA381" s="9"/>
      <c r="AB381" s="9"/>
      <c r="AC381" s="9"/>
      <c r="AD381" s="9"/>
    </row>
    <row r="382" ht="15.75" customHeight="1">
      <c r="A382" s="9"/>
      <c r="B382" s="223"/>
      <c r="C382" s="9"/>
      <c r="D382" s="9"/>
      <c r="E382" s="223"/>
      <c r="F382" s="9"/>
      <c r="G382" s="9"/>
      <c r="H382" s="9"/>
      <c r="I382" s="9"/>
      <c r="J382" s="9"/>
      <c r="K382" s="9"/>
      <c r="L382" s="9"/>
      <c r="M382" s="9"/>
      <c r="N382" s="9"/>
      <c r="O382" s="9"/>
      <c r="P382" s="9"/>
      <c r="Q382" s="9"/>
      <c r="R382" s="9"/>
      <c r="S382" s="9"/>
      <c r="T382" s="223"/>
      <c r="U382" s="9"/>
      <c r="V382" s="9"/>
      <c r="W382" s="971"/>
      <c r="X382" s="9"/>
      <c r="Y382" s="9"/>
      <c r="Z382" s="204"/>
      <c r="AA382" s="9"/>
      <c r="AB382" s="9"/>
      <c r="AC382" s="9"/>
      <c r="AD382" s="9"/>
    </row>
    <row r="383" ht="15.75" customHeight="1">
      <c r="A383" s="9"/>
      <c r="B383" s="223"/>
      <c r="C383" s="9"/>
      <c r="D383" s="9"/>
      <c r="E383" s="223"/>
      <c r="F383" s="9"/>
      <c r="G383" s="9"/>
      <c r="H383" s="9"/>
      <c r="I383" s="9"/>
      <c r="J383" s="9"/>
      <c r="K383" s="9"/>
      <c r="L383" s="9"/>
      <c r="M383" s="9"/>
      <c r="N383" s="9"/>
      <c r="O383" s="9"/>
      <c r="P383" s="9"/>
      <c r="Q383" s="9"/>
      <c r="R383" s="9"/>
      <c r="S383" s="9"/>
      <c r="T383" s="223"/>
      <c r="U383" s="9"/>
      <c r="V383" s="9"/>
      <c r="W383" s="971"/>
      <c r="X383" s="9"/>
      <c r="Y383" s="9"/>
      <c r="Z383" s="204"/>
      <c r="AA383" s="9"/>
      <c r="AB383" s="9"/>
      <c r="AC383" s="9"/>
      <c r="AD383" s="9"/>
    </row>
    <row r="384" ht="15.75" customHeight="1">
      <c r="A384" s="9"/>
      <c r="B384" s="223"/>
      <c r="C384" s="9"/>
      <c r="D384" s="9"/>
      <c r="E384" s="223"/>
      <c r="F384" s="9"/>
      <c r="G384" s="9"/>
      <c r="H384" s="9"/>
      <c r="I384" s="9"/>
      <c r="J384" s="9"/>
      <c r="K384" s="9"/>
      <c r="L384" s="9"/>
      <c r="M384" s="9"/>
      <c r="N384" s="9"/>
      <c r="O384" s="9"/>
      <c r="P384" s="9"/>
      <c r="Q384" s="9"/>
      <c r="R384" s="9"/>
      <c r="S384" s="9"/>
      <c r="T384" s="223"/>
      <c r="U384" s="9"/>
      <c r="V384" s="9"/>
      <c r="W384" s="971"/>
      <c r="X384" s="9"/>
      <c r="Y384" s="9"/>
      <c r="Z384" s="204"/>
      <c r="AA384" s="9"/>
      <c r="AB384" s="9"/>
      <c r="AC384" s="9"/>
      <c r="AD384" s="9"/>
    </row>
    <row r="385" ht="15.75" customHeight="1">
      <c r="A385" s="9"/>
      <c r="B385" s="223"/>
      <c r="C385" s="9"/>
      <c r="D385" s="9"/>
      <c r="E385" s="223"/>
      <c r="F385" s="9"/>
      <c r="G385" s="9"/>
      <c r="H385" s="9"/>
      <c r="I385" s="9"/>
      <c r="J385" s="9"/>
      <c r="K385" s="9"/>
      <c r="L385" s="9"/>
      <c r="M385" s="9"/>
      <c r="N385" s="9"/>
      <c r="O385" s="9"/>
      <c r="P385" s="9"/>
      <c r="Q385" s="9"/>
      <c r="R385" s="9"/>
      <c r="S385" s="9"/>
      <c r="T385" s="223"/>
      <c r="U385" s="9"/>
      <c r="V385" s="9"/>
      <c r="W385" s="971"/>
      <c r="X385" s="9"/>
      <c r="Y385" s="9"/>
      <c r="Z385" s="204"/>
      <c r="AA385" s="9"/>
      <c r="AB385" s="9"/>
      <c r="AC385" s="9"/>
      <c r="AD385" s="9"/>
    </row>
    <row r="386" ht="15.75" customHeight="1">
      <c r="A386" s="9"/>
      <c r="B386" s="223"/>
      <c r="C386" s="9"/>
      <c r="D386" s="9"/>
      <c r="E386" s="223"/>
      <c r="F386" s="9"/>
      <c r="G386" s="9"/>
      <c r="H386" s="9"/>
      <c r="I386" s="9"/>
      <c r="J386" s="9"/>
      <c r="K386" s="9"/>
      <c r="L386" s="9"/>
      <c r="M386" s="9"/>
      <c r="N386" s="9"/>
      <c r="O386" s="9"/>
      <c r="P386" s="9"/>
      <c r="Q386" s="9"/>
      <c r="R386" s="9"/>
      <c r="S386" s="9"/>
      <c r="T386" s="223"/>
      <c r="U386" s="9"/>
      <c r="V386" s="9"/>
      <c r="W386" s="971"/>
      <c r="X386" s="9"/>
      <c r="Y386" s="9"/>
      <c r="Z386" s="204"/>
      <c r="AA386" s="9"/>
      <c r="AB386" s="9"/>
      <c r="AC386" s="9"/>
      <c r="AD386" s="9"/>
    </row>
    <row r="387" ht="15.75" customHeight="1">
      <c r="A387" s="9"/>
      <c r="B387" s="223"/>
      <c r="C387" s="9"/>
      <c r="D387" s="9"/>
      <c r="E387" s="223"/>
      <c r="F387" s="9"/>
      <c r="G387" s="9"/>
      <c r="H387" s="9"/>
      <c r="I387" s="9"/>
      <c r="J387" s="9"/>
      <c r="K387" s="9"/>
      <c r="L387" s="9"/>
      <c r="M387" s="9"/>
      <c r="N387" s="9"/>
      <c r="O387" s="9"/>
      <c r="P387" s="9"/>
      <c r="Q387" s="9"/>
      <c r="R387" s="9"/>
      <c r="S387" s="9"/>
      <c r="T387" s="223"/>
      <c r="U387" s="9"/>
      <c r="V387" s="9"/>
      <c r="W387" s="971"/>
      <c r="X387" s="9"/>
      <c r="Y387" s="9"/>
      <c r="Z387" s="204"/>
      <c r="AA387" s="9"/>
      <c r="AB387" s="9"/>
      <c r="AC387" s="9"/>
      <c r="AD387" s="9"/>
    </row>
    <row r="388" ht="15.75" customHeight="1">
      <c r="A388" s="9"/>
      <c r="B388" s="223"/>
      <c r="C388" s="9"/>
      <c r="D388" s="9"/>
      <c r="E388" s="223"/>
      <c r="F388" s="9"/>
      <c r="G388" s="9"/>
      <c r="H388" s="9"/>
      <c r="I388" s="9"/>
      <c r="J388" s="9"/>
      <c r="K388" s="9"/>
      <c r="L388" s="9"/>
      <c r="M388" s="9"/>
      <c r="N388" s="9"/>
      <c r="O388" s="9"/>
      <c r="P388" s="9"/>
      <c r="Q388" s="9"/>
      <c r="R388" s="9"/>
      <c r="S388" s="9"/>
      <c r="T388" s="223"/>
      <c r="U388" s="9"/>
      <c r="V388" s="9"/>
      <c r="W388" s="971"/>
      <c r="X388" s="9"/>
      <c r="Y388" s="9"/>
      <c r="Z388" s="204"/>
      <c r="AA388" s="9"/>
      <c r="AB388" s="9"/>
      <c r="AC388" s="9"/>
      <c r="AD388" s="9"/>
    </row>
    <row r="389" ht="15.75" customHeight="1">
      <c r="A389" s="9"/>
      <c r="B389" s="223"/>
      <c r="C389" s="9"/>
      <c r="D389" s="9"/>
      <c r="E389" s="223"/>
      <c r="F389" s="9"/>
      <c r="G389" s="9"/>
      <c r="H389" s="9"/>
      <c r="I389" s="9"/>
      <c r="J389" s="9"/>
      <c r="K389" s="9"/>
      <c r="L389" s="9"/>
      <c r="M389" s="9"/>
      <c r="N389" s="9"/>
      <c r="O389" s="9"/>
      <c r="P389" s="9"/>
      <c r="Q389" s="9"/>
      <c r="R389" s="9"/>
      <c r="S389" s="9"/>
      <c r="T389" s="223"/>
      <c r="U389" s="9"/>
      <c r="V389" s="9"/>
      <c r="W389" s="971"/>
      <c r="X389" s="9"/>
      <c r="Y389" s="9"/>
      <c r="Z389" s="204"/>
      <c r="AA389" s="9"/>
      <c r="AB389" s="9"/>
      <c r="AC389" s="9"/>
      <c r="AD389" s="9"/>
    </row>
    <row r="390" ht="15.75" customHeight="1">
      <c r="A390" s="9"/>
      <c r="B390" s="223"/>
      <c r="C390" s="9"/>
      <c r="D390" s="9"/>
      <c r="E390" s="223"/>
      <c r="F390" s="9"/>
      <c r="G390" s="9"/>
      <c r="H390" s="9"/>
      <c r="I390" s="9"/>
      <c r="J390" s="9"/>
      <c r="K390" s="9"/>
      <c r="L390" s="9"/>
      <c r="M390" s="9"/>
      <c r="N390" s="9"/>
      <c r="O390" s="9"/>
      <c r="P390" s="9"/>
      <c r="Q390" s="9"/>
      <c r="R390" s="9"/>
      <c r="S390" s="9"/>
      <c r="T390" s="223"/>
      <c r="U390" s="9"/>
      <c r="V390" s="9"/>
      <c r="W390" s="971"/>
      <c r="X390" s="9"/>
      <c r="Y390" s="9"/>
      <c r="Z390" s="204"/>
      <c r="AA390" s="9"/>
      <c r="AB390" s="9"/>
      <c r="AC390" s="9"/>
      <c r="AD390" s="9"/>
    </row>
    <row r="391" ht="15.75" customHeight="1">
      <c r="A391" s="9"/>
      <c r="B391" s="223"/>
      <c r="C391" s="9"/>
      <c r="D391" s="9"/>
      <c r="E391" s="223"/>
      <c r="F391" s="9"/>
      <c r="G391" s="9"/>
      <c r="H391" s="9"/>
      <c r="I391" s="9"/>
      <c r="J391" s="9"/>
      <c r="K391" s="9"/>
      <c r="L391" s="9"/>
      <c r="M391" s="9"/>
      <c r="N391" s="9"/>
      <c r="O391" s="9"/>
      <c r="P391" s="9"/>
      <c r="Q391" s="9"/>
      <c r="R391" s="9"/>
      <c r="S391" s="9"/>
      <c r="T391" s="223"/>
      <c r="U391" s="9"/>
      <c r="V391" s="9"/>
      <c r="W391" s="971"/>
      <c r="X391" s="9"/>
      <c r="Y391" s="9"/>
      <c r="Z391" s="204"/>
      <c r="AA391" s="9"/>
      <c r="AB391" s="9"/>
      <c r="AC391" s="9"/>
      <c r="AD391" s="9"/>
    </row>
    <row r="392" ht="15.75" customHeight="1">
      <c r="A392" s="9"/>
      <c r="B392" s="223"/>
      <c r="C392" s="9"/>
      <c r="D392" s="9"/>
      <c r="E392" s="223"/>
      <c r="F392" s="9"/>
      <c r="G392" s="9"/>
      <c r="H392" s="9"/>
      <c r="I392" s="9"/>
      <c r="J392" s="9"/>
      <c r="K392" s="9"/>
      <c r="L392" s="9"/>
      <c r="M392" s="9"/>
      <c r="N392" s="9"/>
      <c r="O392" s="9"/>
      <c r="P392" s="9"/>
      <c r="Q392" s="9"/>
      <c r="R392" s="9"/>
      <c r="S392" s="9"/>
      <c r="T392" s="223"/>
      <c r="U392" s="9"/>
      <c r="V392" s="9"/>
      <c r="W392" s="971"/>
      <c r="X392" s="9"/>
      <c r="Y392" s="9"/>
      <c r="Z392" s="204"/>
      <c r="AA392" s="9"/>
      <c r="AB392" s="9"/>
      <c r="AC392" s="9"/>
      <c r="AD392" s="9"/>
    </row>
    <row r="393" ht="15.75" customHeight="1">
      <c r="A393" s="9"/>
      <c r="B393" s="223"/>
      <c r="C393" s="9"/>
      <c r="D393" s="9"/>
      <c r="E393" s="223"/>
      <c r="F393" s="9"/>
      <c r="G393" s="9"/>
      <c r="H393" s="9"/>
      <c r="I393" s="9"/>
      <c r="J393" s="9"/>
      <c r="K393" s="9"/>
      <c r="L393" s="9"/>
      <c r="M393" s="9"/>
      <c r="N393" s="9"/>
      <c r="O393" s="9"/>
      <c r="P393" s="9"/>
      <c r="Q393" s="9"/>
      <c r="R393" s="9"/>
      <c r="S393" s="9"/>
      <c r="T393" s="223"/>
      <c r="U393" s="9"/>
      <c r="V393" s="9"/>
      <c r="W393" s="971"/>
      <c r="X393" s="9"/>
      <c r="Y393" s="9"/>
      <c r="Z393" s="204"/>
      <c r="AA393" s="9"/>
      <c r="AB393" s="9"/>
      <c r="AC393" s="9"/>
      <c r="AD393" s="9"/>
    </row>
    <row r="394" ht="15.75" customHeight="1">
      <c r="A394" s="9"/>
      <c r="B394" s="223"/>
      <c r="C394" s="9"/>
      <c r="D394" s="9"/>
      <c r="E394" s="223"/>
      <c r="F394" s="9"/>
      <c r="G394" s="9"/>
      <c r="H394" s="9"/>
      <c r="I394" s="9"/>
      <c r="J394" s="9"/>
      <c r="K394" s="9"/>
      <c r="L394" s="9"/>
      <c r="M394" s="9"/>
      <c r="N394" s="9"/>
      <c r="O394" s="9"/>
      <c r="P394" s="9"/>
      <c r="Q394" s="9"/>
      <c r="R394" s="9"/>
      <c r="S394" s="9"/>
      <c r="T394" s="223"/>
      <c r="U394" s="9"/>
      <c r="V394" s="9"/>
      <c r="W394" s="971"/>
      <c r="X394" s="9"/>
      <c r="Y394" s="9"/>
      <c r="Z394" s="204"/>
      <c r="AA394" s="9"/>
      <c r="AB394" s="9"/>
      <c r="AC394" s="9"/>
      <c r="AD394" s="9"/>
    </row>
    <row r="395" ht="15.75" customHeight="1">
      <c r="A395" s="9"/>
      <c r="B395" s="223"/>
      <c r="C395" s="9"/>
      <c r="D395" s="9"/>
      <c r="E395" s="223"/>
      <c r="F395" s="9"/>
      <c r="G395" s="9"/>
      <c r="H395" s="9"/>
      <c r="I395" s="9"/>
      <c r="J395" s="9"/>
      <c r="K395" s="9"/>
      <c r="L395" s="9"/>
      <c r="M395" s="9"/>
      <c r="N395" s="9"/>
      <c r="O395" s="9"/>
      <c r="P395" s="9"/>
      <c r="Q395" s="9"/>
      <c r="R395" s="9"/>
      <c r="S395" s="9"/>
      <c r="T395" s="223"/>
      <c r="U395" s="9"/>
      <c r="V395" s="9"/>
      <c r="W395" s="971"/>
      <c r="X395" s="9"/>
      <c r="Y395" s="9"/>
      <c r="Z395" s="204"/>
      <c r="AA395" s="9"/>
      <c r="AB395" s="9"/>
      <c r="AC395" s="9"/>
      <c r="AD395" s="9"/>
    </row>
    <row r="396" ht="15.75" customHeight="1">
      <c r="A396" s="9"/>
      <c r="B396" s="223"/>
      <c r="C396" s="9"/>
      <c r="D396" s="9"/>
      <c r="E396" s="223"/>
      <c r="F396" s="9"/>
      <c r="G396" s="9"/>
      <c r="H396" s="9"/>
      <c r="I396" s="9"/>
      <c r="J396" s="9"/>
      <c r="K396" s="9"/>
      <c r="L396" s="9"/>
      <c r="M396" s="9"/>
      <c r="N396" s="9"/>
      <c r="O396" s="9"/>
      <c r="P396" s="9"/>
      <c r="Q396" s="9"/>
      <c r="R396" s="9"/>
      <c r="S396" s="9"/>
      <c r="T396" s="223"/>
      <c r="U396" s="9"/>
      <c r="V396" s="9"/>
      <c r="W396" s="971"/>
      <c r="X396" s="9"/>
      <c r="Y396" s="9"/>
      <c r="Z396" s="204"/>
      <c r="AA396" s="9"/>
      <c r="AB396" s="9"/>
      <c r="AC396" s="9"/>
      <c r="AD396" s="9"/>
    </row>
    <row r="397" ht="15.75" customHeight="1">
      <c r="A397" s="9"/>
      <c r="B397" s="223"/>
      <c r="C397" s="9"/>
      <c r="D397" s="9"/>
      <c r="E397" s="223"/>
      <c r="F397" s="9"/>
      <c r="G397" s="9"/>
      <c r="H397" s="9"/>
      <c r="I397" s="9"/>
      <c r="J397" s="9"/>
      <c r="K397" s="9"/>
      <c r="L397" s="9"/>
      <c r="M397" s="9"/>
      <c r="N397" s="9"/>
      <c r="O397" s="9"/>
      <c r="P397" s="9"/>
      <c r="Q397" s="9"/>
      <c r="R397" s="9"/>
      <c r="S397" s="9"/>
      <c r="T397" s="223"/>
      <c r="U397" s="9"/>
      <c r="V397" s="9"/>
      <c r="W397" s="971"/>
      <c r="X397" s="9"/>
      <c r="Y397" s="9"/>
      <c r="Z397" s="204"/>
      <c r="AA397" s="9"/>
      <c r="AB397" s="9"/>
      <c r="AC397" s="9"/>
      <c r="AD397" s="9"/>
    </row>
    <row r="398" ht="15.75" customHeight="1">
      <c r="A398" s="9"/>
      <c r="B398" s="223"/>
      <c r="C398" s="9"/>
      <c r="D398" s="9"/>
      <c r="E398" s="223"/>
      <c r="F398" s="9"/>
      <c r="G398" s="9"/>
      <c r="H398" s="9"/>
      <c r="I398" s="9"/>
      <c r="J398" s="9"/>
      <c r="K398" s="9"/>
      <c r="L398" s="9"/>
      <c r="M398" s="9"/>
      <c r="N398" s="9"/>
      <c r="O398" s="9"/>
      <c r="P398" s="9"/>
      <c r="Q398" s="9"/>
      <c r="R398" s="9"/>
      <c r="S398" s="9"/>
      <c r="T398" s="223"/>
      <c r="U398" s="9"/>
      <c r="V398" s="9"/>
      <c r="W398" s="971"/>
      <c r="X398" s="9"/>
      <c r="Y398" s="9"/>
      <c r="Z398" s="204"/>
      <c r="AA398" s="9"/>
      <c r="AB398" s="9"/>
      <c r="AC398" s="9"/>
      <c r="AD398" s="9"/>
    </row>
    <row r="399" ht="15.75" customHeight="1">
      <c r="A399" s="9"/>
      <c r="B399" s="223"/>
      <c r="C399" s="9"/>
      <c r="D399" s="9"/>
      <c r="E399" s="223"/>
      <c r="F399" s="9"/>
      <c r="G399" s="9"/>
      <c r="H399" s="9"/>
      <c r="I399" s="9"/>
      <c r="J399" s="9"/>
      <c r="K399" s="9"/>
      <c r="L399" s="9"/>
      <c r="M399" s="9"/>
      <c r="N399" s="9"/>
      <c r="O399" s="9"/>
      <c r="P399" s="9"/>
      <c r="Q399" s="9"/>
      <c r="R399" s="9"/>
      <c r="S399" s="9"/>
      <c r="T399" s="223"/>
      <c r="U399" s="9"/>
      <c r="V399" s="9"/>
      <c r="W399" s="971"/>
      <c r="X399" s="9"/>
      <c r="Y399" s="9"/>
      <c r="Z399" s="204"/>
      <c r="AA399" s="9"/>
      <c r="AB399" s="9"/>
      <c r="AC399" s="9"/>
      <c r="AD399" s="9"/>
    </row>
    <row r="400" ht="15.75" customHeight="1">
      <c r="A400" s="9"/>
      <c r="B400" s="223"/>
      <c r="C400" s="9"/>
      <c r="D400" s="9"/>
      <c r="E400" s="223"/>
      <c r="F400" s="9"/>
      <c r="G400" s="9"/>
      <c r="H400" s="9"/>
      <c r="I400" s="9"/>
      <c r="J400" s="9"/>
      <c r="K400" s="9"/>
      <c r="L400" s="9"/>
      <c r="M400" s="9"/>
      <c r="N400" s="9"/>
      <c r="O400" s="9"/>
      <c r="P400" s="9"/>
      <c r="Q400" s="9"/>
      <c r="R400" s="9"/>
      <c r="S400" s="9"/>
      <c r="T400" s="223"/>
      <c r="U400" s="9"/>
      <c r="V400" s="9"/>
      <c r="W400" s="971"/>
      <c r="X400" s="9"/>
      <c r="Y400" s="9"/>
      <c r="Z400" s="204"/>
      <c r="AA400" s="9"/>
      <c r="AB400" s="9"/>
      <c r="AC400" s="9"/>
      <c r="AD400" s="9"/>
    </row>
    <row r="401" ht="15.75" customHeight="1">
      <c r="A401" s="9"/>
      <c r="B401" s="223"/>
      <c r="C401" s="9"/>
      <c r="D401" s="9"/>
      <c r="E401" s="223"/>
      <c r="F401" s="9"/>
      <c r="G401" s="9"/>
      <c r="H401" s="9"/>
      <c r="I401" s="9"/>
      <c r="J401" s="9"/>
      <c r="K401" s="9"/>
      <c r="L401" s="9"/>
      <c r="M401" s="9"/>
      <c r="N401" s="9"/>
      <c r="O401" s="9"/>
      <c r="P401" s="9"/>
      <c r="Q401" s="9"/>
      <c r="R401" s="9"/>
      <c r="S401" s="9"/>
      <c r="T401" s="223"/>
      <c r="U401" s="9"/>
      <c r="V401" s="9"/>
      <c r="W401" s="971"/>
      <c r="X401" s="9"/>
      <c r="Y401" s="9"/>
      <c r="Z401" s="204"/>
      <c r="AA401" s="9"/>
      <c r="AB401" s="9"/>
      <c r="AC401" s="9"/>
      <c r="AD401" s="9"/>
    </row>
    <row r="402" ht="15.75" customHeight="1">
      <c r="A402" s="9"/>
      <c r="B402" s="223"/>
      <c r="C402" s="9"/>
      <c r="D402" s="9"/>
      <c r="E402" s="223"/>
      <c r="F402" s="9"/>
      <c r="G402" s="9"/>
      <c r="H402" s="9"/>
      <c r="I402" s="9"/>
      <c r="J402" s="9"/>
      <c r="K402" s="9"/>
      <c r="L402" s="9"/>
      <c r="M402" s="9"/>
      <c r="N402" s="9"/>
      <c r="O402" s="9"/>
      <c r="P402" s="9"/>
      <c r="Q402" s="9"/>
      <c r="R402" s="9"/>
      <c r="S402" s="9"/>
      <c r="T402" s="223"/>
      <c r="U402" s="9"/>
      <c r="V402" s="9"/>
      <c r="W402" s="971"/>
      <c r="X402" s="9"/>
      <c r="Y402" s="9"/>
      <c r="Z402" s="204"/>
      <c r="AA402" s="9"/>
      <c r="AB402" s="9"/>
      <c r="AC402" s="9"/>
      <c r="AD402" s="9"/>
    </row>
    <row r="403" ht="15.75" customHeight="1">
      <c r="A403" s="9"/>
      <c r="B403" s="223"/>
      <c r="C403" s="9"/>
      <c r="D403" s="9"/>
      <c r="E403" s="223"/>
      <c r="F403" s="9"/>
      <c r="G403" s="9"/>
      <c r="H403" s="9"/>
      <c r="I403" s="9"/>
      <c r="J403" s="9"/>
      <c r="K403" s="9"/>
      <c r="L403" s="9"/>
      <c r="M403" s="9"/>
      <c r="N403" s="9"/>
      <c r="O403" s="9"/>
      <c r="P403" s="9"/>
      <c r="Q403" s="9"/>
      <c r="R403" s="9"/>
      <c r="S403" s="9"/>
      <c r="T403" s="223"/>
      <c r="U403" s="9"/>
      <c r="V403" s="9"/>
      <c r="W403" s="971"/>
      <c r="X403" s="9"/>
      <c r="Y403" s="9"/>
      <c r="Z403" s="204"/>
      <c r="AA403" s="9"/>
      <c r="AB403" s="9"/>
      <c r="AC403" s="9"/>
      <c r="AD403" s="9"/>
    </row>
    <row r="404" ht="15.75" customHeight="1">
      <c r="A404" s="9"/>
      <c r="B404" s="223"/>
      <c r="C404" s="9"/>
      <c r="D404" s="9"/>
      <c r="E404" s="223"/>
      <c r="F404" s="9"/>
      <c r="G404" s="9"/>
      <c r="H404" s="9"/>
      <c r="I404" s="9"/>
      <c r="J404" s="9"/>
      <c r="K404" s="9"/>
      <c r="L404" s="9"/>
      <c r="M404" s="9"/>
      <c r="N404" s="9"/>
      <c r="O404" s="9"/>
      <c r="P404" s="9"/>
      <c r="Q404" s="9"/>
      <c r="R404" s="9"/>
      <c r="S404" s="9"/>
      <c r="T404" s="223"/>
      <c r="U404" s="9"/>
      <c r="V404" s="9"/>
      <c r="W404" s="971"/>
      <c r="X404" s="9"/>
      <c r="Y404" s="9"/>
      <c r="Z404" s="204"/>
      <c r="AA404" s="9"/>
      <c r="AB404" s="9"/>
      <c r="AC404" s="9"/>
      <c r="AD404" s="9"/>
    </row>
    <row r="405" ht="15.75" customHeight="1">
      <c r="A405" s="9"/>
      <c r="B405" s="223"/>
      <c r="C405" s="9"/>
      <c r="D405" s="9"/>
      <c r="E405" s="223"/>
      <c r="F405" s="9"/>
      <c r="G405" s="9"/>
      <c r="H405" s="9"/>
      <c r="I405" s="9"/>
      <c r="J405" s="9"/>
      <c r="K405" s="9"/>
      <c r="L405" s="9"/>
      <c r="M405" s="9"/>
      <c r="N405" s="9"/>
      <c r="O405" s="9"/>
      <c r="P405" s="9"/>
      <c r="Q405" s="9"/>
      <c r="R405" s="9"/>
      <c r="S405" s="9"/>
      <c r="T405" s="223"/>
      <c r="U405" s="9"/>
      <c r="V405" s="9"/>
      <c r="W405" s="971"/>
      <c r="X405" s="9"/>
      <c r="Y405" s="9"/>
      <c r="Z405" s="204"/>
      <c r="AA405" s="9"/>
      <c r="AB405" s="9"/>
      <c r="AC405" s="9"/>
      <c r="AD405" s="9"/>
    </row>
    <row r="406" ht="15.75" customHeight="1">
      <c r="A406" s="9"/>
      <c r="B406" s="223"/>
      <c r="C406" s="9"/>
      <c r="D406" s="9"/>
      <c r="E406" s="223"/>
      <c r="F406" s="9"/>
      <c r="G406" s="9"/>
      <c r="H406" s="9"/>
      <c r="I406" s="9"/>
      <c r="J406" s="9"/>
      <c r="K406" s="9"/>
      <c r="L406" s="9"/>
      <c r="M406" s="9"/>
      <c r="N406" s="9"/>
      <c r="O406" s="9"/>
      <c r="P406" s="9"/>
      <c r="Q406" s="9"/>
      <c r="R406" s="9"/>
      <c r="S406" s="9"/>
      <c r="T406" s="223"/>
      <c r="U406" s="9"/>
      <c r="V406" s="9"/>
      <c r="W406" s="971"/>
      <c r="X406" s="9"/>
      <c r="Y406" s="9"/>
      <c r="Z406" s="204"/>
      <c r="AA406" s="9"/>
      <c r="AB406" s="9"/>
      <c r="AC406" s="9"/>
      <c r="AD406" s="9"/>
    </row>
    <row r="407" ht="15.75" customHeight="1">
      <c r="A407" s="9"/>
      <c r="B407" s="223"/>
      <c r="C407" s="9"/>
      <c r="D407" s="9"/>
      <c r="E407" s="223"/>
      <c r="F407" s="9"/>
      <c r="G407" s="9"/>
      <c r="H407" s="9"/>
      <c r="I407" s="9"/>
      <c r="J407" s="9"/>
      <c r="K407" s="9"/>
      <c r="L407" s="9"/>
      <c r="M407" s="9"/>
      <c r="N407" s="9"/>
      <c r="O407" s="9"/>
      <c r="P407" s="9"/>
      <c r="Q407" s="9"/>
      <c r="R407" s="9"/>
      <c r="S407" s="9"/>
      <c r="T407" s="223"/>
      <c r="U407" s="9"/>
      <c r="V407" s="9"/>
      <c r="W407" s="971"/>
      <c r="X407" s="9"/>
      <c r="Y407" s="9"/>
      <c r="Z407" s="204"/>
      <c r="AA407" s="9"/>
      <c r="AB407" s="9"/>
      <c r="AC407" s="9"/>
      <c r="AD407" s="9"/>
    </row>
    <row r="408" ht="15.75" customHeight="1">
      <c r="A408" s="9"/>
      <c r="B408" s="223"/>
      <c r="C408" s="9"/>
      <c r="D408" s="9"/>
      <c r="E408" s="223"/>
      <c r="F408" s="9"/>
      <c r="G408" s="9"/>
      <c r="H408" s="9"/>
      <c r="I408" s="9"/>
      <c r="J408" s="9"/>
      <c r="K408" s="9"/>
      <c r="L408" s="9"/>
      <c r="M408" s="9"/>
      <c r="N408" s="9"/>
      <c r="O408" s="9"/>
      <c r="P408" s="9"/>
      <c r="Q408" s="9"/>
      <c r="R408" s="9"/>
      <c r="S408" s="9"/>
      <c r="T408" s="223"/>
      <c r="U408" s="9"/>
      <c r="V408" s="9"/>
      <c r="W408" s="971"/>
      <c r="X408" s="9"/>
      <c r="Y408" s="9"/>
      <c r="Z408" s="204"/>
      <c r="AA408" s="9"/>
      <c r="AB408" s="9"/>
      <c r="AC408" s="9"/>
      <c r="AD408" s="9"/>
    </row>
    <row r="409" ht="15.75" customHeight="1">
      <c r="A409" s="9"/>
      <c r="B409" s="223"/>
      <c r="C409" s="9"/>
      <c r="D409" s="9"/>
      <c r="E409" s="223"/>
      <c r="F409" s="9"/>
      <c r="G409" s="9"/>
      <c r="H409" s="9"/>
      <c r="I409" s="9"/>
      <c r="J409" s="9"/>
      <c r="K409" s="9"/>
      <c r="L409" s="9"/>
      <c r="M409" s="9"/>
      <c r="N409" s="9"/>
      <c r="O409" s="9"/>
      <c r="P409" s="9"/>
      <c r="Q409" s="9"/>
      <c r="R409" s="9"/>
      <c r="S409" s="9"/>
      <c r="T409" s="223"/>
      <c r="U409" s="9"/>
      <c r="V409" s="9"/>
      <c r="W409" s="971"/>
      <c r="X409" s="9"/>
      <c r="Y409" s="9"/>
      <c r="Z409" s="204"/>
      <c r="AA409" s="9"/>
      <c r="AB409" s="9"/>
      <c r="AC409" s="9"/>
      <c r="AD409" s="9"/>
    </row>
    <row r="410" ht="15.75" customHeight="1">
      <c r="A410" s="9"/>
      <c r="B410" s="223"/>
      <c r="C410" s="9"/>
      <c r="D410" s="9"/>
      <c r="E410" s="223"/>
      <c r="F410" s="9"/>
      <c r="G410" s="9"/>
      <c r="H410" s="9"/>
      <c r="I410" s="9"/>
      <c r="J410" s="9"/>
      <c r="K410" s="9"/>
      <c r="L410" s="9"/>
      <c r="M410" s="9"/>
      <c r="N410" s="9"/>
      <c r="O410" s="9"/>
      <c r="P410" s="9"/>
      <c r="Q410" s="9"/>
      <c r="R410" s="9"/>
      <c r="S410" s="9"/>
      <c r="T410" s="223"/>
      <c r="U410" s="9"/>
      <c r="V410" s="9"/>
      <c r="W410" s="971"/>
      <c r="X410" s="9"/>
      <c r="Y410" s="9"/>
      <c r="Z410" s="204"/>
      <c r="AA410" s="9"/>
      <c r="AB410" s="9"/>
      <c r="AC410" s="9"/>
      <c r="AD410" s="9"/>
    </row>
    <row r="411" ht="15.75" customHeight="1">
      <c r="A411" s="9"/>
      <c r="B411" s="223"/>
      <c r="C411" s="9"/>
      <c r="D411" s="9"/>
      <c r="E411" s="223"/>
      <c r="F411" s="9"/>
      <c r="G411" s="9"/>
      <c r="H411" s="9"/>
      <c r="I411" s="9"/>
      <c r="J411" s="9"/>
      <c r="K411" s="9"/>
      <c r="L411" s="9"/>
      <c r="M411" s="9"/>
      <c r="N411" s="9"/>
      <c r="O411" s="9"/>
      <c r="P411" s="9"/>
      <c r="Q411" s="9"/>
      <c r="R411" s="9"/>
      <c r="S411" s="9"/>
      <c r="T411" s="223"/>
      <c r="U411" s="9"/>
      <c r="V411" s="9"/>
      <c r="W411" s="971"/>
      <c r="X411" s="9"/>
      <c r="Y411" s="9"/>
      <c r="Z411" s="204"/>
      <c r="AA411" s="9"/>
      <c r="AB411" s="9"/>
      <c r="AC411" s="9"/>
      <c r="AD411" s="9"/>
    </row>
    <row r="412" ht="15.75" customHeight="1">
      <c r="A412" s="9"/>
      <c r="B412" s="223"/>
      <c r="C412" s="9"/>
      <c r="D412" s="9"/>
      <c r="E412" s="223"/>
      <c r="F412" s="9"/>
      <c r="G412" s="9"/>
      <c r="H412" s="9"/>
      <c r="I412" s="9"/>
      <c r="J412" s="9"/>
      <c r="K412" s="9"/>
      <c r="L412" s="9"/>
      <c r="M412" s="9"/>
      <c r="N412" s="9"/>
      <c r="O412" s="9"/>
      <c r="P412" s="9"/>
      <c r="Q412" s="9"/>
      <c r="R412" s="9"/>
      <c r="S412" s="9"/>
      <c r="T412" s="223"/>
      <c r="U412" s="9"/>
      <c r="V412" s="9"/>
      <c r="W412" s="971"/>
      <c r="X412" s="9"/>
      <c r="Y412" s="9"/>
      <c r="Z412" s="204"/>
      <c r="AA412" s="9"/>
      <c r="AB412" s="9"/>
      <c r="AC412" s="9"/>
      <c r="AD412" s="9"/>
    </row>
    <row r="413" ht="15.75" customHeight="1">
      <c r="A413" s="9"/>
      <c r="B413" s="223"/>
      <c r="C413" s="9"/>
      <c r="D413" s="9"/>
      <c r="E413" s="223"/>
      <c r="F413" s="9"/>
      <c r="G413" s="9"/>
      <c r="H413" s="9"/>
      <c r="I413" s="9"/>
      <c r="J413" s="9"/>
      <c r="K413" s="9"/>
      <c r="L413" s="9"/>
      <c r="M413" s="9"/>
      <c r="N413" s="9"/>
      <c r="O413" s="9"/>
      <c r="P413" s="9"/>
      <c r="Q413" s="9"/>
      <c r="R413" s="9"/>
      <c r="S413" s="9"/>
      <c r="T413" s="223"/>
      <c r="U413" s="9"/>
      <c r="V413" s="9"/>
      <c r="W413" s="971"/>
      <c r="X413" s="9"/>
      <c r="Y413" s="9"/>
      <c r="Z413" s="204"/>
      <c r="AA413" s="9"/>
      <c r="AB413" s="9"/>
      <c r="AC413" s="9"/>
      <c r="AD413" s="9"/>
    </row>
    <row r="414" ht="15.75" customHeight="1">
      <c r="A414" s="9"/>
      <c r="B414" s="223"/>
      <c r="C414" s="9"/>
      <c r="D414" s="9"/>
      <c r="E414" s="223"/>
      <c r="F414" s="9"/>
      <c r="G414" s="9"/>
      <c r="H414" s="9"/>
      <c r="I414" s="9"/>
      <c r="J414" s="9"/>
      <c r="K414" s="9"/>
      <c r="L414" s="9"/>
      <c r="M414" s="9"/>
      <c r="N414" s="9"/>
      <c r="O414" s="9"/>
      <c r="P414" s="9"/>
      <c r="Q414" s="9"/>
      <c r="R414" s="9"/>
      <c r="S414" s="9"/>
      <c r="T414" s="223"/>
      <c r="U414" s="9"/>
      <c r="V414" s="9"/>
      <c r="W414" s="971"/>
      <c r="X414" s="9"/>
      <c r="Y414" s="9"/>
      <c r="Z414" s="204"/>
      <c r="AA414" s="9"/>
      <c r="AB414" s="9"/>
      <c r="AC414" s="9"/>
      <c r="AD414" s="9"/>
    </row>
    <row r="415" ht="15.75" customHeight="1">
      <c r="A415" s="9"/>
      <c r="B415" s="223"/>
      <c r="C415" s="9"/>
      <c r="D415" s="9"/>
      <c r="E415" s="223"/>
      <c r="F415" s="9"/>
      <c r="G415" s="9"/>
      <c r="H415" s="9"/>
      <c r="I415" s="9"/>
      <c r="J415" s="9"/>
      <c r="K415" s="9"/>
      <c r="L415" s="9"/>
      <c r="M415" s="9"/>
      <c r="N415" s="9"/>
      <c r="O415" s="9"/>
      <c r="P415" s="9"/>
      <c r="Q415" s="9"/>
      <c r="R415" s="9"/>
      <c r="S415" s="9"/>
      <c r="T415" s="223"/>
      <c r="U415" s="9"/>
      <c r="V415" s="9"/>
      <c r="W415" s="971"/>
      <c r="X415" s="9"/>
      <c r="Y415" s="9"/>
      <c r="Z415" s="204"/>
      <c r="AA415" s="9"/>
      <c r="AB415" s="9"/>
      <c r="AC415" s="9"/>
      <c r="AD415" s="9"/>
    </row>
    <row r="416" ht="15.75" customHeight="1">
      <c r="A416" s="9"/>
      <c r="B416" s="223"/>
      <c r="C416" s="9"/>
      <c r="D416" s="9"/>
      <c r="E416" s="223"/>
      <c r="F416" s="9"/>
      <c r="G416" s="9"/>
      <c r="H416" s="9"/>
      <c r="I416" s="9"/>
      <c r="J416" s="9"/>
      <c r="K416" s="9"/>
      <c r="L416" s="9"/>
      <c r="M416" s="9"/>
      <c r="N416" s="9"/>
      <c r="O416" s="9"/>
      <c r="P416" s="9"/>
      <c r="Q416" s="9"/>
      <c r="R416" s="9"/>
      <c r="S416" s="9"/>
      <c r="T416" s="223"/>
      <c r="U416" s="9"/>
      <c r="V416" s="9"/>
      <c r="W416" s="971"/>
      <c r="X416" s="9"/>
      <c r="Y416" s="9"/>
      <c r="Z416" s="204"/>
      <c r="AA416" s="9"/>
      <c r="AB416" s="9"/>
      <c r="AC416" s="9"/>
      <c r="AD416" s="9"/>
    </row>
    <row r="417" ht="15.75" customHeight="1">
      <c r="A417" s="9"/>
      <c r="B417" s="223"/>
      <c r="C417" s="9"/>
      <c r="D417" s="9"/>
      <c r="E417" s="223"/>
      <c r="F417" s="9"/>
      <c r="G417" s="9"/>
      <c r="H417" s="9"/>
      <c r="I417" s="9"/>
      <c r="J417" s="9"/>
      <c r="K417" s="9"/>
      <c r="L417" s="9"/>
      <c r="M417" s="9"/>
      <c r="N417" s="9"/>
      <c r="O417" s="9"/>
      <c r="P417" s="9"/>
      <c r="Q417" s="9"/>
      <c r="R417" s="9"/>
      <c r="S417" s="9"/>
      <c r="T417" s="223"/>
      <c r="U417" s="9"/>
      <c r="V417" s="9"/>
      <c r="W417" s="971"/>
      <c r="X417" s="9"/>
      <c r="Y417" s="9"/>
      <c r="Z417" s="204"/>
      <c r="AA417" s="9"/>
      <c r="AB417" s="9"/>
      <c r="AC417" s="9"/>
      <c r="AD417" s="9"/>
    </row>
    <row r="418" ht="15.75" customHeight="1">
      <c r="A418" s="9"/>
      <c r="B418" s="223"/>
      <c r="C418" s="9"/>
      <c r="D418" s="9"/>
      <c r="E418" s="223"/>
      <c r="F418" s="9"/>
      <c r="G418" s="9"/>
      <c r="H418" s="9"/>
      <c r="I418" s="9"/>
      <c r="J418" s="9"/>
      <c r="K418" s="9"/>
      <c r="L418" s="9"/>
      <c r="M418" s="9"/>
      <c r="N418" s="9"/>
      <c r="O418" s="9"/>
      <c r="P418" s="9"/>
      <c r="Q418" s="9"/>
      <c r="R418" s="9"/>
      <c r="S418" s="9"/>
      <c r="T418" s="223"/>
      <c r="U418" s="9"/>
      <c r="V418" s="9"/>
      <c r="W418" s="971"/>
      <c r="X418" s="9"/>
      <c r="Y418" s="9"/>
      <c r="Z418" s="204"/>
      <c r="AA418" s="9"/>
      <c r="AB418" s="9"/>
      <c r="AC418" s="9"/>
      <c r="AD418" s="9"/>
    </row>
    <row r="419" ht="15.75" customHeight="1">
      <c r="A419" s="9"/>
      <c r="B419" s="223"/>
      <c r="C419" s="9"/>
      <c r="D419" s="9"/>
      <c r="E419" s="223"/>
      <c r="F419" s="9"/>
      <c r="G419" s="9"/>
      <c r="H419" s="9"/>
      <c r="I419" s="9"/>
      <c r="J419" s="9"/>
      <c r="K419" s="9"/>
      <c r="L419" s="9"/>
      <c r="M419" s="9"/>
      <c r="N419" s="9"/>
      <c r="O419" s="9"/>
      <c r="P419" s="9"/>
      <c r="Q419" s="9"/>
      <c r="R419" s="9"/>
      <c r="S419" s="9"/>
      <c r="T419" s="223"/>
      <c r="U419" s="9"/>
      <c r="V419" s="9"/>
      <c r="W419" s="971"/>
      <c r="X419" s="9"/>
      <c r="Y419" s="9"/>
      <c r="Z419" s="204"/>
      <c r="AA419" s="9"/>
      <c r="AB419" s="9"/>
      <c r="AC419" s="9"/>
      <c r="AD419" s="9"/>
    </row>
    <row r="420" ht="15.75" customHeight="1">
      <c r="A420" s="9"/>
      <c r="B420" s="223"/>
      <c r="C420" s="9"/>
      <c r="D420" s="9"/>
      <c r="E420" s="223"/>
      <c r="F420" s="9"/>
      <c r="G420" s="9"/>
      <c r="H420" s="9"/>
      <c r="I420" s="9"/>
      <c r="J420" s="9"/>
      <c r="K420" s="9"/>
      <c r="L420" s="9"/>
      <c r="M420" s="9"/>
      <c r="N420" s="9"/>
      <c r="O420" s="9"/>
      <c r="P420" s="9"/>
      <c r="Q420" s="9"/>
      <c r="R420" s="9"/>
      <c r="S420" s="9"/>
      <c r="T420" s="223"/>
      <c r="U420" s="9"/>
      <c r="V420" s="9"/>
      <c r="W420" s="971"/>
      <c r="X420" s="9"/>
      <c r="Y420" s="9"/>
      <c r="Z420" s="204"/>
      <c r="AA420" s="9"/>
      <c r="AB420" s="9"/>
      <c r="AC420" s="9"/>
      <c r="AD420" s="9"/>
    </row>
    <row r="421" ht="15.75" customHeight="1">
      <c r="A421" s="9"/>
      <c r="B421" s="223"/>
      <c r="C421" s="9"/>
      <c r="D421" s="9"/>
      <c r="E421" s="223"/>
      <c r="F421" s="9"/>
      <c r="G421" s="9"/>
      <c r="H421" s="9"/>
      <c r="I421" s="9"/>
      <c r="J421" s="9"/>
      <c r="K421" s="9"/>
      <c r="L421" s="9"/>
      <c r="M421" s="9"/>
      <c r="N421" s="9"/>
      <c r="O421" s="9"/>
      <c r="P421" s="9"/>
      <c r="Q421" s="9"/>
      <c r="R421" s="9"/>
      <c r="S421" s="9"/>
      <c r="T421" s="223"/>
      <c r="U421" s="9"/>
      <c r="V421" s="9"/>
      <c r="W421" s="971"/>
      <c r="X421" s="9"/>
      <c r="Y421" s="9"/>
      <c r="Z421" s="204"/>
      <c r="AA421" s="9"/>
      <c r="AB421" s="9"/>
      <c r="AC421" s="9"/>
      <c r="AD421" s="9"/>
    </row>
    <row r="422" ht="15.75" customHeight="1">
      <c r="A422" s="9"/>
      <c r="B422" s="223"/>
      <c r="C422" s="9"/>
      <c r="D422" s="9"/>
      <c r="E422" s="223"/>
      <c r="F422" s="9"/>
      <c r="G422" s="9"/>
      <c r="H422" s="9"/>
      <c r="I422" s="9"/>
      <c r="J422" s="9"/>
      <c r="K422" s="9"/>
      <c r="L422" s="9"/>
      <c r="M422" s="9"/>
      <c r="N422" s="9"/>
      <c r="O422" s="9"/>
      <c r="P422" s="9"/>
      <c r="Q422" s="9"/>
      <c r="R422" s="9"/>
      <c r="S422" s="9"/>
      <c r="T422" s="223"/>
      <c r="U422" s="9"/>
      <c r="V422" s="9"/>
      <c r="W422" s="971"/>
      <c r="X422" s="9"/>
      <c r="Y422" s="9"/>
      <c r="Z422" s="204"/>
      <c r="AA422" s="9"/>
      <c r="AB422" s="9"/>
      <c r="AC422" s="9"/>
      <c r="AD422" s="9"/>
    </row>
    <row r="423" ht="15.75" customHeight="1">
      <c r="A423" s="9"/>
      <c r="B423" s="223"/>
      <c r="C423" s="9"/>
      <c r="D423" s="9"/>
      <c r="E423" s="223"/>
      <c r="F423" s="9"/>
      <c r="G423" s="9"/>
      <c r="H423" s="9"/>
      <c r="I423" s="9"/>
      <c r="J423" s="9"/>
      <c r="K423" s="9"/>
      <c r="L423" s="9"/>
      <c r="M423" s="9"/>
      <c r="N423" s="9"/>
      <c r="O423" s="9"/>
      <c r="P423" s="9"/>
      <c r="Q423" s="9"/>
      <c r="R423" s="9"/>
      <c r="S423" s="9"/>
      <c r="T423" s="223"/>
      <c r="U423" s="9"/>
      <c r="V423" s="9"/>
      <c r="W423" s="971"/>
      <c r="X423" s="9"/>
      <c r="Y423" s="9"/>
      <c r="Z423" s="204"/>
      <c r="AA423" s="9"/>
      <c r="AB423" s="9"/>
      <c r="AC423" s="9"/>
      <c r="AD423" s="9"/>
    </row>
    <row r="424" ht="15.75" customHeight="1">
      <c r="A424" s="9"/>
      <c r="B424" s="223"/>
      <c r="C424" s="9"/>
      <c r="D424" s="9"/>
      <c r="E424" s="223"/>
      <c r="F424" s="9"/>
      <c r="G424" s="9"/>
      <c r="H424" s="9"/>
      <c r="I424" s="9"/>
      <c r="J424" s="9"/>
      <c r="K424" s="9"/>
      <c r="L424" s="9"/>
      <c r="M424" s="9"/>
      <c r="N424" s="9"/>
      <c r="O424" s="9"/>
      <c r="P424" s="9"/>
      <c r="Q424" s="9"/>
      <c r="R424" s="9"/>
      <c r="S424" s="9"/>
      <c r="T424" s="223"/>
      <c r="U424" s="9"/>
      <c r="V424" s="9"/>
      <c r="W424" s="971"/>
      <c r="X424" s="9"/>
      <c r="Y424" s="9"/>
      <c r="Z424" s="204"/>
      <c r="AA424" s="9"/>
      <c r="AB424" s="9"/>
      <c r="AC424" s="9"/>
      <c r="AD424" s="9"/>
    </row>
    <row r="425" ht="15.75" customHeight="1">
      <c r="A425" s="9"/>
      <c r="B425" s="223"/>
      <c r="C425" s="9"/>
      <c r="D425" s="9"/>
      <c r="E425" s="223"/>
      <c r="F425" s="9"/>
      <c r="G425" s="9"/>
      <c r="H425" s="9"/>
      <c r="I425" s="9"/>
      <c r="J425" s="9"/>
      <c r="K425" s="9"/>
      <c r="L425" s="9"/>
      <c r="M425" s="9"/>
      <c r="N425" s="9"/>
      <c r="O425" s="9"/>
      <c r="P425" s="9"/>
      <c r="Q425" s="9"/>
      <c r="R425" s="9"/>
      <c r="S425" s="9"/>
      <c r="T425" s="223"/>
      <c r="U425" s="9"/>
      <c r="V425" s="9"/>
      <c r="W425" s="971"/>
      <c r="X425" s="9"/>
      <c r="Y425" s="9"/>
      <c r="Z425" s="204"/>
      <c r="AA425" s="9"/>
      <c r="AB425" s="9"/>
      <c r="AC425" s="9"/>
      <c r="AD425" s="9"/>
    </row>
    <row r="426" ht="15.75" customHeight="1">
      <c r="A426" s="9"/>
      <c r="B426" s="223"/>
      <c r="C426" s="9"/>
      <c r="D426" s="9"/>
      <c r="E426" s="223"/>
      <c r="F426" s="9"/>
      <c r="G426" s="9"/>
      <c r="H426" s="9"/>
      <c r="I426" s="9"/>
      <c r="J426" s="9"/>
      <c r="K426" s="9"/>
      <c r="L426" s="9"/>
      <c r="M426" s="9"/>
      <c r="N426" s="9"/>
      <c r="O426" s="9"/>
      <c r="P426" s="9"/>
      <c r="Q426" s="9"/>
      <c r="R426" s="9"/>
      <c r="S426" s="9"/>
      <c r="T426" s="223"/>
      <c r="U426" s="9"/>
      <c r="V426" s="9"/>
      <c r="W426" s="971"/>
      <c r="X426" s="9"/>
      <c r="Y426" s="9"/>
      <c r="Z426" s="204"/>
      <c r="AA426" s="9"/>
      <c r="AB426" s="9"/>
      <c r="AC426" s="9"/>
      <c r="AD426" s="9"/>
    </row>
    <row r="427" ht="15.75" customHeight="1">
      <c r="A427" s="9"/>
      <c r="B427" s="223"/>
      <c r="C427" s="9"/>
      <c r="D427" s="9"/>
      <c r="E427" s="223"/>
      <c r="F427" s="9"/>
      <c r="G427" s="9"/>
      <c r="H427" s="9"/>
      <c r="I427" s="9"/>
      <c r="J427" s="9"/>
      <c r="K427" s="9"/>
      <c r="L427" s="9"/>
      <c r="M427" s="9"/>
      <c r="N427" s="9"/>
      <c r="O427" s="9"/>
      <c r="P427" s="9"/>
      <c r="Q427" s="9"/>
      <c r="R427" s="9"/>
      <c r="S427" s="9"/>
      <c r="T427" s="223"/>
      <c r="U427" s="9"/>
      <c r="V427" s="9"/>
      <c r="W427" s="971"/>
      <c r="X427" s="9"/>
      <c r="Y427" s="9"/>
      <c r="Z427" s="204"/>
      <c r="AA427" s="9"/>
      <c r="AB427" s="9"/>
      <c r="AC427" s="9"/>
      <c r="AD427" s="9"/>
    </row>
    <row r="428" ht="15.75" customHeight="1">
      <c r="A428" s="9"/>
      <c r="B428" s="223"/>
      <c r="C428" s="9"/>
      <c r="D428" s="9"/>
      <c r="E428" s="223"/>
      <c r="F428" s="9"/>
      <c r="G428" s="9"/>
      <c r="H428" s="9"/>
      <c r="I428" s="9"/>
      <c r="J428" s="9"/>
      <c r="K428" s="9"/>
      <c r="L428" s="9"/>
      <c r="M428" s="9"/>
      <c r="N428" s="9"/>
      <c r="O428" s="9"/>
      <c r="P428" s="9"/>
      <c r="Q428" s="9"/>
      <c r="R428" s="9"/>
      <c r="S428" s="9"/>
      <c r="T428" s="223"/>
      <c r="U428" s="9"/>
      <c r="V428" s="9"/>
      <c r="W428" s="971"/>
      <c r="X428" s="9"/>
      <c r="Y428" s="9"/>
      <c r="Z428" s="204"/>
      <c r="AA428" s="9"/>
      <c r="AB428" s="9"/>
      <c r="AC428" s="9"/>
      <c r="AD428" s="9"/>
    </row>
    <row r="429" ht="15.75" customHeight="1">
      <c r="A429" s="9"/>
      <c r="B429" s="223"/>
      <c r="C429" s="9"/>
      <c r="D429" s="9"/>
      <c r="E429" s="223"/>
      <c r="F429" s="9"/>
      <c r="G429" s="9"/>
      <c r="H429" s="9"/>
      <c r="I429" s="9"/>
      <c r="J429" s="9"/>
      <c r="K429" s="9"/>
      <c r="L429" s="9"/>
      <c r="M429" s="9"/>
      <c r="N429" s="9"/>
      <c r="O429" s="9"/>
      <c r="P429" s="9"/>
      <c r="Q429" s="9"/>
      <c r="R429" s="9"/>
      <c r="S429" s="9"/>
      <c r="T429" s="223"/>
      <c r="U429" s="9"/>
      <c r="V429" s="9"/>
      <c r="W429" s="971"/>
      <c r="X429" s="9"/>
      <c r="Y429" s="9"/>
      <c r="Z429" s="204"/>
      <c r="AA429" s="9"/>
      <c r="AB429" s="9"/>
      <c r="AC429" s="9"/>
      <c r="AD429" s="9"/>
    </row>
    <row r="430" ht="15.75" customHeight="1">
      <c r="A430" s="9"/>
      <c r="B430" s="223"/>
      <c r="C430" s="9"/>
      <c r="D430" s="9"/>
      <c r="E430" s="223"/>
      <c r="F430" s="9"/>
      <c r="G430" s="9"/>
      <c r="H430" s="9"/>
      <c r="I430" s="9"/>
      <c r="J430" s="9"/>
      <c r="K430" s="9"/>
      <c r="L430" s="9"/>
      <c r="M430" s="9"/>
      <c r="N430" s="9"/>
      <c r="O430" s="9"/>
      <c r="P430" s="9"/>
      <c r="Q430" s="9"/>
      <c r="R430" s="9"/>
      <c r="S430" s="9"/>
      <c r="T430" s="223"/>
      <c r="U430" s="9"/>
      <c r="V430" s="9"/>
      <c r="W430" s="971"/>
      <c r="X430" s="9"/>
      <c r="Y430" s="9"/>
      <c r="Z430" s="204"/>
      <c r="AA430" s="9"/>
      <c r="AB430" s="9"/>
      <c r="AC430" s="9"/>
      <c r="AD430" s="9"/>
    </row>
    <row r="431" ht="15.75" customHeight="1">
      <c r="A431" s="9"/>
      <c r="B431" s="223"/>
      <c r="C431" s="9"/>
      <c r="D431" s="9"/>
      <c r="E431" s="223"/>
      <c r="F431" s="9"/>
      <c r="G431" s="9"/>
      <c r="H431" s="9"/>
      <c r="I431" s="9"/>
      <c r="J431" s="9"/>
      <c r="K431" s="9"/>
      <c r="L431" s="9"/>
      <c r="M431" s="9"/>
      <c r="N431" s="9"/>
      <c r="O431" s="9"/>
      <c r="P431" s="9"/>
      <c r="Q431" s="9"/>
      <c r="R431" s="9"/>
      <c r="S431" s="9"/>
      <c r="T431" s="223"/>
      <c r="U431" s="9"/>
      <c r="V431" s="9"/>
      <c r="W431" s="971"/>
      <c r="X431" s="9"/>
      <c r="Y431" s="9"/>
      <c r="Z431" s="204"/>
      <c r="AA431" s="9"/>
      <c r="AB431" s="9"/>
      <c r="AC431" s="9"/>
      <c r="AD431" s="9"/>
    </row>
    <row r="432" ht="15.75" customHeight="1">
      <c r="A432" s="9"/>
      <c r="B432" s="223"/>
      <c r="C432" s="9"/>
      <c r="D432" s="9"/>
      <c r="E432" s="223"/>
      <c r="F432" s="9"/>
      <c r="G432" s="9"/>
      <c r="H432" s="9"/>
      <c r="I432" s="9"/>
      <c r="J432" s="9"/>
      <c r="K432" s="9"/>
      <c r="L432" s="9"/>
      <c r="M432" s="9"/>
      <c r="N432" s="9"/>
      <c r="O432" s="9"/>
      <c r="P432" s="9"/>
      <c r="Q432" s="9"/>
      <c r="R432" s="9"/>
      <c r="S432" s="9"/>
      <c r="T432" s="223"/>
      <c r="U432" s="9"/>
      <c r="V432" s="9"/>
      <c r="W432" s="971"/>
      <c r="X432" s="9"/>
      <c r="Y432" s="9"/>
      <c r="Z432" s="204"/>
      <c r="AA432" s="9"/>
      <c r="AB432" s="9"/>
      <c r="AC432" s="9"/>
      <c r="AD432" s="9"/>
    </row>
    <row r="433" ht="15.75" customHeight="1">
      <c r="A433" s="9"/>
      <c r="B433" s="223"/>
      <c r="C433" s="9"/>
      <c r="D433" s="9"/>
      <c r="E433" s="223"/>
      <c r="F433" s="9"/>
      <c r="G433" s="9"/>
      <c r="H433" s="9"/>
      <c r="I433" s="9"/>
      <c r="J433" s="9"/>
      <c r="K433" s="9"/>
      <c r="L433" s="9"/>
      <c r="M433" s="9"/>
      <c r="N433" s="9"/>
      <c r="O433" s="9"/>
      <c r="P433" s="9"/>
      <c r="Q433" s="9"/>
      <c r="R433" s="9"/>
      <c r="S433" s="9"/>
      <c r="T433" s="223"/>
      <c r="U433" s="9"/>
      <c r="V433" s="9"/>
      <c r="W433" s="971"/>
      <c r="X433" s="9"/>
      <c r="Y433" s="9"/>
      <c r="Z433" s="204"/>
      <c r="AA433" s="9"/>
      <c r="AB433" s="9"/>
      <c r="AC433" s="9"/>
      <c r="AD433" s="9"/>
    </row>
    <row r="434" ht="15.75" customHeight="1">
      <c r="A434" s="9"/>
      <c r="B434" s="223"/>
      <c r="C434" s="9"/>
      <c r="D434" s="9"/>
      <c r="E434" s="223"/>
      <c r="F434" s="9"/>
      <c r="G434" s="9"/>
      <c r="H434" s="9"/>
      <c r="I434" s="9"/>
      <c r="J434" s="9"/>
      <c r="K434" s="9"/>
      <c r="L434" s="9"/>
      <c r="M434" s="9"/>
      <c r="N434" s="9"/>
      <c r="O434" s="9"/>
      <c r="P434" s="9"/>
      <c r="Q434" s="9"/>
      <c r="R434" s="9"/>
      <c r="S434" s="9"/>
      <c r="T434" s="223"/>
      <c r="U434" s="9"/>
      <c r="V434" s="9"/>
      <c r="W434" s="971"/>
      <c r="X434" s="9"/>
      <c r="Y434" s="9"/>
      <c r="Z434" s="204"/>
      <c r="AA434" s="9"/>
      <c r="AB434" s="9"/>
      <c r="AC434" s="9"/>
      <c r="AD434" s="9"/>
    </row>
    <row r="435" ht="15.75" customHeight="1">
      <c r="A435" s="9"/>
      <c r="B435" s="223"/>
      <c r="C435" s="9"/>
      <c r="D435" s="9"/>
      <c r="E435" s="223"/>
      <c r="F435" s="9"/>
      <c r="G435" s="9"/>
      <c r="H435" s="9"/>
      <c r="I435" s="9"/>
      <c r="J435" s="9"/>
      <c r="K435" s="9"/>
      <c r="L435" s="9"/>
      <c r="M435" s="9"/>
      <c r="N435" s="9"/>
      <c r="O435" s="9"/>
      <c r="P435" s="9"/>
      <c r="Q435" s="9"/>
      <c r="R435" s="9"/>
      <c r="S435" s="9"/>
      <c r="T435" s="223"/>
      <c r="U435" s="9"/>
      <c r="V435" s="9"/>
      <c r="W435" s="971"/>
      <c r="X435" s="9"/>
      <c r="Y435" s="9"/>
      <c r="Z435" s="204"/>
      <c r="AA435" s="9"/>
      <c r="AB435" s="9"/>
      <c r="AC435" s="9"/>
      <c r="AD435" s="9"/>
    </row>
    <row r="436" ht="15.75" customHeight="1">
      <c r="A436" s="9"/>
      <c r="B436" s="223"/>
      <c r="C436" s="9"/>
      <c r="D436" s="9"/>
      <c r="E436" s="223"/>
      <c r="F436" s="9"/>
      <c r="G436" s="9"/>
      <c r="H436" s="9"/>
      <c r="I436" s="9"/>
      <c r="J436" s="9"/>
      <c r="K436" s="9"/>
      <c r="L436" s="9"/>
      <c r="M436" s="9"/>
      <c r="N436" s="9"/>
      <c r="O436" s="9"/>
      <c r="P436" s="9"/>
      <c r="Q436" s="9"/>
      <c r="R436" s="9"/>
      <c r="S436" s="9"/>
      <c r="T436" s="223"/>
      <c r="U436" s="9"/>
      <c r="V436" s="9"/>
      <c r="W436" s="971"/>
      <c r="X436" s="9"/>
      <c r="Y436" s="9"/>
      <c r="Z436" s="204"/>
      <c r="AA436" s="9"/>
      <c r="AB436" s="9"/>
      <c r="AC436" s="9"/>
      <c r="AD436" s="9"/>
    </row>
    <row r="437" ht="15.75" customHeight="1">
      <c r="A437" s="9"/>
      <c r="B437" s="223"/>
      <c r="C437" s="9"/>
      <c r="D437" s="9"/>
      <c r="E437" s="223"/>
      <c r="F437" s="9"/>
      <c r="G437" s="9"/>
      <c r="H437" s="9"/>
      <c r="I437" s="9"/>
      <c r="J437" s="9"/>
      <c r="K437" s="9"/>
      <c r="L437" s="9"/>
      <c r="M437" s="9"/>
      <c r="N437" s="9"/>
      <c r="O437" s="9"/>
      <c r="P437" s="9"/>
      <c r="Q437" s="9"/>
      <c r="R437" s="9"/>
      <c r="S437" s="9"/>
      <c r="T437" s="223"/>
      <c r="U437" s="9"/>
      <c r="V437" s="9"/>
      <c r="W437" s="971"/>
      <c r="X437" s="9"/>
      <c r="Y437" s="9"/>
      <c r="Z437" s="204"/>
      <c r="AA437" s="9"/>
      <c r="AB437" s="9"/>
      <c r="AC437" s="9"/>
      <c r="AD437" s="9"/>
    </row>
    <row r="438" ht="15.75" customHeight="1">
      <c r="A438" s="9"/>
      <c r="B438" s="223"/>
      <c r="C438" s="9"/>
      <c r="D438" s="9"/>
      <c r="E438" s="223"/>
      <c r="F438" s="9"/>
      <c r="G438" s="9"/>
      <c r="H438" s="9"/>
      <c r="I438" s="9"/>
      <c r="J438" s="9"/>
      <c r="K438" s="9"/>
      <c r="L438" s="9"/>
      <c r="M438" s="9"/>
      <c r="N438" s="9"/>
      <c r="O438" s="9"/>
      <c r="P438" s="9"/>
      <c r="Q438" s="9"/>
      <c r="R438" s="9"/>
      <c r="S438" s="9"/>
      <c r="T438" s="223"/>
      <c r="U438" s="9"/>
      <c r="V438" s="9"/>
      <c r="W438" s="971"/>
      <c r="X438" s="9"/>
      <c r="Y438" s="9"/>
      <c r="Z438" s="204"/>
      <c r="AA438" s="9"/>
      <c r="AB438" s="9"/>
      <c r="AC438" s="9"/>
      <c r="AD438" s="9"/>
    </row>
    <row r="439" ht="15.75" customHeight="1">
      <c r="A439" s="9"/>
      <c r="B439" s="223"/>
      <c r="C439" s="9"/>
      <c r="D439" s="9"/>
      <c r="E439" s="223"/>
      <c r="F439" s="9"/>
      <c r="G439" s="9"/>
      <c r="H439" s="9"/>
      <c r="I439" s="9"/>
      <c r="J439" s="9"/>
      <c r="K439" s="9"/>
      <c r="L439" s="9"/>
      <c r="M439" s="9"/>
      <c r="N439" s="9"/>
      <c r="O439" s="9"/>
      <c r="P439" s="9"/>
      <c r="Q439" s="9"/>
      <c r="R439" s="9"/>
      <c r="S439" s="9"/>
      <c r="T439" s="223"/>
      <c r="U439" s="9"/>
      <c r="V439" s="9"/>
      <c r="W439" s="971"/>
      <c r="X439" s="9"/>
      <c r="Y439" s="9"/>
      <c r="Z439" s="204"/>
      <c r="AA439" s="9"/>
      <c r="AB439" s="9"/>
      <c r="AC439" s="9"/>
      <c r="AD439" s="9"/>
    </row>
    <row r="440" ht="15.75" customHeight="1">
      <c r="A440" s="9"/>
      <c r="B440" s="223"/>
      <c r="C440" s="9"/>
      <c r="D440" s="9"/>
      <c r="E440" s="223"/>
      <c r="F440" s="9"/>
      <c r="G440" s="9"/>
      <c r="H440" s="9"/>
      <c r="I440" s="9"/>
      <c r="J440" s="9"/>
      <c r="K440" s="9"/>
      <c r="L440" s="9"/>
      <c r="M440" s="9"/>
      <c r="N440" s="9"/>
      <c r="O440" s="9"/>
      <c r="P440" s="9"/>
      <c r="Q440" s="9"/>
      <c r="R440" s="9"/>
      <c r="S440" s="9"/>
      <c r="T440" s="223"/>
      <c r="U440" s="9"/>
      <c r="V440" s="9"/>
      <c r="W440" s="971"/>
      <c r="X440" s="9"/>
      <c r="Y440" s="9"/>
      <c r="Z440" s="204"/>
      <c r="AA440" s="9"/>
      <c r="AB440" s="9"/>
      <c r="AC440" s="9"/>
      <c r="AD440" s="9"/>
    </row>
    <row r="441" ht="15.75" customHeight="1">
      <c r="A441" s="9"/>
      <c r="B441" s="223"/>
      <c r="C441" s="9"/>
      <c r="D441" s="9"/>
      <c r="E441" s="223"/>
      <c r="F441" s="9"/>
      <c r="G441" s="9"/>
      <c r="H441" s="9"/>
      <c r="I441" s="9"/>
      <c r="J441" s="9"/>
      <c r="K441" s="9"/>
      <c r="L441" s="9"/>
      <c r="M441" s="9"/>
      <c r="N441" s="9"/>
      <c r="O441" s="9"/>
      <c r="P441" s="9"/>
      <c r="Q441" s="9"/>
      <c r="R441" s="9"/>
      <c r="S441" s="9"/>
      <c r="T441" s="223"/>
      <c r="U441" s="9"/>
      <c r="V441" s="9"/>
      <c r="W441" s="971"/>
      <c r="X441" s="9"/>
      <c r="Y441" s="9"/>
      <c r="Z441" s="204"/>
      <c r="AA441" s="9"/>
      <c r="AB441" s="9"/>
      <c r="AC441" s="9"/>
      <c r="AD441" s="9"/>
    </row>
    <row r="442" ht="15.75" customHeight="1">
      <c r="A442" s="9"/>
      <c r="B442" s="223"/>
      <c r="C442" s="9"/>
      <c r="D442" s="9"/>
      <c r="E442" s="223"/>
      <c r="F442" s="9"/>
      <c r="G442" s="9"/>
      <c r="H442" s="9"/>
      <c r="I442" s="9"/>
      <c r="J442" s="9"/>
      <c r="K442" s="9"/>
      <c r="L442" s="9"/>
      <c r="M442" s="9"/>
      <c r="N442" s="9"/>
      <c r="O442" s="9"/>
      <c r="P442" s="9"/>
      <c r="Q442" s="9"/>
      <c r="R442" s="9"/>
      <c r="S442" s="9"/>
      <c r="T442" s="223"/>
      <c r="U442" s="9"/>
      <c r="V442" s="9"/>
      <c r="W442" s="971"/>
      <c r="X442" s="9"/>
      <c r="Y442" s="9"/>
      <c r="Z442" s="204"/>
      <c r="AA442" s="9"/>
      <c r="AB442" s="9"/>
      <c r="AC442" s="9"/>
      <c r="AD442" s="9"/>
    </row>
    <row r="443" ht="15.75" customHeight="1">
      <c r="A443" s="9"/>
      <c r="B443" s="223"/>
      <c r="C443" s="9"/>
      <c r="D443" s="9"/>
      <c r="E443" s="223"/>
      <c r="F443" s="9"/>
      <c r="G443" s="9"/>
      <c r="H443" s="9"/>
      <c r="I443" s="9"/>
      <c r="J443" s="9"/>
      <c r="K443" s="9"/>
      <c r="L443" s="9"/>
      <c r="M443" s="9"/>
      <c r="N443" s="9"/>
      <c r="O443" s="9"/>
      <c r="P443" s="9"/>
      <c r="Q443" s="9"/>
      <c r="R443" s="9"/>
      <c r="S443" s="9"/>
      <c r="T443" s="223"/>
      <c r="U443" s="9"/>
      <c r="V443" s="9"/>
      <c r="W443" s="971"/>
      <c r="X443" s="9"/>
      <c r="Y443" s="9"/>
      <c r="Z443" s="204"/>
      <c r="AA443" s="9"/>
      <c r="AB443" s="9"/>
      <c r="AC443" s="9"/>
      <c r="AD443" s="9"/>
    </row>
    <row r="444" ht="15.75" customHeight="1">
      <c r="A444" s="9"/>
      <c r="B444" s="223"/>
      <c r="C444" s="9"/>
      <c r="D444" s="9"/>
      <c r="E444" s="223"/>
      <c r="F444" s="9"/>
      <c r="G444" s="9"/>
      <c r="H444" s="9"/>
      <c r="I444" s="9"/>
      <c r="J444" s="9"/>
      <c r="K444" s="9"/>
      <c r="L444" s="9"/>
      <c r="M444" s="9"/>
      <c r="N444" s="9"/>
      <c r="O444" s="9"/>
      <c r="P444" s="9"/>
      <c r="Q444" s="9"/>
      <c r="R444" s="9"/>
      <c r="S444" s="9"/>
      <c r="T444" s="223"/>
      <c r="U444" s="9"/>
      <c r="V444" s="9"/>
      <c r="W444" s="971"/>
      <c r="X444" s="9"/>
      <c r="Y444" s="9"/>
      <c r="Z444" s="204"/>
      <c r="AA444" s="9"/>
      <c r="AB444" s="9"/>
      <c r="AC444" s="9"/>
      <c r="AD444" s="9"/>
    </row>
    <row r="445" ht="15.75" customHeight="1">
      <c r="A445" s="9"/>
      <c r="B445" s="223"/>
      <c r="C445" s="9"/>
      <c r="D445" s="9"/>
      <c r="E445" s="223"/>
      <c r="F445" s="9"/>
      <c r="G445" s="9"/>
      <c r="H445" s="9"/>
      <c r="I445" s="9"/>
      <c r="J445" s="9"/>
      <c r="K445" s="9"/>
      <c r="L445" s="9"/>
      <c r="M445" s="9"/>
      <c r="N445" s="9"/>
      <c r="O445" s="9"/>
      <c r="P445" s="9"/>
      <c r="Q445" s="9"/>
      <c r="R445" s="9"/>
      <c r="S445" s="9"/>
      <c r="T445" s="223"/>
      <c r="U445" s="9"/>
      <c r="V445" s="9"/>
      <c r="W445" s="971"/>
      <c r="X445" s="9"/>
      <c r="Y445" s="9"/>
      <c r="Z445" s="204"/>
      <c r="AA445" s="9"/>
      <c r="AB445" s="9"/>
      <c r="AC445" s="9"/>
      <c r="AD445" s="9"/>
    </row>
    <row r="446" ht="15.75" customHeight="1">
      <c r="A446" s="9"/>
      <c r="B446" s="223"/>
      <c r="C446" s="9"/>
      <c r="D446" s="9"/>
      <c r="E446" s="223"/>
      <c r="F446" s="9"/>
      <c r="G446" s="9"/>
      <c r="H446" s="9"/>
      <c r="I446" s="9"/>
      <c r="J446" s="9"/>
      <c r="K446" s="9"/>
      <c r="L446" s="9"/>
      <c r="M446" s="9"/>
      <c r="N446" s="9"/>
      <c r="O446" s="9"/>
      <c r="P446" s="9"/>
      <c r="Q446" s="9"/>
      <c r="R446" s="9"/>
      <c r="S446" s="9"/>
      <c r="T446" s="223"/>
      <c r="U446" s="9"/>
      <c r="V446" s="9"/>
      <c r="W446" s="971"/>
      <c r="X446" s="9"/>
      <c r="Y446" s="9"/>
      <c r="Z446" s="204"/>
      <c r="AA446" s="9"/>
      <c r="AB446" s="9"/>
      <c r="AC446" s="9"/>
      <c r="AD446" s="9"/>
    </row>
    <row r="447" ht="15.75" customHeight="1">
      <c r="A447" s="9"/>
      <c r="B447" s="223"/>
      <c r="C447" s="9"/>
      <c r="D447" s="9"/>
      <c r="E447" s="223"/>
      <c r="F447" s="9"/>
      <c r="G447" s="9"/>
      <c r="H447" s="9"/>
      <c r="I447" s="9"/>
      <c r="J447" s="9"/>
      <c r="K447" s="9"/>
      <c r="L447" s="9"/>
      <c r="M447" s="9"/>
      <c r="N447" s="9"/>
      <c r="O447" s="9"/>
      <c r="P447" s="9"/>
      <c r="Q447" s="9"/>
      <c r="R447" s="9"/>
      <c r="S447" s="9"/>
      <c r="T447" s="223"/>
      <c r="U447" s="9"/>
      <c r="V447" s="9"/>
      <c r="W447" s="971"/>
      <c r="X447" s="9"/>
      <c r="Y447" s="9"/>
      <c r="Z447" s="204"/>
      <c r="AA447" s="9"/>
      <c r="AB447" s="9"/>
      <c r="AC447" s="9"/>
      <c r="AD447" s="9"/>
    </row>
    <row r="448" ht="15.75" customHeight="1">
      <c r="A448" s="9"/>
      <c r="B448" s="223"/>
      <c r="C448" s="9"/>
      <c r="D448" s="9"/>
      <c r="E448" s="223"/>
      <c r="F448" s="9"/>
      <c r="G448" s="9"/>
      <c r="H448" s="9"/>
      <c r="I448" s="9"/>
      <c r="J448" s="9"/>
      <c r="K448" s="9"/>
      <c r="L448" s="9"/>
      <c r="M448" s="9"/>
      <c r="N448" s="9"/>
      <c r="O448" s="9"/>
      <c r="P448" s="9"/>
      <c r="Q448" s="9"/>
      <c r="R448" s="9"/>
      <c r="S448" s="9"/>
      <c r="T448" s="223"/>
      <c r="U448" s="9"/>
      <c r="V448" s="9"/>
      <c r="W448" s="971"/>
      <c r="X448" s="9"/>
      <c r="Y448" s="9"/>
      <c r="Z448" s="204"/>
      <c r="AA448" s="9"/>
      <c r="AB448" s="9"/>
      <c r="AC448" s="9"/>
      <c r="AD448" s="9"/>
    </row>
    <row r="449" ht="15.75" customHeight="1">
      <c r="A449" s="9"/>
      <c r="B449" s="223"/>
      <c r="C449" s="9"/>
      <c r="D449" s="9"/>
      <c r="E449" s="223"/>
      <c r="F449" s="9"/>
      <c r="G449" s="9"/>
      <c r="H449" s="9"/>
      <c r="I449" s="9"/>
      <c r="J449" s="9"/>
      <c r="K449" s="9"/>
      <c r="L449" s="9"/>
      <c r="M449" s="9"/>
      <c r="N449" s="9"/>
      <c r="O449" s="9"/>
      <c r="P449" s="9"/>
      <c r="Q449" s="9"/>
      <c r="R449" s="9"/>
      <c r="S449" s="9"/>
      <c r="T449" s="223"/>
      <c r="U449" s="9"/>
      <c r="V449" s="9"/>
      <c r="W449" s="971"/>
      <c r="X449" s="9"/>
      <c r="Y449" s="9"/>
      <c r="Z449" s="204"/>
      <c r="AA449" s="9"/>
      <c r="AB449" s="9"/>
      <c r="AC449" s="9"/>
      <c r="AD449" s="9"/>
    </row>
    <row r="450" ht="15.75" customHeight="1">
      <c r="A450" s="9"/>
      <c r="B450" s="223"/>
      <c r="C450" s="9"/>
      <c r="D450" s="9"/>
      <c r="E450" s="223"/>
      <c r="F450" s="9"/>
      <c r="G450" s="9"/>
      <c r="H450" s="9"/>
      <c r="I450" s="9"/>
      <c r="J450" s="9"/>
      <c r="K450" s="9"/>
      <c r="L450" s="9"/>
      <c r="M450" s="9"/>
      <c r="N450" s="9"/>
      <c r="O450" s="9"/>
      <c r="P450" s="9"/>
      <c r="Q450" s="9"/>
      <c r="R450" s="9"/>
      <c r="S450" s="9"/>
      <c r="T450" s="223"/>
      <c r="U450" s="9"/>
      <c r="V450" s="9"/>
      <c r="W450" s="971"/>
      <c r="X450" s="9"/>
      <c r="Y450" s="9"/>
      <c r="Z450" s="204"/>
      <c r="AA450" s="9"/>
      <c r="AB450" s="9"/>
      <c r="AC450" s="9"/>
      <c r="AD450" s="9"/>
    </row>
    <row r="451" ht="15.75" customHeight="1">
      <c r="A451" s="9"/>
      <c r="B451" s="223"/>
      <c r="C451" s="9"/>
      <c r="D451" s="9"/>
      <c r="E451" s="223"/>
      <c r="F451" s="9"/>
      <c r="G451" s="9"/>
      <c r="H451" s="9"/>
      <c r="I451" s="9"/>
      <c r="J451" s="9"/>
      <c r="K451" s="9"/>
      <c r="L451" s="9"/>
      <c r="M451" s="9"/>
      <c r="N451" s="9"/>
      <c r="O451" s="9"/>
      <c r="P451" s="9"/>
      <c r="Q451" s="9"/>
      <c r="R451" s="9"/>
      <c r="S451" s="9"/>
      <c r="T451" s="223"/>
      <c r="U451" s="9"/>
      <c r="V451" s="9"/>
      <c r="W451" s="971"/>
      <c r="X451" s="9"/>
      <c r="Y451" s="9"/>
      <c r="Z451" s="204"/>
      <c r="AA451" s="9"/>
      <c r="AB451" s="9"/>
      <c r="AC451" s="9"/>
      <c r="AD451" s="9"/>
    </row>
    <row r="452" ht="15.75" customHeight="1">
      <c r="A452" s="9"/>
      <c r="B452" s="223"/>
      <c r="C452" s="9"/>
      <c r="D452" s="9"/>
      <c r="E452" s="223"/>
      <c r="F452" s="9"/>
      <c r="G452" s="9"/>
      <c r="H452" s="9"/>
      <c r="I452" s="9"/>
      <c r="J452" s="9"/>
      <c r="K452" s="9"/>
      <c r="L452" s="9"/>
      <c r="M452" s="9"/>
      <c r="N452" s="9"/>
      <c r="O452" s="9"/>
      <c r="P452" s="9"/>
      <c r="Q452" s="9"/>
      <c r="R452" s="9"/>
      <c r="S452" s="9"/>
      <c r="T452" s="223"/>
      <c r="U452" s="9"/>
      <c r="V452" s="9"/>
      <c r="W452" s="971"/>
      <c r="X452" s="9"/>
      <c r="Y452" s="9"/>
      <c r="Z452" s="204"/>
      <c r="AA452" s="9"/>
      <c r="AB452" s="9"/>
      <c r="AC452" s="9"/>
      <c r="AD452" s="9"/>
    </row>
    <row r="453" ht="15.75" customHeight="1">
      <c r="A453" s="9"/>
      <c r="B453" s="223"/>
      <c r="C453" s="9"/>
      <c r="D453" s="9"/>
      <c r="E453" s="223"/>
      <c r="F453" s="9"/>
      <c r="G453" s="9"/>
      <c r="H453" s="9"/>
      <c r="I453" s="9"/>
      <c r="J453" s="9"/>
      <c r="K453" s="9"/>
      <c r="L453" s="9"/>
      <c r="M453" s="9"/>
      <c r="N453" s="9"/>
      <c r="O453" s="9"/>
      <c r="P453" s="9"/>
      <c r="Q453" s="9"/>
      <c r="R453" s="9"/>
      <c r="S453" s="9"/>
      <c r="T453" s="223"/>
      <c r="U453" s="9"/>
      <c r="V453" s="9"/>
      <c r="W453" s="971"/>
      <c r="X453" s="9"/>
      <c r="Y453" s="9"/>
      <c r="Z453" s="204"/>
      <c r="AA453" s="9"/>
      <c r="AB453" s="9"/>
      <c r="AC453" s="9"/>
      <c r="AD453" s="9"/>
    </row>
    <row r="454" ht="15.75" customHeight="1">
      <c r="A454" s="9"/>
      <c r="B454" s="223"/>
      <c r="C454" s="9"/>
      <c r="D454" s="9"/>
      <c r="E454" s="223"/>
      <c r="F454" s="9"/>
      <c r="G454" s="9"/>
      <c r="H454" s="9"/>
      <c r="I454" s="9"/>
      <c r="J454" s="9"/>
      <c r="K454" s="9"/>
      <c r="L454" s="9"/>
      <c r="M454" s="9"/>
      <c r="N454" s="9"/>
      <c r="O454" s="9"/>
      <c r="P454" s="9"/>
      <c r="Q454" s="9"/>
      <c r="R454" s="9"/>
      <c r="S454" s="9"/>
      <c r="T454" s="223"/>
      <c r="U454" s="9"/>
      <c r="V454" s="9"/>
      <c r="W454" s="971"/>
      <c r="X454" s="9"/>
      <c r="Y454" s="9"/>
      <c r="Z454" s="204"/>
      <c r="AA454" s="9"/>
      <c r="AB454" s="9"/>
      <c r="AC454" s="9"/>
      <c r="AD454" s="9"/>
    </row>
    <row r="455" ht="15.75" customHeight="1">
      <c r="A455" s="9"/>
      <c r="B455" s="223"/>
      <c r="C455" s="9"/>
      <c r="D455" s="9"/>
      <c r="E455" s="223"/>
      <c r="F455" s="9"/>
      <c r="G455" s="9"/>
      <c r="H455" s="9"/>
      <c r="I455" s="9"/>
      <c r="J455" s="9"/>
      <c r="K455" s="9"/>
      <c r="L455" s="9"/>
      <c r="M455" s="9"/>
      <c r="N455" s="9"/>
      <c r="O455" s="9"/>
      <c r="P455" s="9"/>
      <c r="Q455" s="9"/>
      <c r="R455" s="9"/>
      <c r="S455" s="9"/>
      <c r="T455" s="223"/>
      <c r="U455" s="9"/>
      <c r="V455" s="9"/>
      <c r="W455" s="971"/>
      <c r="X455" s="9"/>
      <c r="Y455" s="9"/>
      <c r="Z455" s="204"/>
      <c r="AA455" s="9"/>
      <c r="AB455" s="9"/>
      <c r="AC455" s="9"/>
      <c r="AD455" s="9"/>
    </row>
    <row r="456" ht="15.75" customHeight="1">
      <c r="A456" s="9"/>
      <c r="B456" s="223"/>
      <c r="C456" s="9"/>
      <c r="D456" s="9"/>
      <c r="E456" s="223"/>
      <c r="F456" s="9"/>
      <c r="G456" s="9"/>
      <c r="H456" s="9"/>
      <c r="I456" s="9"/>
      <c r="J456" s="9"/>
      <c r="K456" s="9"/>
      <c r="L456" s="9"/>
      <c r="M456" s="9"/>
      <c r="N456" s="9"/>
      <c r="O456" s="9"/>
      <c r="P456" s="9"/>
      <c r="Q456" s="9"/>
      <c r="R456" s="9"/>
      <c r="S456" s="9"/>
      <c r="T456" s="223"/>
      <c r="U456" s="9"/>
      <c r="V456" s="9"/>
      <c r="W456" s="971"/>
      <c r="X456" s="9"/>
      <c r="Y456" s="9"/>
      <c r="Z456" s="204"/>
      <c r="AA456" s="9"/>
      <c r="AB456" s="9"/>
      <c r="AC456" s="9"/>
      <c r="AD456" s="9"/>
    </row>
    <row r="457" ht="15.75" customHeight="1">
      <c r="A457" s="9"/>
      <c r="B457" s="223"/>
      <c r="C457" s="9"/>
      <c r="D457" s="9"/>
      <c r="E457" s="223"/>
      <c r="F457" s="9"/>
      <c r="G457" s="9"/>
      <c r="H457" s="9"/>
      <c r="I457" s="9"/>
      <c r="J457" s="9"/>
      <c r="K457" s="9"/>
      <c r="L457" s="9"/>
      <c r="M457" s="9"/>
      <c r="N457" s="9"/>
      <c r="O457" s="9"/>
      <c r="P457" s="9"/>
      <c r="Q457" s="9"/>
      <c r="R457" s="9"/>
      <c r="S457" s="9"/>
      <c r="T457" s="223"/>
      <c r="U457" s="9"/>
      <c r="V457" s="9"/>
      <c r="W457" s="971"/>
      <c r="X457" s="9"/>
      <c r="Y457" s="9"/>
      <c r="Z457" s="204"/>
      <c r="AA457" s="9"/>
      <c r="AB457" s="9"/>
      <c r="AC457" s="9"/>
      <c r="AD457" s="9"/>
    </row>
    <row r="458" ht="15.75" customHeight="1">
      <c r="A458" s="9"/>
      <c r="B458" s="223"/>
      <c r="C458" s="9"/>
      <c r="D458" s="9"/>
      <c r="E458" s="223"/>
      <c r="F458" s="9"/>
      <c r="G458" s="9"/>
      <c r="H458" s="9"/>
      <c r="I458" s="9"/>
      <c r="J458" s="9"/>
      <c r="K458" s="9"/>
      <c r="L458" s="9"/>
      <c r="M458" s="9"/>
      <c r="N458" s="9"/>
      <c r="O458" s="9"/>
      <c r="P458" s="9"/>
      <c r="Q458" s="9"/>
      <c r="R458" s="9"/>
      <c r="S458" s="9"/>
      <c r="T458" s="223"/>
      <c r="U458" s="9"/>
      <c r="V458" s="9"/>
      <c r="W458" s="971"/>
      <c r="X458" s="9"/>
      <c r="Y458" s="9"/>
      <c r="Z458" s="204"/>
      <c r="AA458" s="9"/>
      <c r="AB458" s="9"/>
      <c r="AC458" s="9"/>
      <c r="AD458" s="9"/>
    </row>
    <row r="459" ht="15.75" customHeight="1">
      <c r="A459" s="9"/>
      <c r="B459" s="223"/>
      <c r="C459" s="9"/>
      <c r="D459" s="9"/>
      <c r="E459" s="223"/>
      <c r="F459" s="9"/>
      <c r="G459" s="9"/>
      <c r="H459" s="9"/>
      <c r="I459" s="9"/>
      <c r="J459" s="9"/>
      <c r="K459" s="9"/>
      <c r="L459" s="9"/>
      <c r="M459" s="9"/>
      <c r="N459" s="9"/>
      <c r="O459" s="9"/>
      <c r="P459" s="9"/>
      <c r="Q459" s="9"/>
      <c r="R459" s="9"/>
      <c r="S459" s="9"/>
      <c r="T459" s="223"/>
      <c r="U459" s="9"/>
      <c r="V459" s="9"/>
      <c r="W459" s="971"/>
      <c r="X459" s="9"/>
      <c r="Y459" s="9"/>
      <c r="Z459" s="204"/>
      <c r="AA459" s="9"/>
      <c r="AB459" s="9"/>
      <c r="AC459" s="9"/>
      <c r="AD459" s="9"/>
    </row>
    <row r="460" ht="15.75" customHeight="1">
      <c r="A460" s="9"/>
      <c r="B460" s="223"/>
      <c r="C460" s="9"/>
      <c r="D460" s="9"/>
      <c r="E460" s="223"/>
      <c r="F460" s="9"/>
      <c r="G460" s="9"/>
      <c r="H460" s="9"/>
      <c r="I460" s="9"/>
      <c r="J460" s="9"/>
      <c r="K460" s="9"/>
      <c r="L460" s="9"/>
      <c r="M460" s="9"/>
      <c r="N460" s="9"/>
      <c r="O460" s="9"/>
      <c r="P460" s="9"/>
      <c r="Q460" s="9"/>
      <c r="R460" s="9"/>
      <c r="S460" s="9"/>
      <c r="T460" s="223"/>
      <c r="U460" s="9"/>
      <c r="V460" s="9"/>
      <c r="W460" s="971"/>
      <c r="X460" s="9"/>
      <c r="Y460" s="9"/>
      <c r="Z460" s="204"/>
      <c r="AA460" s="9"/>
      <c r="AB460" s="9"/>
      <c r="AC460" s="9"/>
      <c r="AD460" s="9"/>
    </row>
    <row r="461" ht="15.75" customHeight="1">
      <c r="A461" s="9"/>
      <c r="B461" s="223"/>
      <c r="C461" s="9"/>
      <c r="D461" s="9"/>
      <c r="E461" s="223"/>
      <c r="F461" s="9"/>
      <c r="G461" s="9"/>
      <c r="H461" s="9"/>
      <c r="I461" s="9"/>
      <c r="J461" s="9"/>
      <c r="K461" s="9"/>
      <c r="L461" s="9"/>
      <c r="M461" s="9"/>
      <c r="N461" s="9"/>
      <c r="O461" s="9"/>
      <c r="P461" s="9"/>
      <c r="Q461" s="9"/>
      <c r="R461" s="9"/>
      <c r="S461" s="9"/>
      <c r="T461" s="223"/>
      <c r="U461" s="9"/>
      <c r="V461" s="9"/>
      <c r="W461" s="971"/>
      <c r="X461" s="9"/>
      <c r="Y461" s="9"/>
      <c r="Z461" s="204"/>
      <c r="AA461" s="9"/>
      <c r="AB461" s="9"/>
      <c r="AC461" s="9"/>
      <c r="AD461" s="9"/>
    </row>
    <row r="462" ht="15.75" customHeight="1">
      <c r="A462" s="9"/>
      <c r="B462" s="223"/>
      <c r="C462" s="9"/>
      <c r="D462" s="9"/>
      <c r="E462" s="223"/>
      <c r="F462" s="9"/>
      <c r="G462" s="9"/>
      <c r="H462" s="9"/>
      <c r="I462" s="9"/>
      <c r="J462" s="9"/>
      <c r="K462" s="9"/>
      <c r="L462" s="9"/>
      <c r="M462" s="9"/>
      <c r="N462" s="9"/>
      <c r="O462" s="9"/>
      <c r="P462" s="9"/>
      <c r="Q462" s="9"/>
      <c r="R462" s="9"/>
      <c r="S462" s="9"/>
      <c r="T462" s="223"/>
      <c r="U462" s="9"/>
      <c r="V462" s="9"/>
      <c r="W462" s="971"/>
      <c r="X462" s="9"/>
      <c r="Y462" s="9"/>
      <c r="Z462" s="204"/>
      <c r="AA462" s="9"/>
      <c r="AB462" s="9"/>
      <c r="AC462" s="9"/>
      <c r="AD462" s="9"/>
    </row>
    <row r="463" ht="15.75" customHeight="1">
      <c r="A463" s="9"/>
      <c r="B463" s="223"/>
      <c r="C463" s="9"/>
      <c r="D463" s="9"/>
      <c r="E463" s="223"/>
      <c r="F463" s="9"/>
      <c r="G463" s="9"/>
      <c r="H463" s="9"/>
      <c r="I463" s="9"/>
      <c r="J463" s="9"/>
      <c r="K463" s="9"/>
      <c r="L463" s="9"/>
      <c r="M463" s="9"/>
      <c r="N463" s="9"/>
      <c r="O463" s="9"/>
      <c r="P463" s="9"/>
      <c r="Q463" s="9"/>
      <c r="R463" s="9"/>
      <c r="S463" s="9"/>
      <c r="T463" s="223"/>
      <c r="U463" s="9"/>
      <c r="V463" s="9"/>
      <c r="W463" s="971"/>
      <c r="X463" s="9"/>
      <c r="Y463" s="9"/>
      <c r="Z463" s="204"/>
      <c r="AA463" s="9"/>
      <c r="AB463" s="9"/>
      <c r="AC463" s="9"/>
      <c r="AD463" s="9"/>
    </row>
    <row r="464" ht="15.75" customHeight="1">
      <c r="A464" s="9"/>
      <c r="B464" s="223"/>
      <c r="C464" s="9"/>
      <c r="D464" s="9"/>
      <c r="E464" s="223"/>
      <c r="F464" s="9"/>
      <c r="G464" s="9"/>
      <c r="H464" s="9"/>
      <c r="I464" s="9"/>
      <c r="J464" s="9"/>
      <c r="K464" s="9"/>
      <c r="L464" s="9"/>
      <c r="M464" s="9"/>
      <c r="N464" s="9"/>
      <c r="O464" s="9"/>
      <c r="P464" s="9"/>
      <c r="Q464" s="9"/>
      <c r="R464" s="9"/>
      <c r="S464" s="9"/>
      <c r="T464" s="223"/>
      <c r="U464" s="9"/>
      <c r="V464" s="9"/>
      <c r="W464" s="971"/>
      <c r="X464" s="9"/>
      <c r="Y464" s="9"/>
      <c r="Z464" s="204"/>
      <c r="AA464" s="9"/>
      <c r="AB464" s="9"/>
      <c r="AC464" s="9"/>
      <c r="AD464" s="9"/>
    </row>
    <row r="465" ht="15.75" customHeight="1">
      <c r="A465" s="9"/>
      <c r="B465" s="223"/>
      <c r="C465" s="9"/>
      <c r="D465" s="9"/>
      <c r="E465" s="223"/>
      <c r="F465" s="9"/>
      <c r="G465" s="9"/>
      <c r="H465" s="9"/>
      <c r="I465" s="9"/>
      <c r="J465" s="9"/>
      <c r="K465" s="9"/>
      <c r="L465" s="9"/>
      <c r="M465" s="9"/>
      <c r="N465" s="9"/>
      <c r="O465" s="9"/>
      <c r="P465" s="9"/>
      <c r="Q465" s="9"/>
      <c r="R465" s="9"/>
      <c r="S465" s="9"/>
      <c r="T465" s="223"/>
      <c r="U465" s="9"/>
      <c r="V465" s="9"/>
      <c r="W465" s="971"/>
      <c r="X465" s="9"/>
      <c r="Y465" s="9"/>
      <c r="Z465" s="204"/>
      <c r="AA465" s="9"/>
      <c r="AB465" s="9"/>
      <c r="AC465" s="9"/>
      <c r="AD465" s="9"/>
    </row>
    <row r="466" ht="15.75" customHeight="1">
      <c r="A466" s="9"/>
      <c r="B466" s="223"/>
      <c r="C466" s="9"/>
      <c r="D466" s="9"/>
      <c r="E466" s="223"/>
      <c r="F466" s="9"/>
      <c r="G466" s="9"/>
      <c r="H466" s="9"/>
      <c r="I466" s="9"/>
      <c r="J466" s="9"/>
      <c r="K466" s="9"/>
      <c r="L466" s="9"/>
      <c r="M466" s="9"/>
      <c r="N466" s="9"/>
      <c r="O466" s="9"/>
      <c r="P466" s="9"/>
      <c r="Q466" s="9"/>
      <c r="R466" s="9"/>
      <c r="S466" s="9"/>
      <c r="T466" s="223"/>
      <c r="U466" s="9"/>
      <c r="V466" s="9"/>
      <c r="W466" s="971"/>
      <c r="X466" s="9"/>
      <c r="Y466" s="9"/>
      <c r="Z466" s="204"/>
      <c r="AA466" s="9"/>
      <c r="AB466" s="9"/>
      <c r="AC466" s="9"/>
      <c r="AD466" s="9"/>
    </row>
    <row r="467" ht="15.75" customHeight="1">
      <c r="A467" s="9"/>
      <c r="B467" s="223"/>
      <c r="C467" s="9"/>
      <c r="D467" s="9"/>
      <c r="E467" s="223"/>
      <c r="F467" s="9"/>
      <c r="G467" s="9"/>
      <c r="H467" s="9"/>
      <c r="I467" s="9"/>
      <c r="J467" s="9"/>
      <c r="K467" s="9"/>
      <c r="L467" s="9"/>
      <c r="M467" s="9"/>
      <c r="N467" s="9"/>
      <c r="O467" s="9"/>
      <c r="P467" s="9"/>
      <c r="Q467" s="9"/>
      <c r="R467" s="9"/>
      <c r="S467" s="9"/>
      <c r="T467" s="223"/>
      <c r="U467" s="9"/>
      <c r="V467" s="9"/>
      <c r="W467" s="971"/>
      <c r="X467" s="9"/>
      <c r="Y467" s="9"/>
      <c r="Z467" s="204"/>
      <c r="AA467" s="9"/>
      <c r="AB467" s="9"/>
      <c r="AC467" s="9"/>
      <c r="AD467" s="9"/>
    </row>
    <row r="468" ht="15.75" customHeight="1">
      <c r="A468" s="9"/>
      <c r="B468" s="223"/>
      <c r="C468" s="9"/>
      <c r="D468" s="9"/>
      <c r="E468" s="223"/>
      <c r="F468" s="9"/>
      <c r="G468" s="9"/>
      <c r="H468" s="9"/>
      <c r="I468" s="9"/>
      <c r="J468" s="9"/>
      <c r="K468" s="9"/>
      <c r="L468" s="9"/>
      <c r="M468" s="9"/>
      <c r="N468" s="9"/>
      <c r="O468" s="9"/>
      <c r="P468" s="9"/>
      <c r="Q468" s="9"/>
      <c r="R468" s="9"/>
      <c r="S468" s="9"/>
      <c r="T468" s="223"/>
      <c r="U468" s="9"/>
      <c r="V468" s="9"/>
      <c r="W468" s="971"/>
      <c r="X468" s="9"/>
      <c r="Y468" s="9"/>
      <c r="Z468" s="204"/>
      <c r="AA468" s="9"/>
      <c r="AB468" s="9"/>
      <c r="AC468" s="9"/>
      <c r="AD468" s="9"/>
    </row>
    <row r="469" ht="15.75" customHeight="1">
      <c r="A469" s="9"/>
      <c r="B469" s="223"/>
      <c r="C469" s="9"/>
      <c r="D469" s="9"/>
      <c r="E469" s="223"/>
      <c r="F469" s="9"/>
      <c r="G469" s="9"/>
      <c r="H469" s="9"/>
      <c r="I469" s="9"/>
      <c r="J469" s="9"/>
      <c r="K469" s="9"/>
      <c r="L469" s="9"/>
      <c r="M469" s="9"/>
      <c r="N469" s="9"/>
      <c r="O469" s="9"/>
      <c r="P469" s="9"/>
      <c r="Q469" s="9"/>
      <c r="R469" s="9"/>
      <c r="S469" s="9"/>
      <c r="T469" s="223"/>
      <c r="U469" s="9"/>
      <c r="V469" s="9"/>
      <c r="W469" s="971"/>
      <c r="X469" s="9"/>
      <c r="Y469" s="9"/>
      <c r="Z469" s="204"/>
      <c r="AA469" s="9"/>
      <c r="AB469" s="9"/>
      <c r="AC469" s="9"/>
      <c r="AD469" s="9"/>
    </row>
    <row r="470" ht="15.75" customHeight="1">
      <c r="A470" s="9"/>
      <c r="B470" s="223"/>
      <c r="C470" s="9"/>
      <c r="D470" s="9"/>
      <c r="E470" s="223"/>
      <c r="F470" s="9"/>
      <c r="G470" s="9"/>
      <c r="H470" s="9"/>
      <c r="I470" s="9"/>
      <c r="J470" s="9"/>
      <c r="K470" s="9"/>
      <c r="L470" s="9"/>
      <c r="M470" s="9"/>
      <c r="N470" s="9"/>
      <c r="O470" s="9"/>
      <c r="P470" s="9"/>
      <c r="Q470" s="9"/>
      <c r="R470" s="9"/>
      <c r="S470" s="9"/>
      <c r="T470" s="223"/>
      <c r="U470" s="9"/>
      <c r="V470" s="9"/>
      <c r="W470" s="971"/>
      <c r="X470" s="9"/>
      <c r="Y470" s="9"/>
      <c r="Z470" s="204"/>
      <c r="AA470" s="9"/>
      <c r="AB470" s="9"/>
      <c r="AC470" s="9"/>
      <c r="AD470" s="9"/>
    </row>
    <row r="471" ht="15.75" customHeight="1">
      <c r="A471" s="9"/>
      <c r="B471" s="223"/>
      <c r="C471" s="9"/>
      <c r="D471" s="9"/>
      <c r="E471" s="223"/>
      <c r="F471" s="9"/>
      <c r="G471" s="9"/>
      <c r="H471" s="9"/>
      <c r="I471" s="9"/>
      <c r="J471" s="9"/>
      <c r="K471" s="9"/>
      <c r="L471" s="9"/>
      <c r="M471" s="9"/>
      <c r="N471" s="9"/>
      <c r="O471" s="9"/>
      <c r="P471" s="9"/>
      <c r="Q471" s="9"/>
      <c r="R471" s="9"/>
      <c r="S471" s="9"/>
      <c r="T471" s="223"/>
      <c r="U471" s="9"/>
      <c r="V471" s="9"/>
      <c r="W471" s="971"/>
      <c r="X471" s="9"/>
      <c r="Y471" s="9"/>
      <c r="Z471" s="204"/>
      <c r="AA471" s="9"/>
      <c r="AB471" s="9"/>
      <c r="AC471" s="9"/>
      <c r="AD471" s="9"/>
    </row>
    <row r="472" ht="15.75" customHeight="1">
      <c r="A472" s="9"/>
      <c r="B472" s="223"/>
      <c r="C472" s="9"/>
      <c r="D472" s="9"/>
      <c r="E472" s="223"/>
      <c r="F472" s="9"/>
      <c r="G472" s="9"/>
      <c r="H472" s="9"/>
      <c r="I472" s="9"/>
      <c r="J472" s="9"/>
      <c r="K472" s="9"/>
      <c r="L472" s="9"/>
      <c r="M472" s="9"/>
      <c r="N472" s="9"/>
      <c r="O472" s="9"/>
      <c r="P472" s="9"/>
      <c r="Q472" s="9"/>
      <c r="R472" s="9"/>
      <c r="S472" s="9"/>
      <c r="T472" s="223"/>
      <c r="U472" s="9"/>
      <c r="V472" s="9"/>
      <c r="W472" s="971"/>
      <c r="X472" s="9"/>
      <c r="Y472" s="9"/>
      <c r="Z472" s="204"/>
      <c r="AA472" s="9"/>
      <c r="AB472" s="9"/>
      <c r="AC472" s="9"/>
      <c r="AD472" s="9"/>
    </row>
    <row r="473" ht="15.75" customHeight="1">
      <c r="A473" s="9"/>
      <c r="B473" s="223"/>
      <c r="C473" s="9"/>
      <c r="D473" s="9"/>
      <c r="E473" s="223"/>
      <c r="F473" s="9"/>
      <c r="G473" s="9"/>
      <c r="H473" s="9"/>
      <c r="I473" s="9"/>
      <c r="J473" s="9"/>
      <c r="K473" s="9"/>
      <c r="L473" s="9"/>
      <c r="M473" s="9"/>
      <c r="N473" s="9"/>
      <c r="O473" s="9"/>
      <c r="P473" s="9"/>
      <c r="Q473" s="9"/>
      <c r="R473" s="9"/>
      <c r="S473" s="9"/>
      <c r="T473" s="223"/>
      <c r="U473" s="9"/>
      <c r="V473" s="9"/>
      <c r="W473" s="971"/>
      <c r="X473" s="9"/>
      <c r="Y473" s="9"/>
      <c r="Z473" s="204"/>
      <c r="AA473" s="9"/>
      <c r="AB473" s="9"/>
      <c r="AC473" s="9"/>
      <c r="AD473" s="9"/>
    </row>
    <row r="474" ht="15.75" customHeight="1">
      <c r="A474" s="9"/>
      <c r="B474" s="223"/>
      <c r="C474" s="9"/>
      <c r="D474" s="9"/>
      <c r="E474" s="223"/>
      <c r="F474" s="9"/>
      <c r="G474" s="9"/>
      <c r="H474" s="9"/>
      <c r="I474" s="9"/>
      <c r="J474" s="9"/>
      <c r="K474" s="9"/>
      <c r="L474" s="9"/>
      <c r="M474" s="9"/>
      <c r="N474" s="9"/>
      <c r="O474" s="9"/>
      <c r="P474" s="9"/>
      <c r="Q474" s="9"/>
      <c r="R474" s="9"/>
      <c r="S474" s="9"/>
      <c r="T474" s="223"/>
      <c r="U474" s="9"/>
      <c r="V474" s="9"/>
      <c r="W474" s="971"/>
      <c r="X474" s="9"/>
      <c r="Y474" s="9"/>
      <c r="Z474" s="204"/>
      <c r="AA474" s="9"/>
      <c r="AB474" s="9"/>
      <c r="AC474" s="9"/>
      <c r="AD474" s="9"/>
    </row>
    <row r="475" ht="15.75" customHeight="1">
      <c r="A475" s="9"/>
      <c r="B475" s="223"/>
      <c r="C475" s="9"/>
      <c r="D475" s="9"/>
      <c r="E475" s="223"/>
      <c r="F475" s="9"/>
      <c r="G475" s="9"/>
      <c r="H475" s="9"/>
      <c r="I475" s="9"/>
      <c r="J475" s="9"/>
      <c r="K475" s="9"/>
      <c r="L475" s="9"/>
      <c r="M475" s="9"/>
      <c r="N475" s="9"/>
      <c r="O475" s="9"/>
      <c r="P475" s="9"/>
      <c r="Q475" s="9"/>
      <c r="R475" s="9"/>
      <c r="S475" s="9"/>
      <c r="T475" s="223"/>
      <c r="U475" s="9"/>
      <c r="V475" s="9"/>
      <c r="W475" s="971"/>
      <c r="X475" s="9"/>
      <c r="Y475" s="9"/>
      <c r="Z475" s="204"/>
      <c r="AA475" s="9"/>
      <c r="AB475" s="9"/>
      <c r="AC475" s="9"/>
      <c r="AD475" s="9"/>
    </row>
    <row r="476" ht="15.75" customHeight="1">
      <c r="A476" s="9"/>
      <c r="B476" s="223"/>
      <c r="C476" s="9"/>
      <c r="D476" s="9"/>
      <c r="E476" s="223"/>
      <c r="F476" s="9"/>
      <c r="G476" s="9"/>
      <c r="H476" s="9"/>
      <c r="I476" s="9"/>
      <c r="J476" s="9"/>
      <c r="K476" s="9"/>
      <c r="L476" s="9"/>
      <c r="M476" s="9"/>
      <c r="N476" s="9"/>
      <c r="O476" s="9"/>
      <c r="P476" s="9"/>
      <c r="Q476" s="9"/>
      <c r="R476" s="9"/>
      <c r="S476" s="9"/>
      <c r="T476" s="223"/>
      <c r="U476" s="9"/>
      <c r="V476" s="9"/>
      <c r="W476" s="971"/>
      <c r="X476" s="9"/>
      <c r="Y476" s="9"/>
      <c r="Z476" s="204"/>
      <c r="AA476" s="9"/>
      <c r="AB476" s="9"/>
      <c r="AC476" s="9"/>
      <c r="AD476" s="9"/>
    </row>
    <row r="477" ht="15.75" customHeight="1">
      <c r="A477" s="9"/>
      <c r="B477" s="223"/>
      <c r="C477" s="9"/>
      <c r="D477" s="9"/>
      <c r="E477" s="223"/>
      <c r="F477" s="9"/>
      <c r="G477" s="9"/>
      <c r="H477" s="9"/>
      <c r="I477" s="9"/>
      <c r="J477" s="9"/>
      <c r="K477" s="9"/>
      <c r="L477" s="9"/>
      <c r="M477" s="9"/>
      <c r="N477" s="9"/>
      <c r="O477" s="9"/>
      <c r="P477" s="9"/>
      <c r="Q477" s="9"/>
      <c r="R477" s="9"/>
      <c r="S477" s="9"/>
      <c r="T477" s="223"/>
      <c r="U477" s="9"/>
      <c r="V477" s="9"/>
      <c r="W477" s="971"/>
      <c r="X477" s="9"/>
      <c r="Y477" s="9"/>
      <c r="Z477" s="204"/>
      <c r="AA477" s="9"/>
      <c r="AB477" s="9"/>
      <c r="AC477" s="9"/>
      <c r="AD477" s="9"/>
    </row>
    <row r="478" ht="15.75" customHeight="1">
      <c r="A478" s="9"/>
      <c r="B478" s="223"/>
      <c r="C478" s="9"/>
      <c r="D478" s="9"/>
      <c r="E478" s="223"/>
      <c r="F478" s="9"/>
      <c r="G478" s="9"/>
      <c r="H478" s="9"/>
      <c r="I478" s="9"/>
      <c r="J478" s="9"/>
      <c r="K478" s="9"/>
      <c r="L478" s="9"/>
      <c r="M478" s="9"/>
      <c r="N478" s="9"/>
      <c r="O478" s="9"/>
      <c r="P478" s="9"/>
      <c r="Q478" s="9"/>
      <c r="R478" s="9"/>
      <c r="S478" s="9"/>
      <c r="T478" s="223"/>
      <c r="U478" s="9"/>
      <c r="V478" s="9"/>
      <c r="W478" s="971"/>
      <c r="X478" s="9"/>
      <c r="Y478" s="9"/>
      <c r="Z478" s="204"/>
      <c r="AA478" s="9"/>
      <c r="AB478" s="9"/>
      <c r="AC478" s="9"/>
      <c r="AD478" s="9"/>
    </row>
    <row r="479" ht="15.75" customHeight="1">
      <c r="A479" s="9"/>
      <c r="B479" s="223"/>
      <c r="C479" s="9"/>
      <c r="D479" s="9"/>
      <c r="E479" s="223"/>
      <c r="F479" s="9"/>
      <c r="G479" s="9"/>
      <c r="H479" s="9"/>
      <c r="I479" s="9"/>
      <c r="J479" s="9"/>
      <c r="K479" s="9"/>
      <c r="L479" s="9"/>
      <c r="M479" s="9"/>
      <c r="N479" s="9"/>
      <c r="O479" s="9"/>
      <c r="P479" s="9"/>
      <c r="Q479" s="9"/>
      <c r="R479" s="9"/>
      <c r="S479" s="9"/>
      <c r="T479" s="223"/>
      <c r="U479" s="9"/>
      <c r="V479" s="9"/>
      <c r="W479" s="971"/>
      <c r="X479" s="9"/>
      <c r="Y479" s="9"/>
      <c r="Z479" s="204"/>
      <c r="AA479" s="9"/>
      <c r="AB479" s="9"/>
      <c r="AC479" s="9"/>
      <c r="AD479" s="9"/>
    </row>
    <row r="480" ht="15.75" customHeight="1">
      <c r="A480" s="9"/>
      <c r="B480" s="223"/>
      <c r="C480" s="9"/>
      <c r="D480" s="9"/>
      <c r="E480" s="223"/>
      <c r="F480" s="9"/>
      <c r="G480" s="9"/>
      <c r="H480" s="9"/>
      <c r="I480" s="9"/>
      <c r="J480" s="9"/>
      <c r="K480" s="9"/>
      <c r="L480" s="9"/>
      <c r="M480" s="9"/>
      <c r="N480" s="9"/>
      <c r="O480" s="9"/>
      <c r="P480" s="9"/>
      <c r="Q480" s="9"/>
      <c r="R480" s="9"/>
      <c r="S480" s="9"/>
      <c r="T480" s="223"/>
      <c r="U480" s="9"/>
      <c r="V480" s="9"/>
      <c r="W480" s="971"/>
      <c r="X480" s="9"/>
      <c r="Y480" s="9"/>
      <c r="Z480" s="204"/>
      <c r="AA480" s="9"/>
      <c r="AB480" s="9"/>
      <c r="AC480" s="9"/>
      <c r="AD480" s="9"/>
    </row>
    <row r="481" ht="15.75" customHeight="1">
      <c r="A481" s="9"/>
      <c r="B481" s="223"/>
      <c r="C481" s="9"/>
      <c r="D481" s="9"/>
      <c r="E481" s="223"/>
      <c r="F481" s="9"/>
      <c r="G481" s="9"/>
      <c r="H481" s="9"/>
      <c r="I481" s="9"/>
      <c r="J481" s="9"/>
      <c r="K481" s="9"/>
      <c r="L481" s="9"/>
      <c r="M481" s="9"/>
      <c r="N481" s="9"/>
      <c r="O481" s="9"/>
      <c r="P481" s="9"/>
      <c r="Q481" s="9"/>
      <c r="R481" s="9"/>
      <c r="S481" s="9"/>
      <c r="T481" s="223"/>
      <c r="U481" s="9"/>
      <c r="V481" s="9"/>
      <c r="W481" s="971"/>
      <c r="X481" s="9"/>
      <c r="Y481" s="9"/>
      <c r="Z481" s="204"/>
      <c r="AA481" s="9"/>
      <c r="AB481" s="9"/>
      <c r="AC481" s="9"/>
      <c r="AD481" s="9"/>
    </row>
    <row r="482" ht="15.75" customHeight="1">
      <c r="A482" s="9"/>
      <c r="B482" s="223"/>
      <c r="C482" s="9"/>
      <c r="D482" s="9"/>
      <c r="E482" s="223"/>
      <c r="F482" s="9"/>
      <c r="G482" s="9"/>
      <c r="H482" s="9"/>
      <c r="I482" s="9"/>
      <c r="J482" s="9"/>
      <c r="K482" s="9"/>
      <c r="L482" s="9"/>
      <c r="M482" s="9"/>
      <c r="N482" s="9"/>
      <c r="O482" s="9"/>
      <c r="P482" s="9"/>
      <c r="Q482" s="9"/>
      <c r="R482" s="9"/>
      <c r="S482" s="9"/>
      <c r="T482" s="223"/>
      <c r="U482" s="9"/>
      <c r="V482" s="9"/>
      <c r="W482" s="971"/>
      <c r="X482" s="9"/>
      <c r="Y482" s="9"/>
      <c r="Z482" s="204"/>
      <c r="AA482" s="9"/>
      <c r="AB482" s="9"/>
      <c r="AC482" s="9"/>
      <c r="AD482" s="9"/>
    </row>
    <row r="483" ht="15.75" customHeight="1">
      <c r="A483" s="9"/>
      <c r="B483" s="223"/>
      <c r="C483" s="9"/>
      <c r="D483" s="9"/>
      <c r="E483" s="223"/>
      <c r="F483" s="9"/>
      <c r="G483" s="9"/>
      <c r="H483" s="9"/>
      <c r="I483" s="9"/>
      <c r="J483" s="9"/>
      <c r="K483" s="9"/>
      <c r="L483" s="9"/>
      <c r="M483" s="9"/>
      <c r="N483" s="9"/>
      <c r="O483" s="9"/>
      <c r="P483" s="9"/>
      <c r="Q483" s="9"/>
      <c r="R483" s="9"/>
      <c r="S483" s="9"/>
      <c r="T483" s="223"/>
      <c r="U483" s="9"/>
      <c r="V483" s="9"/>
      <c r="W483" s="971"/>
      <c r="X483" s="9"/>
      <c r="Y483" s="9"/>
      <c r="Z483" s="204"/>
      <c r="AA483" s="9"/>
      <c r="AB483" s="9"/>
      <c r="AC483" s="9"/>
      <c r="AD483" s="9"/>
    </row>
    <row r="484" ht="15.75" customHeight="1">
      <c r="A484" s="9"/>
      <c r="B484" s="223"/>
      <c r="C484" s="9"/>
      <c r="D484" s="9"/>
      <c r="E484" s="223"/>
      <c r="F484" s="9"/>
      <c r="G484" s="9"/>
      <c r="H484" s="9"/>
      <c r="I484" s="9"/>
      <c r="J484" s="9"/>
      <c r="K484" s="9"/>
      <c r="L484" s="9"/>
      <c r="M484" s="9"/>
      <c r="N484" s="9"/>
      <c r="O484" s="9"/>
      <c r="P484" s="9"/>
      <c r="Q484" s="9"/>
      <c r="R484" s="9"/>
      <c r="S484" s="9"/>
      <c r="T484" s="223"/>
      <c r="U484" s="9"/>
      <c r="V484" s="9"/>
      <c r="W484" s="971"/>
      <c r="X484" s="9"/>
      <c r="Y484" s="9"/>
      <c r="Z484" s="204"/>
      <c r="AA484" s="9"/>
      <c r="AB484" s="9"/>
      <c r="AC484" s="9"/>
      <c r="AD484" s="9"/>
    </row>
    <row r="485" ht="15.75" customHeight="1">
      <c r="A485" s="9"/>
      <c r="B485" s="223"/>
      <c r="C485" s="9"/>
      <c r="D485" s="9"/>
      <c r="E485" s="223"/>
      <c r="F485" s="9"/>
      <c r="G485" s="9"/>
      <c r="H485" s="9"/>
      <c r="I485" s="9"/>
      <c r="J485" s="9"/>
      <c r="K485" s="9"/>
      <c r="L485" s="9"/>
      <c r="M485" s="9"/>
      <c r="N485" s="9"/>
      <c r="O485" s="9"/>
      <c r="P485" s="9"/>
      <c r="Q485" s="9"/>
      <c r="R485" s="9"/>
      <c r="S485" s="9"/>
      <c r="T485" s="223"/>
      <c r="U485" s="9"/>
      <c r="V485" s="9"/>
      <c r="W485" s="971"/>
      <c r="X485" s="9"/>
      <c r="Y485" s="9"/>
      <c r="Z485" s="204"/>
      <c r="AA485" s="9"/>
      <c r="AB485" s="9"/>
      <c r="AC485" s="9"/>
      <c r="AD485" s="9"/>
    </row>
    <row r="486" ht="15.75" customHeight="1">
      <c r="A486" s="9"/>
      <c r="B486" s="223"/>
      <c r="C486" s="9"/>
      <c r="D486" s="9"/>
      <c r="E486" s="223"/>
      <c r="F486" s="9"/>
      <c r="G486" s="9"/>
      <c r="H486" s="9"/>
      <c r="I486" s="9"/>
      <c r="J486" s="9"/>
      <c r="K486" s="9"/>
      <c r="L486" s="9"/>
      <c r="M486" s="9"/>
      <c r="N486" s="9"/>
      <c r="O486" s="9"/>
      <c r="P486" s="9"/>
      <c r="Q486" s="9"/>
      <c r="R486" s="9"/>
      <c r="S486" s="9"/>
      <c r="T486" s="223"/>
      <c r="U486" s="9"/>
      <c r="V486" s="9"/>
      <c r="W486" s="971"/>
      <c r="X486" s="9"/>
      <c r="Y486" s="9"/>
      <c r="Z486" s="204"/>
      <c r="AA486" s="9"/>
      <c r="AB486" s="9"/>
      <c r="AC486" s="9"/>
      <c r="AD486" s="9"/>
    </row>
    <row r="487" ht="15.75" customHeight="1">
      <c r="A487" s="9"/>
      <c r="B487" s="223"/>
      <c r="C487" s="9"/>
      <c r="D487" s="9"/>
      <c r="E487" s="223"/>
      <c r="F487" s="9"/>
      <c r="G487" s="9"/>
      <c r="H487" s="9"/>
      <c r="I487" s="9"/>
      <c r="J487" s="9"/>
      <c r="K487" s="9"/>
      <c r="L487" s="9"/>
      <c r="M487" s="9"/>
      <c r="N487" s="9"/>
      <c r="O487" s="9"/>
      <c r="P487" s="9"/>
      <c r="Q487" s="9"/>
      <c r="R487" s="9"/>
      <c r="S487" s="9"/>
      <c r="T487" s="223"/>
      <c r="U487" s="9"/>
      <c r="V487" s="9"/>
      <c r="W487" s="971"/>
      <c r="X487" s="9"/>
      <c r="Y487" s="9"/>
      <c r="Z487" s="204"/>
      <c r="AA487" s="9"/>
      <c r="AB487" s="9"/>
      <c r="AC487" s="9"/>
      <c r="AD487" s="9"/>
    </row>
    <row r="488" ht="15.75" customHeight="1">
      <c r="A488" s="9"/>
      <c r="B488" s="223"/>
      <c r="C488" s="9"/>
      <c r="D488" s="9"/>
      <c r="E488" s="223"/>
      <c r="F488" s="9"/>
      <c r="G488" s="9"/>
      <c r="H488" s="9"/>
      <c r="I488" s="9"/>
      <c r="J488" s="9"/>
      <c r="K488" s="9"/>
      <c r="L488" s="9"/>
      <c r="M488" s="9"/>
      <c r="N488" s="9"/>
      <c r="O488" s="9"/>
      <c r="P488" s="9"/>
      <c r="Q488" s="9"/>
      <c r="R488" s="9"/>
      <c r="S488" s="9"/>
      <c r="T488" s="223"/>
      <c r="U488" s="9"/>
      <c r="V488" s="9"/>
      <c r="W488" s="971"/>
      <c r="X488" s="9"/>
      <c r="Y488" s="9"/>
      <c r="Z488" s="204"/>
      <c r="AA488" s="9"/>
      <c r="AB488" s="9"/>
      <c r="AC488" s="9"/>
      <c r="AD488" s="9"/>
    </row>
    <row r="489" ht="15.75" customHeight="1">
      <c r="A489" s="9"/>
      <c r="B489" s="223"/>
      <c r="C489" s="9"/>
      <c r="D489" s="9"/>
      <c r="E489" s="223"/>
      <c r="F489" s="9"/>
      <c r="G489" s="9"/>
      <c r="H489" s="9"/>
      <c r="I489" s="9"/>
      <c r="J489" s="9"/>
      <c r="K489" s="9"/>
      <c r="L489" s="9"/>
      <c r="M489" s="9"/>
      <c r="N489" s="9"/>
      <c r="O489" s="9"/>
      <c r="P489" s="9"/>
      <c r="Q489" s="9"/>
      <c r="R489" s="9"/>
      <c r="S489" s="9"/>
      <c r="T489" s="223"/>
      <c r="U489" s="9"/>
      <c r="V489" s="9"/>
      <c r="W489" s="971"/>
      <c r="X489" s="9"/>
      <c r="Y489" s="9"/>
      <c r="Z489" s="204"/>
      <c r="AA489" s="9"/>
      <c r="AB489" s="9"/>
      <c r="AC489" s="9"/>
      <c r="AD489" s="9"/>
    </row>
    <row r="490" ht="15.75" customHeight="1">
      <c r="A490" s="9"/>
      <c r="B490" s="223"/>
      <c r="C490" s="9"/>
      <c r="D490" s="9"/>
      <c r="E490" s="223"/>
      <c r="F490" s="9"/>
      <c r="G490" s="9"/>
      <c r="H490" s="9"/>
      <c r="I490" s="9"/>
      <c r="J490" s="9"/>
      <c r="K490" s="9"/>
      <c r="L490" s="9"/>
      <c r="M490" s="9"/>
      <c r="N490" s="9"/>
      <c r="O490" s="9"/>
      <c r="P490" s="9"/>
      <c r="Q490" s="9"/>
      <c r="R490" s="9"/>
      <c r="S490" s="9"/>
      <c r="T490" s="223"/>
      <c r="U490" s="9"/>
      <c r="V490" s="9"/>
      <c r="W490" s="971"/>
      <c r="X490" s="9"/>
      <c r="Y490" s="9"/>
      <c r="Z490" s="204"/>
      <c r="AA490" s="9"/>
      <c r="AB490" s="9"/>
      <c r="AC490" s="9"/>
      <c r="AD490" s="9"/>
    </row>
    <row r="491" ht="15.75" customHeight="1">
      <c r="A491" s="9"/>
      <c r="B491" s="223"/>
      <c r="C491" s="9"/>
      <c r="D491" s="9"/>
      <c r="E491" s="223"/>
      <c r="F491" s="9"/>
      <c r="G491" s="9"/>
      <c r="H491" s="9"/>
      <c r="I491" s="9"/>
      <c r="J491" s="9"/>
      <c r="K491" s="9"/>
      <c r="L491" s="9"/>
      <c r="M491" s="9"/>
      <c r="N491" s="9"/>
      <c r="O491" s="9"/>
      <c r="P491" s="9"/>
      <c r="Q491" s="9"/>
      <c r="R491" s="9"/>
      <c r="S491" s="9"/>
      <c r="T491" s="223"/>
      <c r="U491" s="9"/>
      <c r="V491" s="9"/>
      <c r="W491" s="971"/>
      <c r="X491" s="9"/>
      <c r="Y491" s="9"/>
      <c r="Z491" s="204"/>
      <c r="AA491" s="9"/>
      <c r="AB491" s="9"/>
      <c r="AC491" s="9"/>
      <c r="AD491" s="9"/>
    </row>
    <row r="492" ht="15.75" customHeight="1">
      <c r="A492" s="9"/>
      <c r="B492" s="223"/>
      <c r="C492" s="9"/>
      <c r="D492" s="9"/>
      <c r="E492" s="223"/>
      <c r="F492" s="9"/>
      <c r="G492" s="9"/>
      <c r="H492" s="9"/>
      <c r="I492" s="9"/>
      <c r="J492" s="9"/>
      <c r="K492" s="9"/>
      <c r="L492" s="9"/>
      <c r="M492" s="9"/>
      <c r="N492" s="9"/>
      <c r="O492" s="9"/>
      <c r="P492" s="9"/>
      <c r="Q492" s="9"/>
      <c r="R492" s="9"/>
      <c r="S492" s="9"/>
      <c r="T492" s="223"/>
      <c r="U492" s="9"/>
      <c r="V492" s="9"/>
      <c r="W492" s="971"/>
      <c r="X492" s="9"/>
      <c r="Y492" s="9"/>
      <c r="Z492" s="204"/>
      <c r="AA492" s="9"/>
      <c r="AB492" s="9"/>
      <c r="AC492" s="9"/>
      <c r="AD492" s="9"/>
    </row>
    <row r="493" ht="15.75" customHeight="1">
      <c r="A493" s="9"/>
      <c r="B493" s="223"/>
      <c r="C493" s="9"/>
      <c r="D493" s="9"/>
      <c r="E493" s="223"/>
      <c r="F493" s="9"/>
      <c r="G493" s="9"/>
      <c r="H493" s="9"/>
      <c r="I493" s="9"/>
      <c r="J493" s="9"/>
      <c r="K493" s="9"/>
      <c r="L493" s="9"/>
      <c r="M493" s="9"/>
      <c r="N493" s="9"/>
      <c r="O493" s="9"/>
      <c r="P493" s="9"/>
      <c r="Q493" s="9"/>
      <c r="R493" s="9"/>
      <c r="S493" s="9"/>
      <c r="T493" s="223"/>
      <c r="U493" s="9"/>
      <c r="V493" s="9"/>
      <c r="W493" s="971"/>
      <c r="X493" s="9"/>
      <c r="Y493" s="9"/>
      <c r="Z493" s="204"/>
      <c r="AA493" s="9"/>
      <c r="AB493" s="9"/>
      <c r="AC493" s="9"/>
      <c r="AD493" s="9"/>
    </row>
    <row r="494" ht="15.75" customHeight="1">
      <c r="A494" s="9"/>
      <c r="B494" s="223"/>
      <c r="C494" s="9"/>
      <c r="D494" s="9"/>
      <c r="E494" s="223"/>
      <c r="F494" s="9"/>
      <c r="G494" s="9"/>
      <c r="H494" s="9"/>
      <c r="I494" s="9"/>
      <c r="J494" s="9"/>
      <c r="K494" s="9"/>
      <c r="L494" s="9"/>
      <c r="M494" s="9"/>
      <c r="N494" s="9"/>
      <c r="O494" s="9"/>
      <c r="P494" s="9"/>
      <c r="Q494" s="9"/>
      <c r="R494" s="9"/>
      <c r="S494" s="9"/>
      <c r="T494" s="223"/>
      <c r="U494" s="9"/>
      <c r="V494" s="9"/>
      <c r="W494" s="971"/>
      <c r="X494" s="9"/>
      <c r="Y494" s="9"/>
      <c r="Z494" s="204"/>
      <c r="AA494" s="9"/>
      <c r="AB494" s="9"/>
      <c r="AC494" s="9"/>
      <c r="AD494" s="9"/>
    </row>
    <row r="495" ht="15.75" customHeight="1">
      <c r="A495" s="9"/>
      <c r="B495" s="223"/>
      <c r="C495" s="9"/>
      <c r="D495" s="9"/>
      <c r="E495" s="223"/>
      <c r="F495" s="9"/>
      <c r="G495" s="9"/>
      <c r="H495" s="9"/>
      <c r="I495" s="9"/>
      <c r="J495" s="9"/>
      <c r="K495" s="9"/>
      <c r="L495" s="9"/>
      <c r="M495" s="9"/>
      <c r="N495" s="9"/>
      <c r="O495" s="9"/>
      <c r="P495" s="9"/>
      <c r="Q495" s="9"/>
      <c r="R495" s="9"/>
      <c r="S495" s="9"/>
      <c r="T495" s="223"/>
      <c r="U495" s="9"/>
      <c r="V495" s="9"/>
      <c r="W495" s="971"/>
      <c r="X495" s="9"/>
      <c r="Y495" s="9"/>
      <c r="Z495" s="204"/>
      <c r="AA495" s="9"/>
      <c r="AB495" s="9"/>
      <c r="AC495" s="9"/>
      <c r="AD495" s="9"/>
    </row>
    <row r="496" ht="15.75" customHeight="1">
      <c r="A496" s="9"/>
      <c r="B496" s="223"/>
      <c r="C496" s="9"/>
      <c r="D496" s="9"/>
      <c r="E496" s="223"/>
      <c r="F496" s="9"/>
      <c r="G496" s="9"/>
      <c r="H496" s="9"/>
      <c r="I496" s="9"/>
      <c r="J496" s="9"/>
      <c r="K496" s="9"/>
      <c r="L496" s="9"/>
      <c r="M496" s="9"/>
      <c r="N496" s="9"/>
      <c r="O496" s="9"/>
      <c r="P496" s="9"/>
      <c r="Q496" s="9"/>
      <c r="R496" s="9"/>
      <c r="S496" s="9"/>
      <c r="T496" s="223"/>
      <c r="U496" s="9"/>
      <c r="V496" s="9"/>
      <c r="W496" s="971"/>
      <c r="X496" s="9"/>
      <c r="Y496" s="9"/>
      <c r="Z496" s="204"/>
      <c r="AA496" s="9"/>
      <c r="AB496" s="9"/>
      <c r="AC496" s="9"/>
      <c r="AD496" s="9"/>
    </row>
    <row r="497" ht="15.75" customHeight="1">
      <c r="A497" s="9"/>
      <c r="B497" s="223"/>
      <c r="C497" s="9"/>
      <c r="D497" s="9"/>
      <c r="E497" s="223"/>
      <c r="F497" s="9"/>
      <c r="G497" s="9"/>
      <c r="H497" s="9"/>
      <c r="I497" s="9"/>
      <c r="J497" s="9"/>
      <c r="K497" s="9"/>
      <c r="L497" s="9"/>
      <c r="M497" s="9"/>
      <c r="N497" s="9"/>
      <c r="O497" s="9"/>
      <c r="P497" s="9"/>
      <c r="Q497" s="9"/>
      <c r="R497" s="9"/>
      <c r="S497" s="9"/>
      <c r="T497" s="223"/>
      <c r="U497" s="9"/>
      <c r="V497" s="9"/>
      <c r="W497" s="971"/>
      <c r="X497" s="9"/>
      <c r="Y497" s="9"/>
      <c r="Z497" s="204"/>
      <c r="AA497" s="9"/>
      <c r="AB497" s="9"/>
      <c r="AC497" s="9"/>
      <c r="AD497" s="9"/>
    </row>
    <row r="498" ht="15.75" customHeight="1">
      <c r="A498" s="9"/>
      <c r="B498" s="223"/>
      <c r="C498" s="9"/>
      <c r="D498" s="9"/>
      <c r="E498" s="223"/>
      <c r="F498" s="9"/>
      <c r="G498" s="9"/>
      <c r="H498" s="9"/>
      <c r="I498" s="9"/>
      <c r="J498" s="9"/>
      <c r="K498" s="9"/>
      <c r="L498" s="9"/>
      <c r="M498" s="9"/>
      <c r="N498" s="9"/>
      <c r="O498" s="9"/>
      <c r="P498" s="9"/>
      <c r="Q498" s="9"/>
      <c r="R498" s="9"/>
      <c r="S498" s="9"/>
      <c r="T498" s="223"/>
      <c r="U498" s="9"/>
      <c r="V498" s="9"/>
      <c r="W498" s="971"/>
      <c r="X498" s="9"/>
      <c r="Y498" s="9"/>
      <c r="Z498" s="204"/>
      <c r="AA498" s="9"/>
      <c r="AB498" s="9"/>
      <c r="AC498" s="9"/>
      <c r="AD498" s="9"/>
    </row>
    <row r="499" ht="15.75" customHeight="1">
      <c r="A499" s="9"/>
      <c r="B499" s="223"/>
      <c r="C499" s="9"/>
      <c r="D499" s="9"/>
      <c r="E499" s="223"/>
      <c r="F499" s="9"/>
      <c r="G499" s="9"/>
      <c r="H499" s="9"/>
      <c r="I499" s="9"/>
      <c r="J499" s="9"/>
      <c r="K499" s="9"/>
      <c r="L499" s="9"/>
      <c r="M499" s="9"/>
      <c r="N499" s="9"/>
      <c r="O499" s="9"/>
      <c r="P499" s="9"/>
      <c r="Q499" s="9"/>
      <c r="R499" s="9"/>
      <c r="S499" s="9"/>
      <c r="T499" s="223"/>
      <c r="U499" s="9"/>
      <c r="V499" s="9"/>
      <c r="W499" s="971"/>
      <c r="X499" s="9"/>
      <c r="Y499" s="9"/>
      <c r="Z499" s="204"/>
      <c r="AA499" s="9"/>
      <c r="AB499" s="9"/>
      <c r="AC499" s="9"/>
      <c r="AD499" s="9"/>
    </row>
    <row r="500" ht="15.75" customHeight="1">
      <c r="A500" s="9"/>
      <c r="B500" s="223"/>
      <c r="C500" s="9"/>
      <c r="D500" s="9"/>
      <c r="E500" s="223"/>
      <c r="F500" s="9"/>
      <c r="G500" s="9"/>
      <c r="H500" s="9"/>
      <c r="I500" s="9"/>
      <c r="J500" s="9"/>
      <c r="K500" s="9"/>
      <c r="L500" s="9"/>
      <c r="M500" s="9"/>
      <c r="N500" s="9"/>
      <c r="O500" s="9"/>
      <c r="P500" s="9"/>
      <c r="Q500" s="9"/>
      <c r="R500" s="9"/>
      <c r="S500" s="9"/>
      <c r="T500" s="223"/>
      <c r="U500" s="9"/>
      <c r="V500" s="9"/>
      <c r="W500" s="971"/>
      <c r="X500" s="9"/>
      <c r="Y500" s="9"/>
      <c r="Z500" s="204"/>
      <c r="AA500" s="9"/>
      <c r="AB500" s="9"/>
      <c r="AC500" s="9"/>
      <c r="AD500" s="9"/>
    </row>
    <row r="501" ht="15.75" customHeight="1">
      <c r="A501" s="9"/>
      <c r="B501" s="223"/>
      <c r="C501" s="9"/>
      <c r="D501" s="9"/>
      <c r="E501" s="223"/>
      <c r="F501" s="9"/>
      <c r="G501" s="9"/>
      <c r="H501" s="9"/>
      <c r="I501" s="9"/>
      <c r="J501" s="9"/>
      <c r="K501" s="9"/>
      <c r="L501" s="9"/>
      <c r="M501" s="9"/>
      <c r="N501" s="9"/>
      <c r="O501" s="9"/>
      <c r="P501" s="9"/>
      <c r="Q501" s="9"/>
      <c r="R501" s="9"/>
      <c r="S501" s="9"/>
      <c r="T501" s="223"/>
      <c r="U501" s="9"/>
      <c r="V501" s="9"/>
      <c r="W501" s="971"/>
      <c r="X501" s="9"/>
      <c r="Y501" s="9"/>
      <c r="Z501" s="204"/>
      <c r="AA501" s="9"/>
      <c r="AB501" s="9"/>
      <c r="AC501" s="9"/>
      <c r="AD501" s="9"/>
    </row>
    <row r="502" ht="15.75" customHeight="1">
      <c r="A502" s="9"/>
      <c r="B502" s="223"/>
      <c r="C502" s="9"/>
      <c r="D502" s="9"/>
      <c r="E502" s="223"/>
      <c r="F502" s="9"/>
      <c r="G502" s="9"/>
      <c r="H502" s="9"/>
      <c r="I502" s="9"/>
      <c r="J502" s="9"/>
      <c r="K502" s="9"/>
      <c r="L502" s="9"/>
      <c r="M502" s="9"/>
      <c r="N502" s="9"/>
      <c r="O502" s="9"/>
      <c r="P502" s="9"/>
      <c r="Q502" s="9"/>
      <c r="R502" s="9"/>
      <c r="S502" s="9"/>
      <c r="T502" s="223"/>
      <c r="U502" s="9"/>
      <c r="V502" s="9"/>
      <c r="W502" s="971"/>
      <c r="X502" s="9"/>
      <c r="Y502" s="9"/>
      <c r="Z502" s="204"/>
      <c r="AA502" s="9"/>
      <c r="AB502" s="9"/>
      <c r="AC502" s="9"/>
      <c r="AD502" s="9"/>
    </row>
    <row r="503" ht="15.75" customHeight="1">
      <c r="A503" s="9"/>
      <c r="B503" s="223"/>
      <c r="C503" s="9"/>
      <c r="D503" s="9"/>
      <c r="E503" s="223"/>
      <c r="F503" s="9"/>
      <c r="G503" s="9"/>
      <c r="H503" s="9"/>
      <c r="I503" s="9"/>
      <c r="J503" s="9"/>
      <c r="K503" s="9"/>
      <c r="L503" s="9"/>
      <c r="M503" s="9"/>
      <c r="N503" s="9"/>
      <c r="O503" s="9"/>
      <c r="P503" s="9"/>
      <c r="Q503" s="9"/>
      <c r="R503" s="9"/>
      <c r="S503" s="9"/>
      <c r="T503" s="223"/>
      <c r="U503" s="9"/>
      <c r="V503" s="9"/>
      <c r="W503" s="971"/>
      <c r="X503" s="9"/>
      <c r="Y503" s="9"/>
      <c r="Z503" s="204"/>
      <c r="AA503" s="9"/>
      <c r="AB503" s="9"/>
      <c r="AC503" s="9"/>
      <c r="AD503" s="9"/>
    </row>
    <row r="504" ht="15.75" customHeight="1">
      <c r="A504" s="9"/>
      <c r="B504" s="223"/>
      <c r="C504" s="9"/>
      <c r="D504" s="9"/>
      <c r="E504" s="223"/>
      <c r="F504" s="9"/>
      <c r="G504" s="9"/>
      <c r="H504" s="9"/>
      <c r="I504" s="9"/>
      <c r="J504" s="9"/>
      <c r="K504" s="9"/>
      <c r="L504" s="9"/>
      <c r="M504" s="9"/>
      <c r="N504" s="9"/>
      <c r="O504" s="9"/>
      <c r="P504" s="9"/>
      <c r="Q504" s="9"/>
      <c r="R504" s="9"/>
      <c r="S504" s="9"/>
      <c r="T504" s="223"/>
      <c r="U504" s="9"/>
      <c r="V504" s="9"/>
      <c r="W504" s="971"/>
      <c r="X504" s="9"/>
      <c r="Y504" s="9"/>
      <c r="Z504" s="204"/>
      <c r="AA504" s="9"/>
      <c r="AB504" s="9"/>
      <c r="AC504" s="9"/>
      <c r="AD504" s="9"/>
    </row>
    <row r="505" ht="15.75" customHeight="1">
      <c r="A505" s="9"/>
      <c r="B505" s="223"/>
      <c r="C505" s="9"/>
      <c r="D505" s="9"/>
      <c r="E505" s="223"/>
      <c r="F505" s="9"/>
      <c r="G505" s="9"/>
      <c r="H505" s="9"/>
      <c r="I505" s="9"/>
      <c r="J505" s="9"/>
      <c r="K505" s="9"/>
      <c r="L505" s="9"/>
      <c r="M505" s="9"/>
      <c r="N505" s="9"/>
      <c r="O505" s="9"/>
      <c r="P505" s="9"/>
      <c r="Q505" s="9"/>
      <c r="R505" s="9"/>
      <c r="S505" s="9"/>
      <c r="T505" s="223"/>
      <c r="U505" s="9"/>
      <c r="V505" s="9"/>
      <c r="W505" s="971"/>
      <c r="X505" s="9"/>
      <c r="Y505" s="9"/>
      <c r="Z505" s="204"/>
      <c r="AA505" s="9"/>
      <c r="AB505" s="9"/>
      <c r="AC505" s="9"/>
      <c r="AD505" s="9"/>
    </row>
    <row r="506" ht="15.75" customHeight="1">
      <c r="A506" s="9"/>
      <c r="B506" s="223"/>
      <c r="C506" s="9"/>
      <c r="D506" s="9"/>
      <c r="E506" s="223"/>
      <c r="F506" s="9"/>
      <c r="G506" s="9"/>
      <c r="H506" s="9"/>
      <c r="I506" s="9"/>
      <c r="J506" s="9"/>
      <c r="K506" s="9"/>
      <c r="L506" s="9"/>
      <c r="M506" s="9"/>
      <c r="N506" s="9"/>
      <c r="O506" s="9"/>
      <c r="P506" s="9"/>
      <c r="Q506" s="9"/>
      <c r="R506" s="9"/>
      <c r="S506" s="9"/>
      <c r="T506" s="223"/>
      <c r="U506" s="9"/>
      <c r="V506" s="9"/>
      <c r="W506" s="971"/>
      <c r="X506" s="9"/>
      <c r="Y506" s="9"/>
      <c r="Z506" s="204"/>
      <c r="AA506" s="9"/>
      <c r="AB506" s="9"/>
      <c r="AC506" s="9"/>
      <c r="AD506" s="9"/>
    </row>
    <row r="507" ht="15.75" customHeight="1">
      <c r="A507" s="9"/>
      <c r="B507" s="223"/>
      <c r="C507" s="9"/>
      <c r="D507" s="9"/>
      <c r="E507" s="223"/>
      <c r="F507" s="9"/>
      <c r="G507" s="9"/>
      <c r="H507" s="9"/>
      <c r="I507" s="9"/>
      <c r="J507" s="9"/>
      <c r="K507" s="9"/>
      <c r="L507" s="9"/>
      <c r="M507" s="9"/>
      <c r="N507" s="9"/>
      <c r="O507" s="9"/>
      <c r="P507" s="9"/>
      <c r="Q507" s="9"/>
      <c r="R507" s="9"/>
      <c r="S507" s="9"/>
      <c r="T507" s="223"/>
      <c r="U507" s="9"/>
      <c r="V507" s="9"/>
      <c r="W507" s="971"/>
      <c r="X507" s="9"/>
      <c r="Y507" s="9"/>
      <c r="Z507" s="204"/>
      <c r="AA507" s="9"/>
      <c r="AB507" s="9"/>
      <c r="AC507" s="9"/>
      <c r="AD507" s="9"/>
    </row>
    <row r="508" ht="15.75" customHeight="1">
      <c r="A508" s="9"/>
      <c r="B508" s="223"/>
      <c r="C508" s="9"/>
      <c r="D508" s="9"/>
      <c r="E508" s="223"/>
      <c r="F508" s="9"/>
      <c r="G508" s="9"/>
      <c r="H508" s="9"/>
      <c r="I508" s="9"/>
      <c r="J508" s="9"/>
      <c r="K508" s="9"/>
      <c r="L508" s="9"/>
      <c r="M508" s="9"/>
      <c r="N508" s="9"/>
      <c r="O508" s="9"/>
      <c r="P508" s="9"/>
      <c r="Q508" s="9"/>
      <c r="R508" s="9"/>
      <c r="S508" s="9"/>
      <c r="T508" s="223"/>
      <c r="U508" s="9"/>
      <c r="V508" s="9"/>
      <c r="W508" s="971"/>
      <c r="X508" s="9"/>
      <c r="Y508" s="9"/>
      <c r="Z508" s="204"/>
      <c r="AA508" s="9"/>
      <c r="AB508" s="9"/>
      <c r="AC508" s="9"/>
      <c r="AD508" s="9"/>
    </row>
    <row r="509" ht="15.75" customHeight="1">
      <c r="A509" s="9"/>
      <c r="B509" s="223"/>
      <c r="C509" s="9"/>
      <c r="D509" s="9"/>
      <c r="E509" s="223"/>
      <c r="F509" s="9"/>
      <c r="G509" s="9"/>
      <c r="H509" s="9"/>
      <c r="I509" s="9"/>
      <c r="J509" s="9"/>
      <c r="K509" s="9"/>
      <c r="L509" s="9"/>
      <c r="M509" s="9"/>
      <c r="N509" s="9"/>
      <c r="O509" s="9"/>
      <c r="P509" s="9"/>
      <c r="Q509" s="9"/>
      <c r="R509" s="9"/>
      <c r="S509" s="9"/>
      <c r="T509" s="223"/>
      <c r="U509" s="9"/>
      <c r="V509" s="9"/>
      <c r="W509" s="971"/>
      <c r="X509" s="9"/>
      <c r="Y509" s="9"/>
      <c r="Z509" s="204"/>
      <c r="AA509" s="9"/>
      <c r="AB509" s="9"/>
      <c r="AC509" s="9"/>
      <c r="AD509" s="9"/>
    </row>
    <row r="510" ht="15.75" customHeight="1">
      <c r="A510" s="9"/>
      <c r="B510" s="223"/>
      <c r="C510" s="9"/>
      <c r="D510" s="9"/>
      <c r="E510" s="223"/>
      <c r="F510" s="9"/>
      <c r="G510" s="9"/>
      <c r="H510" s="9"/>
      <c r="I510" s="9"/>
      <c r="J510" s="9"/>
      <c r="K510" s="9"/>
      <c r="L510" s="9"/>
      <c r="M510" s="9"/>
      <c r="N510" s="9"/>
      <c r="O510" s="9"/>
      <c r="P510" s="9"/>
      <c r="Q510" s="9"/>
      <c r="R510" s="9"/>
      <c r="S510" s="9"/>
      <c r="T510" s="223"/>
      <c r="U510" s="9"/>
      <c r="V510" s="9"/>
      <c r="W510" s="971"/>
      <c r="X510" s="9"/>
      <c r="Y510" s="9"/>
      <c r="Z510" s="204"/>
      <c r="AA510" s="9"/>
      <c r="AB510" s="9"/>
      <c r="AC510" s="9"/>
      <c r="AD510" s="9"/>
    </row>
    <row r="511" ht="15.75" customHeight="1">
      <c r="A511" s="9"/>
      <c r="B511" s="223"/>
      <c r="C511" s="9"/>
      <c r="D511" s="9"/>
      <c r="E511" s="223"/>
      <c r="F511" s="9"/>
      <c r="G511" s="9"/>
      <c r="H511" s="9"/>
      <c r="I511" s="9"/>
      <c r="J511" s="9"/>
      <c r="K511" s="9"/>
      <c r="L511" s="9"/>
      <c r="M511" s="9"/>
      <c r="N511" s="9"/>
      <c r="O511" s="9"/>
      <c r="P511" s="9"/>
      <c r="Q511" s="9"/>
      <c r="R511" s="9"/>
      <c r="S511" s="9"/>
      <c r="T511" s="223"/>
      <c r="U511" s="9"/>
      <c r="V511" s="9"/>
      <c r="W511" s="971"/>
      <c r="X511" s="9"/>
      <c r="Y511" s="9"/>
      <c r="Z511" s="204"/>
      <c r="AA511" s="9"/>
      <c r="AB511" s="9"/>
      <c r="AC511" s="9"/>
      <c r="AD511" s="9"/>
    </row>
    <row r="512" ht="15.75" customHeight="1">
      <c r="A512" s="9"/>
      <c r="B512" s="223"/>
      <c r="C512" s="9"/>
      <c r="D512" s="9"/>
      <c r="E512" s="223"/>
      <c r="F512" s="9"/>
      <c r="G512" s="9"/>
      <c r="H512" s="9"/>
      <c r="I512" s="9"/>
      <c r="J512" s="9"/>
      <c r="K512" s="9"/>
      <c r="L512" s="9"/>
      <c r="M512" s="9"/>
      <c r="N512" s="9"/>
      <c r="O512" s="9"/>
      <c r="P512" s="9"/>
      <c r="Q512" s="9"/>
      <c r="R512" s="9"/>
      <c r="S512" s="9"/>
      <c r="T512" s="223"/>
      <c r="U512" s="9"/>
      <c r="V512" s="9"/>
      <c r="W512" s="971"/>
      <c r="X512" s="9"/>
      <c r="Y512" s="9"/>
      <c r="Z512" s="204"/>
      <c r="AA512" s="9"/>
      <c r="AB512" s="9"/>
      <c r="AC512" s="9"/>
      <c r="AD512" s="9"/>
    </row>
    <row r="513" ht="15.75" customHeight="1">
      <c r="A513" s="9"/>
      <c r="B513" s="223"/>
      <c r="C513" s="9"/>
      <c r="D513" s="9"/>
      <c r="E513" s="223"/>
      <c r="F513" s="9"/>
      <c r="G513" s="9"/>
      <c r="H513" s="9"/>
      <c r="I513" s="9"/>
      <c r="J513" s="9"/>
      <c r="K513" s="9"/>
      <c r="L513" s="9"/>
      <c r="M513" s="9"/>
      <c r="N513" s="9"/>
      <c r="O513" s="9"/>
      <c r="P513" s="9"/>
      <c r="Q513" s="9"/>
      <c r="R513" s="9"/>
      <c r="S513" s="9"/>
      <c r="T513" s="223"/>
      <c r="U513" s="9"/>
      <c r="V513" s="9"/>
      <c r="W513" s="971"/>
      <c r="X513" s="9"/>
      <c r="Y513" s="9"/>
      <c r="Z513" s="204"/>
      <c r="AA513" s="9"/>
      <c r="AB513" s="9"/>
      <c r="AC513" s="9"/>
      <c r="AD513" s="9"/>
    </row>
    <row r="514" ht="15.75" customHeight="1">
      <c r="A514" s="9"/>
      <c r="B514" s="223"/>
      <c r="C514" s="9"/>
      <c r="D514" s="9"/>
      <c r="E514" s="223"/>
      <c r="F514" s="9"/>
      <c r="G514" s="9"/>
      <c r="H514" s="9"/>
      <c r="I514" s="9"/>
      <c r="J514" s="9"/>
      <c r="K514" s="9"/>
      <c r="L514" s="9"/>
      <c r="M514" s="9"/>
      <c r="N514" s="9"/>
      <c r="O514" s="9"/>
      <c r="P514" s="9"/>
      <c r="Q514" s="9"/>
      <c r="R514" s="9"/>
      <c r="S514" s="9"/>
      <c r="T514" s="223"/>
      <c r="U514" s="9"/>
      <c r="V514" s="9"/>
      <c r="W514" s="971"/>
      <c r="X514" s="9"/>
      <c r="Y514" s="9"/>
      <c r="Z514" s="204"/>
      <c r="AA514" s="9"/>
      <c r="AB514" s="9"/>
      <c r="AC514" s="9"/>
      <c r="AD514" s="9"/>
    </row>
    <row r="515" ht="15.75" customHeight="1">
      <c r="A515" s="9"/>
      <c r="B515" s="223"/>
      <c r="C515" s="9"/>
      <c r="D515" s="9"/>
      <c r="E515" s="223"/>
      <c r="F515" s="9"/>
      <c r="G515" s="9"/>
      <c r="H515" s="9"/>
      <c r="I515" s="9"/>
      <c r="J515" s="9"/>
      <c r="K515" s="9"/>
      <c r="L515" s="9"/>
      <c r="M515" s="9"/>
      <c r="N515" s="9"/>
      <c r="O515" s="9"/>
      <c r="P515" s="9"/>
      <c r="Q515" s="9"/>
      <c r="R515" s="9"/>
      <c r="S515" s="9"/>
      <c r="T515" s="223"/>
      <c r="U515" s="9"/>
      <c r="V515" s="9"/>
      <c r="W515" s="971"/>
      <c r="X515" s="9"/>
      <c r="Y515" s="9"/>
      <c r="Z515" s="204"/>
      <c r="AA515" s="9"/>
      <c r="AB515" s="9"/>
      <c r="AC515" s="9"/>
      <c r="AD515" s="9"/>
    </row>
    <row r="516" ht="15.75" customHeight="1">
      <c r="A516" s="9"/>
      <c r="B516" s="223"/>
      <c r="C516" s="9"/>
      <c r="D516" s="9"/>
      <c r="E516" s="223"/>
      <c r="F516" s="9"/>
      <c r="G516" s="9"/>
      <c r="H516" s="9"/>
      <c r="I516" s="9"/>
      <c r="J516" s="9"/>
      <c r="K516" s="9"/>
      <c r="L516" s="9"/>
      <c r="M516" s="9"/>
      <c r="N516" s="9"/>
      <c r="O516" s="9"/>
      <c r="P516" s="9"/>
      <c r="Q516" s="9"/>
      <c r="R516" s="9"/>
      <c r="S516" s="9"/>
      <c r="T516" s="223"/>
      <c r="U516" s="9"/>
      <c r="V516" s="9"/>
      <c r="W516" s="971"/>
      <c r="X516" s="9"/>
      <c r="Y516" s="9"/>
      <c r="Z516" s="204"/>
      <c r="AA516" s="9"/>
      <c r="AB516" s="9"/>
      <c r="AC516" s="9"/>
      <c r="AD516" s="9"/>
    </row>
    <row r="517" ht="15.75" customHeight="1">
      <c r="A517" s="9"/>
      <c r="B517" s="223"/>
      <c r="C517" s="9"/>
      <c r="D517" s="9"/>
      <c r="E517" s="223"/>
      <c r="F517" s="9"/>
      <c r="G517" s="9"/>
      <c r="H517" s="9"/>
      <c r="I517" s="9"/>
      <c r="J517" s="9"/>
      <c r="K517" s="9"/>
      <c r="L517" s="9"/>
      <c r="M517" s="9"/>
      <c r="N517" s="9"/>
      <c r="O517" s="9"/>
      <c r="P517" s="9"/>
      <c r="Q517" s="9"/>
      <c r="R517" s="9"/>
      <c r="S517" s="9"/>
      <c r="T517" s="223"/>
      <c r="U517" s="9"/>
      <c r="V517" s="9"/>
      <c r="W517" s="971"/>
      <c r="X517" s="9"/>
      <c r="Y517" s="9"/>
      <c r="Z517" s="204"/>
      <c r="AA517" s="9"/>
      <c r="AB517" s="9"/>
      <c r="AC517" s="9"/>
      <c r="AD517" s="9"/>
    </row>
    <row r="518" ht="15.75" customHeight="1">
      <c r="A518" s="9"/>
      <c r="B518" s="223"/>
      <c r="C518" s="9"/>
      <c r="D518" s="9"/>
      <c r="E518" s="223"/>
      <c r="F518" s="9"/>
      <c r="G518" s="9"/>
      <c r="H518" s="9"/>
      <c r="I518" s="9"/>
      <c r="J518" s="9"/>
      <c r="K518" s="9"/>
      <c r="L518" s="9"/>
      <c r="M518" s="9"/>
      <c r="N518" s="9"/>
      <c r="O518" s="9"/>
      <c r="P518" s="9"/>
      <c r="Q518" s="9"/>
      <c r="R518" s="9"/>
      <c r="S518" s="9"/>
      <c r="T518" s="223"/>
      <c r="U518" s="9"/>
      <c r="V518" s="9"/>
      <c r="W518" s="971"/>
      <c r="X518" s="9"/>
      <c r="Y518" s="9"/>
      <c r="Z518" s="204"/>
      <c r="AA518" s="9"/>
      <c r="AB518" s="9"/>
      <c r="AC518" s="9"/>
      <c r="AD518" s="9"/>
    </row>
    <row r="519" ht="15.75" customHeight="1">
      <c r="A519" s="9"/>
      <c r="B519" s="223"/>
      <c r="C519" s="9"/>
      <c r="D519" s="9"/>
      <c r="E519" s="223"/>
      <c r="F519" s="9"/>
      <c r="G519" s="9"/>
      <c r="H519" s="9"/>
      <c r="I519" s="9"/>
      <c r="J519" s="9"/>
      <c r="K519" s="9"/>
      <c r="L519" s="9"/>
      <c r="M519" s="9"/>
      <c r="N519" s="9"/>
      <c r="O519" s="9"/>
      <c r="P519" s="9"/>
      <c r="Q519" s="9"/>
      <c r="R519" s="9"/>
      <c r="S519" s="9"/>
      <c r="T519" s="223"/>
      <c r="U519" s="9"/>
      <c r="V519" s="9"/>
      <c r="W519" s="971"/>
      <c r="X519" s="9"/>
      <c r="Y519" s="9"/>
      <c r="Z519" s="204"/>
      <c r="AA519" s="9"/>
      <c r="AB519" s="9"/>
      <c r="AC519" s="9"/>
      <c r="AD519" s="9"/>
    </row>
    <row r="520" ht="15.75" customHeight="1">
      <c r="A520" s="9"/>
      <c r="B520" s="223"/>
      <c r="C520" s="9"/>
      <c r="D520" s="9"/>
      <c r="E520" s="223"/>
      <c r="F520" s="9"/>
      <c r="G520" s="9"/>
      <c r="H520" s="9"/>
      <c r="I520" s="9"/>
      <c r="J520" s="9"/>
      <c r="K520" s="9"/>
      <c r="L520" s="9"/>
      <c r="M520" s="9"/>
      <c r="N520" s="9"/>
      <c r="O520" s="9"/>
      <c r="P520" s="9"/>
      <c r="Q520" s="9"/>
      <c r="R520" s="9"/>
      <c r="S520" s="9"/>
      <c r="T520" s="223"/>
      <c r="U520" s="9"/>
      <c r="V520" s="9"/>
      <c r="W520" s="971"/>
      <c r="X520" s="9"/>
      <c r="Y520" s="9"/>
      <c r="Z520" s="204"/>
      <c r="AA520" s="9"/>
      <c r="AB520" s="9"/>
      <c r="AC520" s="9"/>
      <c r="AD520" s="9"/>
    </row>
    <row r="521" ht="15.75" customHeight="1">
      <c r="A521" s="9"/>
      <c r="B521" s="223"/>
      <c r="C521" s="9"/>
      <c r="D521" s="9"/>
      <c r="E521" s="223"/>
      <c r="F521" s="9"/>
      <c r="G521" s="9"/>
      <c r="H521" s="9"/>
      <c r="I521" s="9"/>
      <c r="J521" s="9"/>
      <c r="K521" s="9"/>
      <c r="L521" s="9"/>
      <c r="M521" s="9"/>
      <c r="N521" s="9"/>
      <c r="O521" s="9"/>
      <c r="P521" s="9"/>
      <c r="Q521" s="9"/>
      <c r="R521" s="9"/>
      <c r="S521" s="9"/>
      <c r="T521" s="223"/>
      <c r="U521" s="9"/>
      <c r="V521" s="9"/>
      <c r="W521" s="971"/>
      <c r="X521" s="9"/>
      <c r="Y521" s="9"/>
      <c r="Z521" s="204"/>
      <c r="AA521" s="9"/>
      <c r="AB521" s="9"/>
      <c r="AC521" s="9"/>
      <c r="AD521" s="9"/>
    </row>
    <row r="522" ht="15.75" customHeight="1">
      <c r="A522" s="9"/>
      <c r="B522" s="223"/>
      <c r="C522" s="9"/>
      <c r="D522" s="9"/>
      <c r="E522" s="223"/>
      <c r="F522" s="9"/>
      <c r="G522" s="9"/>
      <c r="H522" s="9"/>
      <c r="I522" s="9"/>
      <c r="J522" s="9"/>
      <c r="K522" s="9"/>
      <c r="L522" s="9"/>
      <c r="M522" s="9"/>
      <c r="N522" s="9"/>
      <c r="O522" s="9"/>
      <c r="P522" s="9"/>
      <c r="Q522" s="9"/>
      <c r="R522" s="9"/>
      <c r="S522" s="9"/>
      <c r="T522" s="223"/>
      <c r="U522" s="9"/>
      <c r="V522" s="9"/>
      <c r="W522" s="971"/>
      <c r="X522" s="9"/>
      <c r="Y522" s="9"/>
      <c r="Z522" s="204"/>
      <c r="AA522" s="9"/>
      <c r="AB522" s="9"/>
      <c r="AC522" s="9"/>
      <c r="AD522" s="9"/>
    </row>
    <row r="523" ht="15.75" customHeight="1">
      <c r="A523" s="9"/>
      <c r="B523" s="223"/>
      <c r="C523" s="9"/>
      <c r="D523" s="9"/>
      <c r="E523" s="223"/>
      <c r="F523" s="9"/>
      <c r="G523" s="9"/>
      <c r="H523" s="9"/>
      <c r="I523" s="9"/>
      <c r="J523" s="9"/>
      <c r="K523" s="9"/>
      <c r="L523" s="9"/>
      <c r="M523" s="9"/>
      <c r="N523" s="9"/>
      <c r="O523" s="9"/>
      <c r="P523" s="9"/>
      <c r="Q523" s="9"/>
      <c r="R523" s="9"/>
      <c r="S523" s="9"/>
      <c r="T523" s="223"/>
      <c r="U523" s="9"/>
      <c r="V523" s="9"/>
      <c r="W523" s="971"/>
      <c r="X523" s="9"/>
      <c r="Y523" s="9"/>
      <c r="Z523" s="204"/>
      <c r="AA523" s="9"/>
      <c r="AB523" s="9"/>
      <c r="AC523" s="9"/>
      <c r="AD523" s="9"/>
    </row>
    <row r="524" ht="15.75" customHeight="1">
      <c r="A524" s="9"/>
      <c r="B524" s="223"/>
      <c r="C524" s="9"/>
      <c r="D524" s="9"/>
      <c r="E524" s="223"/>
      <c r="F524" s="9"/>
      <c r="G524" s="9"/>
      <c r="H524" s="9"/>
      <c r="I524" s="9"/>
      <c r="J524" s="9"/>
      <c r="K524" s="9"/>
      <c r="L524" s="9"/>
      <c r="M524" s="9"/>
      <c r="N524" s="9"/>
      <c r="O524" s="9"/>
      <c r="P524" s="9"/>
      <c r="Q524" s="9"/>
      <c r="R524" s="9"/>
      <c r="S524" s="9"/>
      <c r="T524" s="223"/>
      <c r="U524" s="9"/>
      <c r="V524" s="9"/>
      <c r="W524" s="971"/>
      <c r="X524" s="9"/>
      <c r="Y524" s="9"/>
      <c r="Z524" s="204"/>
      <c r="AA524" s="9"/>
      <c r="AB524" s="9"/>
      <c r="AC524" s="9"/>
      <c r="AD524" s="9"/>
    </row>
    <row r="525" ht="15.75" customHeight="1">
      <c r="A525" s="9"/>
      <c r="B525" s="223"/>
      <c r="C525" s="9"/>
      <c r="D525" s="9"/>
      <c r="E525" s="223"/>
      <c r="F525" s="9"/>
      <c r="G525" s="9"/>
      <c r="H525" s="9"/>
      <c r="I525" s="9"/>
      <c r="J525" s="9"/>
      <c r="K525" s="9"/>
      <c r="L525" s="9"/>
      <c r="M525" s="9"/>
      <c r="N525" s="9"/>
      <c r="O525" s="9"/>
      <c r="P525" s="9"/>
      <c r="Q525" s="9"/>
      <c r="R525" s="9"/>
      <c r="S525" s="9"/>
      <c r="T525" s="223"/>
      <c r="U525" s="9"/>
      <c r="V525" s="9"/>
      <c r="W525" s="971"/>
      <c r="X525" s="9"/>
      <c r="Y525" s="9"/>
      <c r="Z525" s="204"/>
      <c r="AA525" s="9"/>
      <c r="AB525" s="9"/>
      <c r="AC525" s="9"/>
      <c r="AD525" s="9"/>
    </row>
    <row r="526" ht="15.75" customHeight="1">
      <c r="A526" s="9"/>
      <c r="B526" s="223"/>
      <c r="C526" s="9"/>
      <c r="D526" s="9"/>
      <c r="E526" s="223"/>
      <c r="F526" s="9"/>
      <c r="G526" s="9"/>
      <c r="H526" s="9"/>
      <c r="I526" s="9"/>
      <c r="J526" s="9"/>
      <c r="K526" s="9"/>
      <c r="L526" s="9"/>
      <c r="M526" s="9"/>
      <c r="N526" s="9"/>
      <c r="O526" s="9"/>
      <c r="P526" s="9"/>
      <c r="Q526" s="9"/>
      <c r="R526" s="9"/>
      <c r="S526" s="9"/>
      <c r="T526" s="223"/>
      <c r="U526" s="9"/>
      <c r="V526" s="9"/>
      <c r="W526" s="971"/>
      <c r="X526" s="9"/>
      <c r="Y526" s="9"/>
      <c r="Z526" s="204"/>
      <c r="AA526" s="9"/>
      <c r="AB526" s="9"/>
      <c r="AC526" s="9"/>
      <c r="AD526" s="9"/>
    </row>
    <row r="527" ht="15.75" customHeight="1">
      <c r="A527" s="9"/>
      <c r="B527" s="223"/>
      <c r="C527" s="9"/>
      <c r="D527" s="9"/>
      <c r="E527" s="223"/>
      <c r="F527" s="9"/>
      <c r="G527" s="9"/>
      <c r="H527" s="9"/>
      <c r="I527" s="9"/>
      <c r="J527" s="9"/>
      <c r="K527" s="9"/>
      <c r="L527" s="9"/>
      <c r="M527" s="9"/>
      <c r="N527" s="9"/>
      <c r="O527" s="9"/>
      <c r="P527" s="9"/>
      <c r="Q527" s="9"/>
      <c r="R527" s="9"/>
      <c r="S527" s="9"/>
      <c r="T527" s="223"/>
      <c r="U527" s="9"/>
      <c r="V527" s="9"/>
      <c r="W527" s="971"/>
      <c r="X527" s="9"/>
      <c r="Y527" s="9"/>
      <c r="Z527" s="204"/>
      <c r="AA527" s="9"/>
      <c r="AB527" s="9"/>
      <c r="AC527" s="9"/>
      <c r="AD527" s="9"/>
    </row>
    <row r="528" ht="15.75" customHeight="1">
      <c r="A528" s="9"/>
      <c r="B528" s="223"/>
      <c r="C528" s="9"/>
      <c r="D528" s="9"/>
      <c r="E528" s="223"/>
      <c r="F528" s="9"/>
      <c r="G528" s="9"/>
      <c r="H528" s="9"/>
      <c r="I528" s="9"/>
      <c r="J528" s="9"/>
      <c r="K528" s="9"/>
      <c r="L528" s="9"/>
      <c r="M528" s="9"/>
      <c r="N528" s="9"/>
      <c r="O528" s="9"/>
      <c r="P528" s="9"/>
      <c r="Q528" s="9"/>
      <c r="R528" s="9"/>
      <c r="S528" s="9"/>
      <c r="T528" s="223"/>
      <c r="U528" s="9"/>
      <c r="V528" s="9"/>
      <c r="W528" s="971"/>
      <c r="X528" s="9"/>
      <c r="Y528" s="9"/>
      <c r="Z528" s="204"/>
      <c r="AA528" s="9"/>
      <c r="AB528" s="9"/>
      <c r="AC528" s="9"/>
      <c r="AD528" s="9"/>
    </row>
    <row r="529" ht="15.75" customHeight="1">
      <c r="A529" s="9"/>
      <c r="B529" s="223"/>
      <c r="C529" s="9"/>
      <c r="D529" s="9"/>
      <c r="E529" s="223"/>
      <c r="F529" s="9"/>
      <c r="G529" s="9"/>
      <c r="H529" s="9"/>
      <c r="I529" s="9"/>
      <c r="J529" s="9"/>
      <c r="K529" s="9"/>
      <c r="L529" s="9"/>
      <c r="M529" s="9"/>
      <c r="N529" s="9"/>
      <c r="O529" s="9"/>
      <c r="P529" s="9"/>
      <c r="Q529" s="9"/>
      <c r="R529" s="9"/>
      <c r="S529" s="9"/>
      <c r="T529" s="223"/>
      <c r="U529" s="9"/>
      <c r="V529" s="9"/>
      <c r="W529" s="971"/>
      <c r="X529" s="9"/>
      <c r="Y529" s="9"/>
      <c r="Z529" s="204"/>
      <c r="AA529" s="9"/>
      <c r="AB529" s="9"/>
      <c r="AC529" s="9"/>
      <c r="AD529" s="9"/>
    </row>
    <row r="530" ht="15.75" customHeight="1">
      <c r="A530" s="9"/>
      <c r="B530" s="223"/>
      <c r="C530" s="9"/>
      <c r="D530" s="9"/>
      <c r="E530" s="223"/>
      <c r="F530" s="9"/>
      <c r="G530" s="9"/>
      <c r="H530" s="9"/>
      <c r="I530" s="9"/>
      <c r="J530" s="9"/>
      <c r="K530" s="9"/>
      <c r="L530" s="9"/>
      <c r="M530" s="9"/>
      <c r="N530" s="9"/>
      <c r="O530" s="9"/>
      <c r="P530" s="9"/>
      <c r="Q530" s="9"/>
      <c r="R530" s="9"/>
      <c r="S530" s="9"/>
      <c r="T530" s="223"/>
      <c r="U530" s="9"/>
      <c r="V530" s="9"/>
      <c r="W530" s="971"/>
      <c r="X530" s="9"/>
      <c r="Y530" s="9"/>
      <c r="Z530" s="204"/>
      <c r="AA530" s="9"/>
      <c r="AB530" s="9"/>
      <c r="AC530" s="9"/>
      <c r="AD530" s="9"/>
    </row>
    <row r="531" ht="15.75" customHeight="1">
      <c r="A531" s="9"/>
      <c r="B531" s="223"/>
      <c r="C531" s="9"/>
      <c r="D531" s="9"/>
      <c r="E531" s="223"/>
      <c r="F531" s="9"/>
      <c r="G531" s="9"/>
      <c r="H531" s="9"/>
      <c r="I531" s="9"/>
      <c r="J531" s="9"/>
      <c r="K531" s="9"/>
      <c r="L531" s="9"/>
      <c r="M531" s="9"/>
      <c r="N531" s="9"/>
      <c r="O531" s="9"/>
      <c r="P531" s="9"/>
      <c r="Q531" s="9"/>
      <c r="R531" s="9"/>
      <c r="S531" s="9"/>
      <c r="T531" s="223"/>
      <c r="U531" s="9"/>
      <c r="V531" s="9"/>
      <c r="W531" s="971"/>
      <c r="X531" s="9"/>
      <c r="Y531" s="9"/>
      <c r="Z531" s="204"/>
      <c r="AA531" s="9"/>
      <c r="AB531" s="9"/>
      <c r="AC531" s="9"/>
      <c r="AD531" s="9"/>
    </row>
    <row r="532" ht="15.75" customHeight="1">
      <c r="A532" s="9"/>
      <c r="B532" s="223"/>
      <c r="C532" s="9"/>
      <c r="D532" s="9"/>
      <c r="E532" s="223"/>
      <c r="F532" s="9"/>
      <c r="G532" s="9"/>
      <c r="H532" s="9"/>
      <c r="I532" s="9"/>
      <c r="J532" s="9"/>
      <c r="K532" s="9"/>
      <c r="L532" s="9"/>
      <c r="M532" s="9"/>
      <c r="N532" s="9"/>
      <c r="O532" s="9"/>
      <c r="P532" s="9"/>
      <c r="Q532" s="9"/>
      <c r="R532" s="9"/>
      <c r="S532" s="9"/>
      <c r="T532" s="223"/>
      <c r="U532" s="9"/>
      <c r="V532" s="9"/>
      <c r="W532" s="971"/>
      <c r="X532" s="9"/>
      <c r="Y532" s="9"/>
      <c r="Z532" s="204"/>
      <c r="AA532" s="9"/>
      <c r="AB532" s="9"/>
      <c r="AC532" s="9"/>
      <c r="AD532" s="9"/>
    </row>
    <row r="533" ht="15.75" customHeight="1">
      <c r="A533" s="9"/>
      <c r="B533" s="223"/>
      <c r="C533" s="9"/>
      <c r="D533" s="9"/>
      <c r="E533" s="223"/>
      <c r="F533" s="9"/>
      <c r="G533" s="9"/>
      <c r="H533" s="9"/>
      <c r="I533" s="9"/>
      <c r="J533" s="9"/>
      <c r="K533" s="9"/>
      <c r="L533" s="9"/>
      <c r="M533" s="9"/>
      <c r="N533" s="9"/>
      <c r="O533" s="9"/>
      <c r="P533" s="9"/>
      <c r="Q533" s="9"/>
      <c r="R533" s="9"/>
      <c r="S533" s="9"/>
      <c r="T533" s="223"/>
      <c r="U533" s="9"/>
      <c r="V533" s="9"/>
      <c r="W533" s="971"/>
      <c r="X533" s="9"/>
      <c r="Y533" s="9"/>
      <c r="Z533" s="204"/>
      <c r="AA533" s="9"/>
      <c r="AB533" s="9"/>
      <c r="AC533" s="9"/>
      <c r="AD533" s="9"/>
    </row>
    <row r="534" ht="15.75" customHeight="1">
      <c r="A534" s="9"/>
      <c r="B534" s="223"/>
      <c r="C534" s="9"/>
      <c r="D534" s="9"/>
      <c r="E534" s="223"/>
      <c r="F534" s="9"/>
      <c r="G534" s="9"/>
      <c r="H534" s="9"/>
      <c r="I534" s="9"/>
      <c r="J534" s="9"/>
      <c r="K534" s="9"/>
      <c r="L534" s="9"/>
      <c r="M534" s="9"/>
      <c r="N534" s="9"/>
      <c r="O534" s="9"/>
      <c r="P534" s="9"/>
      <c r="Q534" s="9"/>
      <c r="R534" s="9"/>
      <c r="S534" s="9"/>
      <c r="T534" s="223"/>
      <c r="U534" s="9"/>
      <c r="V534" s="9"/>
      <c r="W534" s="971"/>
      <c r="X534" s="9"/>
      <c r="Y534" s="9"/>
      <c r="Z534" s="204"/>
      <c r="AA534" s="9"/>
      <c r="AB534" s="9"/>
      <c r="AC534" s="9"/>
      <c r="AD534" s="9"/>
    </row>
    <row r="535" ht="15.75" customHeight="1">
      <c r="A535" s="9"/>
      <c r="B535" s="223"/>
      <c r="C535" s="9"/>
      <c r="D535" s="9"/>
      <c r="E535" s="223"/>
      <c r="F535" s="9"/>
      <c r="G535" s="9"/>
      <c r="H535" s="9"/>
      <c r="I535" s="9"/>
      <c r="J535" s="9"/>
      <c r="K535" s="9"/>
      <c r="L535" s="9"/>
      <c r="M535" s="9"/>
      <c r="N535" s="9"/>
      <c r="O535" s="9"/>
      <c r="P535" s="9"/>
      <c r="Q535" s="9"/>
      <c r="R535" s="9"/>
      <c r="S535" s="9"/>
      <c r="T535" s="223"/>
      <c r="U535" s="9"/>
      <c r="V535" s="9"/>
      <c r="W535" s="971"/>
      <c r="X535" s="9"/>
      <c r="Y535" s="9"/>
      <c r="Z535" s="204"/>
      <c r="AA535" s="9"/>
      <c r="AB535" s="9"/>
      <c r="AC535" s="9"/>
      <c r="AD535" s="9"/>
    </row>
    <row r="536" ht="15.75" customHeight="1">
      <c r="A536" s="9"/>
      <c r="B536" s="223"/>
      <c r="C536" s="9"/>
      <c r="D536" s="9"/>
      <c r="E536" s="223"/>
      <c r="F536" s="9"/>
      <c r="G536" s="9"/>
      <c r="H536" s="9"/>
      <c r="I536" s="9"/>
      <c r="J536" s="9"/>
      <c r="K536" s="9"/>
      <c r="L536" s="9"/>
      <c r="M536" s="9"/>
      <c r="N536" s="9"/>
      <c r="O536" s="9"/>
      <c r="P536" s="9"/>
      <c r="Q536" s="9"/>
      <c r="R536" s="9"/>
      <c r="S536" s="9"/>
      <c r="T536" s="223"/>
      <c r="U536" s="9"/>
      <c r="V536" s="9"/>
      <c r="W536" s="971"/>
      <c r="X536" s="9"/>
      <c r="Y536" s="9"/>
      <c r="Z536" s="204"/>
      <c r="AA536" s="9"/>
      <c r="AB536" s="9"/>
      <c r="AC536" s="9"/>
      <c r="AD536" s="9"/>
    </row>
    <row r="537" ht="15.75" customHeight="1">
      <c r="A537" s="9"/>
      <c r="B537" s="223"/>
      <c r="C537" s="9"/>
      <c r="D537" s="9"/>
      <c r="E537" s="223"/>
      <c r="F537" s="9"/>
      <c r="G537" s="9"/>
      <c r="H537" s="9"/>
      <c r="I537" s="9"/>
      <c r="J537" s="9"/>
      <c r="K537" s="9"/>
      <c r="L537" s="9"/>
      <c r="M537" s="9"/>
      <c r="N537" s="9"/>
      <c r="O537" s="9"/>
      <c r="P537" s="9"/>
      <c r="Q537" s="9"/>
      <c r="R537" s="9"/>
      <c r="S537" s="9"/>
      <c r="T537" s="223"/>
      <c r="U537" s="9"/>
      <c r="V537" s="9"/>
      <c r="W537" s="971"/>
      <c r="X537" s="9"/>
      <c r="Y537" s="9"/>
      <c r="Z537" s="204"/>
      <c r="AA537" s="9"/>
      <c r="AB537" s="9"/>
      <c r="AC537" s="9"/>
      <c r="AD537" s="9"/>
    </row>
    <row r="538" ht="15.75" customHeight="1">
      <c r="A538" s="9"/>
      <c r="B538" s="223"/>
      <c r="C538" s="9"/>
      <c r="D538" s="9"/>
      <c r="E538" s="223"/>
      <c r="F538" s="9"/>
      <c r="G538" s="9"/>
      <c r="H538" s="9"/>
      <c r="I538" s="9"/>
      <c r="J538" s="9"/>
      <c r="K538" s="9"/>
      <c r="L538" s="9"/>
      <c r="M538" s="9"/>
      <c r="N538" s="9"/>
      <c r="O538" s="9"/>
      <c r="P538" s="9"/>
      <c r="Q538" s="9"/>
      <c r="R538" s="9"/>
      <c r="S538" s="9"/>
      <c r="T538" s="223"/>
      <c r="U538" s="9"/>
      <c r="V538" s="9"/>
      <c r="W538" s="971"/>
      <c r="X538" s="9"/>
      <c r="Y538" s="9"/>
      <c r="Z538" s="204"/>
      <c r="AA538" s="9"/>
      <c r="AB538" s="9"/>
      <c r="AC538" s="9"/>
      <c r="AD538" s="9"/>
    </row>
    <row r="539" ht="15.75" customHeight="1">
      <c r="A539" s="9"/>
      <c r="B539" s="223"/>
      <c r="C539" s="9"/>
      <c r="D539" s="9"/>
      <c r="E539" s="223"/>
      <c r="F539" s="9"/>
      <c r="G539" s="9"/>
      <c r="H539" s="9"/>
      <c r="I539" s="9"/>
      <c r="J539" s="9"/>
      <c r="K539" s="9"/>
      <c r="L539" s="9"/>
      <c r="M539" s="9"/>
      <c r="N539" s="9"/>
      <c r="O539" s="9"/>
      <c r="P539" s="9"/>
      <c r="Q539" s="9"/>
      <c r="R539" s="9"/>
      <c r="S539" s="9"/>
      <c r="T539" s="223"/>
      <c r="U539" s="9"/>
      <c r="V539" s="9"/>
      <c r="W539" s="971"/>
      <c r="X539" s="9"/>
      <c r="Y539" s="9"/>
      <c r="Z539" s="204"/>
      <c r="AA539" s="9"/>
      <c r="AB539" s="9"/>
      <c r="AC539" s="9"/>
      <c r="AD539" s="9"/>
    </row>
    <row r="540" ht="15.75" customHeight="1">
      <c r="A540" s="9"/>
      <c r="B540" s="223"/>
      <c r="C540" s="9"/>
      <c r="D540" s="9"/>
      <c r="E540" s="223"/>
      <c r="F540" s="9"/>
      <c r="G540" s="9"/>
      <c r="H540" s="9"/>
      <c r="I540" s="9"/>
      <c r="J540" s="9"/>
      <c r="K540" s="9"/>
      <c r="L540" s="9"/>
      <c r="M540" s="9"/>
      <c r="N540" s="9"/>
      <c r="O540" s="9"/>
      <c r="P540" s="9"/>
      <c r="Q540" s="9"/>
      <c r="R540" s="9"/>
      <c r="S540" s="9"/>
      <c r="T540" s="223"/>
      <c r="U540" s="9"/>
      <c r="V540" s="9"/>
      <c r="W540" s="971"/>
      <c r="X540" s="9"/>
      <c r="Y540" s="9"/>
      <c r="Z540" s="204"/>
      <c r="AA540" s="9"/>
      <c r="AB540" s="9"/>
      <c r="AC540" s="9"/>
      <c r="AD540" s="9"/>
    </row>
    <row r="541" ht="15.75" customHeight="1">
      <c r="A541" s="9"/>
      <c r="B541" s="223"/>
      <c r="C541" s="9"/>
      <c r="D541" s="9"/>
      <c r="E541" s="223"/>
      <c r="F541" s="9"/>
      <c r="G541" s="9"/>
      <c r="H541" s="9"/>
      <c r="I541" s="9"/>
      <c r="J541" s="9"/>
      <c r="K541" s="9"/>
      <c r="L541" s="9"/>
      <c r="M541" s="9"/>
      <c r="N541" s="9"/>
      <c r="O541" s="9"/>
      <c r="P541" s="9"/>
      <c r="Q541" s="9"/>
      <c r="R541" s="9"/>
      <c r="S541" s="9"/>
      <c r="T541" s="223"/>
      <c r="U541" s="9"/>
      <c r="V541" s="9"/>
      <c r="W541" s="971"/>
      <c r="X541" s="9"/>
      <c r="Y541" s="9"/>
      <c r="Z541" s="204"/>
      <c r="AA541" s="9"/>
      <c r="AB541" s="9"/>
      <c r="AC541" s="9"/>
      <c r="AD541" s="9"/>
    </row>
    <row r="542" ht="15.75" customHeight="1">
      <c r="A542" s="9"/>
      <c r="B542" s="223"/>
      <c r="C542" s="9"/>
      <c r="D542" s="9"/>
      <c r="E542" s="223"/>
      <c r="F542" s="9"/>
      <c r="G542" s="9"/>
      <c r="H542" s="9"/>
      <c r="I542" s="9"/>
      <c r="J542" s="9"/>
      <c r="K542" s="9"/>
      <c r="L542" s="9"/>
      <c r="M542" s="9"/>
      <c r="N542" s="9"/>
      <c r="O542" s="9"/>
      <c r="P542" s="9"/>
      <c r="Q542" s="9"/>
      <c r="R542" s="9"/>
      <c r="S542" s="9"/>
      <c r="T542" s="223"/>
      <c r="U542" s="9"/>
      <c r="V542" s="9"/>
      <c r="W542" s="971"/>
      <c r="X542" s="9"/>
      <c r="Y542" s="9"/>
      <c r="Z542" s="204"/>
      <c r="AA542" s="9"/>
      <c r="AB542" s="9"/>
      <c r="AC542" s="9"/>
      <c r="AD542" s="9"/>
    </row>
    <row r="543" ht="15.75" customHeight="1">
      <c r="A543" s="9"/>
      <c r="B543" s="223"/>
      <c r="C543" s="9"/>
      <c r="D543" s="9"/>
      <c r="E543" s="223"/>
      <c r="F543" s="9"/>
      <c r="G543" s="9"/>
      <c r="H543" s="9"/>
      <c r="I543" s="9"/>
      <c r="J543" s="9"/>
      <c r="K543" s="9"/>
      <c r="L543" s="9"/>
      <c r="M543" s="9"/>
      <c r="N543" s="9"/>
      <c r="O543" s="9"/>
      <c r="P543" s="9"/>
      <c r="Q543" s="9"/>
      <c r="R543" s="9"/>
      <c r="S543" s="9"/>
      <c r="T543" s="223"/>
      <c r="U543" s="9"/>
      <c r="V543" s="9"/>
      <c r="W543" s="971"/>
      <c r="X543" s="9"/>
      <c r="Y543" s="9"/>
      <c r="Z543" s="204"/>
      <c r="AA543" s="9"/>
      <c r="AB543" s="9"/>
      <c r="AC543" s="9"/>
      <c r="AD543" s="9"/>
    </row>
    <row r="544" ht="15.75" customHeight="1">
      <c r="A544" s="9"/>
      <c r="B544" s="223"/>
      <c r="C544" s="9"/>
      <c r="D544" s="9"/>
      <c r="E544" s="223"/>
      <c r="F544" s="9"/>
      <c r="G544" s="9"/>
      <c r="H544" s="9"/>
      <c r="I544" s="9"/>
      <c r="J544" s="9"/>
      <c r="K544" s="9"/>
      <c r="L544" s="9"/>
      <c r="M544" s="9"/>
      <c r="N544" s="9"/>
      <c r="O544" s="9"/>
      <c r="P544" s="9"/>
      <c r="Q544" s="9"/>
      <c r="R544" s="9"/>
      <c r="S544" s="9"/>
      <c r="T544" s="223"/>
      <c r="U544" s="9"/>
      <c r="V544" s="9"/>
      <c r="W544" s="971"/>
      <c r="X544" s="9"/>
      <c r="Y544" s="9"/>
      <c r="Z544" s="204"/>
      <c r="AA544" s="9"/>
      <c r="AB544" s="9"/>
      <c r="AC544" s="9"/>
      <c r="AD544" s="9"/>
    </row>
    <row r="545" ht="15.75" customHeight="1">
      <c r="A545" s="9"/>
      <c r="B545" s="223"/>
      <c r="C545" s="9"/>
      <c r="D545" s="9"/>
      <c r="E545" s="223"/>
      <c r="F545" s="9"/>
      <c r="G545" s="9"/>
      <c r="H545" s="9"/>
      <c r="I545" s="9"/>
      <c r="J545" s="9"/>
      <c r="K545" s="9"/>
      <c r="L545" s="9"/>
      <c r="M545" s="9"/>
      <c r="N545" s="9"/>
      <c r="O545" s="9"/>
      <c r="P545" s="9"/>
      <c r="Q545" s="9"/>
      <c r="R545" s="9"/>
      <c r="S545" s="9"/>
      <c r="T545" s="223"/>
      <c r="U545" s="9"/>
      <c r="V545" s="9"/>
      <c r="W545" s="971"/>
      <c r="X545" s="9"/>
      <c r="Y545" s="9"/>
      <c r="Z545" s="204"/>
      <c r="AA545" s="9"/>
      <c r="AB545" s="9"/>
      <c r="AC545" s="9"/>
      <c r="AD545" s="9"/>
    </row>
    <row r="546" ht="15.75" customHeight="1">
      <c r="A546" s="9"/>
      <c r="B546" s="223"/>
      <c r="C546" s="9"/>
      <c r="D546" s="9"/>
      <c r="E546" s="223"/>
      <c r="F546" s="9"/>
      <c r="G546" s="9"/>
      <c r="H546" s="9"/>
      <c r="I546" s="9"/>
      <c r="J546" s="9"/>
      <c r="K546" s="9"/>
      <c r="L546" s="9"/>
      <c r="M546" s="9"/>
      <c r="N546" s="9"/>
      <c r="O546" s="9"/>
      <c r="P546" s="9"/>
      <c r="Q546" s="9"/>
      <c r="R546" s="9"/>
      <c r="S546" s="9"/>
      <c r="T546" s="223"/>
      <c r="U546" s="9"/>
      <c r="V546" s="9"/>
      <c r="W546" s="971"/>
      <c r="X546" s="9"/>
      <c r="Y546" s="9"/>
      <c r="Z546" s="204"/>
      <c r="AA546" s="9"/>
      <c r="AB546" s="9"/>
      <c r="AC546" s="9"/>
      <c r="AD546" s="9"/>
    </row>
    <row r="547" ht="15.75" customHeight="1">
      <c r="A547" s="9"/>
      <c r="B547" s="223"/>
      <c r="C547" s="9"/>
      <c r="D547" s="9"/>
      <c r="E547" s="223"/>
      <c r="F547" s="9"/>
      <c r="G547" s="9"/>
      <c r="H547" s="9"/>
      <c r="I547" s="9"/>
      <c r="J547" s="9"/>
      <c r="K547" s="9"/>
      <c r="L547" s="9"/>
      <c r="M547" s="9"/>
      <c r="N547" s="9"/>
      <c r="O547" s="9"/>
      <c r="P547" s="9"/>
      <c r="Q547" s="9"/>
      <c r="R547" s="9"/>
      <c r="S547" s="9"/>
      <c r="T547" s="223"/>
      <c r="U547" s="9"/>
      <c r="V547" s="9"/>
      <c r="W547" s="971"/>
      <c r="X547" s="9"/>
      <c r="Y547" s="9"/>
      <c r="Z547" s="204"/>
      <c r="AA547" s="9"/>
      <c r="AB547" s="9"/>
      <c r="AC547" s="9"/>
      <c r="AD547" s="9"/>
    </row>
    <row r="548" ht="15.75" customHeight="1">
      <c r="A548" s="9"/>
      <c r="B548" s="223"/>
      <c r="C548" s="9"/>
      <c r="D548" s="9"/>
      <c r="E548" s="223"/>
      <c r="F548" s="9"/>
      <c r="G548" s="9"/>
      <c r="H548" s="9"/>
      <c r="I548" s="9"/>
      <c r="J548" s="9"/>
      <c r="K548" s="9"/>
      <c r="L548" s="9"/>
      <c r="M548" s="9"/>
      <c r="N548" s="9"/>
      <c r="O548" s="9"/>
      <c r="P548" s="9"/>
      <c r="Q548" s="9"/>
      <c r="R548" s="9"/>
      <c r="S548" s="9"/>
      <c r="T548" s="223"/>
      <c r="U548" s="9"/>
      <c r="V548" s="9"/>
      <c r="W548" s="971"/>
      <c r="X548" s="9"/>
      <c r="Y548" s="9"/>
      <c r="Z548" s="204"/>
      <c r="AA548" s="9"/>
      <c r="AB548" s="9"/>
      <c r="AC548" s="9"/>
      <c r="AD548" s="9"/>
    </row>
    <row r="549" ht="15.75" customHeight="1">
      <c r="A549" s="9"/>
      <c r="B549" s="223"/>
      <c r="C549" s="9"/>
      <c r="D549" s="9"/>
      <c r="E549" s="223"/>
      <c r="F549" s="9"/>
      <c r="G549" s="9"/>
      <c r="H549" s="9"/>
      <c r="I549" s="9"/>
      <c r="J549" s="9"/>
      <c r="K549" s="9"/>
      <c r="L549" s="9"/>
      <c r="M549" s="9"/>
      <c r="N549" s="9"/>
      <c r="O549" s="9"/>
      <c r="P549" s="9"/>
      <c r="Q549" s="9"/>
      <c r="R549" s="9"/>
      <c r="S549" s="9"/>
      <c r="T549" s="223"/>
      <c r="U549" s="9"/>
      <c r="V549" s="9"/>
      <c r="W549" s="971"/>
      <c r="X549" s="9"/>
      <c r="Y549" s="9"/>
      <c r="Z549" s="204"/>
      <c r="AA549" s="9"/>
      <c r="AB549" s="9"/>
      <c r="AC549" s="9"/>
      <c r="AD549" s="9"/>
    </row>
    <row r="550" ht="15.75" customHeight="1">
      <c r="A550" s="9"/>
      <c r="B550" s="223"/>
      <c r="C550" s="9"/>
      <c r="D550" s="9"/>
      <c r="E550" s="223"/>
      <c r="F550" s="9"/>
      <c r="G550" s="9"/>
      <c r="H550" s="9"/>
      <c r="I550" s="9"/>
      <c r="J550" s="9"/>
      <c r="K550" s="9"/>
      <c r="L550" s="9"/>
      <c r="M550" s="9"/>
      <c r="N550" s="9"/>
      <c r="O550" s="9"/>
      <c r="P550" s="9"/>
      <c r="Q550" s="9"/>
      <c r="R550" s="9"/>
      <c r="S550" s="9"/>
      <c r="T550" s="223"/>
      <c r="U550" s="9"/>
      <c r="V550" s="9"/>
      <c r="W550" s="971"/>
      <c r="X550" s="9"/>
      <c r="Y550" s="9"/>
      <c r="Z550" s="204"/>
      <c r="AA550" s="9"/>
      <c r="AB550" s="9"/>
      <c r="AC550" s="9"/>
      <c r="AD550" s="9"/>
    </row>
    <row r="551" ht="15.75" customHeight="1">
      <c r="A551" s="9"/>
      <c r="B551" s="223"/>
      <c r="C551" s="9"/>
      <c r="D551" s="9"/>
      <c r="E551" s="223"/>
      <c r="F551" s="9"/>
      <c r="G551" s="9"/>
      <c r="H551" s="9"/>
      <c r="I551" s="9"/>
      <c r="J551" s="9"/>
      <c r="K551" s="9"/>
      <c r="L551" s="9"/>
      <c r="M551" s="9"/>
      <c r="N551" s="9"/>
      <c r="O551" s="9"/>
      <c r="P551" s="9"/>
      <c r="Q551" s="9"/>
      <c r="R551" s="9"/>
      <c r="S551" s="9"/>
      <c r="T551" s="223"/>
      <c r="U551" s="9"/>
      <c r="V551" s="9"/>
      <c r="W551" s="971"/>
      <c r="X551" s="9"/>
      <c r="Y551" s="9"/>
      <c r="Z551" s="204"/>
      <c r="AA551" s="9"/>
      <c r="AB551" s="9"/>
      <c r="AC551" s="9"/>
      <c r="AD551" s="9"/>
    </row>
    <row r="552" ht="15.75" customHeight="1">
      <c r="A552" s="9"/>
      <c r="B552" s="223"/>
      <c r="C552" s="9"/>
      <c r="D552" s="9"/>
      <c r="E552" s="223"/>
      <c r="F552" s="9"/>
      <c r="G552" s="9"/>
      <c r="H552" s="9"/>
      <c r="I552" s="9"/>
      <c r="J552" s="9"/>
      <c r="K552" s="9"/>
      <c r="L552" s="9"/>
      <c r="M552" s="9"/>
      <c r="N552" s="9"/>
      <c r="O552" s="9"/>
      <c r="P552" s="9"/>
      <c r="Q552" s="9"/>
      <c r="R552" s="9"/>
      <c r="S552" s="9"/>
      <c r="T552" s="223"/>
      <c r="U552" s="9"/>
      <c r="V552" s="9"/>
      <c r="W552" s="971"/>
      <c r="X552" s="9"/>
      <c r="Y552" s="9"/>
      <c r="Z552" s="204"/>
      <c r="AA552" s="9"/>
      <c r="AB552" s="9"/>
      <c r="AC552" s="9"/>
      <c r="AD552" s="9"/>
    </row>
    <row r="553" ht="15.75" customHeight="1">
      <c r="A553" s="9"/>
      <c r="B553" s="223"/>
      <c r="C553" s="9"/>
      <c r="D553" s="9"/>
      <c r="E553" s="223"/>
      <c r="F553" s="9"/>
      <c r="G553" s="9"/>
      <c r="H553" s="9"/>
      <c r="I553" s="9"/>
      <c r="J553" s="9"/>
      <c r="K553" s="9"/>
      <c r="L553" s="9"/>
      <c r="M553" s="9"/>
      <c r="N553" s="9"/>
      <c r="O553" s="9"/>
      <c r="P553" s="9"/>
      <c r="Q553" s="9"/>
      <c r="R553" s="9"/>
      <c r="S553" s="9"/>
      <c r="T553" s="223"/>
      <c r="U553" s="9"/>
      <c r="V553" s="9"/>
      <c r="W553" s="971"/>
      <c r="X553" s="9"/>
      <c r="Y553" s="9"/>
      <c r="Z553" s="204"/>
      <c r="AA553" s="9"/>
      <c r="AB553" s="9"/>
      <c r="AC553" s="9"/>
      <c r="AD553" s="9"/>
    </row>
    <row r="554" ht="15.75" customHeight="1">
      <c r="A554" s="9"/>
      <c r="B554" s="223"/>
      <c r="C554" s="9"/>
      <c r="D554" s="9"/>
      <c r="E554" s="223"/>
      <c r="F554" s="9"/>
      <c r="G554" s="9"/>
      <c r="H554" s="9"/>
      <c r="I554" s="9"/>
      <c r="J554" s="9"/>
      <c r="K554" s="9"/>
      <c r="L554" s="9"/>
      <c r="M554" s="9"/>
      <c r="N554" s="9"/>
      <c r="O554" s="9"/>
      <c r="P554" s="9"/>
      <c r="Q554" s="9"/>
      <c r="R554" s="9"/>
      <c r="S554" s="9"/>
      <c r="T554" s="223"/>
      <c r="U554" s="9"/>
      <c r="V554" s="9"/>
      <c r="W554" s="971"/>
      <c r="X554" s="9"/>
      <c r="Y554" s="9"/>
      <c r="Z554" s="204"/>
      <c r="AA554" s="9"/>
      <c r="AB554" s="9"/>
      <c r="AC554" s="9"/>
      <c r="AD554" s="9"/>
    </row>
    <row r="555" ht="15.75" customHeight="1">
      <c r="A555" s="9"/>
      <c r="B555" s="223"/>
      <c r="C555" s="9"/>
      <c r="D555" s="9"/>
      <c r="E555" s="223"/>
      <c r="F555" s="9"/>
      <c r="G555" s="9"/>
      <c r="H555" s="9"/>
      <c r="I555" s="9"/>
      <c r="J555" s="9"/>
      <c r="K555" s="9"/>
      <c r="L555" s="9"/>
      <c r="M555" s="9"/>
      <c r="N555" s="9"/>
      <c r="O555" s="9"/>
      <c r="P555" s="9"/>
      <c r="Q555" s="9"/>
      <c r="R555" s="9"/>
      <c r="S555" s="9"/>
      <c r="T555" s="223"/>
      <c r="U555" s="9"/>
      <c r="V555" s="9"/>
      <c r="W555" s="971"/>
      <c r="X555" s="9"/>
      <c r="Y555" s="9"/>
      <c r="Z555" s="204"/>
      <c r="AA555" s="9"/>
      <c r="AB555" s="9"/>
      <c r="AC555" s="9"/>
      <c r="AD555" s="9"/>
    </row>
    <row r="556" ht="15.75" customHeight="1">
      <c r="A556" s="9"/>
      <c r="B556" s="223"/>
      <c r="C556" s="9"/>
      <c r="D556" s="9"/>
      <c r="E556" s="223"/>
      <c r="F556" s="9"/>
      <c r="G556" s="9"/>
      <c r="H556" s="9"/>
      <c r="I556" s="9"/>
      <c r="J556" s="9"/>
      <c r="K556" s="9"/>
      <c r="L556" s="9"/>
      <c r="M556" s="9"/>
      <c r="N556" s="9"/>
      <c r="O556" s="9"/>
      <c r="P556" s="9"/>
      <c r="Q556" s="9"/>
      <c r="R556" s="9"/>
      <c r="S556" s="9"/>
      <c r="T556" s="223"/>
      <c r="U556" s="9"/>
      <c r="V556" s="9"/>
      <c r="W556" s="971"/>
      <c r="X556" s="9"/>
      <c r="Y556" s="9"/>
      <c r="Z556" s="204"/>
      <c r="AA556" s="9"/>
      <c r="AB556" s="9"/>
      <c r="AC556" s="9"/>
      <c r="AD556" s="9"/>
    </row>
    <row r="557" ht="15.75" customHeight="1">
      <c r="A557" s="9"/>
      <c r="B557" s="223"/>
      <c r="C557" s="9"/>
      <c r="D557" s="9"/>
      <c r="E557" s="223"/>
      <c r="F557" s="9"/>
      <c r="G557" s="9"/>
      <c r="H557" s="9"/>
      <c r="I557" s="9"/>
      <c r="J557" s="9"/>
      <c r="K557" s="9"/>
      <c r="L557" s="9"/>
      <c r="M557" s="9"/>
      <c r="N557" s="9"/>
      <c r="O557" s="9"/>
      <c r="P557" s="9"/>
      <c r="Q557" s="9"/>
      <c r="R557" s="9"/>
      <c r="S557" s="9"/>
      <c r="T557" s="223"/>
      <c r="U557" s="9"/>
      <c r="V557" s="9"/>
      <c r="W557" s="971"/>
      <c r="X557" s="9"/>
      <c r="Y557" s="9"/>
      <c r="Z557" s="204"/>
      <c r="AA557" s="9"/>
      <c r="AB557" s="9"/>
      <c r="AC557" s="9"/>
      <c r="AD557" s="9"/>
    </row>
    <row r="558" ht="15.75" customHeight="1">
      <c r="A558" s="9"/>
      <c r="B558" s="223"/>
      <c r="C558" s="9"/>
      <c r="D558" s="9"/>
      <c r="E558" s="223"/>
      <c r="F558" s="9"/>
      <c r="G558" s="9"/>
      <c r="H558" s="9"/>
      <c r="I558" s="9"/>
      <c r="J558" s="9"/>
      <c r="K558" s="9"/>
      <c r="L558" s="9"/>
      <c r="M558" s="9"/>
      <c r="N558" s="9"/>
      <c r="O558" s="9"/>
      <c r="P558" s="9"/>
      <c r="Q558" s="9"/>
      <c r="R558" s="9"/>
      <c r="S558" s="9"/>
      <c r="T558" s="223"/>
      <c r="U558" s="9"/>
      <c r="V558" s="9"/>
      <c r="W558" s="971"/>
      <c r="X558" s="9"/>
      <c r="Y558" s="9"/>
      <c r="Z558" s="204"/>
      <c r="AA558" s="9"/>
      <c r="AB558" s="9"/>
      <c r="AC558" s="9"/>
      <c r="AD558" s="9"/>
    </row>
    <row r="559" ht="15.75" customHeight="1">
      <c r="A559" s="9"/>
      <c r="B559" s="223"/>
      <c r="C559" s="9"/>
      <c r="D559" s="9"/>
      <c r="E559" s="223"/>
      <c r="F559" s="9"/>
      <c r="G559" s="9"/>
      <c r="H559" s="9"/>
      <c r="I559" s="9"/>
      <c r="J559" s="9"/>
      <c r="K559" s="9"/>
      <c r="L559" s="9"/>
      <c r="M559" s="9"/>
      <c r="N559" s="9"/>
      <c r="O559" s="9"/>
      <c r="P559" s="9"/>
      <c r="Q559" s="9"/>
      <c r="R559" s="9"/>
      <c r="S559" s="9"/>
      <c r="T559" s="223"/>
      <c r="U559" s="9"/>
      <c r="V559" s="9"/>
      <c r="W559" s="971"/>
      <c r="X559" s="9"/>
      <c r="Y559" s="9"/>
      <c r="Z559" s="204"/>
      <c r="AA559" s="9"/>
      <c r="AB559" s="9"/>
      <c r="AC559" s="9"/>
      <c r="AD559" s="9"/>
    </row>
    <row r="560" ht="15.75" customHeight="1">
      <c r="A560" s="9"/>
      <c r="B560" s="223"/>
      <c r="C560" s="9"/>
      <c r="D560" s="9"/>
      <c r="E560" s="223"/>
      <c r="F560" s="9"/>
      <c r="G560" s="9"/>
      <c r="H560" s="9"/>
      <c r="I560" s="9"/>
      <c r="J560" s="9"/>
      <c r="K560" s="9"/>
      <c r="L560" s="9"/>
      <c r="M560" s="9"/>
      <c r="N560" s="9"/>
      <c r="O560" s="9"/>
      <c r="P560" s="9"/>
      <c r="Q560" s="9"/>
      <c r="R560" s="9"/>
      <c r="S560" s="9"/>
      <c r="T560" s="223"/>
      <c r="U560" s="9"/>
      <c r="V560" s="9"/>
      <c r="W560" s="971"/>
      <c r="X560" s="9"/>
      <c r="Y560" s="9"/>
      <c r="Z560" s="204"/>
      <c r="AA560" s="9"/>
      <c r="AB560" s="9"/>
      <c r="AC560" s="9"/>
      <c r="AD560" s="9"/>
    </row>
    <row r="561" ht="15.75" customHeight="1">
      <c r="A561" s="9"/>
      <c r="B561" s="223"/>
      <c r="C561" s="9"/>
      <c r="D561" s="9"/>
      <c r="E561" s="223"/>
      <c r="F561" s="9"/>
      <c r="G561" s="9"/>
      <c r="H561" s="9"/>
      <c r="I561" s="9"/>
      <c r="J561" s="9"/>
      <c r="K561" s="9"/>
      <c r="L561" s="9"/>
      <c r="M561" s="9"/>
      <c r="N561" s="9"/>
      <c r="O561" s="9"/>
      <c r="P561" s="9"/>
      <c r="Q561" s="9"/>
      <c r="R561" s="9"/>
      <c r="S561" s="9"/>
      <c r="T561" s="223"/>
      <c r="U561" s="9"/>
      <c r="V561" s="9"/>
      <c r="W561" s="971"/>
      <c r="X561" s="9"/>
      <c r="Y561" s="9"/>
      <c r="Z561" s="204"/>
      <c r="AA561" s="9"/>
      <c r="AB561" s="9"/>
      <c r="AC561" s="9"/>
      <c r="AD561" s="9"/>
    </row>
    <row r="562" ht="15.75" customHeight="1">
      <c r="A562" s="9"/>
      <c r="B562" s="223"/>
      <c r="C562" s="9"/>
      <c r="D562" s="9"/>
      <c r="E562" s="223"/>
      <c r="F562" s="9"/>
      <c r="G562" s="9"/>
      <c r="H562" s="9"/>
      <c r="I562" s="9"/>
      <c r="J562" s="9"/>
      <c r="K562" s="9"/>
      <c r="L562" s="9"/>
      <c r="M562" s="9"/>
      <c r="N562" s="9"/>
      <c r="O562" s="9"/>
      <c r="P562" s="9"/>
      <c r="Q562" s="9"/>
      <c r="R562" s="9"/>
      <c r="S562" s="9"/>
      <c r="T562" s="223"/>
      <c r="U562" s="9"/>
      <c r="V562" s="9"/>
      <c r="W562" s="971"/>
      <c r="X562" s="9"/>
      <c r="Y562" s="9"/>
      <c r="Z562" s="204"/>
      <c r="AA562" s="9"/>
      <c r="AB562" s="9"/>
      <c r="AC562" s="9"/>
      <c r="AD562" s="9"/>
    </row>
    <row r="563" ht="15.75" customHeight="1">
      <c r="A563" s="9"/>
      <c r="B563" s="223"/>
      <c r="C563" s="9"/>
      <c r="D563" s="9"/>
      <c r="E563" s="223"/>
      <c r="F563" s="9"/>
      <c r="G563" s="9"/>
      <c r="H563" s="9"/>
      <c r="I563" s="9"/>
      <c r="J563" s="9"/>
      <c r="K563" s="9"/>
      <c r="L563" s="9"/>
      <c r="M563" s="9"/>
      <c r="N563" s="9"/>
      <c r="O563" s="9"/>
      <c r="P563" s="9"/>
      <c r="Q563" s="9"/>
      <c r="R563" s="9"/>
      <c r="S563" s="9"/>
      <c r="T563" s="223"/>
      <c r="U563" s="9"/>
      <c r="V563" s="9"/>
      <c r="W563" s="971"/>
      <c r="X563" s="9"/>
      <c r="Y563" s="9"/>
      <c r="Z563" s="204"/>
      <c r="AA563" s="9"/>
      <c r="AB563" s="9"/>
      <c r="AC563" s="9"/>
      <c r="AD563" s="9"/>
    </row>
    <row r="564" ht="15.75" customHeight="1">
      <c r="A564" s="9"/>
      <c r="B564" s="223"/>
      <c r="C564" s="9"/>
      <c r="D564" s="9"/>
      <c r="E564" s="223"/>
      <c r="F564" s="9"/>
      <c r="G564" s="9"/>
      <c r="H564" s="9"/>
      <c r="I564" s="9"/>
      <c r="J564" s="9"/>
      <c r="K564" s="9"/>
      <c r="L564" s="9"/>
      <c r="M564" s="9"/>
      <c r="N564" s="9"/>
      <c r="O564" s="9"/>
      <c r="P564" s="9"/>
      <c r="Q564" s="9"/>
      <c r="R564" s="9"/>
      <c r="S564" s="9"/>
      <c r="T564" s="223"/>
      <c r="U564" s="9"/>
      <c r="V564" s="9"/>
      <c r="W564" s="971"/>
      <c r="X564" s="9"/>
      <c r="Y564" s="9"/>
      <c r="Z564" s="204"/>
      <c r="AA564" s="9"/>
      <c r="AB564" s="9"/>
      <c r="AC564" s="9"/>
      <c r="AD564" s="9"/>
    </row>
    <row r="565" ht="15.75" customHeight="1">
      <c r="A565" s="9"/>
      <c r="B565" s="223"/>
      <c r="C565" s="9"/>
      <c r="D565" s="9"/>
      <c r="E565" s="223"/>
      <c r="F565" s="9"/>
      <c r="G565" s="9"/>
      <c r="H565" s="9"/>
      <c r="I565" s="9"/>
      <c r="J565" s="9"/>
      <c r="K565" s="9"/>
      <c r="L565" s="9"/>
      <c r="M565" s="9"/>
      <c r="N565" s="9"/>
      <c r="O565" s="9"/>
      <c r="P565" s="9"/>
      <c r="Q565" s="9"/>
      <c r="R565" s="9"/>
      <c r="S565" s="9"/>
      <c r="T565" s="223"/>
      <c r="U565" s="9"/>
      <c r="V565" s="9"/>
      <c r="W565" s="971"/>
      <c r="X565" s="9"/>
      <c r="Y565" s="9"/>
      <c r="Z565" s="204"/>
      <c r="AA565" s="9"/>
      <c r="AB565" s="9"/>
      <c r="AC565" s="9"/>
      <c r="AD565" s="9"/>
    </row>
    <row r="566" ht="15.75" customHeight="1">
      <c r="A566" s="9"/>
      <c r="B566" s="223"/>
      <c r="C566" s="9"/>
      <c r="D566" s="9"/>
      <c r="E566" s="223"/>
      <c r="F566" s="9"/>
      <c r="G566" s="9"/>
      <c r="H566" s="9"/>
      <c r="I566" s="9"/>
      <c r="J566" s="9"/>
      <c r="K566" s="9"/>
      <c r="L566" s="9"/>
      <c r="M566" s="9"/>
      <c r="N566" s="9"/>
      <c r="O566" s="9"/>
      <c r="P566" s="9"/>
      <c r="Q566" s="9"/>
      <c r="R566" s="9"/>
      <c r="S566" s="9"/>
      <c r="T566" s="223"/>
      <c r="U566" s="9"/>
      <c r="V566" s="9"/>
      <c r="W566" s="971"/>
      <c r="X566" s="9"/>
      <c r="Y566" s="9"/>
      <c r="Z566" s="204"/>
      <c r="AA566" s="9"/>
      <c r="AB566" s="9"/>
      <c r="AC566" s="9"/>
      <c r="AD566" s="9"/>
    </row>
    <row r="567" ht="15.75" customHeight="1">
      <c r="A567" s="9"/>
      <c r="B567" s="223"/>
      <c r="C567" s="9"/>
      <c r="D567" s="9"/>
      <c r="E567" s="223"/>
      <c r="F567" s="9"/>
      <c r="G567" s="9"/>
      <c r="H567" s="9"/>
      <c r="I567" s="9"/>
      <c r="J567" s="9"/>
      <c r="K567" s="9"/>
      <c r="L567" s="9"/>
      <c r="M567" s="9"/>
      <c r="N567" s="9"/>
      <c r="O567" s="9"/>
      <c r="P567" s="9"/>
      <c r="Q567" s="9"/>
      <c r="R567" s="9"/>
      <c r="S567" s="9"/>
      <c r="T567" s="223"/>
      <c r="U567" s="9"/>
      <c r="V567" s="9"/>
      <c r="W567" s="971"/>
      <c r="X567" s="9"/>
      <c r="Y567" s="9"/>
      <c r="Z567" s="204"/>
      <c r="AA567" s="9"/>
      <c r="AB567" s="9"/>
      <c r="AC567" s="9"/>
      <c r="AD567" s="9"/>
    </row>
    <row r="568" ht="15.75" customHeight="1">
      <c r="A568" s="9"/>
      <c r="B568" s="223"/>
      <c r="C568" s="9"/>
      <c r="D568" s="9"/>
      <c r="E568" s="223"/>
      <c r="F568" s="9"/>
      <c r="G568" s="9"/>
      <c r="H568" s="9"/>
      <c r="I568" s="9"/>
      <c r="J568" s="9"/>
      <c r="K568" s="9"/>
      <c r="L568" s="9"/>
      <c r="M568" s="9"/>
      <c r="N568" s="9"/>
      <c r="O568" s="9"/>
      <c r="P568" s="9"/>
      <c r="Q568" s="9"/>
      <c r="R568" s="9"/>
      <c r="S568" s="9"/>
      <c r="T568" s="223"/>
      <c r="U568" s="9"/>
      <c r="V568" s="9"/>
      <c r="W568" s="971"/>
      <c r="X568" s="9"/>
      <c r="Y568" s="9"/>
      <c r="Z568" s="204"/>
      <c r="AA568" s="9"/>
      <c r="AB568" s="9"/>
      <c r="AC568" s="9"/>
      <c r="AD568" s="9"/>
    </row>
    <row r="569" ht="15.75" customHeight="1">
      <c r="A569" s="9"/>
      <c r="B569" s="223"/>
      <c r="C569" s="9"/>
      <c r="D569" s="9"/>
      <c r="E569" s="223"/>
      <c r="F569" s="9"/>
      <c r="G569" s="9"/>
      <c r="H569" s="9"/>
      <c r="I569" s="9"/>
      <c r="J569" s="9"/>
      <c r="K569" s="9"/>
      <c r="L569" s="9"/>
      <c r="M569" s="9"/>
      <c r="N569" s="9"/>
      <c r="O569" s="9"/>
      <c r="P569" s="9"/>
      <c r="Q569" s="9"/>
      <c r="R569" s="9"/>
      <c r="S569" s="9"/>
      <c r="T569" s="223"/>
      <c r="U569" s="9"/>
      <c r="V569" s="9"/>
      <c r="W569" s="971"/>
      <c r="X569" s="9"/>
      <c r="Y569" s="9"/>
      <c r="Z569" s="204"/>
      <c r="AA569" s="9"/>
      <c r="AB569" s="9"/>
      <c r="AC569" s="9"/>
      <c r="AD569" s="9"/>
    </row>
    <row r="570" ht="15.75" customHeight="1">
      <c r="A570" s="9"/>
      <c r="B570" s="223"/>
      <c r="C570" s="9"/>
      <c r="D570" s="9"/>
      <c r="E570" s="223"/>
      <c r="F570" s="9"/>
      <c r="G570" s="9"/>
      <c r="H570" s="9"/>
      <c r="I570" s="9"/>
      <c r="J570" s="9"/>
      <c r="K570" s="9"/>
      <c r="L570" s="9"/>
      <c r="M570" s="9"/>
      <c r="N570" s="9"/>
      <c r="O570" s="9"/>
      <c r="P570" s="9"/>
      <c r="Q570" s="9"/>
      <c r="R570" s="9"/>
      <c r="S570" s="9"/>
      <c r="T570" s="223"/>
      <c r="U570" s="9"/>
      <c r="V570" s="9"/>
      <c r="W570" s="971"/>
      <c r="X570" s="9"/>
      <c r="Y570" s="9"/>
      <c r="Z570" s="204"/>
      <c r="AA570" s="9"/>
      <c r="AB570" s="9"/>
      <c r="AC570" s="9"/>
      <c r="AD570" s="9"/>
    </row>
    <row r="571" ht="15.75" customHeight="1">
      <c r="A571" s="9"/>
      <c r="B571" s="223"/>
      <c r="C571" s="9"/>
      <c r="D571" s="9"/>
      <c r="E571" s="223"/>
      <c r="F571" s="9"/>
      <c r="G571" s="9"/>
      <c r="H571" s="9"/>
      <c r="I571" s="9"/>
      <c r="J571" s="9"/>
      <c r="K571" s="9"/>
      <c r="L571" s="9"/>
      <c r="M571" s="9"/>
      <c r="N571" s="9"/>
      <c r="O571" s="9"/>
      <c r="P571" s="9"/>
      <c r="Q571" s="9"/>
      <c r="R571" s="9"/>
      <c r="S571" s="9"/>
      <c r="T571" s="223"/>
      <c r="U571" s="9"/>
      <c r="V571" s="9"/>
      <c r="W571" s="971"/>
      <c r="X571" s="9"/>
      <c r="Y571" s="9"/>
      <c r="Z571" s="204"/>
      <c r="AA571" s="9"/>
      <c r="AB571" s="9"/>
      <c r="AC571" s="9"/>
      <c r="AD571" s="9"/>
    </row>
    <row r="572" ht="15.75" customHeight="1">
      <c r="A572" s="9"/>
      <c r="B572" s="223"/>
      <c r="C572" s="9"/>
      <c r="D572" s="9"/>
      <c r="E572" s="223"/>
      <c r="F572" s="9"/>
      <c r="G572" s="9"/>
      <c r="H572" s="9"/>
      <c r="I572" s="9"/>
      <c r="J572" s="9"/>
      <c r="K572" s="9"/>
      <c r="L572" s="9"/>
      <c r="M572" s="9"/>
      <c r="N572" s="9"/>
      <c r="O572" s="9"/>
      <c r="P572" s="9"/>
      <c r="Q572" s="9"/>
      <c r="R572" s="9"/>
      <c r="S572" s="9"/>
      <c r="T572" s="223"/>
      <c r="U572" s="9"/>
      <c r="V572" s="9"/>
      <c r="W572" s="971"/>
      <c r="X572" s="9"/>
      <c r="Y572" s="9"/>
      <c r="Z572" s="204"/>
      <c r="AA572" s="9"/>
      <c r="AB572" s="9"/>
      <c r="AC572" s="9"/>
      <c r="AD572" s="9"/>
    </row>
    <row r="573" ht="15.75" customHeight="1">
      <c r="A573" s="9"/>
      <c r="B573" s="223"/>
      <c r="C573" s="9"/>
      <c r="D573" s="9"/>
      <c r="E573" s="223"/>
      <c r="F573" s="9"/>
      <c r="G573" s="9"/>
      <c r="H573" s="9"/>
      <c r="I573" s="9"/>
      <c r="J573" s="9"/>
      <c r="K573" s="9"/>
      <c r="L573" s="9"/>
      <c r="M573" s="9"/>
      <c r="N573" s="9"/>
      <c r="O573" s="9"/>
      <c r="P573" s="9"/>
      <c r="Q573" s="9"/>
      <c r="R573" s="9"/>
      <c r="S573" s="9"/>
      <c r="T573" s="223"/>
      <c r="U573" s="9"/>
      <c r="V573" s="9"/>
      <c r="W573" s="971"/>
      <c r="X573" s="9"/>
      <c r="Y573" s="9"/>
      <c r="Z573" s="204"/>
      <c r="AA573" s="9"/>
      <c r="AB573" s="9"/>
      <c r="AC573" s="9"/>
      <c r="AD573" s="9"/>
    </row>
    <row r="574" ht="15.75" customHeight="1">
      <c r="A574" s="9"/>
      <c r="B574" s="223"/>
      <c r="C574" s="9"/>
      <c r="D574" s="9"/>
      <c r="E574" s="223"/>
      <c r="F574" s="9"/>
      <c r="G574" s="9"/>
      <c r="H574" s="9"/>
      <c r="I574" s="9"/>
      <c r="J574" s="9"/>
      <c r="K574" s="9"/>
      <c r="L574" s="9"/>
      <c r="M574" s="9"/>
      <c r="N574" s="9"/>
      <c r="O574" s="9"/>
      <c r="P574" s="9"/>
      <c r="Q574" s="9"/>
      <c r="R574" s="9"/>
      <c r="S574" s="9"/>
      <c r="T574" s="223"/>
      <c r="U574" s="9"/>
      <c r="V574" s="9"/>
      <c r="W574" s="971"/>
      <c r="X574" s="9"/>
      <c r="Y574" s="9"/>
      <c r="Z574" s="204"/>
      <c r="AA574" s="9"/>
      <c r="AB574" s="9"/>
      <c r="AC574" s="9"/>
      <c r="AD574" s="9"/>
    </row>
    <row r="575" ht="15.75" customHeight="1">
      <c r="A575" s="9"/>
      <c r="B575" s="223"/>
      <c r="C575" s="9"/>
      <c r="D575" s="9"/>
      <c r="E575" s="223"/>
      <c r="F575" s="9"/>
      <c r="G575" s="9"/>
      <c r="H575" s="9"/>
      <c r="I575" s="9"/>
      <c r="J575" s="9"/>
      <c r="K575" s="9"/>
      <c r="L575" s="9"/>
      <c r="M575" s="9"/>
      <c r="N575" s="9"/>
      <c r="O575" s="9"/>
      <c r="P575" s="9"/>
      <c r="Q575" s="9"/>
      <c r="R575" s="9"/>
      <c r="S575" s="9"/>
      <c r="T575" s="223"/>
      <c r="U575" s="9"/>
      <c r="V575" s="9"/>
      <c r="W575" s="971"/>
      <c r="X575" s="9"/>
      <c r="Y575" s="9"/>
      <c r="Z575" s="204"/>
      <c r="AA575" s="9"/>
      <c r="AB575" s="9"/>
      <c r="AC575" s="9"/>
      <c r="AD575" s="9"/>
    </row>
    <row r="576" ht="15.75" customHeight="1">
      <c r="A576" s="9"/>
      <c r="B576" s="223"/>
      <c r="C576" s="9"/>
      <c r="D576" s="9"/>
      <c r="E576" s="223"/>
      <c r="F576" s="9"/>
      <c r="G576" s="9"/>
      <c r="H576" s="9"/>
      <c r="I576" s="9"/>
      <c r="J576" s="9"/>
      <c r="K576" s="9"/>
      <c r="L576" s="9"/>
      <c r="M576" s="9"/>
      <c r="N576" s="9"/>
      <c r="O576" s="9"/>
      <c r="P576" s="9"/>
      <c r="Q576" s="9"/>
      <c r="R576" s="9"/>
      <c r="S576" s="9"/>
      <c r="T576" s="223"/>
      <c r="U576" s="9"/>
      <c r="V576" s="9"/>
      <c r="W576" s="971"/>
      <c r="X576" s="9"/>
      <c r="Y576" s="9"/>
      <c r="Z576" s="204"/>
      <c r="AA576" s="9"/>
      <c r="AB576" s="9"/>
      <c r="AC576" s="9"/>
      <c r="AD576" s="9"/>
    </row>
    <row r="577" ht="15.75" customHeight="1">
      <c r="A577" s="9"/>
      <c r="B577" s="223"/>
      <c r="C577" s="9"/>
      <c r="D577" s="9"/>
      <c r="E577" s="223"/>
      <c r="F577" s="9"/>
      <c r="G577" s="9"/>
      <c r="H577" s="9"/>
      <c r="I577" s="9"/>
      <c r="J577" s="9"/>
      <c r="K577" s="9"/>
      <c r="L577" s="9"/>
      <c r="M577" s="9"/>
      <c r="N577" s="9"/>
      <c r="O577" s="9"/>
      <c r="P577" s="9"/>
      <c r="Q577" s="9"/>
      <c r="R577" s="9"/>
      <c r="S577" s="9"/>
      <c r="T577" s="223"/>
      <c r="U577" s="9"/>
      <c r="V577" s="9"/>
      <c r="W577" s="971"/>
      <c r="X577" s="9"/>
      <c r="Y577" s="9"/>
      <c r="Z577" s="204"/>
      <c r="AA577" s="9"/>
      <c r="AB577" s="9"/>
      <c r="AC577" s="9"/>
      <c r="AD577" s="9"/>
    </row>
    <row r="578" ht="15.75" customHeight="1">
      <c r="A578" s="9"/>
      <c r="B578" s="223"/>
      <c r="C578" s="9"/>
      <c r="D578" s="9"/>
      <c r="E578" s="223"/>
      <c r="F578" s="9"/>
      <c r="G578" s="9"/>
      <c r="H578" s="9"/>
      <c r="I578" s="9"/>
      <c r="J578" s="9"/>
      <c r="K578" s="9"/>
      <c r="L578" s="9"/>
      <c r="M578" s="9"/>
      <c r="N578" s="9"/>
      <c r="O578" s="9"/>
      <c r="P578" s="9"/>
      <c r="Q578" s="9"/>
      <c r="R578" s="9"/>
      <c r="S578" s="9"/>
      <c r="T578" s="223"/>
      <c r="U578" s="9"/>
      <c r="V578" s="9"/>
      <c r="W578" s="971"/>
      <c r="X578" s="9"/>
      <c r="Y578" s="9"/>
      <c r="Z578" s="204"/>
      <c r="AA578" s="9"/>
      <c r="AB578" s="9"/>
      <c r="AC578" s="9"/>
      <c r="AD578" s="9"/>
    </row>
    <row r="579" ht="15.75" customHeight="1">
      <c r="A579" s="9"/>
      <c r="B579" s="223"/>
      <c r="C579" s="9"/>
      <c r="D579" s="9"/>
      <c r="E579" s="223"/>
      <c r="F579" s="9"/>
      <c r="G579" s="9"/>
      <c r="H579" s="9"/>
      <c r="I579" s="9"/>
      <c r="J579" s="9"/>
      <c r="K579" s="9"/>
      <c r="L579" s="9"/>
      <c r="M579" s="9"/>
      <c r="N579" s="9"/>
      <c r="O579" s="9"/>
      <c r="P579" s="9"/>
      <c r="Q579" s="9"/>
      <c r="R579" s="9"/>
      <c r="S579" s="9"/>
      <c r="T579" s="223"/>
      <c r="U579" s="9"/>
      <c r="V579" s="9"/>
      <c r="W579" s="971"/>
      <c r="X579" s="9"/>
      <c r="Y579" s="9"/>
      <c r="Z579" s="204"/>
      <c r="AA579" s="9"/>
      <c r="AB579" s="9"/>
      <c r="AC579" s="9"/>
      <c r="AD579" s="9"/>
    </row>
    <row r="580" ht="15.75" customHeight="1">
      <c r="A580" s="9"/>
      <c r="B580" s="223"/>
      <c r="C580" s="9"/>
      <c r="D580" s="9"/>
      <c r="E580" s="223"/>
      <c r="F580" s="9"/>
      <c r="G580" s="9"/>
      <c r="H580" s="9"/>
      <c r="I580" s="9"/>
      <c r="J580" s="9"/>
      <c r="K580" s="9"/>
      <c r="L580" s="9"/>
      <c r="M580" s="9"/>
      <c r="N580" s="9"/>
      <c r="O580" s="9"/>
      <c r="P580" s="9"/>
      <c r="Q580" s="9"/>
      <c r="R580" s="9"/>
      <c r="S580" s="9"/>
      <c r="T580" s="223"/>
      <c r="U580" s="9"/>
      <c r="V580" s="9"/>
      <c r="W580" s="971"/>
      <c r="X580" s="9"/>
      <c r="Y580" s="9"/>
      <c r="Z580" s="204"/>
      <c r="AA580" s="9"/>
      <c r="AB580" s="9"/>
      <c r="AC580" s="9"/>
      <c r="AD580" s="9"/>
    </row>
    <row r="581" ht="15.75" customHeight="1">
      <c r="A581" s="9"/>
      <c r="B581" s="223"/>
      <c r="C581" s="9"/>
      <c r="D581" s="9"/>
      <c r="E581" s="223"/>
      <c r="F581" s="9"/>
      <c r="G581" s="9"/>
      <c r="H581" s="9"/>
      <c r="I581" s="9"/>
      <c r="J581" s="9"/>
      <c r="K581" s="9"/>
      <c r="L581" s="9"/>
      <c r="M581" s="9"/>
      <c r="N581" s="9"/>
      <c r="O581" s="9"/>
      <c r="P581" s="9"/>
      <c r="Q581" s="9"/>
      <c r="R581" s="9"/>
      <c r="S581" s="9"/>
      <c r="T581" s="223"/>
      <c r="U581" s="9"/>
      <c r="V581" s="9"/>
      <c r="W581" s="971"/>
      <c r="X581" s="9"/>
      <c r="Y581" s="9"/>
      <c r="Z581" s="204"/>
      <c r="AA581" s="9"/>
      <c r="AB581" s="9"/>
      <c r="AC581" s="9"/>
      <c r="AD581" s="9"/>
    </row>
    <row r="582" ht="15.75" customHeight="1">
      <c r="A582" s="9"/>
      <c r="B582" s="223"/>
      <c r="C582" s="9"/>
      <c r="D582" s="9"/>
      <c r="E582" s="223"/>
      <c r="F582" s="9"/>
      <c r="G582" s="9"/>
      <c r="H582" s="9"/>
      <c r="I582" s="9"/>
      <c r="J582" s="9"/>
      <c r="K582" s="9"/>
      <c r="L582" s="9"/>
      <c r="M582" s="9"/>
      <c r="N582" s="9"/>
      <c r="O582" s="9"/>
      <c r="P582" s="9"/>
      <c r="Q582" s="9"/>
      <c r="R582" s="9"/>
      <c r="S582" s="9"/>
      <c r="T582" s="223"/>
      <c r="U582" s="9"/>
      <c r="V582" s="9"/>
      <c r="W582" s="971"/>
      <c r="X582" s="9"/>
      <c r="Y582" s="9"/>
      <c r="Z582" s="204"/>
      <c r="AA582" s="9"/>
      <c r="AB582" s="9"/>
      <c r="AC582" s="9"/>
      <c r="AD582" s="9"/>
    </row>
    <row r="583" ht="15.75" customHeight="1">
      <c r="A583" s="9"/>
      <c r="B583" s="223"/>
      <c r="C583" s="9"/>
      <c r="D583" s="9"/>
      <c r="E583" s="223"/>
      <c r="F583" s="9"/>
      <c r="G583" s="9"/>
      <c r="H583" s="9"/>
      <c r="I583" s="9"/>
      <c r="J583" s="9"/>
      <c r="K583" s="9"/>
      <c r="L583" s="9"/>
      <c r="M583" s="9"/>
      <c r="N583" s="9"/>
      <c r="O583" s="9"/>
      <c r="P583" s="9"/>
      <c r="Q583" s="9"/>
      <c r="R583" s="9"/>
      <c r="S583" s="9"/>
      <c r="T583" s="223"/>
      <c r="U583" s="9"/>
      <c r="V583" s="9"/>
      <c r="W583" s="971"/>
      <c r="X583" s="9"/>
      <c r="Y583" s="9"/>
      <c r="Z583" s="204"/>
      <c r="AA583" s="9"/>
      <c r="AB583" s="9"/>
      <c r="AC583" s="9"/>
      <c r="AD583" s="9"/>
    </row>
    <row r="584" ht="15.75" customHeight="1">
      <c r="A584" s="9"/>
      <c r="B584" s="223"/>
      <c r="C584" s="9"/>
      <c r="D584" s="9"/>
      <c r="E584" s="223"/>
      <c r="F584" s="9"/>
      <c r="G584" s="9"/>
      <c r="H584" s="9"/>
      <c r="I584" s="9"/>
      <c r="J584" s="9"/>
      <c r="K584" s="9"/>
      <c r="L584" s="9"/>
      <c r="M584" s="9"/>
      <c r="N584" s="9"/>
      <c r="O584" s="9"/>
      <c r="P584" s="9"/>
      <c r="Q584" s="9"/>
      <c r="R584" s="9"/>
      <c r="S584" s="9"/>
      <c r="T584" s="223"/>
      <c r="U584" s="9"/>
      <c r="V584" s="9"/>
      <c r="W584" s="971"/>
      <c r="X584" s="9"/>
      <c r="Y584" s="9"/>
      <c r="Z584" s="204"/>
      <c r="AA584" s="9"/>
      <c r="AB584" s="9"/>
      <c r="AC584" s="9"/>
      <c r="AD584" s="9"/>
    </row>
    <row r="585" ht="15.75" customHeight="1">
      <c r="A585" s="9"/>
      <c r="B585" s="223"/>
      <c r="C585" s="9"/>
      <c r="D585" s="9"/>
      <c r="E585" s="223"/>
      <c r="F585" s="9"/>
      <c r="G585" s="9"/>
      <c r="H585" s="9"/>
      <c r="I585" s="9"/>
      <c r="J585" s="9"/>
      <c r="K585" s="9"/>
      <c r="L585" s="9"/>
      <c r="M585" s="9"/>
      <c r="N585" s="9"/>
      <c r="O585" s="9"/>
      <c r="P585" s="9"/>
      <c r="Q585" s="9"/>
      <c r="R585" s="9"/>
      <c r="S585" s="9"/>
      <c r="T585" s="223"/>
      <c r="U585" s="9"/>
      <c r="V585" s="9"/>
      <c r="W585" s="971"/>
      <c r="X585" s="9"/>
      <c r="Y585" s="9"/>
      <c r="Z585" s="204"/>
      <c r="AA585" s="9"/>
      <c r="AB585" s="9"/>
      <c r="AC585" s="9"/>
      <c r="AD585" s="9"/>
    </row>
    <row r="586" ht="15.75" customHeight="1">
      <c r="A586" s="9"/>
      <c r="B586" s="223"/>
      <c r="C586" s="9"/>
      <c r="D586" s="9"/>
      <c r="E586" s="223"/>
      <c r="F586" s="9"/>
      <c r="G586" s="9"/>
      <c r="H586" s="9"/>
      <c r="I586" s="9"/>
      <c r="J586" s="9"/>
      <c r="K586" s="9"/>
      <c r="L586" s="9"/>
      <c r="M586" s="9"/>
      <c r="N586" s="9"/>
      <c r="O586" s="9"/>
      <c r="P586" s="9"/>
      <c r="Q586" s="9"/>
      <c r="R586" s="9"/>
      <c r="S586" s="9"/>
      <c r="T586" s="223"/>
      <c r="U586" s="9"/>
      <c r="V586" s="9"/>
      <c r="W586" s="971"/>
      <c r="X586" s="9"/>
      <c r="Y586" s="9"/>
      <c r="Z586" s="204"/>
      <c r="AA586" s="9"/>
      <c r="AB586" s="9"/>
      <c r="AC586" s="9"/>
      <c r="AD586" s="9"/>
    </row>
    <row r="587" ht="15.75" customHeight="1">
      <c r="A587" s="9"/>
      <c r="B587" s="223"/>
      <c r="C587" s="9"/>
      <c r="D587" s="9"/>
      <c r="E587" s="223"/>
      <c r="F587" s="9"/>
      <c r="G587" s="9"/>
      <c r="H587" s="9"/>
      <c r="I587" s="9"/>
      <c r="J587" s="9"/>
      <c r="K587" s="9"/>
      <c r="L587" s="9"/>
      <c r="M587" s="9"/>
      <c r="N587" s="9"/>
      <c r="O587" s="9"/>
      <c r="P587" s="9"/>
      <c r="Q587" s="9"/>
      <c r="R587" s="9"/>
      <c r="S587" s="9"/>
      <c r="T587" s="223"/>
      <c r="U587" s="9"/>
      <c r="V587" s="9"/>
      <c r="W587" s="971"/>
      <c r="X587" s="9"/>
      <c r="Y587" s="9"/>
      <c r="Z587" s="204"/>
      <c r="AA587" s="9"/>
      <c r="AB587" s="9"/>
      <c r="AC587" s="9"/>
      <c r="AD587" s="9"/>
    </row>
    <row r="588" ht="15.75" customHeight="1">
      <c r="A588" s="9"/>
      <c r="B588" s="223"/>
      <c r="C588" s="9"/>
      <c r="D588" s="9"/>
      <c r="E588" s="223"/>
      <c r="F588" s="9"/>
      <c r="G588" s="9"/>
      <c r="H588" s="9"/>
      <c r="I588" s="9"/>
      <c r="J588" s="9"/>
      <c r="K588" s="9"/>
      <c r="L588" s="9"/>
      <c r="M588" s="9"/>
      <c r="N588" s="9"/>
      <c r="O588" s="9"/>
      <c r="P588" s="9"/>
      <c r="Q588" s="9"/>
      <c r="R588" s="9"/>
      <c r="S588" s="9"/>
      <c r="T588" s="223"/>
      <c r="U588" s="9"/>
      <c r="V588" s="9"/>
      <c r="W588" s="971"/>
      <c r="X588" s="9"/>
      <c r="Y588" s="9"/>
      <c r="Z588" s="204"/>
      <c r="AA588" s="9"/>
      <c r="AB588" s="9"/>
      <c r="AC588" s="9"/>
      <c r="AD588" s="9"/>
    </row>
    <row r="589" ht="15.75" customHeight="1">
      <c r="A589" s="9"/>
      <c r="B589" s="223"/>
      <c r="C589" s="9"/>
      <c r="D589" s="9"/>
      <c r="E589" s="223"/>
      <c r="F589" s="9"/>
      <c r="G589" s="9"/>
      <c r="H589" s="9"/>
      <c r="I589" s="9"/>
      <c r="J589" s="9"/>
      <c r="K589" s="9"/>
      <c r="L589" s="9"/>
      <c r="M589" s="9"/>
      <c r="N589" s="9"/>
      <c r="O589" s="9"/>
      <c r="P589" s="9"/>
      <c r="Q589" s="9"/>
      <c r="R589" s="9"/>
      <c r="S589" s="9"/>
      <c r="T589" s="223"/>
      <c r="U589" s="9"/>
      <c r="V589" s="9"/>
      <c r="W589" s="971"/>
      <c r="X589" s="9"/>
      <c r="Y589" s="9"/>
      <c r="Z589" s="204"/>
      <c r="AA589" s="9"/>
      <c r="AB589" s="9"/>
      <c r="AC589" s="9"/>
      <c r="AD589" s="9"/>
    </row>
    <row r="590" ht="15.75" customHeight="1">
      <c r="A590" s="9"/>
      <c r="B590" s="223"/>
      <c r="C590" s="9"/>
      <c r="D590" s="9"/>
      <c r="E590" s="223"/>
      <c r="F590" s="9"/>
      <c r="G590" s="9"/>
      <c r="H590" s="9"/>
      <c r="I590" s="9"/>
      <c r="J590" s="9"/>
      <c r="K590" s="9"/>
      <c r="L590" s="9"/>
      <c r="M590" s="9"/>
      <c r="N590" s="9"/>
      <c r="O590" s="9"/>
      <c r="P590" s="9"/>
      <c r="Q590" s="9"/>
      <c r="R590" s="9"/>
      <c r="S590" s="9"/>
      <c r="T590" s="223"/>
      <c r="U590" s="9"/>
      <c r="V590" s="9"/>
      <c r="W590" s="971"/>
      <c r="X590" s="9"/>
      <c r="Y590" s="9"/>
      <c r="Z590" s="204"/>
      <c r="AA590" s="9"/>
      <c r="AB590" s="9"/>
      <c r="AC590" s="9"/>
      <c r="AD590" s="9"/>
    </row>
    <row r="591" ht="15.75" customHeight="1">
      <c r="A591" s="9"/>
      <c r="B591" s="223"/>
      <c r="C591" s="9"/>
      <c r="D591" s="9"/>
      <c r="E591" s="223"/>
      <c r="F591" s="9"/>
      <c r="G591" s="9"/>
      <c r="H591" s="9"/>
      <c r="I591" s="9"/>
      <c r="J591" s="9"/>
      <c r="K591" s="9"/>
      <c r="L591" s="9"/>
      <c r="M591" s="9"/>
      <c r="N591" s="9"/>
      <c r="O591" s="9"/>
      <c r="P591" s="9"/>
      <c r="Q591" s="9"/>
      <c r="R591" s="9"/>
      <c r="S591" s="9"/>
      <c r="T591" s="223"/>
      <c r="U591" s="9"/>
      <c r="V591" s="9"/>
      <c r="W591" s="971"/>
      <c r="X591" s="9"/>
      <c r="Y591" s="9"/>
      <c r="Z591" s="204"/>
      <c r="AA591" s="9"/>
      <c r="AB591" s="9"/>
      <c r="AC591" s="9"/>
      <c r="AD591" s="9"/>
    </row>
    <row r="592" ht="15.75" customHeight="1">
      <c r="A592" s="9"/>
      <c r="B592" s="223"/>
      <c r="C592" s="9"/>
      <c r="D592" s="9"/>
      <c r="E592" s="223"/>
      <c r="F592" s="9"/>
      <c r="G592" s="9"/>
      <c r="H592" s="9"/>
      <c r="I592" s="9"/>
      <c r="J592" s="9"/>
      <c r="K592" s="9"/>
      <c r="L592" s="9"/>
      <c r="M592" s="9"/>
      <c r="N592" s="9"/>
      <c r="O592" s="9"/>
      <c r="P592" s="9"/>
      <c r="Q592" s="9"/>
      <c r="R592" s="9"/>
      <c r="S592" s="9"/>
      <c r="T592" s="223"/>
      <c r="U592" s="9"/>
      <c r="V592" s="9"/>
      <c r="W592" s="971"/>
      <c r="X592" s="9"/>
      <c r="Y592" s="9"/>
      <c r="Z592" s="204"/>
      <c r="AA592" s="9"/>
      <c r="AB592" s="9"/>
      <c r="AC592" s="9"/>
      <c r="AD592" s="9"/>
    </row>
    <row r="593" ht="15.75" customHeight="1">
      <c r="A593" s="9"/>
      <c r="B593" s="223"/>
      <c r="C593" s="9"/>
      <c r="D593" s="9"/>
      <c r="E593" s="223"/>
      <c r="F593" s="9"/>
      <c r="G593" s="9"/>
      <c r="H593" s="9"/>
      <c r="I593" s="9"/>
      <c r="J593" s="9"/>
      <c r="K593" s="9"/>
      <c r="L593" s="9"/>
      <c r="M593" s="9"/>
      <c r="N593" s="9"/>
      <c r="O593" s="9"/>
      <c r="P593" s="9"/>
      <c r="Q593" s="9"/>
      <c r="R593" s="9"/>
      <c r="S593" s="9"/>
      <c r="T593" s="223"/>
      <c r="U593" s="9"/>
      <c r="V593" s="9"/>
      <c r="W593" s="971"/>
      <c r="X593" s="9"/>
      <c r="Y593" s="9"/>
      <c r="Z593" s="204"/>
      <c r="AA593" s="9"/>
      <c r="AB593" s="9"/>
      <c r="AC593" s="9"/>
      <c r="AD593" s="9"/>
    </row>
    <row r="594" ht="15.75" customHeight="1">
      <c r="A594" s="9"/>
      <c r="B594" s="223"/>
      <c r="C594" s="9"/>
      <c r="D594" s="9"/>
      <c r="E594" s="223"/>
      <c r="F594" s="9"/>
      <c r="G594" s="9"/>
      <c r="H594" s="9"/>
      <c r="I594" s="9"/>
      <c r="J594" s="9"/>
      <c r="K594" s="9"/>
      <c r="L594" s="9"/>
      <c r="M594" s="9"/>
      <c r="N594" s="9"/>
      <c r="O594" s="9"/>
      <c r="P594" s="9"/>
      <c r="Q594" s="9"/>
      <c r="R594" s="9"/>
      <c r="S594" s="9"/>
      <c r="T594" s="223"/>
      <c r="U594" s="9"/>
      <c r="V594" s="9"/>
      <c r="W594" s="971"/>
      <c r="X594" s="9"/>
      <c r="Y594" s="9"/>
      <c r="Z594" s="204"/>
      <c r="AA594" s="9"/>
      <c r="AB594" s="9"/>
      <c r="AC594" s="9"/>
      <c r="AD594" s="9"/>
    </row>
    <row r="595" ht="15.75" customHeight="1">
      <c r="A595" s="9"/>
      <c r="B595" s="223"/>
      <c r="C595" s="9"/>
      <c r="D595" s="9"/>
      <c r="E595" s="223"/>
      <c r="F595" s="9"/>
      <c r="G595" s="9"/>
      <c r="H595" s="9"/>
      <c r="I595" s="9"/>
      <c r="J595" s="9"/>
      <c r="K595" s="9"/>
      <c r="L595" s="9"/>
      <c r="M595" s="9"/>
      <c r="N595" s="9"/>
      <c r="O595" s="9"/>
      <c r="P595" s="9"/>
      <c r="Q595" s="9"/>
      <c r="R595" s="9"/>
      <c r="S595" s="9"/>
      <c r="T595" s="223"/>
      <c r="U595" s="9"/>
      <c r="V595" s="9"/>
      <c r="W595" s="971"/>
      <c r="X595" s="9"/>
      <c r="Y595" s="9"/>
      <c r="Z595" s="204"/>
      <c r="AA595" s="9"/>
      <c r="AB595" s="9"/>
      <c r="AC595" s="9"/>
      <c r="AD595" s="9"/>
    </row>
    <row r="596" ht="15.75" customHeight="1">
      <c r="A596" s="9"/>
      <c r="B596" s="223"/>
      <c r="C596" s="9"/>
      <c r="D596" s="9"/>
      <c r="E596" s="223"/>
      <c r="F596" s="9"/>
      <c r="G596" s="9"/>
      <c r="H596" s="9"/>
      <c r="I596" s="9"/>
      <c r="J596" s="9"/>
      <c r="K596" s="9"/>
      <c r="L596" s="9"/>
      <c r="M596" s="9"/>
      <c r="N596" s="9"/>
      <c r="O596" s="9"/>
      <c r="P596" s="9"/>
      <c r="Q596" s="9"/>
      <c r="R596" s="9"/>
      <c r="S596" s="9"/>
      <c r="T596" s="223"/>
      <c r="U596" s="9"/>
      <c r="V596" s="9"/>
      <c r="W596" s="971"/>
      <c r="X596" s="9"/>
      <c r="Y596" s="9"/>
      <c r="Z596" s="204"/>
      <c r="AA596" s="9"/>
      <c r="AB596" s="9"/>
      <c r="AC596" s="9"/>
      <c r="AD596" s="9"/>
    </row>
    <row r="597" ht="15.75" customHeight="1">
      <c r="A597" s="9"/>
      <c r="B597" s="223"/>
      <c r="C597" s="9"/>
      <c r="D597" s="9"/>
      <c r="E597" s="223"/>
      <c r="F597" s="9"/>
      <c r="G597" s="9"/>
      <c r="H597" s="9"/>
      <c r="I597" s="9"/>
      <c r="J597" s="9"/>
      <c r="K597" s="9"/>
      <c r="L597" s="9"/>
      <c r="M597" s="9"/>
      <c r="N597" s="9"/>
      <c r="O597" s="9"/>
      <c r="P597" s="9"/>
      <c r="Q597" s="9"/>
      <c r="R597" s="9"/>
      <c r="S597" s="9"/>
      <c r="T597" s="223"/>
      <c r="U597" s="9"/>
      <c r="V597" s="9"/>
      <c r="W597" s="971"/>
      <c r="X597" s="9"/>
      <c r="Y597" s="9"/>
      <c r="Z597" s="204"/>
      <c r="AA597" s="9"/>
      <c r="AB597" s="9"/>
      <c r="AC597" s="9"/>
      <c r="AD597" s="9"/>
    </row>
    <row r="598" ht="15.75" customHeight="1">
      <c r="A598" s="9"/>
      <c r="B598" s="223"/>
      <c r="C598" s="9"/>
      <c r="D598" s="9"/>
      <c r="E598" s="223"/>
      <c r="F598" s="9"/>
      <c r="G598" s="9"/>
      <c r="H598" s="9"/>
      <c r="I598" s="9"/>
      <c r="J598" s="9"/>
      <c r="K598" s="9"/>
      <c r="L598" s="9"/>
      <c r="M598" s="9"/>
      <c r="N598" s="9"/>
      <c r="O598" s="9"/>
      <c r="P598" s="9"/>
      <c r="Q598" s="9"/>
      <c r="R598" s="9"/>
      <c r="S598" s="9"/>
      <c r="T598" s="223"/>
      <c r="U598" s="9"/>
      <c r="V598" s="9"/>
      <c r="W598" s="971"/>
      <c r="X598" s="9"/>
      <c r="Y598" s="9"/>
      <c r="Z598" s="204"/>
      <c r="AA598" s="9"/>
      <c r="AB598" s="9"/>
      <c r="AC598" s="9"/>
      <c r="AD598" s="9"/>
    </row>
    <row r="599" ht="15.75" customHeight="1">
      <c r="A599" s="9"/>
      <c r="B599" s="223"/>
      <c r="C599" s="9"/>
      <c r="D599" s="9"/>
      <c r="E599" s="223"/>
      <c r="F599" s="9"/>
      <c r="G599" s="9"/>
      <c r="H599" s="9"/>
      <c r="I599" s="9"/>
      <c r="J599" s="9"/>
      <c r="K599" s="9"/>
      <c r="L599" s="9"/>
      <c r="M599" s="9"/>
      <c r="N599" s="9"/>
      <c r="O599" s="9"/>
      <c r="P599" s="9"/>
      <c r="Q599" s="9"/>
      <c r="R599" s="9"/>
      <c r="S599" s="9"/>
      <c r="T599" s="223"/>
      <c r="U599" s="9"/>
      <c r="V599" s="9"/>
      <c r="W599" s="971"/>
      <c r="X599" s="9"/>
      <c r="Y599" s="9"/>
      <c r="Z599" s="204"/>
      <c r="AA599" s="9"/>
      <c r="AB599" s="9"/>
      <c r="AC599" s="9"/>
      <c r="AD599" s="9"/>
    </row>
    <row r="600" ht="15.75" customHeight="1">
      <c r="A600" s="9"/>
      <c r="B600" s="223"/>
      <c r="C600" s="9"/>
      <c r="D600" s="9"/>
      <c r="E600" s="223"/>
      <c r="F600" s="9"/>
      <c r="G600" s="9"/>
      <c r="H600" s="9"/>
      <c r="I600" s="9"/>
      <c r="J600" s="9"/>
      <c r="K600" s="9"/>
      <c r="L600" s="9"/>
      <c r="M600" s="9"/>
      <c r="N600" s="9"/>
      <c r="O600" s="9"/>
      <c r="P600" s="9"/>
      <c r="Q600" s="9"/>
      <c r="R600" s="9"/>
      <c r="S600" s="9"/>
      <c r="T600" s="223"/>
      <c r="U600" s="9"/>
      <c r="V600" s="9"/>
      <c r="W600" s="971"/>
      <c r="X600" s="9"/>
      <c r="Y600" s="9"/>
      <c r="Z600" s="204"/>
      <c r="AA600" s="9"/>
      <c r="AB600" s="9"/>
      <c r="AC600" s="9"/>
      <c r="AD600" s="9"/>
    </row>
    <row r="601" ht="15.75" customHeight="1">
      <c r="A601" s="9"/>
      <c r="B601" s="223"/>
      <c r="C601" s="9"/>
      <c r="D601" s="9"/>
      <c r="E601" s="223"/>
      <c r="F601" s="9"/>
      <c r="G601" s="9"/>
      <c r="H601" s="9"/>
      <c r="I601" s="9"/>
      <c r="J601" s="9"/>
      <c r="K601" s="9"/>
      <c r="L601" s="9"/>
      <c r="M601" s="9"/>
      <c r="N601" s="9"/>
      <c r="O601" s="9"/>
      <c r="P601" s="9"/>
      <c r="Q601" s="9"/>
      <c r="R601" s="9"/>
      <c r="S601" s="9"/>
      <c r="T601" s="223"/>
      <c r="U601" s="9"/>
      <c r="V601" s="9"/>
      <c r="W601" s="971"/>
      <c r="X601" s="9"/>
      <c r="Y601" s="9"/>
      <c r="Z601" s="204"/>
      <c r="AA601" s="9"/>
      <c r="AB601" s="9"/>
      <c r="AC601" s="9"/>
      <c r="AD601" s="9"/>
    </row>
    <row r="602" ht="15.75" customHeight="1">
      <c r="A602" s="9"/>
      <c r="B602" s="223"/>
      <c r="C602" s="9"/>
      <c r="D602" s="9"/>
      <c r="E602" s="223"/>
      <c r="F602" s="9"/>
      <c r="G602" s="9"/>
      <c r="H602" s="9"/>
      <c r="I602" s="9"/>
      <c r="J602" s="9"/>
      <c r="K602" s="9"/>
      <c r="L602" s="9"/>
      <c r="M602" s="9"/>
      <c r="N602" s="9"/>
      <c r="O602" s="9"/>
      <c r="P602" s="9"/>
      <c r="Q602" s="9"/>
      <c r="R602" s="9"/>
      <c r="S602" s="9"/>
      <c r="T602" s="223"/>
      <c r="U602" s="9"/>
      <c r="V602" s="9"/>
      <c r="W602" s="971"/>
      <c r="X602" s="9"/>
      <c r="Y602" s="9"/>
      <c r="Z602" s="204"/>
      <c r="AA602" s="9"/>
      <c r="AB602" s="9"/>
      <c r="AC602" s="9"/>
      <c r="AD602" s="9"/>
    </row>
    <row r="603" ht="15.75" customHeight="1">
      <c r="A603" s="9"/>
      <c r="B603" s="223"/>
      <c r="C603" s="9"/>
      <c r="D603" s="9"/>
      <c r="E603" s="223"/>
      <c r="F603" s="9"/>
      <c r="G603" s="9"/>
      <c r="H603" s="9"/>
      <c r="I603" s="9"/>
      <c r="J603" s="9"/>
      <c r="K603" s="9"/>
      <c r="L603" s="9"/>
      <c r="M603" s="9"/>
      <c r="N603" s="9"/>
      <c r="O603" s="9"/>
      <c r="P603" s="9"/>
      <c r="Q603" s="9"/>
      <c r="R603" s="9"/>
      <c r="S603" s="9"/>
      <c r="T603" s="223"/>
      <c r="U603" s="9"/>
      <c r="V603" s="9"/>
      <c r="W603" s="971"/>
      <c r="X603" s="9"/>
      <c r="Y603" s="9"/>
      <c r="Z603" s="204"/>
      <c r="AA603" s="9"/>
      <c r="AB603" s="9"/>
      <c r="AC603" s="9"/>
      <c r="AD603" s="9"/>
    </row>
    <row r="604" ht="15.75" customHeight="1">
      <c r="A604" s="9"/>
      <c r="B604" s="223"/>
      <c r="C604" s="9"/>
      <c r="D604" s="9"/>
      <c r="E604" s="223"/>
      <c r="F604" s="9"/>
      <c r="G604" s="9"/>
      <c r="H604" s="9"/>
      <c r="I604" s="9"/>
      <c r="J604" s="9"/>
      <c r="K604" s="9"/>
      <c r="L604" s="9"/>
      <c r="M604" s="9"/>
      <c r="N604" s="9"/>
      <c r="O604" s="9"/>
      <c r="P604" s="9"/>
      <c r="Q604" s="9"/>
      <c r="R604" s="9"/>
      <c r="S604" s="9"/>
      <c r="T604" s="223"/>
      <c r="U604" s="9"/>
      <c r="V604" s="9"/>
      <c r="W604" s="971"/>
      <c r="X604" s="9"/>
      <c r="Y604" s="9"/>
      <c r="Z604" s="204"/>
      <c r="AA604" s="9"/>
      <c r="AB604" s="9"/>
      <c r="AC604" s="9"/>
      <c r="AD604" s="9"/>
    </row>
    <row r="605" ht="15.75" customHeight="1">
      <c r="A605" s="9"/>
      <c r="B605" s="223"/>
      <c r="C605" s="9"/>
      <c r="D605" s="9"/>
      <c r="E605" s="223"/>
      <c r="F605" s="9"/>
      <c r="G605" s="9"/>
      <c r="H605" s="9"/>
      <c r="I605" s="9"/>
      <c r="J605" s="9"/>
      <c r="K605" s="9"/>
      <c r="L605" s="9"/>
      <c r="M605" s="9"/>
      <c r="N605" s="9"/>
      <c r="O605" s="9"/>
      <c r="P605" s="9"/>
      <c r="Q605" s="9"/>
      <c r="R605" s="9"/>
      <c r="S605" s="9"/>
      <c r="T605" s="223"/>
      <c r="U605" s="9"/>
      <c r="V605" s="9"/>
      <c r="W605" s="971"/>
      <c r="X605" s="9"/>
      <c r="Y605" s="9"/>
      <c r="Z605" s="204"/>
      <c r="AA605" s="9"/>
      <c r="AB605" s="9"/>
      <c r="AC605" s="9"/>
      <c r="AD605" s="9"/>
    </row>
    <row r="606" ht="15.75" customHeight="1">
      <c r="A606" s="9"/>
      <c r="B606" s="223"/>
      <c r="C606" s="9"/>
      <c r="D606" s="9"/>
      <c r="E606" s="223"/>
      <c r="F606" s="9"/>
      <c r="G606" s="9"/>
      <c r="H606" s="9"/>
      <c r="I606" s="9"/>
      <c r="J606" s="9"/>
      <c r="K606" s="9"/>
      <c r="L606" s="9"/>
      <c r="M606" s="9"/>
      <c r="N606" s="9"/>
      <c r="O606" s="9"/>
      <c r="P606" s="9"/>
      <c r="Q606" s="9"/>
      <c r="R606" s="9"/>
      <c r="S606" s="9"/>
      <c r="T606" s="223"/>
      <c r="U606" s="9"/>
      <c r="V606" s="9"/>
      <c r="W606" s="971"/>
      <c r="X606" s="9"/>
      <c r="Y606" s="9"/>
      <c r="Z606" s="204"/>
      <c r="AA606" s="9"/>
      <c r="AB606" s="9"/>
      <c r="AC606" s="9"/>
      <c r="AD606" s="9"/>
    </row>
    <row r="607" ht="15.75" customHeight="1">
      <c r="A607" s="9"/>
      <c r="B607" s="223"/>
      <c r="C607" s="9"/>
      <c r="D607" s="9"/>
      <c r="E607" s="223"/>
      <c r="F607" s="9"/>
      <c r="G607" s="9"/>
      <c r="H607" s="9"/>
      <c r="I607" s="9"/>
      <c r="J607" s="9"/>
      <c r="K607" s="9"/>
      <c r="L607" s="9"/>
      <c r="M607" s="9"/>
      <c r="N607" s="9"/>
      <c r="O607" s="9"/>
      <c r="P607" s="9"/>
      <c r="Q607" s="9"/>
      <c r="R607" s="9"/>
      <c r="S607" s="9"/>
      <c r="T607" s="223"/>
      <c r="U607" s="9"/>
      <c r="V607" s="9"/>
      <c r="W607" s="971"/>
      <c r="X607" s="9"/>
      <c r="Y607" s="9"/>
      <c r="Z607" s="204"/>
      <c r="AA607" s="9"/>
      <c r="AB607" s="9"/>
      <c r="AC607" s="9"/>
      <c r="AD607" s="9"/>
    </row>
    <row r="608" ht="15.75" customHeight="1">
      <c r="A608" s="9"/>
      <c r="B608" s="223"/>
      <c r="C608" s="9"/>
      <c r="D608" s="9"/>
      <c r="E608" s="223"/>
      <c r="F608" s="9"/>
      <c r="G608" s="9"/>
      <c r="H608" s="9"/>
      <c r="I608" s="9"/>
      <c r="J608" s="9"/>
      <c r="K608" s="9"/>
      <c r="L608" s="9"/>
      <c r="M608" s="9"/>
      <c r="N608" s="9"/>
      <c r="O608" s="9"/>
      <c r="P608" s="9"/>
      <c r="Q608" s="9"/>
      <c r="R608" s="9"/>
      <c r="S608" s="9"/>
      <c r="T608" s="223"/>
      <c r="U608" s="9"/>
      <c r="V608" s="9"/>
      <c r="W608" s="971"/>
      <c r="X608" s="9"/>
      <c r="Y608" s="9"/>
      <c r="Z608" s="204"/>
      <c r="AA608" s="9"/>
      <c r="AB608" s="9"/>
      <c r="AC608" s="9"/>
      <c r="AD608" s="9"/>
    </row>
    <row r="609" ht="15.75" customHeight="1">
      <c r="A609" s="9"/>
      <c r="B609" s="223"/>
      <c r="C609" s="9"/>
      <c r="D609" s="9"/>
      <c r="E609" s="223"/>
      <c r="F609" s="9"/>
      <c r="G609" s="9"/>
      <c r="H609" s="9"/>
      <c r="I609" s="9"/>
      <c r="J609" s="9"/>
      <c r="K609" s="9"/>
      <c r="L609" s="9"/>
      <c r="M609" s="9"/>
      <c r="N609" s="9"/>
      <c r="O609" s="9"/>
      <c r="P609" s="9"/>
      <c r="Q609" s="9"/>
      <c r="R609" s="9"/>
      <c r="S609" s="9"/>
      <c r="T609" s="223"/>
      <c r="U609" s="9"/>
      <c r="V609" s="9"/>
      <c r="W609" s="971"/>
      <c r="X609" s="9"/>
      <c r="Y609" s="9"/>
      <c r="Z609" s="204"/>
      <c r="AA609" s="9"/>
      <c r="AB609" s="9"/>
      <c r="AC609" s="9"/>
      <c r="AD609" s="9"/>
    </row>
    <row r="610" ht="15.75" customHeight="1">
      <c r="A610" s="9"/>
      <c r="B610" s="223"/>
      <c r="C610" s="9"/>
      <c r="D610" s="9"/>
      <c r="E610" s="223"/>
      <c r="F610" s="9"/>
      <c r="G610" s="9"/>
      <c r="H610" s="9"/>
      <c r="I610" s="9"/>
      <c r="J610" s="9"/>
      <c r="K610" s="9"/>
      <c r="L610" s="9"/>
      <c r="M610" s="9"/>
      <c r="N610" s="9"/>
      <c r="O610" s="9"/>
      <c r="P610" s="9"/>
      <c r="Q610" s="9"/>
      <c r="R610" s="9"/>
      <c r="S610" s="9"/>
      <c r="T610" s="223"/>
      <c r="U610" s="9"/>
      <c r="V610" s="9"/>
      <c r="W610" s="971"/>
      <c r="X610" s="9"/>
      <c r="Y610" s="9"/>
      <c r="Z610" s="204"/>
      <c r="AA610" s="9"/>
      <c r="AB610" s="9"/>
      <c r="AC610" s="9"/>
      <c r="AD610" s="9"/>
    </row>
    <row r="611" ht="15.75" customHeight="1">
      <c r="A611" s="9"/>
      <c r="B611" s="223"/>
      <c r="C611" s="9"/>
      <c r="D611" s="9"/>
      <c r="E611" s="223"/>
      <c r="F611" s="9"/>
      <c r="G611" s="9"/>
      <c r="H611" s="9"/>
      <c r="I611" s="9"/>
      <c r="J611" s="9"/>
      <c r="K611" s="9"/>
      <c r="L611" s="9"/>
      <c r="M611" s="9"/>
      <c r="N611" s="9"/>
      <c r="O611" s="9"/>
      <c r="P611" s="9"/>
      <c r="Q611" s="9"/>
      <c r="R611" s="9"/>
      <c r="S611" s="9"/>
      <c r="T611" s="223"/>
      <c r="U611" s="9"/>
      <c r="V611" s="9"/>
      <c r="W611" s="971"/>
      <c r="X611" s="9"/>
      <c r="Y611" s="9"/>
      <c r="Z611" s="204"/>
      <c r="AA611" s="9"/>
      <c r="AB611" s="9"/>
      <c r="AC611" s="9"/>
      <c r="AD611" s="9"/>
    </row>
    <row r="612" ht="15.75" customHeight="1">
      <c r="A612" s="9"/>
      <c r="B612" s="223"/>
      <c r="C612" s="9"/>
      <c r="D612" s="9"/>
      <c r="E612" s="223"/>
      <c r="F612" s="9"/>
      <c r="G612" s="9"/>
      <c r="H612" s="9"/>
      <c r="I612" s="9"/>
      <c r="J612" s="9"/>
      <c r="K612" s="9"/>
      <c r="L612" s="9"/>
      <c r="M612" s="9"/>
      <c r="N612" s="9"/>
      <c r="O612" s="9"/>
      <c r="P612" s="9"/>
      <c r="Q612" s="9"/>
      <c r="R612" s="9"/>
      <c r="S612" s="9"/>
      <c r="T612" s="223"/>
      <c r="U612" s="9"/>
      <c r="V612" s="9"/>
      <c r="W612" s="971"/>
      <c r="X612" s="9"/>
      <c r="Y612" s="9"/>
      <c r="Z612" s="204"/>
      <c r="AA612" s="9"/>
      <c r="AB612" s="9"/>
      <c r="AC612" s="9"/>
      <c r="AD612" s="9"/>
    </row>
    <row r="613" ht="15.75" customHeight="1">
      <c r="A613" s="9"/>
      <c r="B613" s="223"/>
      <c r="C613" s="9"/>
      <c r="D613" s="9"/>
      <c r="E613" s="223"/>
      <c r="F613" s="9"/>
      <c r="G613" s="9"/>
      <c r="H613" s="9"/>
      <c r="I613" s="9"/>
      <c r="J613" s="9"/>
      <c r="K613" s="9"/>
      <c r="L613" s="9"/>
      <c r="M613" s="9"/>
      <c r="N613" s="9"/>
      <c r="O613" s="9"/>
      <c r="P613" s="9"/>
      <c r="Q613" s="9"/>
      <c r="R613" s="9"/>
      <c r="S613" s="9"/>
      <c r="T613" s="223"/>
      <c r="U613" s="9"/>
      <c r="V613" s="9"/>
      <c r="W613" s="971"/>
      <c r="X613" s="9"/>
      <c r="Y613" s="9"/>
      <c r="Z613" s="204"/>
      <c r="AA613" s="9"/>
      <c r="AB613" s="9"/>
      <c r="AC613" s="9"/>
      <c r="AD613" s="9"/>
    </row>
    <row r="614" ht="15.75" customHeight="1">
      <c r="A614" s="9"/>
      <c r="B614" s="223"/>
      <c r="C614" s="9"/>
      <c r="D614" s="9"/>
      <c r="E614" s="223"/>
      <c r="F614" s="9"/>
      <c r="G614" s="9"/>
      <c r="H614" s="9"/>
      <c r="I614" s="9"/>
      <c r="J614" s="9"/>
      <c r="K614" s="9"/>
      <c r="L614" s="9"/>
      <c r="M614" s="9"/>
      <c r="N614" s="9"/>
      <c r="O614" s="9"/>
      <c r="P614" s="9"/>
      <c r="Q614" s="9"/>
      <c r="R614" s="9"/>
      <c r="S614" s="9"/>
      <c r="T614" s="223"/>
      <c r="U614" s="9"/>
      <c r="V614" s="9"/>
      <c r="W614" s="971"/>
      <c r="X614" s="9"/>
      <c r="Y614" s="9"/>
      <c r="Z614" s="204"/>
      <c r="AA614" s="9"/>
      <c r="AB614" s="9"/>
      <c r="AC614" s="9"/>
      <c r="AD614" s="9"/>
    </row>
    <row r="615" ht="15.75" customHeight="1">
      <c r="A615" s="9"/>
      <c r="B615" s="223"/>
      <c r="C615" s="9"/>
      <c r="D615" s="9"/>
      <c r="E615" s="223"/>
      <c r="F615" s="9"/>
      <c r="G615" s="9"/>
      <c r="H615" s="9"/>
      <c r="I615" s="9"/>
      <c r="J615" s="9"/>
      <c r="K615" s="9"/>
      <c r="L615" s="9"/>
      <c r="M615" s="9"/>
      <c r="N615" s="9"/>
      <c r="O615" s="9"/>
      <c r="P615" s="9"/>
      <c r="Q615" s="9"/>
      <c r="R615" s="9"/>
      <c r="S615" s="9"/>
      <c r="T615" s="223"/>
      <c r="U615" s="9"/>
      <c r="V615" s="9"/>
      <c r="W615" s="971"/>
      <c r="X615" s="9"/>
      <c r="Y615" s="9"/>
      <c r="Z615" s="204"/>
      <c r="AA615" s="9"/>
      <c r="AB615" s="9"/>
      <c r="AC615" s="9"/>
      <c r="AD615" s="9"/>
    </row>
    <row r="616" ht="15.75" customHeight="1">
      <c r="A616" s="9"/>
      <c r="B616" s="223"/>
      <c r="C616" s="9"/>
      <c r="D616" s="9"/>
      <c r="E616" s="223"/>
      <c r="F616" s="9"/>
      <c r="G616" s="9"/>
      <c r="H616" s="9"/>
      <c r="I616" s="9"/>
      <c r="J616" s="9"/>
      <c r="K616" s="9"/>
      <c r="L616" s="9"/>
      <c r="M616" s="9"/>
      <c r="N616" s="9"/>
      <c r="O616" s="9"/>
      <c r="P616" s="9"/>
      <c r="Q616" s="9"/>
      <c r="R616" s="9"/>
      <c r="S616" s="9"/>
      <c r="T616" s="223"/>
      <c r="U616" s="9"/>
      <c r="V616" s="9"/>
      <c r="W616" s="971"/>
      <c r="X616" s="9"/>
      <c r="Y616" s="9"/>
      <c r="Z616" s="204"/>
      <c r="AA616" s="9"/>
      <c r="AB616" s="9"/>
      <c r="AC616" s="9"/>
      <c r="AD616" s="9"/>
    </row>
    <row r="617" ht="15.75" customHeight="1">
      <c r="A617" s="9"/>
      <c r="B617" s="223"/>
      <c r="C617" s="9"/>
      <c r="D617" s="9"/>
      <c r="E617" s="223"/>
      <c r="F617" s="9"/>
      <c r="G617" s="9"/>
      <c r="H617" s="9"/>
      <c r="I617" s="9"/>
      <c r="J617" s="9"/>
      <c r="K617" s="9"/>
      <c r="L617" s="9"/>
      <c r="M617" s="9"/>
      <c r="N617" s="9"/>
      <c r="O617" s="9"/>
      <c r="P617" s="9"/>
      <c r="Q617" s="9"/>
      <c r="R617" s="9"/>
      <c r="S617" s="9"/>
      <c r="T617" s="223"/>
      <c r="U617" s="9"/>
      <c r="V617" s="9"/>
      <c r="W617" s="971"/>
      <c r="X617" s="9"/>
      <c r="Y617" s="9"/>
      <c r="Z617" s="204"/>
      <c r="AA617" s="9"/>
      <c r="AB617" s="9"/>
      <c r="AC617" s="9"/>
      <c r="AD617" s="9"/>
    </row>
    <row r="618" ht="15.75" customHeight="1">
      <c r="A618" s="9"/>
      <c r="B618" s="223"/>
      <c r="C618" s="9"/>
      <c r="D618" s="9"/>
      <c r="E618" s="223"/>
      <c r="F618" s="9"/>
      <c r="G618" s="9"/>
      <c r="H618" s="9"/>
      <c r="I618" s="9"/>
      <c r="J618" s="9"/>
      <c r="K618" s="9"/>
      <c r="L618" s="9"/>
      <c r="M618" s="9"/>
      <c r="N618" s="9"/>
      <c r="O618" s="9"/>
      <c r="P618" s="9"/>
      <c r="Q618" s="9"/>
      <c r="R618" s="9"/>
      <c r="S618" s="9"/>
      <c r="T618" s="223"/>
      <c r="U618" s="9"/>
      <c r="V618" s="9"/>
      <c r="W618" s="971"/>
      <c r="X618" s="9"/>
      <c r="Y618" s="9"/>
      <c r="Z618" s="204"/>
      <c r="AA618" s="9"/>
      <c r="AB618" s="9"/>
      <c r="AC618" s="9"/>
      <c r="AD618" s="9"/>
    </row>
    <row r="619" ht="15.75" customHeight="1">
      <c r="A619" s="9"/>
      <c r="B619" s="223"/>
      <c r="C619" s="9"/>
      <c r="D619" s="9"/>
      <c r="E619" s="223"/>
      <c r="F619" s="9"/>
      <c r="G619" s="9"/>
      <c r="H619" s="9"/>
      <c r="I619" s="9"/>
      <c r="J619" s="9"/>
      <c r="K619" s="9"/>
      <c r="L619" s="9"/>
      <c r="M619" s="9"/>
      <c r="N619" s="9"/>
      <c r="O619" s="9"/>
      <c r="P619" s="9"/>
      <c r="Q619" s="9"/>
      <c r="R619" s="9"/>
      <c r="S619" s="9"/>
      <c r="T619" s="223"/>
      <c r="U619" s="9"/>
      <c r="V619" s="9"/>
      <c r="W619" s="971"/>
      <c r="X619" s="9"/>
      <c r="Y619" s="9"/>
      <c r="Z619" s="204"/>
      <c r="AA619" s="9"/>
      <c r="AB619" s="9"/>
      <c r="AC619" s="9"/>
      <c r="AD619" s="9"/>
    </row>
    <row r="620" ht="15.75" customHeight="1">
      <c r="A620" s="9"/>
      <c r="B620" s="223"/>
      <c r="C620" s="9"/>
      <c r="D620" s="9"/>
      <c r="E620" s="223"/>
      <c r="F620" s="9"/>
      <c r="G620" s="9"/>
      <c r="H620" s="9"/>
      <c r="I620" s="9"/>
      <c r="J620" s="9"/>
      <c r="K620" s="9"/>
      <c r="L620" s="9"/>
      <c r="M620" s="9"/>
      <c r="N620" s="9"/>
      <c r="O620" s="9"/>
      <c r="P620" s="9"/>
      <c r="Q620" s="9"/>
      <c r="R620" s="9"/>
      <c r="S620" s="9"/>
      <c r="T620" s="223"/>
      <c r="U620" s="9"/>
      <c r="V620" s="9"/>
      <c r="W620" s="971"/>
      <c r="X620" s="9"/>
      <c r="Y620" s="9"/>
      <c r="Z620" s="204"/>
      <c r="AA620" s="9"/>
      <c r="AB620" s="9"/>
      <c r="AC620" s="9"/>
      <c r="AD620" s="9"/>
    </row>
    <row r="621" ht="15.75" customHeight="1">
      <c r="A621" s="9"/>
      <c r="B621" s="223"/>
      <c r="C621" s="9"/>
      <c r="D621" s="9"/>
      <c r="E621" s="223"/>
      <c r="F621" s="9"/>
      <c r="G621" s="9"/>
      <c r="H621" s="9"/>
      <c r="I621" s="9"/>
      <c r="J621" s="9"/>
      <c r="K621" s="9"/>
      <c r="L621" s="9"/>
      <c r="M621" s="9"/>
      <c r="N621" s="9"/>
      <c r="O621" s="9"/>
      <c r="P621" s="9"/>
      <c r="Q621" s="9"/>
      <c r="R621" s="9"/>
      <c r="S621" s="9"/>
      <c r="T621" s="223"/>
      <c r="U621" s="9"/>
      <c r="V621" s="9"/>
      <c r="W621" s="971"/>
      <c r="X621" s="9"/>
      <c r="Y621" s="9"/>
      <c r="Z621" s="204"/>
      <c r="AA621" s="9"/>
      <c r="AB621" s="9"/>
      <c r="AC621" s="9"/>
      <c r="AD621" s="9"/>
    </row>
    <row r="622" ht="15.75" customHeight="1">
      <c r="A622" s="9"/>
      <c r="B622" s="223"/>
      <c r="C622" s="9"/>
      <c r="D622" s="9"/>
      <c r="E622" s="223"/>
      <c r="F622" s="9"/>
      <c r="G622" s="9"/>
      <c r="H622" s="9"/>
      <c r="I622" s="9"/>
      <c r="J622" s="9"/>
      <c r="K622" s="9"/>
      <c r="L622" s="9"/>
      <c r="M622" s="9"/>
      <c r="N622" s="9"/>
      <c r="O622" s="9"/>
      <c r="P622" s="9"/>
      <c r="Q622" s="9"/>
      <c r="R622" s="9"/>
      <c r="S622" s="9"/>
      <c r="T622" s="223"/>
      <c r="U622" s="9"/>
      <c r="V622" s="9"/>
      <c r="W622" s="971"/>
      <c r="X622" s="9"/>
      <c r="Y622" s="9"/>
      <c r="Z622" s="204"/>
      <c r="AA622" s="9"/>
      <c r="AB622" s="9"/>
      <c r="AC622" s="9"/>
      <c r="AD622" s="9"/>
    </row>
    <row r="623" ht="15.75" customHeight="1">
      <c r="A623" s="9"/>
      <c r="B623" s="223"/>
      <c r="C623" s="9"/>
      <c r="D623" s="9"/>
      <c r="E623" s="223"/>
      <c r="F623" s="9"/>
      <c r="G623" s="9"/>
      <c r="H623" s="9"/>
      <c r="I623" s="9"/>
      <c r="J623" s="9"/>
      <c r="K623" s="9"/>
      <c r="L623" s="9"/>
      <c r="M623" s="9"/>
      <c r="N623" s="9"/>
      <c r="O623" s="9"/>
      <c r="P623" s="9"/>
      <c r="Q623" s="9"/>
      <c r="R623" s="9"/>
      <c r="S623" s="9"/>
      <c r="T623" s="223"/>
      <c r="U623" s="9"/>
      <c r="V623" s="9"/>
      <c r="W623" s="971"/>
      <c r="X623" s="9"/>
      <c r="Y623" s="9"/>
      <c r="Z623" s="204"/>
      <c r="AA623" s="9"/>
      <c r="AB623" s="9"/>
      <c r="AC623" s="9"/>
      <c r="AD623" s="9"/>
    </row>
    <row r="624" ht="15.75" customHeight="1">
      <c r="A624" s="9"/>
      <c r="B624" s="223"/>
      <c r="C624" s="9"/>
      <c r="D624" s="9"/>
      <c r="E624" s="223"/>
      <c r="F624" s="9"/>
      <c r="G624" s="9"/>
      <c r="H624" s="9"/>
      <c r="I624" s="9"/>
      <c r="J624" s="9"/>
      <c r="K624" s="9"/>
      <c r="L624" s="9"/>
      <c r="M624" s="9"/>
      <c r="N624" s="9"/>
      <c r="O624" s="9"/>
      <c r="P624" s="9"/>
      <c r="Q624" s="9"/>
      <c r="R624" s="9"/>
      <c r="S624" s="9"/>
      <c r="T624" s="223"/>
      <c r="U624" s="9"/>
      <c r="V624" s="9"/>
      <c r="W624" s="971"/>
      <c r="X624" s="9"/>
      <c r="Y624" s="9"/>
      <c r="Z624" s="204"/>
      <c r="AA624" s="9"/>
      <c r="AB624" s="9"/>
      <c r="AC624" s="9"/>
      <c r="AD624" s="9"/>
    </row>
    <row r="625" ht="15.75" customHeight="1">
      <c r="A625" s="9"/>
      <c r="B625" s="223"/>
      <c r="C625" s="9"/>
      <c r="D625" s="9"/>
      <c r="E625" s="223"/>
      <c r="F625" s="9"/>
      <c r="G625" s="9"/>
      <c r="H625" s="9"/>
      <c r="I625" s="9"/>
      <c r="J625" s="9"/>
      <c r="K625" s="9"/>
      <c r="L625" s="9"/>
      <c r="M625" s="9"/>
      <c r="N625" s="9"/>
      <c r="O625" s="9"/>
      <c r="P625" s="9"/>
      <c r="Q625" s="9"/>
      <c r="R625" s="9"/>
      <c r="S625" s="9"/>
      <c r="T625" s="223"/>
      <c r="U625" s="9"/>
      <c r="V625" s="9"/>
      <c r="W625" s="971"/>
      <c r="X625" s="9"/>
      <c r="Y625" s="9"/>
      <c r="Z625" s="204"/>
      <c r="AA625" s="9"/>
      <c r="AB625" s="9"/>
      <c r="AC625" s="9"/>
      <c r="AD625" s="9"/>
    </row>
    <row r="626" ht="15.75" customHeight="1">
      <c r="A626" s="9"/>
      <c r="B626" s="223"/>
      <c r="C626" s="9"/>
      <c r="D626" s="9"/>
      <c r="E626" s="223"/>
      <c r="F626" s="9"/>
      <c r="G626" s="9"/>
      <c r="H626" s="9"/>
      <c r="I626" s="9"/>
      <c r="J626" s="9"/>
      <c r="K626" s="9"/>
      <c r="L626" s="9"/>
      <c r="M626" s="9"/>
      <c r="N626" s="9"/>
      <c r="O626" s="9"/>
      <c r="P626" s="9"/>
      <c r="Q626" s="9"/>
      <c r="R626" s="9"/>
      <c r="S626" s="9"/>
      <c r="T626" s="223"/>
      <c r="U626" s="9"/>
      <c r="V626" s="9"/>
      <c r="W626" s="971"/>
      <c r="X626" s="9"/>
      <c r="Y626" s="9"/>
      <c r="Z626" s="204"/>
      <c r="AA626" s="9"/>
      <c r="AB626" s="9"/>
      <c r="AC626" s="9"/>
      <c r="AD626" s="9"/>
    </row>
    <row r="627" ht="15.75" customHeight="1">
      <c r="A627" s="9"/>
      <c r="B627" s="223"/>
      <c r="C627" s="9"/>
      <c r="D627" s="9"/>
      <c r="E627" s="223"/>
      <c r="F627" s="9"/>
      <c r="G627" s="9"/>
      <c r="H627" s="9"/>
      <c r="I627" s="9"/>
      <c r="J627" s="9"/>
      <c r="K627" s="9"/>
      <c r="L627" s="9"/>
      <c r="M627" s="9"/>
      <c r="N627" s="9"/>
      <c r="O627" s="9"/>
      <c r="P627" s="9"/>
      <c r="Q627" s="9"/>
      <c r="R627" s="9"/>
      <c r="S627" s="9"/>
      <c r="T627" s="223"/>
      <c r="U627" s="9"/>
      <c r="V627" s="9"/>
      <c r="W627" s="971"/>
      <c r="X627" s="9"/>
      <c r="Y627" s="9"/>
      <c r="Z627" s="204"/>
      <c r="AA627" s="9"/>
      <c r="AB627" s="9"/>
      <c r="AC627" s="9"/>
      <c r="AD627" s="9"/>
    </row>
    <row r="628" ht="15.75" customHeight="1">
      <c r="A628" s="9"/>
      <c r="B628" s="223"/>
      <c r="C628" s="9"/>
      <c r="D628" s="9"/>
      <c r="E628" s="223"/>
      <c r="F628" s="9"/>
      <c r="G628" s="9"/>
      <c r="H628" s="9"/>
      <c r="I628" s="9"/>
      <c r="J628" s="9"/>
      <c r="K628" s="9"/>
      <c r="L628" s="9"/>
      <c r="M628" s="9"/>
      <c r="N628" s="9"/>
      <c r="O628" s="9"/>
      <c r="P628" s="9"/>
      <c r="Q628" s="9"/>
      <c r="R628" s="9"/>
      <c r="S628" s="9"/>
      <c r="T628" s="223"/>
      <c r="U628" s="9"/>
      <c r="V628" s="9"/>
      <c r="W628" s="971"/>
      <c r="X628" s="9"/>
      <c r="Y628" s="9"/>
      <c r="Z628" s="204"/>
      <c r="AA628" s="9"/>
      <c r="AB628" s="9"/>
      <c r="AC628" s="9"/>
      <c r="AD628" s="9"/>
    </row>
    <row r="629" ht="15.75" customHeight="1">
      <c r="A629" s="9"/>
      <c r="B629" s="223"/>
      <c r="C629" s="9"/>
      <c r="D629" s="9"/>
      <c r="E629" s="223"/>
      <c r="F629" s="9"/>
      <c r="G629" s="9"/>
      <c r="H629" s="9"/>
      <c r="I629" s="9"/>
      <c r="J629" s="9"/>
      <c r="K629" s="9"/>
      <c r="L629" s="9"/>
      <c r="M629" s="9"/>
      <c r="N629" s="9"/>
      <c r="O629" s="9"/>
      <c r="P629" s="9"/>
      <c r="Q629" s="9"/>
      <c r="R629" s="9"/>
      <c r="S629" s="9"/>
      <c r="T629" s="223"/>
      <c r="U629" s="9"/>
      <c r="V629" s="9"/>
      <c r="W629" s="971"/>
      <c r="X629" s="9"/>
      <c r="Y629" s="9"/>
      <c r="Z629" s="204"/>
      <c r="AA629" s="9"/>
      <c r="AB629" s="9"/>
      <c r="AC629" s="9"/>
      <c r="AD629" s="9"/>
    </row>
    <row r="630" ht="15.75" customHeight="1">
      <c r="A630" s="9"/>
      <c r="B630" s="223"/>
      <c r="C630" s="9"/>
      <c r="D630" s="9"/>
      <c r="E630" s="223"/>
      <c r="F630" s="9"/>
      <c r="G630" s="9"/>
      <c r="H630" s="9"/>
      <c r="I630" s="9"/>
      <c r="J630" s="9"/>
      <c r="K630" s="9"/>
      <c r="L630" s="9"/>
      <c r="M630" s="9"/>
      <c r="N630" s="9"/>
      <c r="O630" s="9"/>
      <c r="P630" s="9"/>
      <c r="Q630" s="9"/>
      <c r="R630" s="9"/>
      <c r="S630" s="9"/>
      <c r="T630" s="223"/>
      <c r="U630" s="9"/>
      <c r="V630" s="9"/>
      <c r="W630" s="971"/>
      <c r="X630" s="9"/>
      <c r="Y630" s="9"/>
      <c r="Z630" s="204"/>
      <c r="AA630" s="9"/>
      <c r="AB630" s="9"/>
      <c r="AC630" s="9"/>
      <c r="AD630" s="9"/>
    </row>
    <row r="631" ht="15.75" customHeight="1">
      <c r="A631" s="9"/>
      <c r="B631" s="223"/>
      <c r="C631" s="9"/>
      <c r="D631" s="9"/>
      <c r="E631" s="223"/>
      <c r="F631" s="9"/>
      <c r="G631" s="9"/>
      <c r="H631" s="9"/>
      <c r="I631" s="9"/>
      <c r="J631" s="9"/>
      <c r="K631" s="9"/>
      <c r="L631" s="9"/>
      <c r="M631" s="9"/>
      <c r="N631" s="9"/>
      <c r="O631" s="9"/>
      <c r="P631" s="9"/>
      <c r="Q631" s="9"/>
      <c r="R631" s="9"/>
      <c r="S631" s="9"/>
      <c r="T631" s="223"/>
      <c r="U631" s="9"/>
      <c r="V631" s="9"/>
      <c r="W631" s="971"/>
      <c r="X631" s="9"/>
      <c r="Y631" s="9"/>
      <c r="Z631" s="204"/>
      <c r="AA631" s="9"/>
      <c r="AB631" s="9"/>
      <c r="AC631" s="9"/>
      <c r="AD631" s="9"/>
    </row>
    <row r="632" ht="15.75" customHeight="1">
      <c r="A632" s="9"/>
      <c r="B632" s="223"/>
      <c r="C632" s="9"/>
      <c r="D632" s="9"/>
      <c r="E632" s="223"/>
      <c r="F632" s="9"/>
      <c r="G632" s="9"/>
      <c r="H632" s="9"/>
      <c r="I632" s="9"/>
      <c r="J632" s="9"/>
      <c r="K632" s="9"/>
      <c r="L632" s="9"/>
      <c r="M632" s="9"/>
      <c r="N632" s="9"/>
      <c r="O632" s="9"/>
      <c r="P632" s="9"/>
      <c r="Q632" s="9"/>
      <c r="R632" s="9"/>
      <c r="S632" s="9"/>
      <c r="T632" s="223"/>
      <c r="U632" s="9"/>
      <c r="V632" s="9"/>
      <c r="W632" s="971"/>
      <c r="X632" s="9"/>
      <c r="Y632" s="9"/>
      <c r="Z632" s="204"/>
      <c r="AA632" s="9"/>
      <c r="AB632" s="9"/>
      <c r="AC632" s="9"/>
      <c r="AD632" s="9"/>
    </row>
    <row r="633" ht="15.75" customHeight="1">
      <c r="A633" s="9"/>
      <c r="B633" s="223"/>
      <c r="C633" s="9"/>
      <c r="D633" s="9"/>
      <c r="E633" s="223"/>
      <c r="F633" s="9"/>
      <c r="G633" s="9"/>
      <c r="H633" s="9"/>
      <c r="I633" s="9"/>
      <c r="J633" s="9"/>
      <c r="K633" s="9"/>
      <c r="L633" s="9"/>
      <c r="M633" s="9"/>
      <c r="N633" s="9"/>
      <c r="O633" s="9"/>
      <c r="P633" s="9"/>
      <c r="Q633" s="9"/>
      <c r="R633" s="9"/>
      <c r="S633" s="9"/>
      <c r="T633" s="223"/>
      <c r="U633" s="9"/>
      <c r="V633" s="9"/>
      <c r="W633" s="971"/>
      <c r="X633" s="9"/>
      <c r="Y633" s="9"/>
      <c r="Z633" s="204"/>
      <c r="AA633" s="9"/>
      <c r="AB633" s="9"/>
      <c r="AC633" s="9"/>
      <c r="AD633" s="9"/>
    </row>
    <row r="634" ht="15.75" customHeight="1">
      <c r="A634" s="9"/>
      <c r="B634" s="223"/>
      <c r="C634" s="9"/>
      <c r="D634" s="9"/>
      <c r="E634" s="223"/>
      <c r="F634" s="9"/>
      <c r="G634" s="9"/>
      <c r="H634" s="9"/>
      <c r="I634" s="9"/>
      <c r="J634" s="9"/>
      <c r="K634" s="9"/>
      <c r="L634" s="9"/>
      <c r="M634" s="9"/>
      <c r="N634" s="9"/>
      <c r="O634" s="9"/>
      <c r="P634" s="9"/>
      <c r="Q634" s="9"/>
      <c r="R634" s="9"/>
      <c r="S634" s="9"/>
      <c r="T634" s="223"/>
      <c r="U634" s="9"/>
      <c r="V634" s="9"/>
      <c r="W634" s="971"/>
      <c r="X634" s="9"/>
      <c r="Y634" s="9"/>
      <c r="Z634" s="204"/>
      <c r="AA634" s="9"/>
      <c r="AB634" s="9"/>
      <c r="AC634" s="9"/>
      <c r="AD634" s="9"/>
    </row>
    <row r="635" ht="15.75" customHeight="1">
      <c r="A635" s="9"/>
      <c r="B635" s="223"/>
      <c r="C635" s="9"/>
      <c r="D635" s="9"/>
      <c r="E635" s="223"/>
      <c r="F635" s="9"/>
      <c r="G635" s="9"/>
      <c r="H635" s="9"/>
      <c r="I635" s="9"/>
      <c r="J635" s="9"/>
      <c r="K635" s="9"/>
      <c r="L635" s="9"/>
      <c r="M635" s="9"/>
      <c r="N635" s="9"/>
      <c r="O635" s="9"/>
      <c r="P635" s="9"/>
      <c r="Q635" s="9"/>
      <c r="R635" s="9"/>
      <c r="S635" s="9"/>
      <c r="T635" s="223"/>
      <c r="U635" s="9"/>
      <c r="V635" s="9"/>
      <c r="W635" s="971"/>
      <c r="X635" s="9"/>
      <c r="Y635" s="9"/>
      <c r="Z635" s="204"/>
      <c r="AA635" s="9"/>
      <c r="AB635" s="9"/>
      <c r="AC635" s="9"/>
      <c r="AD635" s="9"/>
    </row>
    <row r="636" ht="15.75" customHeight="1">
      <c r="A636" s="9"/>
      <c r="B636" s="223"/>
      <c r="C636" s="9"/>
      <c r="D636" s="9"/>
      <c r="E636" s="223"/>
      <c r="F636" s="9"/>
      <c r="G636" s="9"/>
      <c r="H636" s="9"/>
      <c r="I636" s="9"/>
      <c r="J636" s="9"/>
      <c r="K636" s="9"/>
      <c r="L636" s="9"/>
      <c r="M636" s="9"/>
      <c r="N636" s="9"/>
      <c r="O636" s="9"/>
      <c r="P636" s="9"/>
      <c r="Q636" s="9"/>
      <c r="R636" s="9"/>
      <c r="S636" s="9"/>
      <c r="T636" s="223"/>
      <c r="U636" s="9"/>
      <c r="V636" s="9"/>
      <c r="W636" s="971"/>
      <c r="X636" s="9"/>
      <c r="Y636" s="9"/>
      <c r="Z636" s="204"/>
      <c r="AA636" s="9"/>
      <c r="AB636" s="9"/>
      <c r="AC636" s="9"/>
      <c r="AD636" s="9"/>
    </row>
    <row r="637" ht="15.75" customHeight="1">
      <c r="A637" s="9"/>
      <c r="B637" s="223"/>
      <c r="C637" s="9"/>
      <c r="D637" s="9"/>
      <c r="E637" s="223"/>
      <c r="F637" s="9"/>
      <c r="G637" s="9"/>
      <c r="H637" s="9"/>
      <c r="I637" s="9"/>
      <c r="J637" s="9"/>
      <c r="K637" s="9"/>
      <c r="L637" s="9"/>
      <c r="M637" s="9"/>
      <c r="N637" s="9"/>
      <c r="O637" s="9"/>
      <c r="P637" s="9"/>
      <c r="Q637" s="9"/>
      <c r="R637" s="9"/>
      <c r="S637" s="9"/>
      <c r="T637" s="223"/>
      <c r="U637" s="9"/>
      <c r="V637" s="9"/>
      <c r="W637" s="971"/>
      <c r="X637" s="9"/>
      <c r="Y637" s="9"/>
      <c r="Z637" s="204"/>
      <c r="AA637" s="9"/>
      <c r="AB637" s="9"/>
      <c r="AC637" s="9"/>
      <c r="AD637" s="9"/>
    </row>
    <row r="638" ht="15.75" customHeight="1">
      <c r="A638" s="9"/>
      <c r="B638" s="223"/>
      <c r="C638" s="9"/>
      <c r="D638" s="9"/>
      <c r="E638" s="223"/>
      <c r="F638" s="9"/>
      <c r="G638" s="9"/>
      <c r="H638" s="9"/>
      <c r="I638" s="9"/>
      <c r="J638" s="9"/>
      <c r="K638" s="9"/>
      <c r="L638" s="9"/>
      <c r="M638" s="9"/>
      <c r="N638" s="9"/>
      <c r="O638" s="9"/>
      <c r="P638" s="9"/>
      <c r="Q638" s="9"/>
      <c r="R638" s="9"/>
      <c r="S638" s="9"/>
      <c r="T638" s="223"/>
      <c r="U638" s="9"/>
      <c r="V638" s="9"/>
      <c r="W638" s="971"/>
      <c r="X638" s="9"/>
      <c r="Y638" s="9"/>
      <c r="Z638" s="204"/>
      <c r="AA638" s="9"/>
      <c r="AB638" s="9"/>
      <c r="AC638" s="9"/>
      <c r="AD638" s="9"/>
    </row>
    <row r="639" ht="15.75" customHeight="1">
      <c r="A639" s="9"/>
      <c r="B639" s="223"/>
      <c r="C639" s="9"/>
      <c r="D639" s="9"/>
      <c r="E639" s="223"/>
      <c r="F639" s="9"/>
      <c r="G639" s="9"/>
      <c r="H639" s="9"/>
      <c r="I639" s="9"/>
      <c r="J639" s="9"/>
      <c r="K639" s="9"/>
      <c r="L639" s="9"/>
      <c r="M639" s="9"/>
      <c r="N639" s="9"/>
      <c r="O639" s="9"/>
      <c r="P639" s="9"/>
      <c r="Q639" s="9"/>
      <c r="R639" s="9"/>
      <c r="S639" s="9"/>
      <c r="T639" s="223"/>
      <c r="U639" s="9"/>
      <c r="V639" s="9"/>
      <c r="W639" s="971"/>
      <c r="X639" s="9"/>
      <c r="Y639" s="9"/>
      <c r="Z639" s="204"/>
      <c r="AA639" s="9"/>
      <c r="AB639" s="9"/>
      <c r="AC639" s="9"/>
      <c r="AD639" s="9"/>
    </row>
    <row r="640" ht="15.75" customHeight="1">
      <c r="A640" s="9"/>
      <c r="B640" s="223"/>
      <c r="C640" s="9"/>
      <c r="D640" s="9"/>
      <c r="E640" s="223"/>
      <c r="F640" s="9"/>
      <c r="G640" s="9"/>
      <c r="H640" s="9"/>
      <c r="I640" s="9"/>
      <c r="J640" s="9"/>
      <c r="K640" s="9"/>
      <c r="L640" s="9"/>
      <c r="M640" s="9"/>
      <c r="N640" s="9"/>
      <c r="O640" s="9"/>
      <c r="P640" s="9"/>
      <c r="Q640" s="9"/>
      <c r="R640" s="9"/>
      <c r="S640" s="9"/>
      <c r="T640" s="223"/>
      <c r="U640" s="9"/>
      <c r="V640" s="9"/>
      <c r="W640" s="971"/>
      <c r="X640" s="9"/>
      <c r="Y640" s="9"/>
      <c r="Z640" s="204"/>
      <c r="AA640" s="9"/>
      <c r="AB640" s="9"/>
      <c r="AC640" s="9"/>
      <c r="AD640" s="9"/>
    </row>
    <row r="641" ht="15.75" customHeight="1">
      <c r="A641" s="9"/>
      <c r="B641" s="223"/>
      <c r="C641" s="9"/>
      <c r="D641" s="9"/>
      <c r="E641" s="223"/>
      <c r="F641" s="9"/>
      <c r="G641" s="9"/>
      <c r="H641" s="9"/>
      <c r="I641" s="9"/>
      <c r="J641" s="9"/>
      <c r="K641" s="9"/>
      <c r="L641" s="9"/>
      <c r="M641" s="9"/>
      <c r="N641" s="9"/>
      <c r="O641" s="9"/>
      <c r="P641" s="9"/>
      <c r="Q641" s="9"/>
      <c r="R641" s="9"/>
      <c r="S641" s="9"/>
      <c r="T641" s="223"/>
      <c r="U641" s="9"/>
      <c r="V641" s="9"/>
      <c r="W641" s="971"/>
      <c r="X641" s="9"/>
      <c r="Y641" s="9"/>
      <c r="Z641" s="204"/>
      <c r="AA641" s="9"/>
      <c r="AB641" s="9"/>
      <c r="AC641" s="9"/>
      <c r="AD641" s="9"/>
    </row>
    <row r="642" ht="15.75" customHeight="1">
      <c r="A642" s="9"/>
      <c r="B642" s="223"/>
      <c r="C642" s="9"/>
      <c r="D642" s="9"/>
      <c r="E642" s="223"/>
      <c r="F642" s="9"/>
      <c r="G642" s="9"/>
      <c r="H642" s="9"/>
      <c r="I642" s="9"/>
      <c r="J642" s="9"/>
      <c r="K642" s="9"/>
      <c r="L642" s="9"/>
      <c r="M642" s="9"/>
      <c r="N642" s="9"/>
      <c r="O642" s="9"/>
      <c r="P642" s="9"/>
      <c r="Q642" s="9"/>
      <c r="R642" s="9"/>
      <c r="S642" s="9"/>
      <c r="T642" s="223"/>
      <c r="U642" s="9"/>
      <c r="V642" s="9"/>
      <c r="W642" s="971"/>
      <c r="X642" s="9"/>
      <c r="Y642" s="9"/>
      <c r="Z642" s="204"/>
      <c r="AA642" s="9"/>
      <c r="AB642" s="9"/>
      <c r="AC642" s="9"/>
      <c r="AD642" s="9"/>
    </row>
    <row r="643" ht="15.75" customHeight="1">
      <c r="A643" s="9"/>
      <c r="B643" s="223"/>
      <c r="C643" s="9"/>
      <c r="D643" s="9"/>
      <c r="E643" s="223"/>
      <c r="F643" s="9"/>
      <c r="G643" s="9"/>
      <c r="H643" s="9"/>
      <c r="I643" s="9"/>
      <c r="J643" s="9"/>
      <c r="K643" s="9"/>
      <c r="L643" s="9"/>
      <c r="M643" s="9"/>
      <c r="N643" s="9"/>
      <c r="O643" s="9"/>
      <c r="P643" s="9"/>
      <c r="Q643" s="9"/>
      <c r="R643" s="9"/>
      <c r="S643" s="9"/>
      <c r="T643" s="223"/>
      <c r="U643" s="9"/>
      <c r="V643" s="9"/>
      <c r="W643" s="971"/>
      <c r="X643" s="9"/>
      <c r="Y643" s="9"/>
      <c r="Z643" s="204"/>
      <c r="AA643" s="9"/>
      <c r="AB643" s="9"/>
      <c r="AC643" s="9"/>
      <c r="AD643" s="9"/>
    </row>
    <row r="644" ht="15.75" customHeight="1">
      <c r="A644" s="9"/>
      <c r="B644" s="223"/>
      <c r="C644" s="9"/>
      <c r="D644" s="9"/>
      <c r="E644" s="223"/>
      <c r="F644" s="9"/>
      <c r="G644" s="9"/>
      <c r="H644" s="9"/>
      <c r="I644" s="9"/>
      <c r="J644" s="9"/>
      <c r="K644" s="9"/>
      <c r="L644" s="9"/>
      <c r="M644" s="9"/>
      <c r="N644" s="9"/>
      <c r="O644" s="9"/>
      <c r="P644" s="9"/>
      <c r="Q644" s="9"/>
      <c r="R644" s="9"/>
      <c r="S644" s="9"/>
      <c r="T644" s="223"/>
      <c r="U644" s="9"/>
      <c r="V644" s="9"/>
      <c r="W644" s="971"/>
      <c r="X644" s="9"/>
      <c r="Y644" s="9"/>
      <c r="Z644" s="204"/>
      <c r="AA644" s="9"/>
      <c r="AB644" s="9"/>
      <c r="AC644" s="9"/>
      <c r="AD644" s="9"/>
    </row>
    <row r="645" ht="15.75" customHeight="1">
      <c r="A645" s="9"/>
      <c r="B645" s="223"/>
      <c r="C645" s="9"/>
      <c r="D645" s="9"/>
      <c r="E645" s="223"/>
      <c r="F645" s="9"/>
      <c r="G645" s="9"/>
      <c r="H645" s="9"/>
      <c r="I645" s="9"/>
      <c r="J645" s="9"/>
      <c r="K645" s="9"/>
      <c r="L645" s="9"/>
      <c r="M645" s="9"/>
      <c r="N645" s="9"/>
      <c r="O645" s="9"/>
      <c r="P645" s="9"/>
      <c r="Q645" s="9"/>
      <c r="R645" s="9"/>
      <c r="S645" s="9"/>
      <c r="T645" s="223"/>
      <c r="U645" s="9"/>
      <c r="V645" s="9"/>
      <c r="W645" s="971"/>
      <c r="X645" s="9"/>
      <c r="Y645" s="9"/>
      <c r="Z645" s="204"/>
      <c r="AA645" s="9"/>
      <c r="AB645" s="9"/>
      <c r="AC645" s="9"/>
      <c r="AD645" s="9"/>
    </row>
    <row r="646" ht="15.75" customHeight="1">
      <c r="A646" s="9"/>
      <c r="B646" s="223"/>
      <c r="C646" s="9"/>
      <c r="D646" s="9"/>
      <c r="E646" s="223"/>
      <c r="F646" s="9"/>
      <c r="G646" s="9"/>
      <c r="H646" s="9"/>
      <c r="I646" s="9"/>
      <c r="J646" s="9"/>
      <c r="K646" s="9"/>
      <c r="L646" s="9"/>
      <c r="M646" s="9"/>
      <c r="N646" s="9"/>
      <c r="O646" s="9"/>
      <c r="P646" s="9"/>
      <c r="Q646" s="9"/>
      <c r="R646" s="9"/>
      <c r="S646" s="9"/>
      <c r="T646" s="223"/>
      <c r="U646" s="9"/>
      <c r="V646" s="9"/>
      <c r="W646" s="971"/>
      <c r="X646" s="9"/>
      <c r="Y646" s="9"/>
      <c r="Z646" s="204"/>
      <c r="AA646" s="9"/>
      <c r="AB646" s="9"/>
      <c r="AC646" s="9"/>
      <c r="AD646" s="9"/>
    </row>
    <row r="647" ht="15.75" customHeight="1">
      <c r="A647" s="9"/>
      <c r="B647" s="223"/>
      <c r="C647" s="9"/>
      <c r="D647" s="9"/>
      <c r="E647" s="223"/>
      <c r="F647" s="9"/>
      <c r="G647" s="9"/>
      <c r="H647" s="9"/>
      <c r="I647" s="9"/>
      <c r="J647" s="9"/>
      <c r="K647" s="9"/>
      <c r="L647" s="9"/>
      <c r="M647" s="9"/>
      <c r="N647" s="9"/>
      <c r="O647" s="9"/>
      <c r="P647" s="9"/>
      <c r="Q647" s="9"/>
      <c r="R647" s="9"/>
      <c r="S647" s="9"/>
      <c r="T647" s="223"/>
      <c r="U647" s="9"/>
      <c r="V647" s="9"/>
      <c r="W647" s="971"/>
      <c r="X647" s="9"/>
      <c r="Y647" s="9"/>
      <c r="Z647" s="204"/>
      <c r="AA647" s="9"/>
      <c r="AB647" s="9"/>
      <c r="AC647" s="9"/>
      <c r="AD647" s="9"/>
    </row>
    <row r="648" ht="15.75" customHeight="1">
      <c r="A648" s="9"/>
      <c r="B648" s="223"/>
      <c r="C648" s="9"/>
      <c r="D648" s="9"/>
      <c r="E648" s="223"/>
      <c r="F648" s="9"/>
      <c r="G648" s="9"/>
      <c r="H648" s="9"/>
      <c r="I648" s="9"/>
      <c r="J648" s="9"/>
      <c r="K648" s="9"/>
      <c r="L648" s="9"/>
      <c r="M648" s="9"/>
      <c r="N648" s="9"/>
      <c r="O648" s="9"/>
      <c r="P648" s="9"/>
      <c r="Q648" s="9"/>
      <c r="R648" s="9"/>
      <c r="S648" s="9"/>
      <c r="T648" s="223"/>
      <c r="U648" s="9"/>
      <c r="V648" s="9"/>
      <c r="W648" s="971"/>
      <c r="X648" s="9"/>
      <c r="Y648" s="9"/>
      <c r="Z648" s="204"/>
      <c r="AA648" s="9"/>
      <c r="AB648" s="9"/>
      <c r="AC648" s="9"/>
      <c r="AD648" s="9"/>
    </row>
    <row r="649" ht="15.75" customHeight="1">
      <c r="A649" s="9"/>
      <c r="B649" s="223"/>
      <c r="C649" s="9"/>
      <c r="D649" s="9"/>
      <c r="E649" s="223"/>
      <c r="F649" s="9"/>
      <c r="G649" s="9"/>
      <c r="H649" s="9"/>
      <c r="I649" s="9"/>
      <c r="J649" s="9"/>
      <c r="K649" s="9"/>
      <c r="L649" s="9"/>
      <c r="M649" s="9"/>
      <c r="N649" s="9"/>
      <c r="O649" s="9"/>
      <c r="P649" s="9"/>
      <c r="Q649" s="9"/>
      <c r="R649" s="9"/>
      <c r="S649" s="9"/>
      <c r="T649" s="223"/>
      <c r="U649" s="9"/>
      <c r="V649" s="9"/>
      <c r="W649" s="971"/>
      <c r="X649" s="9"/>
      <c r="Y649" s="9"/>
      <c r="Z649" s="204"/>
      <c r="AA649" s="9"/>
      <c r="AB649" s="9"/>
      <c r="AC649" s="9"/>
      <c r="AD649" s="9"/>
    </row>
    <row r="650" ht="15.75" customHeight="1">
      <c r="A650" s="9"/>
      <c r="B650" s="223"/>
      <c r="C650" s="9"/>
      <c r="D650" s="9"/>
      <c r="E650" s="223"/>
      <c r="F650" s="9"/>
      <c r="G650" s="9"/>
      <c r="H650" s="9"/>
      <c r="I650" s="9"/>
      <c r="J650" s="9"/>
      <c r="K650" s="9"/>
      <c r="L650" s="9"/>
      <c r="M650" s="9"/>
      <c r="N650" s="9"/>
      <c r="O650" s="9"/>
      <c r="P650" s="9"/>
      <c r="Q650" s="9"/>
      <c r="R650" s="9"/>
      <c r="S650" s="9"/>
      <c r="T650" s="223"/>
      <c r="U650" s="9"/>
      <c r="V650" s="9"/>
      <c r="W650" s="971"/>
      <c r="X650" s="9"/>
      <c r="Y650" s="9"/>
      <c r="Z650" s="204"/>
      <c r="AA650" s="9"/>
      <c r="AB650" s="9"/>
      <c r="AC650" s="9"/>
      <c r="AD650" s="9"/>
    </row>
    <row r="651" ht="15.75" customHeight="1">
      <c r="A651" s="9"/>
      <c r="B651" s="223"/>
      <c r="C651" s="9"/>
      <c r="D651" s="9"/>
      <c r="E651" s="223"/>
      <c r="F651" s="9"/>
      <c r="G651" s="9"/>
      <c r="H651" s="9"/>
      <c r="I651" s="9"/>
      <c r="J651" s="9"/>
      <c r="K651" s="9"/>
      <c r="L651" s="9"/>
      <c r="M651" s="9"/>
      <c r="N651" s="9"/>
      <c r="O651" s="9"/>
      <c r="P651" s="9"/>
      <c r="Q651" s="9"/>
      <c r="R651" s="9"/>
      <c r="S651" s="9"/>
      <c r="T651" s="223"/>
      <c r="U651" s="9"/>
      <c r="V651" s="9"/>
      <c r="W651" s="971"/>
      <c r="X651" s="9"/>
      <c r="Y651" s="9"/>
      <c r="Z651" s="204"/>
      <c r="AA651" s="9"/>
      <c r="AB651" s="9"/>
      <c r="AC651" s="9"/>
      <c r="AD651" s="9"/>
    </row>
    <row r="652" ht="15.75" customHeight="1">
      <c r="A652" s="9"/>
      <c r="B652" s="223"/>
      <c r="C652" s="9"/>
      <c r="D652" s="9"/>
      <c r="E652" s="223"/>
      <c r="F652" s="9"/>
      <c r="G652" s="9"/>
      <c r="H652" s="9"/>
      <c r="I652" s="9"/>
      <c r="J652" s="9"/>
      <c r="K652" s="9"/>
      <c r="L652" s="9"/>
      <c r="M652" s="9"/>
      <c r="N652" s="9"/>
      <c r="O652" s="9"/>
      <c r="P652" s="9"/>
      <c r="Q652" s="9"/>
      <c r="R652" s="9"/>
      <c r="S652" s="9"/>
      <c r="T652" s="223"/>
      <c r="U652" s="9"/>
      <c r="V652" s="9"/>
      <c r="W652" s="971"/>
      <c r="X652" s="9"/>
      <c r="Y652" s="9"/>
      <c r="Z652" s="204"/>
      <c r="AA652" s="9"/>
      <c r="AB652" s="9"/>
      <c r="AC652" s="9"/>
      <c r="AD652" s="9"/>
    </row>
    <row r="653" ht="15.75" customHeight="1">
      <c r="A653" s="9"/>
      <c r="B653" s="223"/>
      <c r="C653" s="9"/>
      <c r="D653" s="9"/>
      <c r="E653" s="223"/>
      <c r="F653" s="9"/>
      <c r="G653" s="9"/>
      <c r="H653" s="9"/>
      <c r="I653" s="9"/>
      <c r="J653" s="9"/>
      <c r="K653" s="9"/>
      <c r="L653" s="9"/>
      <c r="M653" s="9"/>
      <c r="N653" s="9"/>
      <c r="O653" s="9"/>
      <c r="P653" s="9"/>
      <c r="Q653" s="9"/>
      <c r="R653" s="9"/>
      <c r="S653" s="9"/>
      <c r="T653" s="223"/>
      <c r="U653" s="9"/>
      <c r="V653" s="9"/>
      <c r="W653" s="971"/>
      <c r="X653" s="9"/>
      <c r="Y653" s="9"/>
      <c r="Z653" s="204"/>
      <c r="AA653" s="9"/>
      <c r="AB653" s="9"/>
      <c r="AC653" s="9"/>
      <c r="AD653" s="9"/>
    </row>
    <row r="654" ht="15.75" customHeight="1">
      <c r="A654" s="9"/>
      <c r="B654" s="223"/>
      <c r="C654" s="9"/>
      <c r="D654" s="9"/>
      <c r="E654" s="223"/>
      <c r="F654" s="9"/>
      <c r="G654" s="9"/>
      <c r="H654" s="9"/>
      <c r="I654" s="9"/>
      <c r="J654" s="9"/>
      <c r="K654" s="9"/>
      <c r="L654" s="9"/>
      <c r="M654" s="9"/>
      <c r="N654" s="9"/>
      <c r="O654" s="9"/>
      <c r="P654" s="9"/>
      <c r="Q654" s="9"/>
      <c r="R654" s="9"/>
      <c r="S654" s="9"/>
      <c r="T654" s="223"/>
      <c r="U654" s="9"/>
      <c r="V654" s="9"/>
      <c r="W654" s="971"/>
      <c r="X654" s="9"/>
      <c r="Y654" s="9"/>
      <c r="Z654" s="204"/>
      <c r="AA654" s="9"/>
      <c r="AB654" s="9"/>
      <c r="AC654" s="9"/>
      <c r="AD654" s="9"/>
    </row>
    <row r="655" ht="15.75" customHeight="1">
      <c r="A655" s="9"/>
      <c r="B655" s="223"/>
      <c r="C655" s="9"/>
      <c r="D655" s="9"/>
      <c r="E655" s="223"/>
      <c r="F655" s="9"/>
      <c r="G655" s="9"/>
      <c r="H655" s="9"/>
      <c r="I655" s="9"/>
      <c r="J655" s="9"/>
      <c r="K655" s="9"/>
      <c r="L655" s="9"/>
      <c r="M655" s="9"/>
      <c r="N655" s="9"/>
      <c r="O655" s="9"/>
      <c r="P655" s="9"/>
      <c r="Q655" s="9"/>
      <c r="R655" s="9"/>
      <c r="S655" s="9"/>
      <c r="T655" s="223"/>
      <c r="U655" s="9"/>
      <c r="V655" s="9"/>
      <c r="W655" s="971"/>
      <c r="X655" s="9"/>
      <c r="Y655" s="9"/>
      <c r="Z655" s="204"/>
      <c r="AA655" s="9"/>
      <c r="AB655" s="9"/>
      <c r="AC655" s="9"/>
      <c r="AD655" s="9"/>
    </row>
    <row r="656" ht="15.75" customHeight="1">
      <c r="A656" s="9"/>
      <c r="B656" s="223"/>
      <c r="C656" s="9"/>
      <c r="D656" s="9"/>
      <c r="E656" s="223"/>
      <c r="F656" s="9"/>
      <c r="G656" s="9"/>
      <c r="H656" s="9"/>
      <c r="I656" s="9"/>
      <c r="J656" s="9"/>
      <c r="K656" s="9"/>
      <c r="L656" s="9"/>
      <c r="M656" s="9"/>
      <c r="N656" s="9"/>
      <c r="O656" s="9"/>
      <c r="P656" s="9"/>
      <c r="Q656" s="9"/>
      <c r="R656" s="9"/>
      <c r="S656" s="9"/>
      <c r="T656" s="223"/>
      <c r="U656" s="9"/>
      <c r="V656" s="9"/>
      <c r="W656" s="971"/>
      <c r="X656" s="9"/>
      <c r="Y656" s="9"/>
      <c r="Z656" s="204"/>
      <c r="AA656" s="9"/>
      <c r="AB656" s="9"/>
      <c r="AC656" s="9"/>
      <c r="AD656" s="9"/>
    </row>
    <row r="657" ht="15.75" customHeight="1">
      <c r="A657" s="9"/>
      <c r="B657" s="223"/>
      <c r="C657" s="9"/>
      <c r="D657" s="9"/>
      <c r="E657" s="223"/>
      <c r="F657" s="9"/>
      <c r="G657" s="9"/>
      <c r="H657" s="9"/>
      <c r="I657" s="9"/>
      <c r="J657" s="9"/>
      <c r="K657" s="9"/>
      <c r="L657" s="9"/>
      <c r="M657" s="9"/>
      <c r="N657" s="9"/>
      <c r="O657" s="9"/>
      <c r="P657" s="9"/>
      <c r="Q657" s="9"/>
      <c r="R657" s="9"/>
      <c r="S657" s="9"/>
      <c r="T657" s="223"/>
      <c r="U657" s="9"/>
      <c r="V657" s="9"/>
      <c r="W657" s="971"/>
      <c r="X657" s="9"/>
      <c r="Y657" s="9"/>
      <c r="Z657" s="204"/>
      <c r="AA657" s="9"/>
      <c r="AB657" s="9"/>
      <c r="AC657" s="9"/>
      <c r="AD657" s="9"/>
    </row>
    <row r="658" ht="15.75" customHeight="1">
      <c r="A658" s="9"/>
      <c r="B658" s="223"/>
      <c r="C658" s="9"/>
      <c r="D658" s="9"/>
      <c r="E658" s="223"/>
      <c r="F658" s="9"/>
      <c r="G658" s="9"/>
      <c r="H658" s="9"/>
      <c r="I658" s="9"/>
      <c r="J658" s="9"/>
      <c r="K658" s="9"/>
      <c r="L658" s="9"/>
      <c r="M658" s="9"/>
      <c r="N658" s="9"/>
      <c r="O658" s="9"/>
      <c r="P658" s="9"/>
      <c r="Q658" s="9"/>
      <c r="R658" s="9"/>
      <c r="S658" s="9"/>
      <c r="T658" s="223"/>
      <c r="U658" s="9"/>
      <c r="V658" s="9"/>
      <c r="W658" s="971"/>
      <c r="X658" s="9"/>
      <c r="Y658" s="9"/>
      <c r="Z658" s="204"/>
      <c r="AA658" s="9"/>
      <c r="AB658" s="9"/>
      <c r="AC658" s="9"/>
      <c r="AD658" s="9"/>
    </row>
    <row r="659" ht="15.75" customHeight="1">
      <c r="A659" s="9"/>
      <c r="B659" s="223"/>
      <c r="C659" s="9"/>
      <c r="D659" s="9"/>
      <c r="E659" s="223"/>
      <c r="F659" s="9"/>
      <c r="G659" s="9"/>
      <c r="H659" s="9"/>
      <c r="I659" s="9"/>
      <c r="J659" s="9"/>
      <c r="K659" s="9"/>
      <c r="L659" s="9"/>
      <c r="M659" s="9"/>
      <c r="N659" s="9"/>
      <c r="O659" s="9"/>
      <c r="P659" s="9"/>
      <c r="Q659" s="9"/>
      <c r="R659" s="9"/>
      <c r="S659" s="9"/>
      <c r="T659" s="223"/>
      <c r="U659" s="9"/>
      <c r="V659" s="9"/>
      <c r="W659" s="971"/>
      <c r="X659" s="9"/>
      <c r="Y659" s="9"/>
      <c r="Z659" s="204"/>
      <c r="AA659" s="9"/>
      <c r="AB659" s="9"/>
      <c r="AC659" s="9"/>
      <c r="AD659" s="9"/>
    </row>
    <row r="660" ht="15.75" customHeight="1">
      <c r="A660" s="9"/>
      <c r="B660" s="223"/>
      <c r="C660" s="9"/>
      <c r="D660" s="9"/>
      <c r="E660" s="223"/>
      <c r="F660" s="9"/>
      <c r="G660" s="9"/>
      <c r="H660" s="9"/>
      <c r="I660" s="9"/>
      <c r="J660" s="9"/>
      <c r="K660" s="9"/>
      <c r="L660" s="9"/>
      <c r="M660" s="9"/>
      <c r="N660" s="9"/>
      <c r="O660" s="9"/>
      <c r="P660" s="9"/>
      <c r="Q660" s="9"/>
      <c r="R660" s="9"/>
      <c r="S660" s="9"/>
      <c r="T660" s="223"/>
      <c r="U660" s="9"/>
      <c r="V660" s="9"/>
      <c r="W660" s="971"/>
      <c r="X660" s="9"/>
      <c r="Y660" s="9"/>
      <c r="Z660" s="204"/>
      <c r="AA660" s="9"/>
      <c r="AB660" s="9"/>
      <c r="AC660" s="9"/>
      <c r="AD660" s="9"/>
    </row>
    <row r="661" ht="15.75" customHeight="1">
      <c r="A661" s="9"/>
      <c r="B661" s="223"/>
      <c r="C661" s="9"/>
      <c r="D661" s="9"/>
      <c r="E661" s="223"/>
      <c r="F661" s="9"/>
      <c r="G661" s="9"/>
      <c r="H661" s="9"/>
      <c r="I661" s="9"/>
      <c r="J661" s="9"/>
      <c r="K661" s="9"/>
      <c r="L661" s="9"/>
      <c r="M661" s="9"/>
      <c r="N661" s="9"/>
      <c r="O661" s="9"/>
      <c r="P661" s="9"/>
      <c r="Q661" s="9"/>
      <c r="R661" s="9"/>
      <c r="S661" s="9"/>
      <c r="T661" s="223"/>
      <c r="U661" s="9"/>
      <c r="V661" s="9"/>
      <c r="W661" s="971"/>
      <c r="X661" s="9"/>
      <c r="Y661" s="9"/>
      <c r="Z661" s="204"/>
      <c r="AA661" s="9"/>
      <c r="AB661" s="9"/>
      <c r="AC661" s="9"/>
      <c r="AD661" s="9"/>
    </row>
    <row r="662" ht="15.75" customHeight="1">
      <c r="A662" s="9"/>
      <c r="B662" s="223"/>
      <c r="C662" s="9"/>
      <c r="D662" s="9"/>
      <c r="E662" s="223"/>
      <c r="F662" s="9"/>
      <c r="G662" s="9"/>
      <c r="H662" s="9"/>
      <c r="I662" s="9"/>
      <c r="J662" s="9"/>
      <c r="K662" s="9"/>
      <c r="L662" s="9"/>
      <c r="M662" s="9"/>
      <c r="N662" s="9"/>
      <c r="O662" s="9"/>
      <c r="P662" s="9"/>
      <c r="Q662" s="9"/>
      <c r="R662" s="9"/>
      <c r="S662" s="9"/>
      <c r="T662" s="223"/>
      <c r="U662" s="9"/>
      <c r="V662" s="9"/>
      <c r="W662" s="971"/>
      <c r="X662" s="9"/>
      <c r="Y662" s="9"/>
      <c r="Z662" s="204"/>
      <c r="AA662" s="9"/>
      <c r="AB662" s="9"/>
      <c r="AC662" s="9"/>
      <c r="AD662" s="9"/>
    </row>
    <row r="663" ht="15.75" customHeight="1">
      <c r="A663" s="9"/>
      <c r="B663" s="223"/>
      <c r="C663" s="9"/>
      <c r="D663" s="9"/>
      <c r="E663" s="223"/>
      <c r="F663" s="9"/>
      <c r="G663" s="9"/>
      <c r="H663" s="9"/>
      <c r="I663" s="9"/>
      <c r="J663" s="9"/>
      <c r="K663" s="9"/>
      <c r="L663" s="9"/>
      <c r="M663" s="9"/>
      <c r="N663" s="9"/>
      <c r="O663" s="9"/>
      <c r="P663" s="9"/>
      <c r="Q663" s="9"/>
      <c r="R663" s="9"/>
      <c r="S663" s="9"/>
      <c r="T663" s="223"/>
      <c r="U663" s="9"/>
      <c r="V663" s="9"/>
      <c r="W663" s="971"/>
      <c r="X663" s="9"/>
      <c r="Y663" s="9"/>
      <c r="Z663" s="204"/>
      <c r="AA663" s="9"/>
      <c r="AB663" s="9"/>
      <c r="AC663" s="9"/>
      <c r="AD663" s="9"/>
    </row>
    <row r="664" ht="15.75" customHeight="1">
      <c r="A664" s="9"/>
      <c r="B664" s="223"/>
      <c r="C664" s="9"/>
      <c r="D664" s="9"/>
      <c r="E664" s="223"/>
      <c r="F664" s="9"/>
      <c r="G664" s="9"/>
      <c r="H664" s="9"/>
      <c r="I664" s="9"/>
      <c r="J664" s="9"/>
      <c r="K664" s="9"/>
      <c r="L664" s="9"/>
      <c r="M664" s="9"/>
      <c r="N664" s="9"/>
      <c r="O664" s="9"/>
      <c r="P664" s="9"/>
      <c r="Q664" s="9"/>
      <c r="R664" s="9"/>
      <c r="S664" s="9"/>
      <c r="T664" s="223"/>
      <c r="U664" s="9"/>
      <c r="V664" s="9"/>
      <c r="W664" s="971"/>
      <c r="X664" s="9"/>
      <c r="Y664" s="9"/>
      <c r="Z664" s="204"/>
      <c r="AA664" s="9"/>
      <c r="AB664" s="9"/>
      <c r="AC664" s="9"/>
      <c r="AD664" s="9"/>
    </row>
    <row r="665" ht="15.75" customHeight="1">
      <c r="A665" s="9"/>
      <c r="B665" s="223"/>
      <c r="C665" s="9"/>
      <c r="D665" s="9"/>
      <c r="E665" s="223"/>
      <c r="F665" s="9"/>
      <c r="G665" s="9"/>
      <c r="H665" s="9"/>
      <c r="I665" s="9"/>
      <c r="J665" s="9"/>
      <c r="K665" s="9"/>
      <c r="L665" s="9"/>
      <c r="M665" s="9"/>
      <c r="N665" s="9"/>
      <c r="O665" s="9"/>
      <c r="P665" s="9"/>
      <c r="Q665" s="9"/>
      <c r="R665" s="9"/>
      <c r="S665" s="9"/>
      <c r="T665" s="223"/>
      <c r="U665" s="9"/>
      <c r="V665" s="9"/>
      <c r="W665" s="971"/>
      <c r="X665" s="9"/>
      <c r="Y665" s="9"/>
      <c r="Z665" s="204"/>
      <c r="AA665" s="9"/>
      <c r="AB665" s="9"/>
      <c r="AC665" s="9"/>
      <c r="AD665" s="9"/>
    </row>
    <row r="666" ht="15.75" customHeight="1">
      <c r="A666" s="9"/>
      <c r="B666" s="223"/>
      <c r="C666" s="9"/>
      <c r="D666" s="9"/>
      <c r="E666" s="223"/>
      <c r="F666" s="9"/>
      <c r="G666" s="9"/>
      <c r="H666" s="9"/>
      <c r="I666" s="9"/>
      <c r="J666" s="9"/>
      <c r="K666" s="9"/>
      <c r="L666" s="9"/>
      <c r="M666" s="9"/>
      <c r="N666" s="9"/>
      <c r="O666" s="9"/>
      <c r="P666" s="9"/>
      <c r="Q666" s="9"/>
      <c r="R666" s="9"/>
      <c r="S666" s="9"/>
      <c r="T666" s="223"/>
      <c r="U666" s="9"/>
      <c r="V666" s="9"/>
      <c r="W666" s="971"/>
      <c r="X666" s="9"/>
      <c r="Y666" s="9"/>
      <c r="Z666" s="204"/>
      <c r="AA666" s="9"/>
      <c r="AB666" s="9"/>
      <c r="AC666" s="9"/>
      <c r="AD666" s="9"/>
    </row>
    <row r="667" ht="15.75" customHeight="1">
      <c r="A667" s="9"/>
      <c r="B667" s="223"/>
      <c r="C667" s="9"/>
      <c r="D667" s="9"/>
      <c r="E667" s="223"/>
      <c r="F667" s="9"/>
      <c r="G667" s="9"/>
      <c r="H667" s="9"/>
      <c r="I667" s="9"/>
      <c r="J667" s="9"/>
      <c r="K667" s="9"/>
      <c r="L667" s="9"/>
      <c r="M667" s="9"/>
      <c r="N667" s="9"/>
      <c r="O667" s="9"/>
      <c r="P667" s="9"/>
      <c r="Q667" s="9"/>
      <c r="R667" s="9"/>
      <c r="S667" s="9"/>
      <c r="T667" s="223"/>
      <c r="U667" s="9"/>
      <c r="V667" s="9"/>
      <c r="W667" s="971"/>
      <c r="X667" s="9"/>
      <c r="Y667" s="9"/>
      <c r="Z667" s="204"/>
      <c r="AA667" s="9"/>
      <c r="AB667" s="9"/>
      <c r="AC667" s="9"/>
      <c r="AD667" s="9"/>
    </row>
    <row r="668" ht="15.75" customHeight="1">
      <c r="A668" s="9"/>
      <c r="B668" s="223"/>
      <c r="C668" s="9"/>
      <c r="D668" s="9"/>
      <c r="E668" s="223"/>
      <c r="F668" s="9"/>
      <c r="G668" s="9"/>
      <c r="H668" s="9"/>
      <c r="I668" s="9"/>
      <c r="J668" s="9"/>
      <c r="K668" s="9"/>
      <c r="L668" s="9"/>
      <c r="M668" s="9"/>
      <c r="N668" s="9"/>
      <c r="O668" s="9"/>
      <c r="P668" s="9"/>
      <c r="Q668" s="9"/>
      <c r="R668" s="9"/>
      <c r="S668" s="9"/>
      <c r="T668" s="223"/>
      <c r="U668" s="9"/>
      <c r="V668" s="9"/>
      <c r="W668" s="971"/>
      <c r="X668" s="9"/>
      <c r="Y668" s="9"/>
      <c r="Z668" s="204"/>
      <c r="AA668" s="9"/>
      <c r="AB668" s="9"/>
      <c r="AC668" s="9"/>
      <c r="AD668" s="9"/>
    </row>
    <row r="669" ht="15.75" customHeight="1">
      <c r="A669" s="9"/>
      <c r="B669" s="223"/>
      <c r="C669" s="9"/>
      <c r="D669" s="9"/>
      <c r="E669" s="223"/>
      <c r="F669" s="9"/>
      <c r="G669" s="9"/>
      <c r="H669" s="9"/>
      <c r="I669" s="9"/>
      <c r="J669" s="9"/>
      <c r="K669" s="9"/>
      <c r="L669" s="9"/>
      <c r="M669" s="9"/>
      <c r="N669" s="9"/>
      <c r="O669" s="9"/>
      <c r="P669" s="9"/>
      <c r="Q669" s="9"/>
      <c r="R669" s="9"/>
      <c r="S669" s="9"/>
      <c r="T669" s="223"/>
      <c r="U669" s="9"/>
      <c r="V669" s="9"/>
      <c r="W669" s="971"/>
      <c r="X669" s="9"/>
      <c r="Y669" s="9"/>
      <c r="Z669" s="204"/>
      <c r="AA669" s="9"/>
      <c r="AB669" s="9"/>
      <c r="AC669" s="9"/>
      <c r="AD669" s="9"/>
    </row>
    <row r="670" ht="15.75" customHeight="1">
      <c r="A670" s="9"/>
      <c r="B670" s="223"/>
      <c r="C670" s="9"/>
      <c r="D670" s="9"/>
      <c r="E670" s="223"/>
      <c r="F670" s="9"/>
      <c r="G670" s="9"/>
      <c r="H670" s="9"/>
      <c r="I670" s="9"/>
      <c r="J670" s="9"/>
      <c r="K670" s="9"/>
      <c r="L670" s="9"/>
      <c r="M670" s="9"/>
      <c r="N670" s="9"/>
      <c r="O670" s="9"/>
      <c r="P670" s="9"/>
      <c r="Q670" s="9"/>
      <c r="R670" s="9"/>
      <c r="S670" s="9"/>
      <c r="T670" s="223"/>
      <c r="U670" s="9"/>
      <c r="V670" s="9"/>
      <c r="W670" s="971"/>
      <c r="X670" s="9"/>
      <c r="Y670" s="9"/>
      <c r="Z670" s="204"/>
      <c r="AA670" s="9"/>
      <c r="AB670" s="9"/>
      <c r="AC670" s="9"/>
      <c r="AD670" s="9"/>
    </row>
    <row r="671" ht="15.75" customHeight="1">
      <c r="A671" s="9"/>
      <c r="B671" s="223"/>
      <c r="C671" s="9"/>
      <c r="D671" s="9"/>
      <c r="E671" s="223"/>
      <c r="F671" s="9"/>
      <c r="G671" s="9"/>
      <c r="H671" s="9"/>
      <c r="I671" s="9"/>
      <c r="J671" s="9"/>
      <c r="K671" s="9"/>
      <c r="L671" s="9"/>
      <c r="M671" s="9"/>
      <c r="N671" s="9"/>
      <c r="O671" s="9"/>
      <c r="P671" s="9"/>
      <c r="Q671" s="9"/>
      <c r="R671" s="9"/>
      <c r="S671" s="9"/>
      <c r="T671" s="223"/>
      <c r="U671" s="9"/>
      <c r="V671" s="9"/>
      <c r="W671" s="971"/>
      <c r="X671" s="9"/>
      <c r="Y671" s="9"/>
      <c r="Z671" s="204"/>
      <c r="AA671" s="9"/>
      <c r="AB671" s="9"/>
      <c r="AC671" s="9"/>
      <c r="AD671" s="9"/>
    </row>
    <row r="672" ht="15.75" customHeight="1">
      <c r="A672" s="9"/>
      <c r="B672" s="223"/>
      <c r="C672" s="9"/>
      <c r="D672" s="9"/>
      <c r="E672" s="223"/>
      <c r="F672" s="9"/>
      <c r="G672" s="9"/>
      <c r="H672" s="9"/>
      <c r="I672" s="9"/>
      <c r="J672" s="9"/>
      <c r="K672" s="9"/>
      <c r="L672" s="9"/>
      <c r="M672" s="9"/>
      <c r="N672" s="9"/>
      <c r="O672" s="9"/>
      <c r="P672" s="9"/>
      <c r="Q672" s="9"/>
      <c r="R672" s="9"/>
      <c r="S672" s="9"/>
      <c r="T672" s="223"/>
      <c r="U672" s="9"/>
      <c r="V672" s="9"/>
      <c r="W672" s="971"/>
      <c r="X672" s="9"/>
      <c r="Y672" s="9"/>
      <c r="Z672" s="204"/>
      <c r="AA672" s="9"/>
      <c r="AB672" s="9"/>
      <c r="AC672" s="9"/>
      <c r="AD672" s="9"/>
    </row>
    <row r="673" ht="15.75" customHeight="1">
      <c r="A673" s="9"/>
      <c r="B673" s="223"/>
      <c r="C673" s="9"/>
      <c r="D673" s="9"/>
      <c r="E673" s="223"/>
      <c r="F673" s="9"/>
      <c r="G673" s="9"/>
      <c r="H673" s="9"/>
      <c r="I673" s="9"/>
      <c r="J673" s="9"/>
      <c r="K673" s="9"/>
      <c r="L673" s="9"/>
      <c r="M673" s="9"/>
      <c r="N673" s="9"/>
      <c r="O673" s="9"/>
      <c r="P673" s="9"/>
      <c r="Q673" s="9"/>
      <c r="R673" s="9"/>
      <c r="S673" s="9"/>
      <c r="T673" s="223"/>
      <c r="U673" s="9"/>
      <c r="V673" s="9"/>
      <c r="W673" s="971"/>
      <c r="X673" s="9"/>
      <c r="Y673" s="9"/>
      <c r="Z673" s="204"/>
      <c r="AA673" s="9"/>
      <c r="AB673" s="9"/>
      <c r="AC673" s="9"/>
      <c r="AD673" s="9"/>
    </row>
    <row r="674" ht="15.75" customHeight="1">
      <c r="A674" s="9"/>
      <c r="B674" s="223"/>
      <c r="C674" s="9"/>
      <c r="D674" s="9"/>
      <c r="E674" s="223"/>
      <c r="F674" s="9"/>
      <c r="G674" s="9"/>
      <c r="H674" s="9"/>
      <c r="I674" s="9"/>
      <c r="J674" s="9"/>
      <c r="K674" s="9"/>
      <c r="L674" s="9"/>
      <c r="M674" s="9"/>
      <c r="N674" s="9"/>
      <c r="O674" s="9"/>
      <c r="P674" s="9"/>
      <c r="Q674" s="9"/>
      <c r="R674" s="9"/>
      <c r="S674" s="9"/>
      <c r="T674" s="223"/>
      <c r="U674" s="9"/>
      <c r="V674" s="9"/>
      <c r="W674" s="971"/>
      <c r="X674" s="9"/>
      <c r="Y674" s="9"/>
      <c r="Z674" s="204"/>
      <c r="AA674" s="9"/>
      <c r="AB674" s="9"/>
      <c r="AC674" s="9"/>
      <c r="AD674" s="9"/>
    </row>
    <row r="675" ht="15.75" customHeight="1">
      <c r="A675" s="9"/>
      <c r="B675" s="223"/>
      <c r="C675" s="9"/>
      <c r="D675" s="9"/>
      <c r="E675" s="223"/>
      <c r="F675" s="9"/>
      <c r="G675" s="9"/>
      <c r="H675" s="9"/>
      <c r="I675" s="9"/>
      <c r="J675" s="9"/>
      <c r="K675" s="9"/>
      <c r="L675" s="9"/>
      <c r="M675" s="9"/>
      <c r="N675" s="9"/>
      <c r="O675" s="9"/>
      <c r="P675" s="9"/>
      <c r="Q675" s="9"/>
      <c r="R675" s="9"/>
      <c r="S675" s="9"/>
      <c r="T675" s="223"/>
      <c r="U675" s="9"/>
      <c r="V675" s="9"/>
      <c r="W675" s="971"/>
      <c r="X675" s="9"/>
      <c r="Y675" s="9"/>
      <c r="Z675" s="204"/>
      <c r="AA675" s="9"/>
      <c r="AB675" s="9"/>
      <c r="AC675" s="9"/>
      <c r="AD675" s="9"/>
    </row>
    <row r="676" ht="15.75" customHeight="1">
      <c r="A676" s="9"/>
      <c r="B676" s="223"/>
      <c r="C676" s="9"/>
      <c r="D676" s="9"/>
      <c r="E676" s="223"/>
      <c r="F676" s="9"/>
      <c r="G676" s="9"/>
      <c r="H676" s="9"/>
      <c r="I676" s="9"/>
      <c r="J676" s="9"/>
      <c r="K676" s="9"/>
      <c r="L676" s="9"/>
      <c r="M676" s="9"/>
      <c r="N676" s="9"/>
      <c r="O676" s="9"/>
      <c r="P676" s="9"/>
      <c r="Q676" s="9"/>
      <c r="R676" s="9"/>
      <c r="S676" s="9"/>
      <c r="T676" s="223"/>
      <c r="U676" s="9"/>
      <c r="V676" s="9"/>
      <c r="W676" s="971"/>
      <c r="X676" s="9"/>
      <c r="Y676" s="9"/>
      <c r="Z676" s="204"/>
      <c r="AA676" s="9"/>
      <c r="AB676" s="9"/>
      <c r="AC676" s="9"/>
      <c r="AD676" s="9"/>
    </row>
    <row r="677" ht="15.75" customHeight="1">
      <c r="A677" s="9"/>
      <c r="B677" s="223"/>
      <c r="C677" s="9"/>
      <c r="D677" s="9"/>
      <c r="E677" s="223"/>
      <c r="F677" s="9"/>
      <c r="G677" s="9"/>
      <c r="H677" s="9"/>
      <c r="I677" s="9"/>
      <c r="J677" s="9"/>
      <c r="K677" s="9"/>
      <c r="L677" s="9"/>
      <c r="M677" s="9"/>
      <c r="N677" s="9"/>
      <c r="O677" s="9"/>
      <c r="P677" s="9"/>
      <c r="Q677" s="9"/>
      <c r="R677" s="9"/>
      <c r="S677" s="9"/>
      <c r="T677" s="223"/>
      <c r="U677" s="9"/>
      <c r="V677" s="9"/>
      <c r="W677" s="971"/>
      <c r="X677" s="9"/>
      <c r="Y677" s="9"/>
      <c r="Z677" s="204"/>
      <c r="AA677" s="9"/>
      <c r="AB677" s="9"/>
      <c r="AC677" s="9"/>
      <c r="AD677" s="9"/>
    </row>
    <row r="678" ht="15.75" customHeight="1">
      <c r="A678" s="9"/>
      <c r="B678" s="223"/>
      <c r="C678" s="9"/>
      <c r="D678" s="9"/>
      <c r="E678" s="223"/>
      <c r="F678" s="9"/>
      <c r="G678" s="9"/>
      <c r="H678" s="9"/>
      <c r="I678" s="9"/>
      <c r="J678" s="9"/>
      <c r="K678" s="9"/>
      <c r="L678" s="9"/>
      <c r="M678" s="9"/>
      <c r="N678" s="9"/>
      <c r="O678" s="9"/>
      <c r="P678" s="9"/>
      <c r="Q678" s="9"/>
      <c r="R678" s="9"/>
      <c r="S678" s="9"/>
      <c r="T678" s="223"/>
      <c r="U678" s="9"/>
      <c r="V678" s="9"/>
      <c r="W678" s="971"/>
      <c r="X678" s="9"/>
      <c r="Y678" s="9"/>
      <c r="Z678" s="204"/>
      <c r="AA678" s="9"/>
      <c r="AB678" s="9"/>
      <c r="AC678" s="9"/>
      <c r="AD678" s="9"/>
    </row>
    <row r="679" ht="15.75" customHeight="1">
      <c r="A679" s="9"/>
      <c r="B679" s="223"/>
      <c r="C679" s="9"/>
      <c r="D679" s="9"/>
      <c r="E679" s="223"/>
      <c r="F679" s="9"/>
      <c r="G679" s="9"/>
      <c r="H679" s="9"/>
      <c r="I679" s="9"/>
      <c r="J679" s="9"/>
      <c r="K679" s="9"/>
      <c r="L679" s="9"/>
      <c r="M679" s="9"/>
      <c r="N679" s="9"/>
      <c r="O679" s="9"/>
      <c r="P679" s="9"/>
      <c r="Q679" s="9"/>
      <c r="R679" s="9"/>
      <c r="S679" s="9"/>
      <c r="T679" s="223"/>
      <c r="U679" s="9"/>
      <c r="V679" s="9"/>
      <c r="W679" s="971"/>
      <c r="X679" s="9"/>
      <c r="Y679" s="9"/>
      <c r="Z679" s="204"/>
      <c r="AA679" s="9"/>
      <c r="AB679" s="9"/>
      <c r="AC679" s="9"/>
      <c r="AD679" s="9"/>
    </row>
    <row r="680" ht="15.75" customHeight="1">
      <c r="A680" s="9"/>
      <c r="B680" s="223"/>
      <c r="C680" s="9"/>
      <c r="D680" s="9"/>
      <c r="E680" s="223"/>
      <c r="F680" s="9"/>
      <c r="G680" s="9"/>
      <c r="H680" s="9"/>
      <c r="I680" s="9"/>
      <c r="J680" s="9"/>
      <c r="K680" s="9"/>
      <c r="L680" s="9"/>
      <c r="M680" s="9"/>
      <c r="N680" s="9"/>
      <c r="O680" s="9"/>
      <c r="P680" s="9"/>
      <c r="Q680" s="9"/>
      <c r="R680" s="9"/>
      <c r="S680" s="9"/>
      <c r="T680" s="223"/>
      <c r="U680" s="9"/>
      <c r="V680" s="9"/>
      <c r="W680" s="971"/>
      <c r="X680" s="9"/>
      <c r="Y680" s="9"/>
      <c r="Z680" s="204"/>
      <c r="AA680" s="9"/>
      <c r="AB680" s="9"/>
      <c r="AC680" s="9"/>
      <c r="AD680" s="9"/>
    </row>
    <row r="681" ht="15.75" customHeight="1">
      <c r="A681" s="9"/>
      <c r="B681" s="223"/>
      <c r="C681" s="9"/>
      <c r="D681" s="9"/>
      <c r="E681" s="223"/>
      <c r="F681" s="9"/>
      <c r="G681" s="9"/>
      <c r="H681" s="9"/>
      <c r="I681" s="9"/>
      <c r="J681" s="9"/>
      <c r="K681" s="9"/>
      <c r="L681" s="9"/>
      <c r="M681" s="9"/>
      <c r="N681" s="9"/>
      <c r="O681" s="9"/>
      <c r="P681" s="9"/>
      <c r="Q681" s="9"/>
      <c r="R681" s="9"/>
      <c r="S681" s="9"/>
      <c r="T681" s="223"/>
      <c r="U681" s="9"/>
      <c r="V681" s="9"/>
      <c r="W681" s="971"/>
      <c r="X681" s="9"/>
      <c r="Y681" s="9"/>
      <c r="Z681" s="204"/>
      <c r="AA681" s="9"/>
      <c r="AB681" s="9"/>
      <c r="AC681" s="9"/>
      <c r="AD681" s="9"/>
    </row>
    <row r="682" ht="15.75" customHeight="1">
      <c r="A682" s="9"/>
      <c r="B682" s="223"/>
      <c r="C682" s="9"/>
      <c r="D682" s="9"/>
      <c r="E682" s="223"/>
      <c r="F682" s="9"/>
      <c r="G682" s="9"/>
      <c r="H682" s="9"/>
      <c r="I682" s="9"/>
      <c r="J682" s="9"/>
      <c r="K682" s="9"/>
      <c r="L682" s="9"/>
      <c r="M682" s="9"/>
      <c r="N682" s="9"/>
      <c r="O682" s="9"/>
      <c r="P682" s="9"/>
      <c r="Q682" s="9"/>
      <c r="R682" s="9"/>
      <c r="S682" s="9"/>
      <c r="T682" s="223"/>
      <c r="U682" s="9"/>
      <c r="V682" s="9"/>
      <c r="W682" s="971"/>
      <c r="X682" s="9"/>
      <c r="Y682" s="9"/>
      <c r="Z682" s="204"/>
      <c r="AA682" s="9"/>
      <c r="AB682" s="9"/>
      <c r="AC682" s="9"/>
      <c r="AD682" s="9"/>
    </row>
    <row r="683" ht="15.75" customHeight="1">
      <c r="A683" s="9"/>
      <c r="B683" s="223"/>
      <c r="C683" s="9"/>
      <c r="D683" s="9"/>
      <c r="E683" s="223"/>
      <c r="F683" s="9"/>
      <c r="G683" s="9"/>
      <c r="H683" s="9"/>
      <c r="I683" s="9"/>
      <c r="J683" s="9"/>
      <c r="K683" s="9"/>
      <c r="L683" s="9"/>
      <c r="M683" s="9"/>
      <c r="N683" s="9"/>
      <c r="O683" s="9"/>
      <c r="P683" s="9"/>
      <c r="Q683" s="9"/>
      <c r="R683" s="9"/>
      <c r="S683" s="9"/>
      <c r="T683" s="223"/>
      <c r="U683" s="9"/>
      <c r="V683" s="9"/>
      <c r="W683" s="971"/>
      <c r="X683" s="9"/>
      <c r="Y683" s="9"/>
      <c r="Z683" s="204"/>
      <c r="AA683" s="9"/>
      <c r="AB683" s="9"/>
      <c r="AC683" s="9"/>
      <c r="AD683" s="9"/>
    </row>
    <row r="684" ht="15.75" customHeight="1">
      <c r="A684" s="9"/>
      <c r="B684" s="223"/>
      <c r="C684" s="9"/>
      <c r="D684" s="9"/>
      <c r="E684" s="223"/>
      <c r="F684" s="9"/>
      <c r="G684" s="9"/>
      <c r="H684" s="9"/>
      <c r="I684" s="9"/>
      <c r="J684" s="9"/>
      <c r="K684" s="9"/>
      <c r="L684" s="9"/>
      <c r="M684" s="9"/>
      <c r="N684" s="9"/>
      <c r="O684" s="9"/>
      <c r="P684" s="9"/>
      <c r="Q684" s="9"/>
      <c r="R684" s="9"/>
      <c r="S684" s="9"/>
      <c r="T684" s="223"/>
      <c r="U684" s="9"/>
      <c r="V684" s="9"/>
      <c r="W684" s="971"/>
      <c r="X684" s="9"/>
      <c r="Y684" s="9"/>
      <c r="Z684" s="204"/>
      <c r="AA684" s="9"/>
      <c r="AB684" s="9"/>
      <c r="AC684" s="9"/>
      <c r="AD684" s="9"/>
    </row>
    <row r="685" ht="15.75" customHeight="1">
      <c r="A685" s="9"/>
      <c r="B685" s="223"/>
      <c r="C685" s="9"/>
      <c r="D685" s="9"/>
      <c r="E685" s="223"/>
      <c r="F685" s="9"/>
      <c r="G685" s="9"/>
      <c r="H685" s="9"/>
      <c r="I685" s="9"/>
      <c r="J685" s="9"/>
      <c r="K685" s="9"/>
      <c r="L685" s="9"/>
      <c r="M685" s="9"/>
      <c r="N685" s="9"/>
      <c r="O685" s="9"/>
      <c r="P685" s="9"/>
      <c r="Q685" s="9"/>
      <c r="R685" s="9"/>
      <c r="S685" s="9"/>
      <c r="T685" s="223"/>
      <c r="U685" s="9"/>
      <c r="V685" s="9"/>
      <c r="W685" s="971"/>
      <c r="X685" s="9"/>
      <c r="Y685" s="9"/>
      <c r="Z685" s="204"/>
      <c r="AA685" s="9"/>
      <c r="AB685" s="9"/>
      <c r="AC685" s="9"/>
      <c r="AD685" s="9"/>
    </row>
    <row r="686" ht="15.75" customHeight="1">
      <c r="A686" s="9"/>
      <c r="B686" s="223"/>
      <c r="C686" s="9"/>
      <c r="D686" s="9"/>
      <c r="E686" s="223"/>
      <c r="F686" s="9"/>
      <c r="G686" s="9"/>
      <c r="H686" s="9"/>
      <c r="I686" s="9"/>
      <c r="J686" s="9"/>
      <c r="K686" s="9"/>
      <c r="L686" s="9"/>
      <c r="M686" s="9"/>
      <c r="N686" s="9"/>
      <c r="O686" s="9"/>
      <c r="P686" s="9"/>
      <c r="Q686" s="9"/>
      <c r="R686" s="9"/>
      <c r="S686" s="9"/>
      <c r="T686" s="223"/>
      <c r="U686" s="9"/>
      <c r="V686" s="9"/>
      <c r="W686" s="971"/>
      <c r="X686" s="9"/>
      <c r="Y686" s="9"/>
      <c r="Z686" s="204"/>
      <c r="AA686" s="9"/>
      <c r="AB686" s="9"/>
      <c r="AC686" s="9"/>
      <c r="AD686" s="9"/>
    </row>
    <row r="687" ht="15.75" customHeight="1">
      <c r="A687" s="9"/>
      <c r="B687" s="223"/>
      <c r="C687" s="9"/>
      <c r="D687" s="9"/>
      <c r="E687" s="223"/>
      <c r="F687" s="9"/>
      <c r="G687" s="9"/>
      <c r="H687" s="9"/>
      <c r="I687" s="9"/>
      <c r="J687" s="9"/>
      <c r="K687" s="9"/>
      <c r="L687" s="9"/>
      <c r="M687" s="9"/>
      <c r="N687" s="9"/>
      <c r="O687" s="9"/>
      <c r="P687" s="9"/>
      <c r="Q687" s="9"/>
      <c r="R687" s="9"/>
      <c r="S687" s="9"/>
      <c r="T687" s="223"/>
      <c r="U687" s="9"/>
      <c r="V687" s="9"/>
      <c r="W687" s="971"/>
      <c r="X687" s="9"/>
      <c r="Y687" s="9"/>
      <c r="Z687" s="204"/>
      <c r="AA687" s="9"/>
      <c r="AB687" s="9"/>
      <c r="AC687" s="9"/>
      <c r="AD687" s="9"/>
    </row>
    <row r="688" ht="15.75" customHeight="1">
      <c r="A688" s="9"/>
      <c r="B688" s="223"/>
      <c r="C688" s="9"/>
      <c r="D688" s="9"/>
      <c r="E688" s="223"/>
      <c r="F688" s="9"/>
      <c r="G688" s="9"/>
      <c r="H688" s="9"/>
      <c r="I688" s="9"/>
      <c r="J688" s="9"/>
      <c r="K688" s="9"/>
      <c r="L688" s="9"/>
      <c r="M688" s="9"/>
      <c r="N688" s="9"/>
      <c r="O688" s="9"/>
      <c r="P688" s="9"/>
      <c r="Q688" s="9"/>
      <c r="R688" s="9"/>
      <c r="S688" s="9"/>
      <c r="T688" s="223"/>
      <c r="U688" s="9"/>
      <c r="V688" s="9"/>
      <c r="W688" s="971"/>
      <c r="X688" s="9"/>
      <c r="Y688" s="9"/>
      <c r="Z688" s="204"/>
      <c r="AA688" s="9"/>
      <c r="AB688" s="9"/>
      <c r="AC688" s="9"/>
      <c r="AD688" s="9"/>
    </row>
    <row r="689" ht="15.75" customHeight="1">
      <c r="A689" s="9"/>
      <c r="B689" s="223"/>
      <c r="C689" s="9"/>
      <c r="D689" s="9"/>
      <c r="E689" s="223"/>
      <c r="F689" s="9"/>
      <c r="G689" s="9"/>
      <c r="H689" s="9"/>
      <c r="I689" s="9"/>
      <c r="J689" s="9"/>
      <c r="K689" s="9"/>
      <c r="L689" s="9"/>
      <c r="M689" s="9"/>
      <c r="N689" s="9"/>
      <c r="O689" s="9"/>
      <c r="P689" s="9"/>
      <c r="Q689" s="9"/>
      <c r="R689" s="9"/>
      <c r="S689" s="9"/>
      <c r="T689" s="223"/>
      <c r="U689" s="9"/>
      <c r="V689" s="9"/>
      <c r="W689" s="971"/>
      <c r="X689" s="9"/>
      <c r="Y689" s="9"/>
      <c r="Z689" s="204"/>
      <c r="AA689" s="9"/>
      <c r="AB689" s="9"/>
      <c r="AC689" s="9"/>
      <c r="AD689" s="9"/>
    </row>
    <row r="690" ht="15.75" customHeight="1">
      <c r="A690" s="9"/>
      <c r="B690" s="223"/>
      <c r="C690" s="9"/>
      <c r="D690" s="9"/>
      <c r="E690" s="223"/>
      <c r="F690" s="9"/>
      <c r="G690" s="9"/>
      <c r="H690" s="9"/>
      <c r="I690" s="9"/>
      <c r="J690" s="9"/>
      <c r="K690" s="9"/>
      <c r="L690" s="9"/>
      <c r="M690" s="9"/>
      <c r="N690" s="9"/>
      <c r="O690" s="9"/>
      <c r="P690" s="9"/>
      <c r="Q690" s="9"/>
      <c r="R690" s="9"/>
      <c r="S690" s="9"/>
      <c r="T690" s="223"/>
      <c r="U690" s="9"/>
      <c r="V690" s="9"/>
      <c r="W690" s="971"/>
      <c r="X690" s="9"/>
      <c r="Y690" s="9"/>
      <c r="Z690" s="204"/>
      <c r="AA690" s="9"/>
      <c r="AB690" s="9"/>
      <c r="AC690" s="9"/>
      <c r="AD690" s="9"/>
    </row>
    <row r="691" ht="15.75" customHeight="1">
      <c r="A691" s="9"/>
      <c r="B691" s="223"/>
      <c r="C691" s="9"/>
      <c r="D691" s="9"/>
      <c r="E691" s="223"/>
      <c r="F691" s="9"/>
      <c r="G691" s="9"/>
      <c r="H691" s="9"/>
      <c r="I691" s="9"/>
      <c r="J691" s="9"/>
      <c r="K691" s="9"/>
      <c r="L691" s="9"/>
      <c r="M691" s="9"/>
      <c r="N691" s="9"/>
      <c r="O691" s="9"/>
      <c r="P691" s="9"/>
      <c r="Q691" s="9"/>
      <c r="R691" s="9"/>
      <c r="S691" s="9"/>
      <c r="T691" s="223"/>
      <c r="U691" s="9"/>
      <c r="V691" s="9"/>
      <c r="W691" s="971"/>
      <c r="X691" s="9"/>
      <c r="Y691" s="9"/>
      <c r="Z691" s="204"/>
      <c r="AA691" s="9"/>
      <c r="AB691" s="9"/>
      <c r="AC691" s="9"/>
      <c r="AD691" s="9"/>
    </row>
    <row r="692" ht="15.75" customHeight="1">
      <c r="A692" s="9"/>
      <c r="B692" s="223"/>
      <c r="C692" s="9"/>
      <c r="D692" s="9"/>
      <c r="E692" s="223"/>
      <c r="F692" s="9"/>
      <c r="G692" s="9"/>
      <c r="H692" s="9"/>
      <c r="I692" s="9"/>
      <c r="J692" s="9"/>
      <c r="K692" s="9"/>
      <c r="L692" s="9"/>
      <c r="M692" s="9"/>
      <c r="N692" s="9"/>
      <c r="O692" s="9"/>
      <c r="P692" s="9"/>
      <c r="Q692" s="9"/>
      <c r="R692" s="9"/>
      <c r="S692" s="9"/>
      <c r="T692" s="223"/>
      <c r="U692" s="9"/>
      <c r="V692" s="9"/>
      <c r="W692" s="971"/>
      <c r="X692" s="9"/>
      <c r="Y692" s="9"/>
      <c r="Z692" s="204"/>
      <c r="AA692" s="9"/>
      <c r="AB692" s="9"/>
      <c r="AC692" s="9"/>
      <c r="AD692" s="9"/>
    </row>
    <row r="693" ht="15.75" customHeight="1">
      <c r="A693" s="9"/>
      <c r="B693" s="223"/>
      <c r="C693" s="9"/>
      <c r="D693" s="9"/>
      <c r="E693" s="223"/>
      <c r="F693" s="9"/>
      <c r="G693" s="9"/>
      <c r="H693" s="9"/>
      <c r="I693" s="9"/>
      <c r="J693" s="9"/>
      <c r="K693" s="9"/>
      <c r="L693" s="9"/>
      <c r="M693" s="9"/>
      <c r="N693" s="9"/>
      <c r="O693" s="9"/>
      <c r="P693" s="9"/>
      <c r="Q693" s="9"/>
      <c r="R693" s="9"/>
      <c r="S693" s="9"/>
      <c r="T693" s="223"/>
      <c r="U693" s="9"/>
      <c r="V693" s="9"/>
      <c r="W693" s="971"/>
      <c r="X693" s="9"/>
      <c r="Y693" s="9"/>
      <c r="Z693" s="204"/>
      <c r="AA693" s="9"/>
      <c r="AB693" s="9"/>
      <c r="AC693" s="9"/>
      <c r="AD693" s="9"/>
    </row>
    <row r="694" ht="15.75" customHeight="1">
      <c r="A694" s="9"/>
      <c r="B694" s="223"/>
      <c r="C694" s="9"/>
      <c r="D694" s="9"/>
      <c r="E694" s="223"/>
      <c r="F694" s="9"/>
      <c r="G694" s="9"/>
      <c r="H694" s="9"/>
      <c r="I694" s="9"/>
      <c r="J694" s="9"/>
      <c r="K694" s="9"/>
      <c r="L694" s="9"/>
      <c r="M694" s="9"/>
      <c r="N694" s="9"/>
      <c r="O694" s="9"/>
      <c r="P694" s="9"/>
      <c r="Q694" s="9"/>
      <c r="R694" s="9"/>
      <c r="S694" s="9"/>
      <c r="T694" s="223"/>
      <c r="U694" s="9"/>
      <c r="V694" s="9"/>
      <c r="W694" s="971"/>
      <c r="X694" s="9"/>
      <c r="Y694" s="9"/>
      <c r="Z694" s="204"/>
      <c r="AA694" s="9"/>
      <c r="AB694" s="9"/>
      <c r="AC694" s="9"/>
      <c r="AD694" s="9"/>
    </row>
    <row r="695" ht="15.75" customHeight="1">
      <c r="A695" s="9"/>
      <c r="B695" s="223"/>
      <c r="C695" s="9"/>
      <c r="D695" s="9"/>
      <c r="E695" s="223"/>
      <c r="F695" s="9"/>
      <c r="G695" s="9"/>
      <c r="H695" s="9"/>
      <c r="I695" s="9"/>
      <c r="J695" s="9"/>
      <c r="K695" s="9"/>
      <c r="L695" s="9"/>
      <c r="M695" s="9"/>
      <c r="N695" s="9"/>
      <c r="O695" s="9"/>
      <c r="P695" s="9"/>
      <c r="Q695" s="9"/>
      <c r="R695" s="9"/>
      <c r="S695" s="9"/>
      <c r="T695" s="223"/>
      <c r="U695" s="9"/>
      <c r="V695" s="9"/>
      <c r="W695" s="971"/>
      <c r="X695" s="9"/>
      <c r="Y695" s="9"/>
      <c r="Z695" s="204"/>
      <c r="AA695" s="9"/>
      <c r="AB695" s="9"/>
      <c r="AC695" s="9"/>
      <c r="AD695" s="9"/>
    </row>
    <row r="696" ht="15.75" customHeight="1">
      <c r="A696" s="9"/>
      <c r="B696" s="223"/>
      <c r="C696" s="9"/>
      <c r="D696" s="9"/>
      <c r="E696" s="223"/>
      <c r="F696" s="9"/>
      <c r="G696" s="9"/>
      <c r="H696" s="9"/>
      <c r="I696" s="9"/>
      <c r="J696" s="9"/>
      <c r="K696" s="9"/>
      <c r="L696" s="9"/>
      <c r="M696" s="9"/>
      <c r="N696" s="9"/>
      <c r="O696" s="9"/>
      <c r="P696" s="9"/>
      <c r="Q696" s="9"/>
      <c r="R696" s="9"/>
      <c r="S696" s="9"/>
      <c r="T696" s="223"/>
      <c r="U696" s="9"/>
      <c r="V696" s="9"/>
      <c r="W696" s="971"/>
      <c r="X696" s="9"/>
      <c r="Y696" s="9"/>
      <c r="Z696" s="204"/>
      <c r="AA696" s="9"/>
      <c r="AB696" s="9"/>
      <c r="AC696" s="9"/>
      <c r="AD696" s="9"/>
    </row>
    <row r="697" ht="15.75" customHeight="1">
      <c r="A697" s="9"/>
      <c r="B697" s="223"/>
      <c r="C697" s="9"/>
      <c r="D697" s="9"/>
      <c r="E697" s="223"/>
      <c r="F697" s="9"/>
      <c r="G697" s="9"/>
      <c r="H697" s="9"/>
      <c r="I697" s="9"/>
      <c r="J697" s="9"/>
      <c r="K697" s="9"/>
      <c r="L697" s="9"/>
      <c r="M697" s="9"/>
      <c r="N697" s="9"/>
      <c r="O697" s="9"/>
      <c r="P697" s="9"/>
      <c r="Q697" s="9"/>
      <c r="R697" s="9"/>
      <c r="S697" s="9"/>
      <c r="T697" s="223"/>
      <c r="U697" s="9"/>
      <c r="V697" s="9"/>
      <c r="W697" s="971"/>
      <c r="X697" s="9"/>
      <c r="Y697" s="9"/>
      <c r="Z697" s="204"/>
      <c r="AA697" s="9"/>
      <c r="AB697" s="9"/>
      <c r="AC697" s="9"/>
      <c r="AD697" s="9"/>
    </row>
    <row r="698" ht="15.75" customHeight="1">
      <c r="A698" s="9"/>
      <c r="B698" s="223"/>
      <c r="C698" s="9"/>
      <c r="D698" s="9"/>
      <c r="E698" s="223"/>
      <c r="F698" s="9"/>
      <c r="G698" s="9"/>
      <c r="H698" s="9"/>
      <c r="I698" s="9"/>
      <c r="J698" s="9"/>
      <c r="K698" s="9"/>
      <c r="L698" s="9"/>
      <c r="M698" s="9"/>
      <c r="N698" s="9"/>
      <c r="O698" s="9"/>
      <c r="P698" s="9"/>
      <c r="Q698" s="9"/>
      <c r="R698" s="9"/>
      <c r="S698" s="9"/>
      <c r="T698" s="223"/>
      <c r="U698" s="9"/>
      <c r="V698" s="9"/>
      <c r="W698" s="971"/>
      <c r="X698" s="9"/>
      <c r="Y698" s="9"/>
      <c r="Z698" s="204"/>
      <c r="AA698" s="9"/>
      <c r="AB698" s="9"/>
      <c r="AC698" s="9"/>
      <c r="AD698" s="9"/>
    </row>
    <row r="699" ht="15.75" customHeight="1">
      <c r="A699" s="9"/>
      <c r="B699" s="223"/>
      <c r="C699" s="9"/>
      <c r="D699" s="9"/>
      <c r="E699" s="223"/>
      <c r="F699" s="9"/>
      <c r="G699" s="9"/>
      <c r="H699" s="9"/>
      <c r="I699" s="9"/>
      <c r="J699" s="9"/>
      <c r="K699" s="9"/>
      <c r="L699" s="9"/>
      <c r="M699" s="9"/>
      <c r="N699" s="9"/>
      <c r="O699" s="9"/>
      <c r="P699" s="9"/>
      <c r="Q699" s="9"/>
      <c r="R699" s="9"/>
      <c r="S699" s="9"/>
      <c r="T699" s="223"/>
      <c r="U699" s="9"/>
      <c r="V699" s="9"/>
      <c r="W699" s="971"/>
      <c r="X699" s="9"/>
      <c r="Y699" s="9"/>
      <c r="Z699" s="204"/>
      <c r="AA699" s="9"/>
      <c r="AB699" s="9"/>
      <c r="AC699" s="9"/>
      <c r="AD699" s="9"/>
    </row>
    <row r="700" ht="15.75" customHeight="1">
      <c r="A700" s="9"/>
      <c r="B700" s="223"/>
      <c r="C700" s="9"/>
      <c r="D700" s="9"/>
      <c r="E700" s="223"/>
      <c r="F700" s="9"/>
      <c r="G700" s="9"/>
      <c r="H700" s="9"/>
      <c r="I700" s="9"/>
      <c r="J700" s="9"/>
      <c r="K700" s="9"/>
      <c r="L700" s="9"/>
      <c r="M700" s="9"/>
      <c r="N700" s="9"/>
      <c r="O700" s="9"/>
      <c r="P700" s="9"/>
      <c r="Q700" s="9"/>
      <c r="R700" s="9"/>
      <c r="S700" s="9"/>
      <c r="T700" s="223"/>
      <c r="U700" s="9"/>
      <c r="V700" s="9"/>
      <c r="W700" s="971"/>
      <c r="X700" s="9"/>
      <c r="Y700" s="9"/>
      <c r="Z700" s="204"/>
      <c r="AA700" s="9"/>
      <c r="AB700" s="9"/>
      <c r="AC700" s="9"/>
      <c r="AD700" s="9"/>
    </row>
    <row r="701" ht="15.75" customHeight="1">
      <c r="A701" s="9"/>
      <c r="B701" s="223"/>
      <c r="C701" s="9"/>
      <c r="D701" s="9"/>
      <c r="E701" s="223"/>
      <c r="F701" s="9"/>
      <c r="G701" s="9"/>
      <c r="H701" s="9"/>
      <c r="I701" s="9"/>
      <c r="J701" s="9"/>
      <c r="K701" s="9"/>
      <c r="L701" s="9"/>
      <c r="M701" s="9"/>
      <c r="N701" s="9"/>
      <c r="O701" s="9"/>
      <c r="P701" s="9"/>
      <c r="Q701" s="9"/>
      <c r="R701" s="9"/>
      <c r="S701" s="9"/>
      <c r="T701" s="223"/>
      <c r="U701" s="9"/>
      <c r="V701" s="9"/>
      <c r="W701" s="971"/>
      <c r="X701" s="9"/>
      <c r="Y701" s="9"/>
      <c r="Z701" s="204"/>
      <c r="AA701" s="9"/>
      <c r="AB701" s="9"/>
      <c r="AC701" s="9"/>
      <c r="AD701" s="9"/>
    </row>
    <row r="702" ht="15.75" customHeight="1">
      <c r="A702" s="9"/>
      <c r="B702" s="223"/>
      <c r="C702" s="9"/>
      <c r="D702" s="9"/>
      <c r="E702" s="223"/>
      <c r="F702" s="9"/>
      <c r="G702" s="9"/>
      <c r="H702" s="9"/>
      <c r="I702" s="9"/>
      <c r="J702" s="9"/>
      <c r="K702" s="9"/>
      <c r="L702" s="9"/>
      <c r="M702" s="9"/>
      <c r="N702" s="9"/>
      <c r="O702" s="9"/>
      <c r="P702" s="9"/>
      <c r="Q702" s="9"/>
      <c r="R702" s="9"/>
      <c r="S702" s="9"/>
      <c r="T702" s="223"/>
      <c r="U702" s="9"/>
      <c r="V702" s="9"/>
      <c r="W702" s="971"/>
      <c r="X702" s="9"/>
      <c r="Y702" s="9"/>
      <c r="Z702" s="204"/>
      <c r="AA702" s="9"/>
      <c r="AB702" s="9"/>
      <c r="AC702" s="9"/>
      <c r="AD702" s="9"/>
    </row>
    <row r="703" ht="15.75" customHeight="1">
      <c r="A703" s="9"/>
      <c r="B703" s="223"/>
      <c r="C703" s="9"/>
      <c r="D703" s="9"/>
      <c r="E703" s="223"/>
      <c r="F703" s="9"/>
      <c r="G703" s="9"/>
      <c r="H703" s="9"/>
      <c r="I703" s="9"/>
      <c r="J703" s="9"/>
      <c r="K703" s="9"/>
      <c r="L703" s="9"/>
      <c r="M703" s="9"/>
      <c r="N703" s="9"/>
      <c r="O703" s="9"/>
      <c r="P703" s="9"/>
      <c r="Q703" s="9"/>
      <c r="R703" s="9"/>
      <c r="S703" s="9"/>
      <c r="T703" s="223"/>
      <c r="U703" s="9"/>
      <c r="V703" s="9"/>
      <c r="W703" s="971"/>
      <c r="X703" s="9"/>
      <c r="Y703" s="9"/>
      <c r="Z703" s="204"/>
      <c r="AA703" s="9"/>
      <c r="AB703" s="9"/>
      <c r="AC703" s="9"/>
      <c r="AD703" s="9"/>
    </row>
    <row r="704" ht="15.75" customHeight="1">
      <c r="A704" s="9"/>
      <c r="B704" s="223"/>
      <c r="C704" s="9"/>
      <c r="D704" s="9"/>
      <c r="E704" s="223"/>
      <c r="F704" s="9"/>
      <c r="G704" s="9"/>
      <c r="H704" s="9"/>
      <c r="I704" s="9"/>
      <c r="J704" s="9"/>
      <c r="K704" s="9"/>
      <c r="L704" s="9"/>
      <c r="M704" s="9"/>
      <c r="N704" s="9"/>
      <c r="O704" s="9"/>
      <c r="P704" s="9"/>
      <c r="Q704" s="9"/>
      <c r="R704" s="9"/>
      <c r="S704" s="9"/>
      <c r="T704" s="223"/>
      <c r="U704" s="9"/>
      <c r="V704" s="9"/>
      <c r="W704" s="971"/>
      <c r="X704" s="9"/>
      <c r="Y704" s="9"/>
      <c r="Z704" s="204"/>
      <c r="AA704" s="9"/>
      <c r="AB704" s="9"/>
      <c r="AC704" s="9"/>
      <c r="AD704" s="9"/>
    </row>
    <row r="705" ht="15.75" customHeight="1">
      <c r="A705" s="9"/>
      <c r="B705" s="223"/>
      <c r="C705" s="9"/>
      <c r="D705" s="9"/>
      <c r="E705" s="223"/>
      <c r="F705" s="9"/>
      <c r="G705" s="9"/>
      <c r="H705" s="9"/>
      <c r="I705" s="9"/>
      <c r="J705" s="9"/>
      <c r="K705" s="9"/>
      <c r="L705" s="9"/>
      <c r="M705" s="9"/>
      <c r="N705" s="9"/>
      <c r="O705" s="9"/>
      <c r="P705" s="9"/>
      <c r="Q705" s="9"/>
      <c r="R705" s="9"/>
      <c r="S705" s="9"/>
      <c r="T705" s="223"/>
      <c r="U705" s="9"/>
      <c r="V705" s="9"/>
      <c r="W705" s="971"/>
      <c r="X705" s="9"/>
      <c r="Y705" s="9"/>
      <c r="Z705" s="204"/>
      <c r="AA705" s="9"/>
      <c r="AB705" s="9"/>
      <c r="AC705" s="9"/>
      <c r="AD705" s="9"/>
    </row>
    <row r="706" ht="15.75" customHeight="1">
      <c r="A706" s="9"/>
      <c r="B706" s="223"/>
      <c r="C706" s="9"/>
      <c r="D706" s="9"/>
      <c r="E706" s="223"/>
      <c r="F706" s="9"/>
      <c r="G706" s="9"/>
      <c r="H706" s="9"/>
      <c r="I706" s="9"/>
      <c r="J706" s="9"/>
      <c r="K706" s="9"/>
      <c r="L706" s="9"/>
      <c r="M706" s="9"/>
      <c r="N706" s="9"/>
      <c r="O706" s="9"/>
      <c r="P706" s="9"/>
      <c r="Q706" s="9"/>
      <c r="R706" s="9"/>
      <c r="S706" s="9"/>
      <c r="T706" s="223"/>
      <c r="U706" s="9"/>
      <c r="V706" s="9"/>
      <c r="W706" s="971"/>
      <c r="X706" s="9"/>
      <c r="Y706" s="9"/>
      <c r="Z706" s="204"/>
      <c r="AA706" s="9"/>
      <c r="AB706" s="9"/>
      <c r="AC706" s="9"/>
      <c r="AD706" s="9"/>
    </row>
    <row r="707" ht="15.75" customHeight="1">
      <c r="A707" s="9"/>
      <c r="B707" s="223"/>
      <c r="C707" s="9"/>
      <c r="D707" s="9"/>
      <c r="E707" s="223"/>
      <c r="F707" s="9"/>
      <c r="G707" s="9"/>
      <c r="H707" s="9"/>
      <c r="I707" s="9"/>
      <c r="J707" s="9"/>
      <c r="K707" s="9"/>
      <c r="L707" s="9"/>
      <c r="M707" s="9"/>
      <c r="N707" s="9"/>
      <c r="O707" s="9"/>
      <c r="P707" s="9"/>
      <c r="Q707" s="9"/>
      <c r="R707" s="9"/>
      <c r="S707" s="9"/>
      <c r="T707" s="223"/>
      <c r="U707" s="9"/>
      <c r="V707" s="9"/>
      <c r="W707" s="971"/>
      <c r="X707" s="9"/>
      <c r="Y707" s="9"/>
      <c r="Z707" s="204"/>
      <c r="AA707" s="9"/>
      <c r="AB707" s="9"/>
      <c r="AC707" s="9"/>
      <c r="AD707" s="9"/>
    </row>
    <row r="708" ht="15.75" customHeight="1">
      <c r="A708" s="9"/>
      <c r="B708" s="223"/>
      <c r="C708" s="9"/>
      <c r="D708" s="9"/>
      <c r="E708" s="223"/>
      <c r="F708" s="9"/>
      <c r="G708" s="9"/>
      <c r="H708" s="9"/>
      <c r="I708" s="9"/>
      <c r="J708" s="9"/>
      <c r="K708" s="9"/>
      <c r="L708" s="9"/>
      <c r="M708" s="9"/>
      <c r="N708" s="9"/>
      <c r="O708" s="9"/>
      <c r="P708" s="9"/>
      <c r="Q708" s="9"/>
      <c r="R708" s="9"/>
      <c r="S708" s="9"/>
      <c r="T708" s="223"/>
      <c r="U708" s="9"/>
      <c r="V708" s="9"/>
      <c r="W708" s="971"/>
      <c r="X708" s="9"/>
      <c r="Y708" s="9"/>
      <c r="Z708" s="204"/>
      <c r="AA708" s="9"/>
      <c r="AB708" s="9"/>
      <c r="AC708" s="9"/>
      <c r="AD708" s="9"/>
    </row>
    <row r="709" ht="15.75" customHeight="1">
      <c r="A709" s="9"/>
      <c r="B709" s="223"/>
      <c r="C709" s="9"/>
      <c r="D709" s="9"/>
      <c r="E709" s="223"/>
      <c r="F709" s="9"/>
      <c r="G709" s="9"/>
      <c r="H709" s="9"/>
      <c r="I709" s="9"/>
      <c r="J709" s="9"/>
      <c r="K709" s="9"/>
      <c r="L709" s="9"/>
      <c r="M709" s="9"/>
      <c r="N709" s="9"/>
      <c r="O709" s="9"/>
      <c r="P709" s="9"/>
      <c r="Q709" s="9"/>
      <c r="R709" s="9"/>
      <c r="S709" s="9"/>
      <c r="T709" s="223"/>
      <c r="U709" s="9"/>
      <c r="V709" s="9"/>
      <c r="W709" s="971"/>
      <c r="X709" s="9"/>
      <c r="Y709" s="9"/>
      <c r="Z709" s="204"/>
      <c r="AA709" s="9"/>
      <c r="AB709" s="9"/>
      <c r="AC709" s="9"/>
      <c r="AD709" s="9"/>
    </row>
    <row r="710" ht="15.75" customHeight="1">
      <c r="A710" s="9"/>
      <c r="B710" s="223"/>
      <c r="C710" s="9"/>
      <c r="D710" s="9"/>
      <c r="E710" s="223"/>
      <c r="F710" s="9"/>
      <c r="G710" s="9"/>
      <c r="H710" s="9"/>
      <c r="I710" s="9"/>
      <c r="J710" s="9"/>
      <c r="K710" s="9"/>
      <c r="L710" s="9"/>
      <c r="M710" s="9"/>
      <c r="N710" s="9"/>
      <c r="O710" s="9"/>
      <c r="P710" s="9"/>
      <c r="Q710" s="9"/>
      <c r="R710" s="9"/>
      <c r="S710" s="9"/>
      <c r="T710" s="223"/>
      <c r="U710" s="9"/>
      <c r="V710" s="9"/>
      <c r="W710" s="971"/>
      <c r="X710" s="9"/>
      <c r="Y710" s="9"/>
      <c r="Z710" s="204"/>
      <c r="AA710" s="9"/>
      <c r="AB710" s="9"/>
      <c r="AC710" s="9"/>
      <c r="AD710" s="9"/>
    </row>
    <row r="711" ht="15.75" customHeight="1">
      <c r="A711" s="9"/>
      <c r="B711" s="223"/>
      <c r="C711" s="9"/>
      <c r="D711" s="9"/>
      <c r="E711" s="223"/>
      <c r="F711" s="9"/>
      <c r="G711" s="9"/>
      <c r="H711" s="9"/>
      <c r="I711" s="9"/>
      <c r="J711" s="9"/>
      <c r="K711" s="9"/>
      <c r="L711" s="9"/>
      <c r="M711" s="9"/>
      <c r="N711" s="9"/>
      <c r="O711" s="9"/>
      <c r="P711" s="9"/>
      <c r="Q711" s="9"/>
      <c r="R711" s="9"/>
      <c r="S711" s="9"/>
      <c r="T711" s="223"/>
      <c r="U711" s="9"/>
      <c r="V711" s="9"/>
      <c r="W711" s="971"/>
      <c r="X711" s="9"/>
      <c r="Y711" s="9"/>
      <c r="Z711" s="204"/>
      <c r="AA711" s="9"/>
      <c r="AB711" s="9"/>
      <c r="AC711" s="9"/>
      <c r="AD711" s="9"/>
    </row>
    <row r="712" ht="15.75" customHeight="1">
      <c r="A712" s="9"/>
      <c r="B712" s="223"/>
      <c r="C712" s="9"/>
      <c r="D712" s="9"/>
      <c r="E712" s="223"/>
      <c r="F712" s="9"/>
      <c r="G712" s="9"/>
      <c r="H712" s="9"/>
      <c r="I712" s="9"/>
      <c r="J712" s="9"/>
      <c r="K712" s="9"/>
      <c r="L712" s="9"/>
      <c r="M712" s="9"/>
      <c r="N712" s="9"/>
      <c r="O712" s="9"/>
      <c r="P712" s="9"/>
      <c r="Q712" s="9"/>
      <c r="R712" s="9"/>
      <c r="S712" s="9"/>
      <c r="T712" s="223"/>
      <c r="U712" s="9"/>
      <c r="V712" s="9"/>
      <c r="W712" s="971"/>
      <c r="X712" s="9"/>
      <c r="Y712" s="9"/>
      <c r="Z712" s="204"/>
      <c r="AA712" s="9"/>
      <c r="AB712" s="9"/>
      <c r="AC712" s="9"/>
      <c r="AD712" s="9"/>
    </row>
    <row r="713" ht="15.75" customHeight="1">
      <c r="A713" s="9"/>
      <c r="B713" s="223"/>
      <c r="C713" s="9"/>
      <c r="D713" s="9"/>
      <c r="E713" s="223"/>
      <c r="F713" s="9"/>
      <c r="G713" s="9"/>
      <c r="H713" s="9"/>
      <c r="I713" s="9"/>
      <c r="J713" s="9"/>
      <c r="K713" s="9"/>
      <c r="L713" s="9"/>
      <c r="M713" s="9"/>
      <c r="N713" s="9"/>
      <c r="O713" s="9"/>
      <c r="P713" s="9"/>
      <c r="Q713" s="9"/>
      <c r="R713" s="9"/>
      <c r="S713" s="9"/>
      <c r="T713" s="223"/>
      <c r="U713" s="9"/>
      <c r="V713" s="9"/>
      <c r="W713" s="971"/>
      <c r="X713" s="9"/>
      <c r="Y713" s="9"/>
      <c r="Z713" s="204"/>
      <c r="AA713" s="9"/>
      <c r="AB713" s="9"/>
      <c r="AC713" s="9"/>
      <c r="AD713" s="9"/>
    </row>
    <row r="714" ht="15.75" customHeight="1">
      <c r="A714" s="9"/>
      <c r="B714" s="223"/>
      <c r="C714" s="9"/>
      <c r="D714" s="9"/>
      <c r="E714" s="223"/>
      <c r="F714" s="9"/>
      <c r="G714" s="9"/>
      <c r="H714" s="9"/>
      <c r="I714" s="9"/>
      <c r="J714" s="9"/>
      <c r="K714" s="9"/>
      <c r="L714" s="9"/>
      <c r="M714" s="9"/>
      <c r="N714" s="9"/>
      <c r="O714" s="9"/>
      <c r="P714" s="9"/>
      <c r="Q714" s="9"/>
      <c r="R714" s="9"/>
      <c r="S714" s="9"/>
      <c r="T714" s="223"/>
      <c r="U714" s="9"/>
      <c r="V714" s="9"/>
      <c r="W714" s="971"/>
      <c r="X714" s="9"/>
      <c r="Y714" s="9"/>
      <c r="Z714" s="204"/>
      <c r="AA714" s="9"/>
      <c r="AB714" s="9"/>
      <c r="AC714" s="9"/>
      <c r="AD714" s="9"/>
    </row>
    <row r="715" ht="15.75" customHeight="1">
      <c r="A715" s="9"/>
      <c r="B715" s="223"/>
      <c r="C715" s="9"/>
      <c r="D715" s="9"/>
      <c r="E715" s="223"/>
      <c r="F715" s="9"/>
      <c r="G715" s="9"/>
      <c r="H715" s="9"/>
      <c r="I715" s="9"/>
      <c r="J715" s="9"/>
      <c r="K715" s="9"/>
      <c r="L715" s="9"/>
      <c r="M715" s="9"/>
      <c r="N715" s="9"/>
      <c r="O715" s="9"/>
      <c r="P715" s="9"/>
      <c r="Q715" s="9"/>
      <c r="R715" s="9"/>
      <c r="S715" s="9"/>
      <c r="T715" s="223"/>
      <c r="U715" s="9"/>
      <c r="V715" s="9"/>
      <c r="W715" s="971"/>
      <c r="X715" s="9"/>
      <c r="Y715" s="9"/>
      <c r="Z715" s="204"/>
      <c r="AA715" s="9"/>
      <c r="AB715" s="9"/>
      <c r="AC715" s="9"/>
      <c r="AD715" s="9"/>
    </row>
    <row r="716" ht="15.75" customHeight="1">
      <c r="A716" s="9"/>
      <c r="B716" s="223"/>
      <c r="C716" s="9"/>
      <c r="D716" s="9"/>
      <c r="E716" s="223"/>
      <c r="F716" s="9"/>
      <c r="G716" s="9"/>
      <c r="H716" s="9"/>
      <c r="I716" s="9"/>
      <c r="J716" s="9"/>
      <c r="K716" s="9"/>
      <c r="L716" s="9"/>
      <c r="M716" s="9"/>
      <c r="N716" s="9"/>
      <c r="O716" s="9"/>
      <c r="P716" s="9"/>
      <c r="Q716" s="9"/>
      <c r="R716" s="9"/>
      <c r="S716" s="9"/>
      <c r="T716" s="223"/>
      <c r="U716" s="9"/>
      <c r="V716" s="9"/>
      <c r="W716" s="971"/>
      <c r="X716" s="9"/>
      <c r="Y716" s="9"/>
      <c r="Z716" s="204"/>
      <c r="AA716" s="9"/>
      <c r="AB716" s="9"/>
      <c r="AC716" s="9"/>
      <c r="AD716" s="9"/>
    </row>
    <row r="717" ht="15.75" customHeight="1">
      <c r="A717" s="9"/>
      <c r="B717" s="223"/>
      <c r="C717" s="9"/>
      <c r="D717" s="9"/>
      <c r="E717" s="223"/>
      <c r="F717" s="9"/>
      <c r="G717" s="9"/>
      <c r="H717" s="9"/>
      <c r="I717" s="9"/>
      <c r="J717" s="9"/>
      <c r="K717" s="9"/>
      <c r="L717" s="9"/>
      <c r="M717" s="9"/>
      <c r="N717" s="9"/>
      <c r="O717" s="9"/>
      <c r="P717" s="9"/>
      <c r="Q717" s="9"/>
      <c r="R717" s="9"/>
      <c r="S717" s="9"/>
      <c r="T717" s="223"/>
      <c r="U717" s="9"/>
      <c r="V717" s="9"/>
      <c r="W717" s="971"/>
      <c r="X717" s="9"/>
      <c r="Y717" s="9"/>
      <c r="Z717" s="204"/>
      <c r="AA717" s="9"/>
      <c r="AB717" s="9"/>
      <c r="AC717" s="9"/>
      <c r="AD717" s="9"/>
    </row>
    <row r="718" ht="15.75" customHeight="1">
      <c r="A718" s="9"/>
      <c r="B718" s="223"/>
      <c r="C718" s="9"/>
      <c r="D718" s="9"/>
      <c r="E718" s="223"/>
      <c r="F718" s="9"/>
      <c r="G718" s="9"/>
      <c r="H718" s="9"/>
      <c r="I718" s="9"/>
      <c r="J718" s="9"/>
      <c r="K718" s="9"/>
      <c r="L718" s="9"/>
      <c r="M718" s="9"/>
      <c r="N718" s="9"/>
      <c r="O718" s="9"/>
      <c r="P718" s="9"/>
      <c r="Q718" s="9"/>
      <c r="R718" s="9"/>
      <c r="S718" s="9"/>
      <c r="T718" s="223"/>
      <c r="U718" s="9"/>
      <c r="V718" s="9"/>
      <c r="W718" s="971"/>
      <c r="X718" s="9"/>
      <c r="Y718" s="9"/>
      <c r="Z718" s="204"/>
      <c r="AA718" s="9"/>
      <c r="AB718" s="9"/>
      <c r="AC718" s="9"/>
      <c r="AD718" s="9"/>
    </row>
    <row r="719" ht="15.75" customHeight="1">
      <c r="A719" s="9"/>
      <c r="B719" s="223"/>
      <c r="C719" s="9"/>
      <c r="D719" s="9"/>
      <c r="E719" s="223"/>
      <c r="F719" s="9"/>
      <c r="G719" s="9"/>
      <c r="H719" s="9"/>
      <c r="I719" s="9"/>
      <c r="J719" s="9"/>
      <c r="K719" s="9"/>
      <c r="L719" s="9"/>
      <c r="M719" s="9"/>
      <c r="N719" s="9"/>
      <c r="O719" s="9"/>
      <c r="P719" s="9"/>
      <c r="Q719" s="9"/>
      <c r="R719" s="9"/>
      <c r="S719" s="9"/>
      <c r="T719" s="223"/>
      <c r="U719" s="9"/>
      <c r="V719" s="9"/>
      <c r="W719" s="971"/>
      <c r="X719" s="9"/>
      <c r="Y719" s="9"/>
      <c r="Z719" s="204"/>
      <c r="AA719" s="9"/>
      <c r="AB719" s="9"/>
      <c r="AC719" s="9"/>
      <c r="AD719" s="9"/>
    </row>
    <row r="720" ht="15.75" customHeight="1">
      <c r="A720" s="9"/>
      <c r="B720" s="223"/>
      <c r="C720" s="9"/>
      <c r="D720" s="9"/>
      <c r="E720" s="223"/>
      <c r="F720" s="9"/>
      <c r="G720" s="9"/>
      <c r="H720" s="9"/>
      <c r="I720" s="9"/>
      <c r="J720" s="9"/>
      <c r="K720" s="9"/>
      <c r="L720" s="9"/>
      <c r="M720" s="9"/>
      <c r="N720" s="9"/>
      <c r="O720" s="9"/>
      <c r="P720" s="9"/>
      <c r="Q720" s="9"/>
      <c r="R720" s="9"/>
      <c r="S720" s="9"/>
      <c r="T720" s="223"/>
      <c r="U720" s="9"/>
      <c r="V720" s="9"/>
      <c r="W720" s="971"/>
      <c r="X720" s="9"/>
      <c r="Y720" s="9"/>
      <c r="Z720" s="204"/>
      <c r="AA720" s="9"/>
      <c r="AB720" s="9"/>
      <c r="AC720" s="9"/>
      <c r="AD720" s="9"/>
    </row>
    <row r="721" ht="15.75" customHeight="1">
      <c r="A721" s="9"/>
      <c r="B721" s="223"/>
      <c r="C721" s="9"/>
      <c r="D721" s="9"/>
      <c r="E721" s="223"/>
      <c r="F721" s="9"/>
      <c r="G721" s="9"/>
      <c r="H721" s="9"/>
      <c r="I721" s="9"/>
      <c r="J721" s="9"/>
      <c r="K721" s="9"/>
      <c r="L721" s="9"/>
      <c r="M721" s="9"/>
      <c r="N721" s="9"/>
      <c r="O721" s="9"/>
      <c r="P721" s="9"/>
      <c r="Q721" s="9"/>
      <c r="R721" s="9"/>
      <c r="S721" s="9"/>
      <c r="T721" s="223"/>
      <c r="U721" s="9"/>
      <c r="V721" s="9"/>
      <c r="W721" s="971"/>
      <c r="X721" s="9"/>
      <c r="Y721" s="9"/>
      <c r="Z721" s="204"/>
      <c r="AA721" s="9"/>
      <c r="AB721" s="9"/>
      <c r="AC721" s="9"/>
      <c r="AD721" s="9"/>
    </row>
    <row r="722" ht="15.75" customHeight="1">
      <c r="A722" s="9"/>
      <c r="B722" s="223"/>
      <c r="C722" s="9"/>
      <c r="D722" s="9"/>
      <c r="E722" s="223"/>
      <c r="F722" s="9"/>
      <c r="G722" s="9"/>
      <c r="H722" s="9"/>
      <c r="I722" s="9"/>
      <c r="J722" s="9"/>
      <c r="K722" s="9"/>
      <c r="L722" s="9"/>
      <c r="M722" s="9"/>
      <c r="N722" s="9"/>
      <c r="O722" s="9"/>
      <c r="P722" s="9"/>
      <c r="Q722" s="9"/>
      <c r="R722" s="9"/>
      <c r="S722" s="9"/>
      <c r="T722" s="223"/>
      <c r="U722" s="9"/>
      <c r="V722" s="9"/>
      <c r="W722" s="971"/>
      <c r="X722" s="9"/>
      <c r="Y722" s="9"/>
      <c r="Z722" s="204"/>
      <c r="AA722" s="9"/>
      <c r="AB722" s="9"/>
      <c r="AC722" s="9"/>
      <c r="AD722" s="9"/>
    </row>
    <row r="723" ht="15.75" customHeight="1">
      <c r="A723" s="9"/>
      <c r="B723" s="223"/>
      <c r="C723" s="9"/>
      <c r="D723" s="9"/>
      <c r="E723" s="223"/>
      <c r="F723" s="9"/>
      <c r="G723" s="9"/>
      <c r="H723" s="9"/>
      <c r="I723" s="9"/>
      <c r="J723" s="9"/>
      <c r="K723" s="9"/>
      <c r="L723" s="9"/>
      <c r="M723" s="9"/>
      <c r="N723" s="9"/>
      <c r="O723" s="9"/>
      <c r="P723" s="9"/>
      <c r="Q723" s="9"/>
      <c r="R723" s="9"/>
      <c r="S723" s="9"/>
      <c r="T723" s="223"/>
      <c r="U723" s="9"/>
      <c r="V723" s="9"/>
      <c r="W723" s="971"/>
      <c r="X723" s="9"/>
      <c r="Y723" s="9"/>
      <c r="Z723" s="204"/>
      <c r="AA723" s="9"/>
      <c r="AB723" s="9"/>
      <c r="AC723" s="9"/>
      <c r="AD723" s="9"/>
    </row>
    <row r="724" ht="15.75" customHeight="1">
      <c r="A724" s="9"/>
      <c r="B724" s="223"/>
      <c r="C724" s="9"/>
      <c r="D724" s="9"/>
      <c r="E724" s="223"/>
      <c r="F724" s="9"/>
      <c r="G724" s="9"/>
      <c r="H724" s="9"/>
      <c r="I724" s="9"/>
      <c r="J724" s="9"/>
      <c r="K724" s="9"/>
      <c r="L724" s="9"/>
      <c r="M724" s="9"/>
      <c r="N724" s="9"/>
      <c r="O724" s="9"/>
      <c r="P724" s="9"/>
      <c r="Q724" s="9"/>
      <c r="R724" s="9"/>
      <c r="S724" s="9"/>
      <c r="T724" s="223"/>
      <c r="U724" s="9"/>
      <c r="V724" s="9"/>
      <c r="W724" s="971"/>
      <c r="X724" s="9"/>
      <c r="Y724" s="9"/>
      <c r="Z724" s="204"/>
      <c r="AA724" s="9"/>
      <c r="AB724" s="9"/>
      <c r="AC724" s="9"/>
      <c r="AD724" s="9"/>
    </row>
    <row r="725" ht="15.75" customHeight="1">
      <c r="A725" s="9"/>
      <c r="B725" s="223"/>
      <c r="C725" s="9"/>
      <c r="D725" s="9"/>
      <c r="E725" s="223"/>
      <c r="F725" s="9"/>
      <c r="G725" s="9"/>
      <c r="H725" s="9"/>
      <c r="I725" s="9"/>
      <c r="J725" s="9"/>
      <c r="K725" s="9"/>
      <c r="L725" s="9"/>
      <c r="M725" s="9"/>
      <c r="N725" s="9"/>
      <c r="O725" s="9"/>
      <c r="P725" s="9"/>
      <c r="Q725" s="9"/>
      <c r="R725" s="9"/>
      <c r="S725" s="9"/>
      <c r="T725" s="223"/>
      <c r="U725" s="9"/>
      <c r="V725" s="9"/>
      <c r="W725" s="971"/>
      <c r="X725" s="9"/>
      <c r="Y725" s="9"/>
      <c r="Z725" s="204"/>
      <c r="AA725" s="9"/>
      <c r="AB725" s="9"/>
      <c r="AC725" s="9"/>
      <c r="AD725" s="9"/>
    </row>
    <row r="726" ht="15.75" customHeight="1">
      <c r="A726" s="9"/>
      <c r="B726" s="223"/>
      <c r="C726" s="9"/>
      <c r="D726" s="9"/>
      <c r="E726" s="223"/>
      <c r="F726" s="9"/>
      <c r="G726" s="9"/>
      <c r="H726" s="9"/>
      <c r="I726" s="9"/>
      <c r="J726" s="9"/>
      <c r="K726" s="9"/>
      <c r="L726" s="9"/>
      <c r="M726" s="9"/>
      <c r="N726" s="9"/>
      <c r="O726" s="9"/>
      <c r="P726" s="9"/>
      <c r="Q726" s="9"/>
      <c r="R726" s="9"/>
      <c r="S726" s="9"/>
      <c r="T726" s="223"/>
      <c r="U726" s="9"/>
      <c r="V726" s="9"/>
      <c r="W726" s="971"/>
      <c r="X726" s="9"/>
      <c r="Y726" s="9"/>
      <c r="Z726" s="204"/>
      <c r="AA726" s="9"/>
      <c r="AB726" s="9"/>
      <c r="AC726" s="9"/>
      <c r="AD726" s="9"/>
    </row>
    <row r="727" ht="15.75" customHeight="1">
      <c r="A727" s="9"/>
      <c r="B727" s="223"/>
      <c r="C727" s="9"/>
      <c r="D727" s="9"/>
      <c r="E727" s="223"/>
      <c r="F727" s="9"/>
      <c r="G727" s="9"/>
      <c r="H727" s="9"/>
      <c r="I727" s="9"/>
      <c r="J727" s="9"/>
      <c r="K727" s="9"/>
      <c r="L727" s="9"/>
      <c r="M727" s="9"/>
      <c r="N727" s="9"/>
      <c r="O727" s="9"/>
      <c r="P727" s="9"/>
      <c r="Q727" s="9"/>
      <c r="R727" s="9"/>
      <c r="S727" s="9"/>
      <c r="T727" s="223"/>
      <c r="U727" s="9"/>
      <c r="V727" s="9"/>
      <c r="W727" s="971"/>
      <c r="X727" s="9"/>
      <c r="Y727" s="9"/>
      <c r="Z727" s="204"/>
      <c r="AA727" s="9"/>
      <c r="AB727" s="9"/>
      <c r="AC727" s="9"/>
      <c r="AD727" s="9"/>
    </row>
    <row r="728" ht="15.75" customHeight="1">
      <c r="A728" s="9"/>
      <c r="B728" s="223"/>
      <c r="C728" s="9"/>
      <c r="D728" s="9"/>
      <c r="E728" s="223"/>
      <c r="F728" s="9"/>
      <c r="G728" s="9"/>
      <c r="H728" s="9"/>
      <c r="I728" s="9"/>
      <c r="J728" s="9"/>
      <c r="K728" s="9"/>
      <c r="L728" s="9"/>
      <c r="M728" s="9"/>
      <c r="N728" s="9"/>
      <c r="O728" s="9"/>
      <c r="P728" s="9"/>
      <c r="Q728" s="9"/>
      <c r="R728" s="9"/>
      <c r="S728" s="9"/>
      <c r="T728" s="223"/>
      <c r="U728" s="9"/>
      <c r="V728" s="9"/>
      <c r="W728" s="971"/>
      <c r="X728" s="9"/>
      <c r="Y728" s="9"/>
      <c r="Z728" s="204"/>
      <c r="AA728" s="9"/>
      <c r="AB728" s="9"/>
      <c r="AC728" s="9"/>
      <c r="AD728" s="9"/>
    </row>
    <row r="729" ht="15.75" customHeight="1">
      <c r="A729" s="9"/>
      <c r="B729" s="223"/>
      <c r="C729" s="9"/>
      <c r="D729" s="9"/>
      <c r="E729" s="223"/>
      <c r="F729" s="9"/>
      <c r="G729" s="9"/>
      <c r="H729" s="9"/>
      <c r="I729" s="9"/>
      <c r="J729" s="9"/>
      <c r="K729" s="9"/>
      <c r="L729" s="9"/>
      <c r="M729" s="9"/>
      <c r="N729" s="9"/>
      <c r="O729" s="9"/>
      <c r="P729" s="9"/>
      <c r="Q729" s="9"/>
      <c r="R729" s="9"/>
      <c r="S729" s="9"/>
      <c r="T729" s="223"/>
      <c r="U729" s="9"/>
      <c r="V729" s="9"/>
      <c r="W729" s="971"/>
      <c r="X729" s="9"/>
      <c r="Y729" s="9"/>
      <c r="Z729" s="204"/>
      <c r="AA729" s="9"/>
      <c r="AB729" s="9"/>
      <c r="AC729" s="9"/>
      <c r="AD729" s="9"/>
    </row>
    <row r="730" ht="15.75" customHeight="1">
      <c r="A730" s="9"/>
      <c r="B730" s="223"/>
      <c r="C730" s="9"/>
      <c r="D730" s="9"/>
      <c r="E730" s="223"/>
      <c r="F730" s="9"/>
      <c r="G730" s="9"/>
      <c r="H730" s="9"/>
      <c r="I730" s="9"/>
      <c r="J730" s="9"/>
      <c r="K730" s="9"/>
      <c r="L730" s="9"/>
      <c r="M730" s="9"/>
      <c r="N730" s="9"/>
      <c r="O730" s="9"/>
      <c r="P730" s="9"/>
      <c r="Q730" s="9"/>
      <c r="R730" s="9"/>
      <c r="S730" s="9"/>
      <c r="T730" s="223"/>
      <c r="U730" s="9"/>
      <c r="V730" s="9"/>
      <c r="W730" s="971"/>
      <c r="X730" s="9"/>
      <c r="Y730" s="9"/>
      <c r="Z730" s="204"/>
      <c r="AA730" s="9"/>
      <c r="AB730" s="9"/>
      <c r="AC730" s="9"/>
      <c r="AD730" s="9"/>
    </row>
    <row r="731" ht="15.75" customHeight="1">
      <c r="A731" s="9"/>
      <c r="B731" s="223"/>
      <c r="C731" s="9"/>
      <c r="D731" s="9"/>
      <c r="E731" s="223"/>
      <c r="F731" s="9"/>
      <c r="G731" s="9"/>
      <c r="H731" s="9"/>
      <c r="I731" s="9"/>
      <c r="J731" s="9"/>
      <c r="K731" s="9"/>
      <c r="L731" s="9"/>
      <c r="M731" s="9"/>
      <c r="N731" s="9"/>
      <c r="O731" s="9"/>
      <c r="P731" s="9"/>
      <c r="Q731" s="9"/>
      <c r="R731" s="9"/>
      <c r="S731" s="9"/>
      <c r="T731" s="223"/>
      <c r="U731" s="9"/>
      <c r="V731" s="9"/>
      <c r="W731" s="971"/>
      <c r="X731" s="9"/>
      <c r="Y731" s="9"/>
      <c r="Z731" s="204"/>
      <c r="AA731" s="9"/>
      <c r="AB731" s="9"/>
      <c r="AC731" s="9"/>
      <c r="AD731" s="9"/>
    </row>
    <row r="732" ht="15.75" customHeight="1">
      <c r="A732" s="9"/>
      <c r="B732" s="223"/>
      <c r="C732" s="9"/>
      <c r="D732" s="9"/>
      <c r="E732" s="223"/>
      <c r="F732" s="9"/>
      <c r="G732" s="9"/>
      <c r="H732" s="9"/>
      <c r="I732" s="9"/>
      <c r="J732" s="9"/>
      <c r="K732" s="9"/>
      <c r="L732" s="9"/>
      <c r="M732" s="9"/>
      <c r="N732" s="9"/>
      <c r="O732" s="9"/>
      <c r="P732" s="9"/>
      <c r="Q732" s="9"/>
      <c r="R732" s="9"/>
      <c r="S732" s="9"/>
      <c r="T732" s="223"/>
      <c r="U732" s="9"/>
      <c r="V732" s="9"/>
      <c r="W732" s="971"/>
      <c r="X732" s="9"/>
      <c r="Y732" s="9"/>
      <c r="Z732" s="204"/>
      <c r="AA732" s="9"/>
      <c r="AB732" s="9"/>
      <c r="AC732" s="9"/>
      <c r="AD732" s="9"/>
    </row>
    <row r="733" ht="15.75" customHeight="1">
      <c r="A733" s="9"/>
      <c r="B733" s="223"/>
      <c r="C733" s="9"/>
      <c r="D733" s="9"/>
      <c r="E733" s="223"/>
      <c r="F733" s="9"/>
      <c r="G733" s="9"/>
      <c r="H733" s="9"/>
      <c r="I733" s="9"/>
      <c r="J733" s="9"/>
      <c r="K733" s="9"/>
      <c r="L733" s="9"/>
      <c r="M733" s="9"/>
      <c r="N733" s="9"/>
      <c r="O733" s="9"/>
      <c r="P733" s="9"/>
      <c r="Q733" s="9"/>
      <c r="R733" s="9"/>
      <c r="S733" s="9"/>
      <c r="T733" s="223"/>
      <c r="U733" s="9"/>
      <c r="V733" s="9"/>
      <c r="W733" s="971"/>
      <c r="X733" s="9"/>
      <c r="Y733" s="9"/>
      <c r="Z733" s="204"/>
      <c r="AA733" s="9"/>
      <c r="AB733" s="9"/>
      <c r="AC733" s="9"/>
      <c r="AD733" s="9"/>
    </row>
    <row r="734" ht="15.75" customHeight="1">
      <c r="A734" s="9"/>
      <c r="B734" s="223"/>
      <c r="C734" s="9"/>
      <c r="D734" s="9"/>
      <c r="E734" s="223"/>
      <c r="F734" s="9"/>
      <c r="G734" s="9"/>
      <c r="H734" s="9"/>
      <c r="I734" s="9"/>
      <c r="J734" s="9"/>
      <c r="K734" s="9"/>
      <c r="L734" s="9"/>
      <c r="M734" s="9"/>
      <c r="N734" s="9"/>
      <c r="O734" s="9"/>
      <c r="P734" s="9"/>
      <c r="Q734" s="9"/>
      <c r="R734" s="9"/>
      <c r="S734" s="9"/>
      <c r="T734" s="223"/>
      <c r="U734" s="9"/>
      <c r="V734" s="9"/>
      <c r="W734" s="971"/>
      <c r="X734" s="9"/>
      <c r="Y734" s="9"/>
      <c r="Z734" s="204"/>
      <c r="AA734" s="9"/>
      <c r="AB734" s="9"/>
      <c r="AC734" s="9"/>
      <c r="AD734" s="9"/>
    </row>
    <row r="735" ht="15.75" customHeight="1">
      <c r="A735" s="9"/>
      <c r="B735" s="223"/>
      <c r="C735" s="9"/>
      <c r="D735" s="9"/>
      <c r="E735" s="223"/>
      <c r="F735" s="9"/>
      <c r="G735" s="9"/>
      <c r="H735" s="9"/>
      <c r="I735" s="9"/>
      <c r="J735" s="9"/>
      <c r="K735" s="9"/>
      <c r="L735" s="9"/>
      <c r="M735" s="9"/>
      <c r="N735" s="9"/>
      <c r="O735" s="9"/>
      <c r="P735" s="9"/>
      <c r="Q735" s="9"/>
      <c r="R735" s="9"/>
      <c r="S735" s="9"/>
      <c r="T735" s="223"/>
      <c r="U735" s="9"/>
      <c r="V735" s="9"/>
      <c r="W735" s="971"/>
      <c r="X735" s="9"/>
      <c r="Y735" s="9"/>
      <c r="Z735" s="204"/>
      <c r="AA735" s="9"/>
      <c r="AB735" s="9"/>
      <c r="AC735" s="9"/>
      <c r="AD735" s="9"/>
    </row>
    <row r="736" ht="15.75" customHeight="1">
      <c r="A736" s="9"/>
      <c r="B736" s="223"/>
      <c r="C736" s="9"/>
      <c r="D736" s="9"/>
      <c r="E736" s="223"/>
      <c r="F736" s="9"/>
      <c r="G736" s="9"/>
      <c r="H736" s="9"/>
      <c r="I736" s="9"/>
      <c r="J736" s="9"/>
      <c r="K736" s="9"/>
      <c r="L736" s="9"/>
      <c r="M736" s="9"/>
      <c r="N736" s="9"/>
      <c r="O736" s="9"/>
      <c r="P736" s="9"/>
      <c r="Q736" s="9"/>
      <c r="R736" s="9"/>
      <c r="S736" s="9"/>
      <c r="T736" s="223"/>
      <c r="U736" s="9"/>
      <c r="V736" s="9"/>
      <c r="W736" s="971"/>
      <c r="X736" s="9"/>
      <c r="Y736" s="9"/>
      <c r="Z736" s="204"/>
      <c r="AA736" s="9"/>
      <c r="AB736" s="9"/>
      <c r="AC736" s="9"/>
      <c r="AD736" s="9"/>
    </row>
    <row r="737" ht="15.75" customHeight="1">
      <c r="A737" s="9"/>
      <c r="B737" s="223"/>
      <c r="C737" s="9"/>
      <c r="D737" s="9"/>
      <c r="E737" s="223"/>
      <c r="F737" s="9"/>
      <c r="G737" s="9"/>
      <c r="H737" s="9"/>
      <c r="I737" s="9"/>
      <c r="J737" s="9"/>
      <c r="K737" s="9"/>
      <c r="L737" s="9"/>
      <c r="M737" s="9"/>
      <c r="N737" s="9"/>
      <c r="O737" s="9"/>
      <c r="P737" s="9"/>
      <c r="Q737" s="9"/>
      <c r="R737" s="9"/>
      <c r="S737" s="9"/>
      <c r="T737" s="223"/>
      <c r="U737" s="9"/>
      <c r="V737" s="9"/>
      <c r="W737" s="971"/>
      <c r="X737" s="9"/>
      <c r="Y737" s="9"/>
      <c r="Z737" s="204"/>
      <c r="AA737" s="9"/>
      <c r="AB737" s="9"/>
      <c r="AC737" s="9"/>
      <c r="AD737" s="9"/>
    </row>
    <row r="738" ht="15.75" customHeight="1">
      <c r="A738" s="9"/>
      <c r="B738" s="223"/>
      <c r="C738" s="9"/>
      <c r="D738" s="9"/>
      <c r="E738" s="223"/>
      <c r="F738" s="9"/>
      <c r="G738" s="9"/>
      <c r="H738" s="9"/>
      <c r="I738" s="9"/>
      <c r="J738" s="9"/>
      <c r="K738" s="9"/>
      <c r="L738" s="9"/>
      <c r="M738" s="9"/>
      <c r="N738" s="9"/>
      <c r="O738" s="9"/>
      <c r="P738" s="9"/>
      <c r="Q738" s="9"/>
      <c r="R738" s="9"/>
      <c r="S738" s="9"/>
      <c r="T738" s="223"/>
      <c r="U738" s="9"/>
      <c r="V738" s="9"/>
      <c r="W738" s="971"/>
      <c r="X738" s="9"/>
      <c r="Y738" s="9"/>
      <c r="Z738" s="204"/>
      <c r="AA738" s="9"/>
      <c r="AB738" s="9"/>
      <c r="AC738" s="9"/>
      <c r="AD738" s="9"/>
    </row>
    <row r="739" ht="15.75" customHeight="1">
      <c r="A739" s="9"/>
      <c r="B739" s="223"/>
      <c r="C739" s="9"/>
      <c r="D739" s="9"/>
      <c r="E739" s="223"/>
      <c r="F739" s="9"/>
      <c r="G739" s="9"/>
      <c r="H739" s="9"/>
      <c r="I739" s="9"/>
      <c r="J739" s="9"/>
      <c r="K739" s="9"/>
      <c r="L739" s="9"/>
      <c r="M739" s="9"/>
      <c r="N739" s="9"/>
      <c r="O739" s="9"/>
      <c r="P739" s="9"/>
      <c r="Q739" s="9"/>
      <c r="R739" s="9"/>
      <c r="S739" s="9"/>
      <c r="T739" s="223"/>
      <c r="U739" s="9"/>
      <c r="V739" s="9"/>
      <c r="W739" s="971"/>
      <c r="X739" s="9"/>
      <c r="Y739" s="9"/>
      <c r="Z739" s="204"/>
      <c r="AA739" s="9"/>
      <c r="AB739" s="9"/>
      <c r="AC739" s="9"/>
      <c r="AD739" s="9"/>
    </row>
    <row r="740" ht="15.75" customHeight="1">
      <c r="A740" s="9"/>
      <c r="B740" s="223"/>
      <c r="C740" s="9"/>
      <c r="D740" s="9"/>
      <c r="E740" s="223"/>
      <c r="F740" s="9"/>
      <c r="G740" s="9"/>
      <c r="H740" s="9"/>
      <c r="I740" s="9"/>
      <c r="J740" s="9"/>
      <c r="K740" s="9"/>
      <c r="L740" s="9"/>
      <c r="M740" s="9"/>
      <c r="N740" s="9"/>
      <c r="O740" s="9"/>
      <c r="P740" s="9"/>
      <c r="Q740" s="9"/>
      <c r="R740" s="9"/>
      <c r="S740" s="9"/>
      <c r="T740" s="223"/>
      <c r="U740" s="9"/>
      <c r="V740" s="9"/>
      <c r="W740" s="971"/>
      <c r="X740" s="9"/>
      <c r="Y740" s="9"/>
      <c r="Z740" s="204"/>
      <c r="AA740" s="9"/>
      <c r="AB740" s="9"/>
      <c r="AC740" s="9"/>
      <c r="AD740" s="9"/>
    </row>
    <row r="741" ht="15.75" customHeight="1">
      <c r="A741" s="9"/>
      <c r="B741" s="223"/>
      <c r="C741" s="9"/>
      <c r="D741" s="9"/>
      <c r="E741" s="223"/>
      <c r="F741" s="9"/>
      <c r="G741" s="9"/>
      <c r="H741" s="9"/>
      <c r="I741" s="9"/>
      <c r="J741" s="9"/>
      <c r="K741" s="9"/>
      <c r="L741" s="9"/>
      <c r="M741" s="9"/>
      <c r="N741" s="9"/>
      <c r="O741" s="9"/>
      <c r="P741" s="9"/>
      <c r="Q741" s="9"/>
      <c r="R741" s="9"/>
      <c r="S741" s="9"/>
      <c r="T741" s="223"/>
      <c r="U741" s="9"/>
      <c r="V741" s="9"/>
      <c r="W741" s="971"/>
      <c r="X741" s="9"/>
      <c r="Y741" s="9"/>
      <c r="Z741" s="204"/>
      <c r="AA741" s="9"/>
      <c r="AB741" s="9"/>
      <c r="AC741" s="9"/>
      <c r="AD741" s="9"/>
    </row>
    <row r="742" ht="15.75" customHeight="1">
      <c r="A742" s="9"/>
      <c r="B742" s="223"/>
      <c r="C742" s="9"/>
      <c r="D742" s="9"/>
      <c r="E742" s="223"/>
      <c r="F742" s="9"/>
      <c r="G742" s="9"/>
      <c r="H742" s="9"/>
      <c r="I742" s="9"/>
      <c r="J742" s="9"/>
      <c r="K742" s="9"/>
      <c r="L742" s="9"/>
      <c r="M742" s="9"/>
      <c r="N742" s="9"/>
      <c r="O742" s="9"/>
      <c r="P742" s="9"/>
      <c r="Q742" s="9"/>
      <c r="R742" s="9"/>
      <c r="S742" s="9"/>
      <c r="T742" s="223"/>
      <c r="U742" s="9"/>
      <c r="V742" s="9"/>
      <c r="W742" s="971"/>
      <c r="X742" s="9"/>
      <c r="Y742" s="9"/>
      <c r="Z742" s="204"/>
      <c r="AA742" s="9"/>
      <c r="AB742" s="9"/>
      <c r="AC742" s="9"/>
      <c r="AD742" s="9"/>
    </row>
    <row r="743" ht="15.75" customHeight="1">
      <c r="A743" s="9"/>
      <c r="B743" s="223"/>
      <c r="C743" s="9"/>
      <c r="D743" s="9"/>
      <c r="E743" s="223"/>
      <c r="F743" s="9"/>
      <c r="G743" s="9"/>
      <c r="H743" s="9"/>
      <c r="I743" s="9"/>
      <c r="J743" s="9"/>
      <c r="K743" s="9"/>
      <c r="L743" s="9"/>
      <c r="M743" s="9"/>
      <c r="N743" s="9"/>
      <c r="O743" s="9"/>
      <c r="P743" s="9"/>
      <c r="Q743" s="9"/>
      <c r="R743" s="9"/>
      <c r="S743" s="9"/>
      <c r="T743" s="223"/>
      <c r="U743" s="9"/>
      <c r="V743" s="9"/>
      <c r="W743" s="971"/>
      <c r="X743" s="9"/>
      <c r="Y743" s="9"/>
      <c r="Z743" s="204"/>
      <c r="AA743" s="9"/>
      <c r="AB743" s="9"/>
      <c r="AC743" s="9"/>
      <c r="AD743" s="9"/>
    </row>
    <row r="744" ht="15.75" customHeight="1">
      <c r="A744" s="9"/>
      <c r="B744" s="223"/>
      <c r="C744" s="9"/>
      <c r="D744" s="9"/>
      <c r="E744" s="223"/>
      <c r="F744" s="9"/>
      <c r="G744" s="9"/>
      <c r="H744" s="9"/>
      <c r="I744" s="9"/>
      <c r="J744" s="9"/>
      <c r="K744" s="9"/>
      <c r="L744" s="9"/>
      <c r="M744" s="9"/>
      <c r="N744" s="9"/>
      <c r="O744" s="9"/>
      <c r="P744" s="9"/>
      <c r="Q744" s="9"/>
      <c r="R744" s="9"/>
      <c r="S744" s="9"/>
      <c r="T744" s="223"/>
      <c r="U744" s="9"/>
      <c r="V744" s="9"/>
      <c r="W744" s="971"/>
      <c r="X744" s="9"/>
      <c r="Y744" s="9"/>
      <c r="Z744" s="204"/>
      <c r="AA744" s="9"/>
      <c r="AB744" s="9"/>
      <c r="AC744" s="9"/>
      <c r="AD744" s="9"/>
    </row>
    <row r="745" ht="15.75" customHeight="1">
      <c r="A745" s="9"/>
      <c r="B745" s="223"/>
      <c r="C745" s="9"/>
      <c r="D745" s="9"/>
      <c r="E745" s="223"/>
      <c r="F745" s="9"/>
      <c r="G745" s="9"/>
      <c r="H745" s="9"/>
      <c r="I745" s="9"/>
      <c r="J745" s="9"/>
      <c r="K745" s="9"/>
      <c r="L745" s="9"/>
      <c r="M745" s="9"/>
      <c r="N745" s="9"/>
      <c r="O745" s="9"/>
      <c r="P745" s="9"/>
      <c r="Q745" s="9"/>
      <c r="R745" s="9"/>
      <c r="S745" s="9"/>
      <c r="T745" s="223"/>
      <c r="U745" s="9"/>
      <c r="V745" s="9"/>
      <c r="W745" s="971"/>
      <c r="X745" s="9"/>
      <c r="Y745" s="9"/>
      <c r="Z745" s="204"/>
      <c r="AA745" s="9"/>
      <c r="AB745" s="9"/>
      <c r="AC745" s="9"/>
      <c r="AD745" s="9"/>
    </row>
    <row r="746" ht="15.75" customHeight="1">
      <c r="A746" s="9"/>
      <c r="B746" s="223"/>
      <c r="C746" s="9"/>
      <c r="D746" s="9"/>
      <c r="E746" s="223"/>
      <c r="F746" s="9"/>
      <c r="G746" s="9"/>
      <c r="H746" s="9"/>
      <c r="I746" s="9"/>
      <c r="J746" s="9"/>
      <c r="K746" s="9"/>
      <c r="L746" s="9"/>
      <c r="M746" s="9"/>
      <c r="N746" s="9"/>
      <c r="O746" s="9"/>
      <c r="P746" s="9"/>
      <c r="Q746" s="9"/>
      <c r="R746" s="9"/>
      <c r="S746" s="9"/>
      <c r="T746" s="223"/>
      <c r="U746" s="9"/>
      <c r="V746" s="9"/>
      <c r="W746" s="971"/>
      <c r="X746" s="9"/>
      <c r="Y746" s="9"/>
      <c r="Z746" s="204"/>
      <c r="AA746" s="9"/>
      <c r="AB746" s="9"/>
      <c r="AC746" s="9"/>
      <c r="AD746" s="9"/>
    </row>
    <row r="747" ht="15.75" customHeight="1">
      <c r="A747" s="9"/>
      <c r="B747" s="223"/>
      <c r="C747" s="9"/>
      <c r="D747" s="9"/>
      <c r="E747" s="223"/>
      <c r="F747" s="9"/>
      <c r="G747" s="9"/>
      <c r="H747" s="9"/>
      <c r="I747" s="9"/>
      <c r="J747" s="9"/>
      <c r="K747" s="9"/>
      <c r="L747" s="9"/>
      <c r="M747" s="9"/>
      <c r="N747" s="9"/>
      <c r="O747" s="9"/>
      <c r="P747" s="9"/>
      <c r="Q747" s="9"/>
      <c r="R747" s="9"/>
      <c r="S747" s="9"/>
      <c r="T747" s="223"/>
      <c r="U747" s="9"/>
      <c r="V747" s="9"/>
      <c r="W747" s="971"/>
      <c r="X747" s="9"/>
      <c r="Y747" s="9"/>
      <c r="Z747" s="204"/>
      <c r="AA747" s="9"/>
      <c r="AB747" s="9"/>
      <c r="AC747" s="9"/>
      <c r="AD747" s="9"/>
    </row>
    <row r="748" ht="15.75" customHeight="1">
      <c r="A748" s="9"/>
      <c r="B748" s="223"/>
      <c r="C748" s="9"/>
      <c r="D748" s="9"/>
      <c r="E748" s="223"/>
      <c r="F748" s="9"/>
      <c r="G748" s="9"/>
      <c r="H748" s="9"/>
      <c r="I748" s="9"/>
      <c r="J748" s="9"/>
      <c r="K748" s="9"/>
      <c r="L748" s="9"/>
      <c r="M748" s="9"/>
      <c r="N748" s="9"/>
      <c r="O748" s="9"/>
      <c r="P748" s="9"/>
      <c r="Q748" s="9"/>
      <c r="R748" s="9"/>
      <c r="S748" s="9"/>
      <c r="T748" s="223"/>
      <c r="U748" s="9"/>
      <c r="V748" s="9"/>
      <c r="W748" s="971"/>
      <c r="X748" s="9"/>
      <c r="Y748" s="9"/>
      <c r="Z748" s="204"/>
      <c r="AA748" s="9"/>
      <c r="AB748" s="9"/>
      <c r="AC748" s="9"/>
      <c r="AD748" s="9"/>
    </row>
    <row r="749" ht="15.75" customHeight="1">
      <c r="A749" s="9"/>
      <c r="B749" s="223"/>
      <c r="C749" s="9"/>
      <c r="D749" s="9"/>
      <c r="E749" s="223"/>
      <c r="F749" s="9"/>
      <c r="G749" s="9"/>
      <c r="H749" s="9"/>
      <c r="I749" s="9"/>
      <c r="J749" s="9"/>
      <c r="K749" s="9"/>
      <c r="L749" s="9"/>
      <c r="M749" s="9"/>
      <c r="N749" s="9"/>
      <c r="O749" s="9"/>
      <c r="P749" s="9"/>
      <c r="Q749" s="9"/>
      <c r="R749" s="9"/>
      <c r="S749" s="9"/>
      <c r="T749" s="223"/>
      <c r="U749" s="9"/>
      <c r="V749" s="9"/>
      <c r="W749" s="971"/>
      <c r="X749" s="9"/>
      <c r="Y749" s="9"/>
      <c r="Z749" s="204"/>
      <c r="AA749" s="9"/>
      <c r="AB749" s="9"/>
      <c r="AC749" s="9"/>
      <c r="AD749" s="9"/>
    </row>
    <row r="750" ht="15.75" customHeight="1">
      <c r="A750" s="9"/>
      <c r="B750" s="223"/>
      <c r="C750" s="9"/>
      <c r="D750" s="9"/>
      <c r="E750" s="223"/>
      <c r="F750" s="9"/>
      <c r="G750" s="9"/>
      <c r="H750" s="9"/>
      <c r="I750" s="9"/>
      <c r="J750" s="9"/>
      <c r="K750" s="9"/>
      <c r="L750" s="9"/>
      <c r="M750" s="9"/>
      <c r="N750" s="9"/>
      <c r="O750" s="9"/>
      <c r="P750" s="9"/>
      <c r="Q750" s="9"/>
      <c r="R750" s="9"/>
      <c r="S750" s="9"/>
      <c r="T750" s="223"/>
      <c r="U750" s="9"/>
      <c r="V750" s="9"/>
      <c r="W750" s="971"/>
      <c r="X750" s="9"/>
      <c r="Y750" s="9"/>
      <c r="Z750" s="204"/>
      <c r="AA750" s="9"/>
      <c r="AB750" s="9"/>
      <c r="AC750" s="9"/>
      <c r="AD750" s="9"/>
    </row>
    <row r="751" ht="15.75" customHeight="1">
      <c r="A751" s="9"/>
      <c r="B751" s="223"/>
      <c r="C751" s="9"/>
      <c r="D751" s="9"/>
      <c r="E751" s="223"/>
      <c r="F751" s="9"/>
      <c r="G751" s="9"/>
      <c r="H751" s="9"/>
      <c r="I751" s="9"/>
      <c r="J751" s="9"/>
      <c r="K751" s="9"/>
      <c r="L751" s="9"/>
      <c r="M751" s="9"/>
      <c r="N751" s="9"/>
      <c r="O751" s="9"/>
      <c r="P751" s="9"/>
      <c r="Q751" s="9"/>
      <c r="R751" s="9"/>
      <c r="S751" s="9"/>
      <c r="T751" s="223"/>
      <c r="U751" s="9"/>
      <c r="V751" s="9"/>
      <c r="W751" s="971"/>
      <c r="X751" s="9"/>
      <c r="Y751" s="9"/>
      <c r="Z751" s="204"/>
      <c r="AA751" s="9"/>
      <c r="AB751" s="9"/>
      <c r="AC751" s="9"/>
      <c r="AD751" s="9"/>
    </row>
    <row r="752" ht="15.75" customHeight="1">
      <c r="A752" s="9"/>
      <c r="B752" s="223"/>
      <c r="C752" s="9"/>
      <c r="D752" s="9"/>
      <c r="E752" s="223"/>
      <c r="F752" s="9"/>
      <c r="G752" s="9"/>
      <c r="H752" s="9"/>
      <c r="I752" s="9"/>
      <c r="J752" s="9"/>
      <c r="K752" s="9"/>
      <c r="L752" s="9"/>
      <c r="M752" s="9"/>
      <c r="N752" s="9"/>
      <c r="O752" s="9"/>
      <c r="P752" s="9"/>
      <c r="Q752" s="9"/>
      <c r="R752" s="9"/>
      <c r="S752" s="9"/>
      <c r="T752" s="223"/>
      <c r="U752" s="9"/>
      <c r="V752" s="9"/>
      <c r="W752" s="971"/>
      <c r="X752" s="9"/>
      <c r="Y752" s="9"/>
      <c r="Z752" s="204"/>
      <c r="AA752" s="9"/>
      <c r="AB752" s="9"/>
      <c r="AC752" s="9"/>
      <c r="AD752" s="9"/>
    </row>
    <row r="753" ht="15.75" customHeight="1">
      <c r="A753" s="9"/>
      <c r="B753" s="223"/>
      <c r="C753" s="9"/>
      <c r="D753" s="9"/>
      <c r="E753" s="223"/>
      <c r="F753" s="9"/>
      <c r="G753" s="9"/>
      <c r="H753" s="9"/>
      <c r="I753" s="9"/>
      <c r="J753" s="9"/>
      <c r="K753" s="9"/>
      <c r="L753" s="9"/>
      <c r="M753" s="9"/>
      <c r="N753" s="9"/>
      <c r="O753" s="9"/>
      <c r="P753" s="9"/>
      <c r="Q753" s="9"/>
      <c r="R753" s="9"/>
      <c r="S753" s="9"/>
      <c r="T753" s="223"/>
      <c r="U753" s="9"/>
      <c r="V753" s="9"/>
      <c r="W753" s="971"/>
      <c r="X753" s="9"/>
      <c r="Y753" s="9"/>
      <c r="Z753" s="204"/>
      <c r="AA753" s="9"/>
      <c r="AB753" s="9"/>
      <c r="AC753" s="9"/>
      <c r="AD753" s="9"/>
    </row>
    <row r="754" ht="15.75" customHeight="1">
      <c r="A754" s="9"/>
      <c r="B754" s="223"/>
      <c r="C754" s="9"/>
      <c r="D754" s="9"/>
      <c r="E754" s="223"/>
      <c r="F754" s="9"/>
      <c r="G754" s="9"/>
      <c r="H754" s="9"/>
      <c r="I754" s="9"/>
      <c r="J754" s="9"/>
      <c r="K754" s="9"/>
      <c r="L754" s="9"/>
      <c r="M754" s="9"/>
      <c r="N754" s="9"/>
      <c r="O754" s="9"/>
      <c r="P754" s="9"/>
      <c r="Q754" s="9"/>
      <c r="R754" s="9"/>
      <c r="S754" s="9"/>
      <c r="T754" s="223"/>
      <c r="U754" s="9"/>
      <c r="V754" s="9"/>
      <c r="W754" s="971"/>
      <c r="X754" s="9"/>
      <c r="Y754" s="9"/>
      <c r="Z754" s="204"/>
      <c r="AA754" s="9"/>
      <c r="AB754" s="9"/>
      <c r="AC754" s="9"/>
      <c r="AD754" s="9"/>
    </row>
    <row r="755" ht="15.75" customHeight="1">
      <c r="A755" s="9"/>
      <c r="B755" s="223"/>
      <c r="C755" s="9"/>
      <c r="D755" s="9"/>
      <c r="E755" s="223"/>
      <c r="F755" s="9"/>
      <c r="G755" s="9"/>
      <c r="H755" s="9"/>
      <c r="I755" s="9"/>
      <c r="J755" s="9"/>
      <c r="K755" s="9"/>
      <c r="L755" s="9"/>
      <c r="M755" s="9"/>
      <c r="N755" s="9"/>
      <c r="O755" s="9"/>
      <c r="P755" s="9"/>
      <c r="Q755" s="9"/>
      <c r="R755" s="9"/>
      <c r="S755" s="9"/>
      <c r="T755" s="223"/>
      <c r="U755" s="9"/>
      <c r="V755" s="9"/>
      <c r="W755" s="971"/>
      <c r="X755" s="9"/>
      <c r="Y755" s="9"/>
      <c r="Z755" s="204"/>
      <c r="AA755" s="9"/>
      <c r="AB755" s="9"/>
      <c r="AC755" s="9"/>
      <c r="AD755" s="9"/>
    </row>
    <row r="756" ht="15.75" customHeight="1">
      <c r="A756" s="9"/>
      <c r="B756" s="223"/>
      <c r="C756" s="9"/>
      <c r="D756" s="9"/>
      <c r="E756" s="223"/>
      <c r="F756" s="9"/>
      <c r="G756" s="9"/>
      <c r="H756" s="9"/>
      <c r="I756" s="9"/>
      <c r="J756" s="9"/>
      <c r="K756" s="9"/>
      <c r="L756" s="9"/>
      <c r="M756" s="9"/>
      <c r="N756" s="9"/>
      <c r="O756" s="9"/>
      <c r="P756" s="9"/>
      <c r="Q756" s="9"/>
      <c r="R756" s="9"/>
      <c r="S756" s="9"/>
      <c r="T756" s="223"/>
      <c r="U756" s="9"/>
      <c r="V756" s="9"/>
      <c r="W756" s="971"/>
      <c r="X756" s="9"/>
      <c r="Y756" s="9"/>
      <c r="Z756" s="204"/>
      <c r="AA756" s="9"/>
      <c r="AB756" s="9"/>
      <c r="AC756" s="9"/>
      <c r="AD756" s="9"/>
    </row>
    <row r="757" ht="15.75" customHeight="1">
      <c r="A757" s="9"/>
      <c r="B757" s="223"/>
      <c r="C757" s="9"/>
      <c r="D757" s="9"/>
      <c r="E757" s="223"/>
      <c r="F757" s="9"/>
      <c r="G757" s="9"/>
      <c r="H757" s="9"/>
      <c r="I757" s="9"/>
      <c r="J757" s="9"/>
      <c r="K757" s="9"/>
      <c r="L757" s="9"/>
      <c r="M757" s="9"/>
      <c r="N757" s="9"/>
      <c r="O757" s="9"/>
      <c r="P757" s="9"/>
      <c r="Q757" s="9"/>
      <c r="R757" s="9"/>
      <c r="S757" s="9"/>
      <c r="T757" s="223"/>
      <c r="U757" s="9"/>
      <c r="V757" s="9"/>
      <c r="W757" s="971"/>
      <c r="X757" s="9"/>
      <c r="Y757" s="9"/>
      <c r="Z757" s="204"/>
      <c r="AA757" s="9"/>
      <c r="AB757" s="9"/>
      <c r="AC757" s="9"/>
      <c r="AD757" s="9"/>
    </row>
    <row r="758" ht="15.75" customHeight="1">
      <c r="A758" s="9"/>
      <c r="B758" s="223"/>
      <c r="C758" s="9"/>
      <c r="D758" s="9"/>
      <c r="E758" s="223"/>
      <c r="F758" s="9"/>
      <c r="G758" s="9"/>
      <c r="H758" s="9"/>
      <c r="I758" s="9"/>
      <c r="J758" s="9"/>
      <c r="K758" s="9"/>
      <c r="L758" s="9"/>
      <c r="M758" s="9"/>
      <c r="N758" s="9"/>
      <c r="O758" s="9"/>
      <c r="P758" s="9"/>
      <c r="Q758" s="9"/>
      <c r="R758" s="9"/>
      <c r="S758" s="9"/>
      <c r="T758" s="223"/>
      <c r="U758" s="9"/>
      <c r="V758" s="9"/>
      <c r="W758" s="971"/>
      <c r="X758" s="9"/>
      <c r="Y758" s="9"/>
      <c r="Z758" s="204"/>
      <c r="AA758" s="9"/>
      <c r="AB758" s="9"/>
      <c r="AC758" s="9"/>
      <c r="AD758" s="9"/>
    </row>
    <row r="759" ht="15.75" customHeight="1">
      <c r="A759" s="9"/>
      <c r="B759" s="223"/>
      <c r="C759" s="9"/>
      <c r="D759" s="9"/>
      <c r="E759" s="223"/>
      <c r="F759" s="9"/>
      <c r="G759" s="9"/>
      <c r="H759" s="9"/>
      <c r="I759" s="9"/>
      <c r="J759" s="9"/>
      <c r="K759" s="9"/>
      <c r="L759" s="9"/>
      <c r="M759" s="9"/>
      <c r="N759" s="9"/>
      <c r="O759" s="9"/>
      <c r="P759" s="9"/>
      <c r="Q759" s="9"/>
      <c r="R759" s="9"/>
      <c r="S759" s="9"/>
      <c r="T759" s="223"/>
      <c r="U759" s="9"/>
      <c r="V759" s="9"/>
      <c r="W759" s="971"/>
      <c r="X759" s="9"/>
      <c r="Y759" s="9"/>
      <c r="Z759" s="204"/>
      <c r="AA759" s="9"/>
      <c r="AB759" s="9"/>
      <c r="AC759" s="9"/>
      <c r="AD759" s="9"/>
    </row>
    <row r="760" ht="15.75" customHeight="1">
      <c r="A760" s="9"/>
      <c r="B760" s="223"/>
      <c r="C760" s="9"/>
      <c r="D760" s="9"/>
      <c r="E760" s="223"/>
      <c r="F760" s="9"/>
      <c r="G760" s="9"/>
      <c r="H760" s="9"/>
      <c r="I760" s="9"/>
      <c r="J760" s="9"/>
      <c r="K760" s="9"/>
      <c r="L760" s="9"/>
      <c r="M760" s="9"/>
      <c r="N760" s="9"/>
      <c r="O760" s="9"/>
      <c r="P760" s="9"/>
      <c r="Q760" s="9"/>
      <c r="R760" s="9"/>
      <c r="S760" s="9"/>
      <c r="T760" s="223"/>
      <c r="U760" s="9"/>
      <c r="V760" s="9"/>
      <c r="W760" s="971"/>
      <c r="X760" s="9"/>
      <c r="Y760" s="9"/>
      <c r="Z760" s="204"/>
      <c r="AA760" s="9"/>
      <c r="AB760" s="9"/>
      <c r="AC760" s="9"/>
      <c r="AD760" s="9"/>
    </row>
    <row r="761" ht="15.75" customHeight="1">
      <c r="A761" s="9"/>
      <c r="B761" s="223"/>
      <c r="C761" s="9"/>
      <c r="D761" s="9"/>
      <c r="E761" s="223"/>
      <c r="F761" s="9"/>
      <c r="G761" s="9"/>
      <c r="H761" s="9"/>
      <c r="I761" s="9"/>
      <c r="J761" s="9"/>
      <c r="K761" s="9"/>
      <c r="L761" s="9"/>
      <c r="M761" s="9"/>
      <c r="N761" s="9"/>
      <c r="O761" s="9"/>
      <c r="P761" s="9"/>
      <c r="Q761" s="9"/>
      <c r="R761" s="9"/>
      <c r="S761" s="9"/>
      <c r="T761" s="223"/>
      <c r="U761" s="9"/>
      <c r="V761" s="9"/>
      <c r="W761" s="971"/>
      <c r="X761" s="9"/>
      <c r="Y761" s="9"/>
      <c r="Z761" s="204"/>
      <c r="AA761" s="9"/>
      <c r="AB761" s="9"/>
      <c r="AC761" s="9"/>
      <c r="AD761" s="9"/>
    </row>
    <row r="762" ht="15.75" customHeight="1">
      <c r="A762" s="9"/>
      <c r="B762" s="223"/>
      <c r="C762" s="9"/>
      <c r="D762" s="9"/>
      <c r="E762" s="223"/>
      <c r="F762" s="9"/>
      <c r="G762" s="9"/>
      <c r="H762" s="9"/>
      <c r="I762" s="9"/>
      <c r="J762" s="9"/>
      <c r="K762" s="9"/>
      <c r="L762" s="9"/>
      <c r="M762" s="9"/>
      <c r="N762" s="9"/>
      <c r="O762" s="9"/>
      <c r="P762" s="9"/>
      <c r="Q762" s="9"/>
      <c r="R762" s="9"/>
      <c r="S762" s="9"/>
      <c r="T762" s="223"/>
      <c r="U762" s="9"/>
      <c r="V762" s="9"/>
      <c r="W762" s="971"/>
      <c r="X762" s="9"/>
      <c r="Y762" s="9"/>
      <c r="Z762" s="204"/>
      <c r="AA762" s="9"/>
      <c r="AB762" s="9"/>
      <c r="AC762" s="9"/>
      <c r="AD762" s="9"/>
    </row>
    <row r="763" ht="15.75" customHeight="1">
      <c r="A763" s="9"/>
      <c r="B763" s="223"/>
      <c r="C763" s="9"/>
      <c r="D763" s="9"/>
      <c r="E763" s="223"/>
      <c r="F763" s="9"/>
      <c r="G763" s="9"/>
      <c r="H763" s="9"/>
      <c r="I763" s="9"/>
      <c r="J763" s="9"/>
      <c r="K763" s="9"/>
      <c r="L763" s="9"/>
      <c r="M763" s="9"/>
      <c r="N763" s="9"/>
      <c r="O763" s="9"/>
      <c r="P763" s="9"/>
      <c r="Q763" s="9"/>
      <c r="R763" s="9"/>
      <c r="S763" s="9"/>
      <c r="T763" s="223"/>
      <c r="U763" s="9"/>
      <c r="V763" s="9"/>
      <c r="W763" s="971"/>
      <c r="X763" s="9"/>
      <c r="Y763" s="9"/>
      <c r="Z763" s="204"/>
      <c r="AA763" s="9"/>
      <c r="AB763" s="9"/>
      <c r="AC763" s="9"/>
      <c r="AD763" s="9"/>
    </row>
    <row r="764" ht="15.75" customHeight="1">
      <c r="A764" s="9"/>
      <c r="B764" s="223"/>
      <c r="C764" s="9"/>
      <c r="D764" s="9"/>
      <c r="E764" s="223"/>
      <c r="F764" s="9"/>
      <c r="G764" s="9"/>
      <c r="H764" s="9"/>
      <c r="I764" s="9"/>
      <c r="J764" s="9"/>
      <c r="K764" s="9"/>
      <c r="L764" s="9"/>
      <c r="M764" s="9"/>
      <c r="N764" s="9"/>
      <c r="O764" s="9"/>
      <c r="P764" s="9"/>
      <c r="Q764" s="9"/>
      <c r="R764" s="9"/>
      <c r="S764" s="9"/>
      <c r="T764" s="223"/>
      <c r="U764" s="9"/>
      <c r="V764" s="9"/>
      <c r="W764" s="971"/>
      <c r="X764" s="9"/>
      <c r="Y764" s="9"/>
      <c r="Z764" s="204"/>
      <c r="AA764" s="9"/>
      <c r="AB764" s="9"/>
      <c r="AC764" s="9"/>
      <c r="AD764" s="9"/>
    </row>
    <row r="765" ht="15.75" customHeight="1">
      <c r="A765" s="9"/>
      <c r="B765" s="223"/>
      <c r="C765" s="9"/>
      <c r="D765" s="9"/>
      <c r="E765" s="223"/>
      <c r="F765" s="9"/>
      <c r="G765" s="9"/>
      <c r="H765" s="9"/>
      <c r="I765" s="9"/>
      <c r="J765" s="9"/>
      <c r="K765" s="9"/>
      <c r="L765" s="9"/>
      <c r="M765" s="9"/>
      <c r="N765" s="9"/>
      <c r="O765" s="9"/>
      <c r="P765" s="9"/>
      <c r="Q765" s="9"/>
      <c r="R765" s="9"/>
      <c r="S765" s="9"/>
      <c r="T765" s="223"/>
      <c r="U765" s="9"/>
      <c r="V765" s="9"/>
      <c r="W765" s="971"/>
      <c r="X765" s="9"/>
      <c r="Y765" s="9"/>
      <c r="Z765" s="204"/>
      <c r="AA765" s="9"/>
      <c r="AB765" s="9"/>
      <c r="AC765" s="9"/>
      <c r="AD765" s="9"/>
    </row>
    <row r="766" ht="15.75" customHeight="1">
      <c r="A766" s="9"/>
      <c r="B766" s="223"/>
      <c r="C766" s="9"/>
      <c r="D766" s="9"/>
      <c r="E766" s="223"/>
      <c r="F766" s="9"/>
      <c r="G766" s="9"/>
      <c r="H766" s="9"/>
      <c r="I766" s="9"/>
      <c r="J766" s="9"/>
      <c r="K766" s="9"/>
      <c r="L766" s="9"/>
      <c r="M766" s="9"/>
      <c r="N766" s="9"/>
      <c r="O766" s="9"/>
      <c r="P766" s="9"/>
      <c r="Q766" s="9"/>
      <c r="R766" s="9"/>
      <c r="S766" s="9"/>
      <c r="T766" s="223"/>
      <c r="U766" s="9"/>
      <c r="V766" s="9"/>
      <c r="W766" s="971"/>
      <c r="X766" s="9"/>
      <c r="Y766" s="9"/>
      <c r="Z766" s="204"/>
      <c r="AA766" s="9"/>
      <c r="AB766" s="9"/>
      <c r="AC766" s="9"/>
      <c r="AD766" s="9"/>
    </row>
    <row r="767" ht="15.75" customHeight="1">
      <c r="A767" s="9"/>
      <c r="B767" s="223"/>
      <c r="C767" s="9"/>
      <c r="D767" s="9"/>
      <c r="E767" s="223"/>
      <c r="F767" s="9"/>
      <c r="G767" s="9"/>
      <c r="H767" s="9"/>
      <c r="I767" s="9"/>
      <c r="J767" s="9"/>
      <c r="K767" s="9"/>
      <c r="L767" s="9"/>
      <c r="M767" s="9"/>
      <c r="N767" s="9"/>
      <c r="O767" s="9"/>
      <c r="P767" s="9"/>
      <c r="Q767" s="9"/>
      <c r="R767" s="9"/>
      <c r="S767" s="9"/>
      <c r="T767" s="223"/>
      <c r="U767" s="9"/>
      <c r="V767" s="9"/>
      <c r="W767" s="971"/>
      <c r="X767" s="9"/>
      <c r="Y767" s="9"/>
      <c r="Z767" s="204"/>
      <c r="AA767" s="9"/>
      <c r="AB767" s="9"/>
      <c r="AC767" s="9"/>
      <c r="AD767" s="9"/>
    </row>
    <row r="768" ht="15.75" customHeight="1">
      <c r="A768" s="9"/>
      <c r="B768" s="223"/>
      <c r="C768" s="9"/>
      <c r="D768" s="9"/>
      <c r="E768" s="223"/>
      <c r="F768" s="9"/>
      <c r="G768" s="9"/>
      <c r="H768" s="9"/>
      <c r="I768" s="9"/>
      <c r="J768" s="9"/>
      <c r="K768" s="9"/>
      <c r="L768" s="9"/>
      <c r="M768" s="9"/>
      <c r="N768" s="9"/>
      <c r="O768" s="9"/>
      <c r="P768" s="9"/>
      <c r="Q768" s="9"/>
      <c r="R768" s="9"/>
      <c r="S768" s="9"/>
      <c r="T768" s="223"/>
      <c r="U768" s="9"/>
      <c r="V768" s="9"/>
      <c r="W768" s="971"/>
      <c r="X768" s="9"/>
      <c r="Y768" s="9"/>
      <c r="Z768" s="204"/>
      <c r="AA768" s="9"/>
      <c r="AB768" s="9"/>
      <c r="AC768" s="9"/>
      <c r="AD768" s="9"/>
    </row>
    <row r="769" ht="15.75" customHeight="1">
      <c r="A769" s="9"/>
      <c r="B769" s="223"/>
      <c r="C769" s="9"/>
      <c r="D769" s="9"/>
      <c r="E769" s="223"/>
      <c r="F769" s="9"/>
      <c r="G769" s="9"/>
      <c r="H769" s="9"/>
      <c r="I769" s="9"/>
      <c r="J769" s="9"/>
      <c r="K769" s="9"/>
      <c r="L769" s="9"/>
      <c r="M769" s="9"/>
      <c r="N769" s="9"/>
      <c r="O769" s="9"/>
      <c r="P769" s="9"/>
      <c r="Q769" s="9"/>
      <c r="R769" s="9"/>
      <c r="S769" s="9"/>
      <c r="T769" s="223"/>
      <c r="U769" s="9"/>
      <c r="V769" s="9"/>
      <c r="W769" s="971"/>
      <c r="X769" s="9"/>
      <c r="Y769" s="9"/>
      <c r="Z769" s="204"/>
      <c r="AA769" s="9"/>
      <c r="AB769" s="9"/>
      <c r="AC769" s="9"/>
      <c r="AD769" s="9"/>
    </row>
    <row r="770" ht="15.75" customHeight="1">
      <c r="A770" s="9"/>
      <c r="B770" s="223"/>
      <c r="C770" s="9"/>
      <c r="D770" s="9"/>
      <c r="E770" s="223"/>
      <c r="F770" s="9"/>
      <c r="G770" s="9"/>
      <c r="H770" s="9"/>
      <c r="I770" s="9"/>
      <c r="J770" s="9"/>
      <c r="K770" s="9"/>
      <c r="L770" s="9"/>
      <c r="M770" s="9"/>
      <c r="N770" s="9"/>
      <c r="O770" s="9"/>
      <c r="P770" s="9"/>
      <c r="Q770" s="9"/>
      <c r="R770" s="9"/>
      <c r="S770" s="9"/>
      <c r="T770" s="223"/>
      <c r="U770" s="9"/>
      <c r="V770" s="9"/>
      <c r="W770" s="971"/>
      <c r="X770" s="9"/>
      <c r="Y770" s="9"/>
      <c r="Z770" s="204"/>
      <c r="AA770" s="9"/>
      <c r="AB770" s="9"/>
      <c r="AC770" s="9"/>
      <c r="AD770" s="9"/>
    </row>
    <row r="771" ht="15.75" customHeight="1">
      <c r="A771" s="9"/>
      <c r="B771" s="223"/>
      <c r="C771" s="9"/>
      <c r="D771" s="9"/>
      <c r="E771" s="223"/>
      <c r="F771" s="9"/>
      <c r="G771" s="9"/>
      <c r="H771" s="9"/>
      <c r="I771" s="9"/>
      <c r="J771" s="9"/>
      <c r="K771" s="9"/>
      <c r="L771" s="9"/>
      <c r="M771" s="9"/>
      <c r="N771" s="9"/>
      <c r="O771" s="9"/>
      <c r="P771" s="9"/>
      <c r="Q771" s="9"/>
      <c r="R771" s="9"/>
      <c r="S771" s="9"/>
      <c r="T771" s="223"/>
      <c r="U771" s="9"/>
      <c r="V771" s="9"/>
      <c r="W771" s="971"/>
      <c r="X771" s="9"/>
      <c r="Y771" s="9"/>
      <c r="Z771" s="204"/>
      <c r="AA771" s="9"/>
      <c r="AB771" s="9"/>
      <c r="AC771" s="9"/>
      <c r="AD771" s="9"/>
    </row>
    <row r="772" ht="15.75" customHeight="1">
      <c r="A772" s="9"/>
      <c r="B772" s="223"/>
      <c r="C772" s="9"/>
      <c r="D772" s="9"/>
      <c r="E772" s="223"/>
      <c r="F772" s="9"/>
      <c r="G772" s="9"/>
      <c r="H772" s="9"/>
      <c r="I772" s="9"/>
      <c r="J772" s="9"/>
      <c r="K772" s="9"/>
      <c r="L772" s="9"/>
      <c r="M772" s="9"/>
      <c r="N772" s="9"/>
      <c r="O772" s="9"/>
      <c r="P772" s="9"/>
      <c r="Q772" s="9"/>
      <c r="R772" s="9"/>
      <c r="S772" s="9"/>
      <c r="T772" s="223"/>
      <c r="U772" s="9"/>
      <c r="V772" s="9"/>
      <c r="W772" s="971"/>
      <c r="X772" s="9"/>
      <c r="Y772" s="9"/>
      <c r="Z772" s="204"/>
      <c r="AA772" s="9"/>
      <c r="AB772" s="9"/>
      <c r="AC772" s="9"/>
      <c r="AD772" s="9"/>
    </row>
    <row r="773" ht="15.75" customHeight="1">
      <c r="A773" s="9"/>
      <c r="B773" s="223"/>
      <c r="C773" s="9"/>
      <c r="D773" s="9"/>
      <c r="E773" s="223"/>
      <c r="F773" s="9"/>
      <c r="G773" s="9"/>
      <c r="H773" s="9"/>
      <c r="I773" s="9"/>
      <c r="J773" s="9"/>
      <c r="K773" s="9"/>
      <c r="L773" s="9"/>
      <c r="M773" s="9"/>
      <c r="N773" s="9"/>
      <c r="O773" s="9"/>
      <c r="P773" s="9"/>
      <c r="Q773" s="9"/>
      <c r="R773" s="9"/>
      <c r="S773" s="9"/>
      <c r="T773" s="223"/>
      <c r="U773" s="9"/>
      <c r="V773" s="9"/>
      <c r="W773" s="971"/>
      <c r="X773" s="9"/>
      <c r="Y773" s="9"/>
      <c r="Z773" s="204"/>
      <c r="AA773" s="9"/>
      <c r="AB773" s="9"/>
      <c r="AC773" s="9"/>
      <c r="AD773" s="9"/>
    </row>
    <row r="774" ht="15.75" customHeight="1">
      <c r="A774" s="9"/>
      <c r="B774" s="223"/>
      <c r="C774" s="9"/>
      <c r="D774" s="9"/>
      <c r="E774" s="223"/>
      <c r="F774" s="9"/>
      <c r="G774" s="9"/>
      <c r="H774" s="9"/>
      <c r="I774" s="9"/>
      <c r="J774" s="9"/>
      <c r="K774" s="9"/>
      <c r="L774" s="9"/>
      <c r="M774" s="9"/>
      <c r="N774" s="9"/>
      <c r="O774" s="9"/>
      <c r="P774" s="9"/>
      <c r="Q774" s="9"/>
      <c r="R774" s="9"/>
      <c r="S774" s="9"/>
      <c r="T774" s="223"/>
      <c r="U774" s="9"/>
      <c r="V774" s="9"/>
      <c r="W774" s="971"/>
      <c r="X774" s="9"/>
      <c r="Y774" s="9"/>
      <c r="Z774" s="204"/>
      <c r="AA774" s="9"/>
      <c r="AB774" s="9"/>
      <c r="AC774" s="9"/>
      <c r="AD774" s="9"/>
    </row>
    <row r="775" ht="15.75" customHeight="1">
      <c r="A775" s="9"/>
      <c r="B775" s="223"/>
      <c r="C775" s="9"/>
      <c r="D775" s="9"/>
      <c r="E775" s="223"/>
      <c r="F775" s="9"/>
      <c r="G775" s="9"/>
      <c r="H775" s="9"/>
      <c r="I775" s="9"/>
      <c r="J775" s="9"/>
      <c r="K775" s="9"/>
      <c r="L775" s="9"/>
      <c r="M775" s="9"/>
      <c r="N775" s="9"/>
      <c r="O775" s="9"/>
      <c r="P775" s="9"/>
      <c r="Q775" s="9"/>
      <c r="R775" s="9"/>
      <c r="S775" s="9"/>
      <c r="T775" s="223"/>
      <c r="U775" s="9"/>
      <c r="V775" s="9"/>
      <c r="W775" s="971"/>
      <c r="X775" s="9"/>
      <c r="Y775" s="9"/>
      <c r="Z775" s="204"/>
      <c r="AA775" s="9"/>
      <c r="AB775" s="9"/>
      <c r="AC775" s="9"/>
      <c r="AD775" s="9"/>
    </row>
    <row r="776" ht="15.75" customHeight="1">
      <c r="A776" s="9"/>
      <c r="B776" s="223"/>
      <c r="C776" s="9"/>
      <c r="D776" s="9"/>
      <c r="E776" s="223"/>
      <c r="F776" s="9"/>
      <c r="G776" s="9"/>
      <c r="H776" s="9"/>
      <c r="I776" s="9"/>
      <c r="J776" s="9"/>
      <c r="K776" s="9"/>
      <c r="L776" s="9"/>
      <c r="M776" s="9"/>
      <c r="N776" s="9"/>
      <c r="O776" s="9"/>
      <c r="P776" s="9"/>
      <c r="Q776" s="9"/>
      <c r="R776" s="9"/>
      <c r="S776" s="9"/>
      <c r="T776" s="223"/>
      <c r="U776" s="9"/>
      <c r="V776" s="9"/>
      <c r="W776" s="971"/>
      <c r="X776" s="9"/>
      <c r="Y776" s="9"/>
      <c r="Z776" s="204"/>
      <c r="AA776" s="9"/>
      <c r="AB776" s="9"/>
      <c r="AC776" s="9"/>
      <c r="AD776" s="9"/>
    </row>
    <row r="777" ht="15.75" customHeight="1">
      <c r="A777" s="9"/>
      <c r="B777" s="223"/>
      <c r="C777" s="9"/>
      <c r="D777" s="9"/>
      <c r="E777" s="223"/>
      <c r="F777" s="9"/>
      <c r="G777" s="9"/>
      <c r="H777" s="9"/>
      <c r="I777" s="9"/>
      <c r="J777" s="9"/>
      <c r="K777" s="9"/>
      <c r="L777" s="9"/>
      <c r="M777" s="9"/>
      <c r="N777" s="9"/>
      <c r="O777" s="9"/>
      <c r="P777" s="9"/>
      <c r="Q777" s="9"/>
      <c r="R777" s="9"/>
      <c r="S777" s="9"/>
      <c r="T777" s="223"/>
      <c r="U777" s="9"/>
      <c r="V777" s="9"/>
      <c r="W777" s="971"/>
      <c r="X777" s="9"/>
      <c r="Y777" s="9"/>
      <c r="Z777" s="204"/>
      <c r="AA777" s="9"/>
      <c r="AB777" s="9"/>
      <c r="AC777" s="9"/>
      <c r="AD777" s="9"/>
    </row>
    <row r="778" ht="15.75" customHeight="1">
      <c r="A778" s="9"/>
      <c r="B778" s="223"/>
      <c r="C778" s="9"/>
      <c r="D778" s="9"/>
      <c r="E778" s="223"/>
      <c r="F778" s="9"/>
      <c r="G778" s="9"/>
      <c r="H778" s="9"/>
      <c r="I778" s="9"/>
      <c r="J778" s="9"/>
      <c r="K778" s="9"/>
      <c r="L778" s="9"/>
      <c r="M778" s="9"/>
      <c r="N778" s="9"/>
      <c r="O778" s="9"/>
      <c r="P778" s="9"/>
      <c r="Q778" s="9"/>
      <c r="R778" s="9"/>
      <c r="S778" s="9"/>
      <c r="T778" s="223"/>
      <c r="U778" s="9"/>
      <c r="V778" s="9"/>
      <c r="W778" s="971"/>
      <c r="X778" s="9"/>
      <c r="Y778" s="9"/>
      <c r="Z778" s="204"/>
      <c r="AA778" s="9"/>
      <c r="AB778" s="9"/>
      <c r="AC778" s="9"/>
      <c r="AD778" s="9"/>
    </row>
    <row r="779" ht="15.75" customHeight="1">
      <c r="A779" s="9"/>
      <c r="B779" s="223"/>
      <c r="C779" s="9"/>
      <c r="D779" s="9"/>
      <c r="E779" s="223"/>
      <c r="F779" s="9"/>
      <c r="G779" s="9"/>
      <c r="H779" s="9"/>
      <c r="I779" s="9"/>
      <c r="J779" s="9"/>
      <c r="K779" s="9"/>
      <c r="L779" s="9"/>
      <c r="M779" s="9"/>
      <c r="N779" s="9"/>
      <c r="O779" s="9"/>
      <c r="P779" s="9"/>
      <c r="Q779" s="9"/>
      <c r="R779" s="9"/>
      <c r="S779" s="9"/>
      <c r="T779" s="223"/>
      <c r="U779" s="9"/>
      <c r="V779" s="9"/>
      <c r="W779" s="971"/>
      <c r="X779" s="9"/>
      <c r="Y779" s="9"/>
      <c r="Z779" s="204"/>
      <c r="AA779" s="9"/>
      <c r="AB779" s="9"/>
      <c r="AC779" s="9"/>
      <c r="AD779" s="9"/>
    </row>
    <row r="780" ht="15.75" customHeight="1">
      <c r="A780" s="9"/>
      <c r="B780" s="223"/>
      <c r="C780" s="9"/>
      <c r="D780" s="9"/>
      <c r="E780" s="223"/>
      <c r="F780" s="9"/>
      <c r="G780" s="9"/>
      <c r="H780" s="9"/>
      <c r="I780" s="9"/>
      <c r="J780" s="9"/>
      <c r="K780" s="9"/>
      <c r="L780" s="9"/>
      <c r="M780" s="9"/>
      <c r="N780" s="9"/>
      <c r="O780" s="9"/>
      <c r="P780" s="9"/>
      <c r="Q780" s="9"/>
      <c r="R780" s="9"/>
      <c r="S780" s="9"/>
      <c r="T780" s="223"/>
      <c r="U780" s="9"/>
      <c r="V780" s="9"/>
      <c r="W780" s="971"/>
      <c r="X780" s="9"/>
      <c r="Y780" s="9"/>
      <c r="Z780" s="204"/>
      <c r="AA780" s="9"/>
      <c r="AB780" s="9"/>
      <c r="AC780" s="9"/>
      <c r="AD780" s="9"/>
    </row>
    <row r="781" ht="15.75" customHeight="1">
      <c r="A781" s="9"/>
      <c r="B781" s="223"/>
      <c r="C781" s="9"/>
      <c r="D781" s="9"/>
      <c r="E781" s="223"/>
      <c r="F781" s="9"/>
      <c r="G781" s="9"/>
      <c r="H781" s="9"/>
      <c r="I781" s="9"/>
      <c r="J781" s="9"/>
      <c r="K781" s="9"/>
      <c r="L781" s="9"/>
      <c r="M781" s="9"/>
      <c r="N781" s="9"/>
      <c r="O781" s="9"/>
      <c r="P781" s="9"/>
      <c r="Q781" s="9"/>
      <c r="R781" s="9"/>
      <c r="S781" s="9"/>
      <c r="T781" s="223"/>
      <c r="U781" s="9"/>
      <c r="V781" s="9"/>
      <c r="W781" s="971"/>
      <c r="X781" s="9"/>
      <c r="Y781" s="9"/>
      <c r="Z781" s="204"/>
      <c r="AA781" s="9"/>
      <c r="AB781" s="9"/>
      <c r="AC781" s="9"/>
      <c r="AD781" s="9"/>
    </row>
    <row r="782" ht="15.75" customHeight="1">
      <c r="A782" s="9"/>
      <c r="B782" s="223"/>
      <c r="C782" s="9"/>
      <c r="D782" s="9"/>
      <c r="E782" s="223"/>
      <c r="F782" s="9"/>
      <c r="G782" s="9"/>
      <c r="H782" s="9"/>
      <c r="I782" s="9"/>
      <c r="J782" s="9"/>
      <c r="K782" s="9"/>
      <c r="L782" s="9"/>
      <c r="M782" s="9"/>
      <c r="N782" s="9"/>
      <c r="O782" s="9"/>
      <c r="P782" s="9"/>
      <c r="Q782" s="9"/>
      <c r="R782" s="9"/>
      <c r="S782" s="9"/>
      <c r="T782" s="223"/>
      <c r="U782" s="9"/>
      <c r="V782" s="9"/>
      <c r="W782" s="971"/>
      <c r="X782" s="9"/>
      <c r="Y782" s="9"/>
      <c r="Z782" s="204"/>
      <c r="AA782" s="9"/>
      <c r="AB782" s="9"/>
      <c r="AC782" s="9"/>
      <c r="AD782" s="9"/>
    </row>
    <row r="783" ht="15.75" customHeight="1">
      <c r="A783" s="9"/>
      <c r="B783" s="223"/>
      <c r="C783" s="9"/>
      <c r="D783" s="9"/>
      <c r="E783" s="223"/>
      <c r="F783" s="9"/>
      <c r="G783" s="9"/>
      <c r="H783" s="9"/>
      <c r="I783" s="9"/>
      <c r="J783" s="9"/>
      <c r="K783" s="9"/>
      <c r="L783" s="9"/>
      <c r="M783" s="9"/>
      <c r="N783" s="9"/>
      <c r="O783" s="9"/>
      <c r="P783" s="9"/>
      <c r="Q783" s="9"/>
      <c r="R783" s="9"/>
      <c r="S783" s="9"/>
      <c r="T783" s="223"/>
      <c r="U783" s="9"/>
      <c r="V783" s="9"/>
      <c r="W783" s="971"/>
      <c r="X783" s="9"/>
      <c r="Y783" s="9"/>
      <c r="Z783" s="204"/>
      <c r="AA783" s="9"/>
      <c r="AB783" s="9"/>
      <c r="AC783" s="9"/>
      <c r="AD783" s="9"/>
    </row>
    <row r="784" ht="15.75" customHeight="1">
      <c r="A784" s="9"/>
      <c r="B784" s="223"/>
      <c r="C784" s="9"/>
      <c r="D784" s="9"/>
      <c r="E784" s="223"/>
      <c r="F784" s="9"/>
      <c r="G784" s="9"/>
      <c r="H784" s="9"/>
      <c r="I784" s="9"/>
      <c r="J784" s="9"/>
      <c r="K784" s="9"/>
      <c r="L784" s="9"/>
      <c r="M784" s="9"/>
      <c r="N784" s="9"/>
      <c r="O784" s="9"/>
      <c r="P784" s="9"/>
      <c r="Q784" s="9"/>
      <c r="R784" s="9"/>
      <c r="S784" s="9"/>
      <c r="T784" s="223"/>
      <c r="U784" s="9"/>
      <c r="V784" s="9"/>
      <c r="W784" s="971"/>
      <c r="X784" s="9"/>
      <c r="Y784" s="9"/>
      <c r="Z784" s="204"/>
      <c r="AA784" s="9"/>
      <c r="AB784" s="9"/>
      <c r="AC784" s="9"/>
      <c r="AD784" s="9"/>
    </row>
    <row r="785" ht="15.75" customHeight="1">
      <c r="A785" s="9"/>
      <c r="B785" s="223"/>
      <c r="C785" s="9"/>
      <c r="D785" s="9"/>
      <c r="E785" s="223"/>
      <c r="F785" s="9"/>
      <c r="G785" s="9"/>
      <c r="H785" s="9"/>
      <c r="I785" s="9"/>
      <c r="J785" s="9"/>
      <c r="K785" s="9"/>
      <c r="L785" s="9"/>
      <c r="M785" s="9"/>
      <c r="N785" s="9"/>
      <c r="O785" s="9"/>
      <c r="P785" s="9"/>
      <c r="Q785" s="9"/>
      <c r="R785" s="9"/>
      <c r="S785" s="9"/>
      <c r="T785" s="223"/>
      <c r="U785" s="9"/>
      <c r="V785" s="9"/>
      <c r="W785" s="971"/>
      <c r="X785" s="9"/>
      <c r="Y785" s="9"/>
      <c r="Z785" s="204"/>
      <c r="AA785" s="9"/>
      <c r="AB785" s="9"/>
      <c r="AC785" s="9"/>
      <c r="AD785" s="9"/>
    </row>
    <row r="786" ht="15.75" customHeight="1">
      <c r="A786" s="9"/>
      <c r="B786" s="223"/>
      <c r="C786" s="9"/>
      <c r="D786" s="9"/>
      <c r="E786" s="223"/>
      <c r="F786" s="9"/>
      <c r="G786" s="9"/>
      <c r="H786" s="9"/>
      <c r="I786" s="9"/>
      <c r="J786" s="9"/>
      <c r="K786" s="9"/>
      <c r="L786" s="9"/>
      <c r="M786" s="9"/>
      <c r="N786" s="9"/>
      <c r="O786" s="9"/>
      <c r="P786" s="9"/>
      <c r="Q786" s="9"/>
      <c r="R786" s="9"/>
      <c r="S786" s="9"/>
      <c r="T786" s="223"/>
      <c r="U786" s="9"/>
      <c r="V786" s="9"/>
      <c r="W786" s="971"/>
      <c r="X786" s="9"/>
      <c r="Y786" s="9"/>
      <c r="Z786" s="204"/>
      <c r="AA786" s="9"/>
      <c r="AB786" s="9"/>
      <c r="AC786" s="9"/>
      <c r="AD786" s="9"/>
    </row>
    <row r="787" ht="15.75" customHeight="1">
      <c r="A787" s="9"/>
      <c r="B787" s="223"/>
      <c r="C787" s="9"/>
      <c r="D787" s="9"/>
      <c r="E787" s="223"/>
      <c r="F787" s="9"/>
      <c r="G787" s="9"/>
      <c r="H787" s="9"/>
      <c r="I787" s="9"/>
      <c r="J787" s="9"/>
      <c r="K787" s="9"/>
      <c r="L787" s="9"/>
      <c r="M787" s="9"/>
      <c r="N787" s="9"/>
      <c r="O787" s="9"/>
      <c r="P787" s="9"/>
      <c r="Q787" s="9"/>
      <c r="R787" s="9"/>
      <c r="S787" s="9"/>
      <c r="T787" s="223"/>
      <c r="U787" s="9"/>
      <c r="V787" s="9"/>
      <c r="W787" s="971"/>
      <c r="X787" s="9"/>
      <c r="Y787" s="9"/>
      <c r="Z787" s="204"/>
      <c r="AA787" s="9"/>
      <c r="AB787" s="9"/>
      <c r="AC787" s="9"/>
      <c r="AD787" s="9"/>
    </row>
    <row r="788" ht="15.75" customHeight="1">
      <c r="A788" s="9"/>
      <c r="B788" s="223"/>
      <c r="C788" s="9"/>
      <c r="D788" s="9"/>
      <c r="E788" s="223"/>
      <c r="F788" s="9"/>
      <c r="G788" s="9"/>
      <c r="H788" s="9"/>
      <c r="I788" s="9"/>
      <c r="J788" s="9"/>
      <c r="K788" s="9"/>
      <c r="L788" s="9"/>
      <c r="M788" s="9"/>
      <c r="N788" s="9"/>
      <c r="O788" s="9"/>
      <c r="P788" s="9"/>
      <c r="Q788" s="9"/>
      <c r="R788" s="9"/>
      <c r="S788" s="9"/>
      <c r="T788" s="223"/>
      <c r="U788" s="9"/>
      <c r="V788" s="9"/>
      <c r="W788" s="971"/>
      <c r="X788" s="9"/>
      <c r="Y788" s="9"/>
      <c r="Z788" s="204"/>
      <c r="AA788" s="9"/>
      <c r="AB788" s="9"/>
      <c r="AC788" s="9"/>
      <c r="AD788" s="9"/>
    </row>
    <row r="789" ht="15.75" customHeight="1">
      <c r="A789" s="9"/>
      <c r="B789" s="223"/>
      <c r="C789" s="9"/>
      <c r="D789" s="9"/>
      <c r="E789" s="223"/>
      <c r="F789" s="9"/>
      <c r="G789" s="9"/>
      <c r="H789" s="9"/>
      <c r="I789" s="9"/>
      <c r="J789" s="9"/>
      <c r="K789" s="9"/>
      <c r="L789" s="9"/>
      <c r="M789" s="9"/>
      <c r="N789" s="9"/>
      <c r="O789" s="9"/>
      <c r="P789" s="9"/>
      <c r="Q789" s="9"/>
      <c r="R789" s="9"/>
      <c r="S789" s="9"/>
      <c r="T789" s="223"/>
      <c r="U789" s="9"/>
      <c r="V789" s="9"/>
      <c r="W789" s="971"/>
      <c r="X789" s="9"/>
      <c r="Y789" s="9"/>
      <c r="Z789" s="204"/>
      <c r="AA789" s="9"/>
      <c r="AB789" s="9"/>
      <c r="AC789" s="9"/>
      <c r="AD789" s="9"/>
    </row>
    <row r="790" ht="15.75" customHeight="1">
      <c r="A790" s="9"/>
      <c r="B790" s="223"/>
      <c r="C790" s="9"/>
      <c r="D790" s="9"/>
      <c r="E790" s="223"/>
      <c r="F790" s="9"/>
      <c r="G790" s="9"/>
      <c r="H790" s="9"/>
      <c r="I790" s="9"/>
      <c r="J790" s="9"/>
      <c r="K790" s="9"/>
      <c r="L790" s="9"/>
      <c r="M790" s="9"/>
      <c r="N790" s="9"/>
      <c r="O790" s="9"/>
      <c r="P790" s="9"/>
      <c r="Q790" s="9"/>
      <c r="R790" s="9"/>
      <c r="S790" s="9"/>
      <c r="T790" s="223"/>
      <c r="U790" s="9"/>
      <c r="V790" s="9"/>
      <c r="W790" s="971"/>
      <c r="X790" s="9"/>
      <c r="Y790" s="9"/>
      <c r="Z790" s="204"/>
      <c r="AA790" s="9"/>
      <c r="AB790" s="9"/>
      <c r="AC790" s="9"/>
      <c r="AD790" s="9"/>
    </row>
    <row r="791" ht="15.75" customHeight="1">
      <c r="A791" s="9"/>
      <c r="B791" s="223"/>
      <c r="C791" s="9"/>
      <c r="D791" s="9"/>
      <c r="E791" s="223"/>
      <c r="F791" s="9"/>
      <c r="G791" s="9"/>
      <c r="H791" s="9"/>
      <c r="I791" s="9"/>
      <c r="J791" s="9"/>
      <c r="K791" s="9"/>
      <c r="L791" s="9"/>
      <c r="M791" s="9"/>
      <c r="N791" s="9"/>
      <c r="O791" s="9"/>
      <c r="P791" s="9"/>
      <c r="Q791" s="9"/>
      <c r="R791" s="9"/>
      <c r="S791" s="9"/>
      <c r="T791" s="223"/>
      <c r="U791" s="9"/>
      <c r="V791" s="9"/>
      <c r="W791" s="971"/>
      <c r="X791" s="9"/>
      <c r="Y791" s="9"/>
      <c r="Z791" s="204"/>
      <c r="AA791" s="9"/>
      <c r="AB791" s="9"/>
      <c r="AC791" s="9"/>
      <c r="AD791" s="9"/>
    </row>
    <row r="792" ht="15.75" customHeight="1">
      <c r="A792" s="9"/>
      <c r="B792" s="223"/>
      <c r="C792" s="9"/>
      <c r="D792" s="9"/>
      <c r="E792" s="223"/>
      <c r="F792" s="9"/>
      <c r="G792" s="9"/>
      <c r="H792" s="9"/>
      <c r="I792" s="9"/>
      <c r="J792" s="9"/>
      <c r="K792" s="9"/>
      <c r="L792" s="9"/>
      <c r="M792" s="9"/>
      <c r="N792" s="9"/>
      <c r="O792" s="9"/>
      <c r="P792" s="9"/>
      <c r="Q792" s="9"/>
      <c r="R792" s="9"/>
      <c r="S792" s="9"/>
      <c r="T792" s="223"/>
      <c r="U792" s="9"/>
      <c r="V792" s="9"/>
      <c r="W792" s="971"/>
      <c r="X792" s="9"/>
      <c r="Y792" s="9"/>
      <c r="Z792" s="204"/>
      <c r="AA792" s="9"/>
      <c r="AB792" s="9"/>
      <c r="AC792" s="9"/>
      <c r="AD792" s="9"/>
    </row>
    <row r="793" ht="15.75" customHeight="1">
      <c r="A793" s="9"/>
      <c r="B793" s="223"/>
      <c r="C793" s="9"/>
      <c r="D793" s="9"/>
      <c r="E793" s="223"/>
      <c r="F793" s="9"/>
      <c r="G793" s="9"/>
      <c r="H793" s="9"/>
      <c r="I793" s="9"/>
      <c r="J793" s="9"/>
      <c r="K793" s="9"/>
      <c r="L793" s="9"/>
      <c r="M793" s="9"/>
      <c r="N793" s="9"/>
      <c r="O793" s="9"/>
      <c r="P793" s="9"/>
      <c r="Q793" s="9"/>
      <c r="R793" s="9"/>
      <c r="S793" s="9"/>
      <c r="T793" s="223"/>
      <c r="U793" s="9"/>
      <c r="V793" s="9"/>
      <c r="W793" s="971"/>
      <c r="X793" s="9"/>
      <c r="Y793" s="9"/>
      <c r="Z793" s="204"/>
      <c r="AA793" s="9"/>
      <c r="AB793" s="9"/>
      <c r="AC793" s="9"/>
      <c r="AD793" s="9"/>
    </row>
    <row r="794" ht="15.75" customHeight="1">
      <c r="A794" s="9"/>
      <c r="B794" s="223"/>
      <c r="C794" s="9"/>
      <c r="D794" s="9"/>
      <c r="E794" s="223"/>
      <c r="F794" s="9"/>
      <c r="G794" s="9"/>
      <c r="H794" s="9"/>
      <c r="I794" s="9"/>
      <c r="J794" s="9"/>
      <c r="K794" s="9"/>
      <c r="L794" s="9"/>
      <c r="M794" s="9"/>
      <c r="N794" s="9"/>
      <c r="O794" s="9"/>
      <c r="P794" s="9"/>
      <c r="Q794" s="9"/>
      <c r="R794" s="9"/>
      <c r="S794" s="9"/>
      <c r="T794" s="223"/>
      <c r="U794" s="9"/>
      <c r="V794" s="9"/>
      <c r="W794" s="971"/>
      <c r="X794" s="9"/>
      <c r="Y794" s="9"/>
      <c r="Z794" s="204"/>
      <c r="AA794" s="9"/>
      <c r="AB794" s="9"/>
      <c r="AC794" s="9"/>
      <c r="AD794" s="9"/>
    </row>
    <row r="795" ht="15.75" customHeight="1">
      <c r="A795" s="9"/>
      <c r="B795" s="223"/>
      <c r="C795" s="9"/>
      <c r="D795" s="9"/>
      <c r="E795" s="223"/>
      <c r="F795" s="9"/>
      <c r="G795" s="9"/>
      <c r="H795" s="9"/>
      <c r="I795" s="9"/>
      <c r="J795" s="9"/>
      <c r="K795" s="9"/>
      <c r="L795" s="9"/>
      <c r="M795" s="9"/>
      <c r="N795" s="9"/>
      <c r="O795" s="9"/>
      <c r="P795" s="9"/>
      <c r="Q795" s="9"/>
      <c r="R795" s="9"/>
      <c r="S795" s="9"/>
      <c r="T795" s="223"/>
      <c r="U795" s="9"/>
      <c r="V795" s="9"/>
      <c r="W795" s="971"/>
      <c r="X795" s="9"/>
      <c r="Y795" s="9"/>
      <c r="Z795" s="204"/>
      <c r="AA795" s="9"/>
      <c r="AB795" s="9"/>
      <c r="AC795" s="9"/>
      <c r="AD795" s="9"/>
    </row>
    <row r="796" ht="15.75" customHeight="1">
      <c r="A796" s="9"/>
      <c r="B796" s="223"/>
      <c r="C796" s="9"/>
      <c r="D796" s="9"/>
      <c r="E796" s="223"/>
      <c r="F796" s="9"/>
      <c r="G796" s="9"/>
      <c r="H796" s="9"/>
      <c r="I796" s="9"/>
      <c r="J796" s="9"/>
      <c r="K796" s="9"/>
      <c r="L796" s="9"/>
      <c r="M796" s="9"/>
      <c r="N796" s="9"/>
      <c r="O796" s="9"/>
      <c r="P796" s="9"/>
      <c r="Q796" s="9"/>
      <c r="R796" s="9"/>
      <c r="S796" s="9"/>
      <c r="T796" s="223"/>
      <c r="U796" s="9"/>
      <c r="V796" s="9"/>
      <c r="W796" s="971"/>
      <c r="X796" s="9"/>
      <c r="Y796" s="9"/>
      <c r="Z796" s="204"/>
      <c r="AA796" s="9"/>
      <c r="AB796" s="9"/>
      <c r="AC796" s="9"/>
      <c r="AD796" s="9"/>
    </row>
    <row r="797" ht="15.75" customHeight="1">
      <c r="A797" s="9"/>
      <c r="B797" s="223"/>
      <c r="C797" s="9"/>
      <c r="D797" s="9"/>
      <c r="E797" s="223"/>
      <c r="F797" s="9"/>
      <c r="G797" s="9"/>
      <c r="H797" s="9"/>
      <c r="I797" s="9"/>
      <c r="J797" s="9"/>
      <c r="K797" s="9"/>
      <c r="L797" s="9"/>
      <c r="M797" s="9"/>
      <c r="N797" s="9"/>
      <c r="O797" s="9"/>
      <c r="P797" s="9"/>
      <c r="Q797" s="9"/>
      <c r="R797" s="9"/>
      <c r="S797" s="9"/>
      <c r="T797" s="223"/>
      <c r="U797" s="9"/>
      <c r="V797" s="9"/>
      <c r="W797" s="971"/>
      <c r="X797" s="9"/>
      <c r="Y797" s="9"/>
      <c r="Z797" s="204"/>
      <c r="AA797" s="9"/>
      <c r="AB797" s="9"/>
      <c r="AC797" s="9"/>
      <c r="AD797" s="9"/>
    </row>
    <row r="798" ht="15.75" customHeight="1">
      <c r="A798" s="9"/>
      <c r="B798" s="223"/>
      <c r="C798" s="9"/>
      <c r="D798" s="9"/>
      <c r="E798" s="223"/>
      <c r="F798" s="9"/>
      <c r="G798" s="9"/>
      <c r="H798" s="9"/>
      <c r="I798" s="9"/>
      <c r="J798" s="9"/>
      <c r="K798" s="9"/>
      <c r="L798" s="9"/>
      <c r="M798" s="9"/>
      <c r="N798" s="9"/>
      <c r="O798" s="9"/>
      <c r="P798" s="9"/>
      <c r="Q798" s="9"/>
      <c r="R798" s="9"/>
      <c r="S798" s="9"/>
      <c r="T798" s="223"/>
      <c r="U798" s="9"/>
      <c r="V798" s="9"/>
      <c r="W798" s="971"/>
      <c r="X798" s="9"/>
      <c r="Y798" s="9"/>
      <c r="Z798" s="204"/>
      <c r="AA798" s="9"/>
      <c r="AB798" s="9"/>
      <c r="AC798" s="9"/>
      <c r="AD798" s="9"/>
    </row>
    <row r="799" ht="15.75" customHeight="1">
      <c r="A799" s="9"/>
      <c r="B799" s="223"/>
      <c r="C799" s="9"/>
      <c r="D799" s="9"/>
      <c r="E799" s="223"/>
      <c r="F799" s="9"/>
      <c r="G799" s="9"/>
      <c r="H799" s="9"/>
      <c r="I799" s="9"/>
      <c r="J799" s="9"/>
      <c r="K799" s="9"/>
      <c r="L799" s="9"/>
      <c r="M799" s="9"/>
      <c r="N799" s="9"/>
      <c r="O799" s="9"/>
      <c r="P799" s="9"/>
      <c r="Q799" s="9"/>
      <c r="R799" s="9"/>
      <c r="S799" s="9"/>
      <c r="T799" s="223"/>
      <c r="U799" s="9"/>
      <c r="V799" s="9"/>
      <c r="W799" s="971"/>
      <c r="X799" s="9"/>
      <c r="Y799" s="9"/>
      <c r="Z799" s="204"/>
      <c r="AA799" s="9"/>
      <c r="AB799" s="9"/>
      <c r="AC799" s="9"/>
      <c r="AD799" s="9"/>
    </row>
    <row r="800" ht="15.75" customHeight="1">
      <c r="A800" s="9"/>
      <c r="B800" s="223"/>
      <c r="C800" s="9"/>
      <c r="D800" s="9"/>
      <c r="E800" s="223"/>
      <c r="F800" s="9"/>
      <c r="G800" s="9"/>
      <c r="H800" s="9"/>
      <c r="I800" s="9"/>
      <c r="J800" s="9"/>
      <c r="K800" s="9"/>
      <c r="L800" s="9"/>
      <c r="M800" s="9"/>
      <c r="N800" s="9"/>
      <c r="O800" s="9"/>
      <c r="P800" s="9"/>
      <c r="Q800" s="9"/>
      <c r="R800" s="9"/>
      <c r="S800" s="9"/>
      <c r="T800" s="223"/>
      <c r="U800" s="9"/>
      <c r="V800" s="9"/>
      <c r="W800" s="971"/>
      <c r="X800" s="9"/>
      <c r="Y800" s="9"/>
      <c r="Z800" s="204"/>
      <c r="AA800" s="9"/>
      <c r="AB800" s="9"/>
      <c r="AC800" s="9"/>
      <c r="AD800" s="9"/>
    </row>
    <row r="801" ht="15.75" customHeight="1">
      <c r="A801" s="9"/>
      <c r="B801" s="223"/>
      <c r="C801" s="9"/>
      <c r="D801" s="9"/>
      <c r="E801" s="223"/>
      <c r="F801" s="9"/>
      <c r="G801" s="9"/>
      <c r="H801" s="9"/>
      <c r="I801" s="9"/>
      <c r="J801" s="9"/>
      <c r="K801" s="9"/>
      <c r="L801" s="9"/>
      <c r="M801" s="9"/>
      <c r="N801" s="9"/>
      <c r="O801" s="9"/>
      <c r="P801" s="9"/>
      <c r="Q801" s="9"/>
      <c r="R801" s="9"/>
      <c r="S801" s="9"/>
      <c r="T801" s="223"/>
      <c r="U801" s="9"/>
      <c r="V801" s="9"/>
      <c r="W801" s="971"/>
      <c r="X801" s="9"/>
      <c r="Y801" s="9"/>
      <c r="Z801" s="204"/>
      <c r="AA801" s="9"/>
      <c r="AB801" s="9"/>
      <c r="AC801" s="9"/>
      <c r="AD801" s="9"/>
    </row>
    <row r="802" ht="15.75" customHeight="1">
      <c r="A802" s="9"/>
      <c r="B802" s="223"/>
      <c r="C802" s="9"/>
      <c r="D802" s="9"/>
      <c r="E802" s="223"/>
      <c r="F802" s="9"/>
      <c r="G802" s="9"/>
      <c r="H802" s="9"/>
      <c r="I802" s="9"/>
      <c r="J802" s="9"/>
      <c r="K802" s="9"/>
      <c r="L802" s="9"/>
      <c r="M802" s="9"/>
      <c r="N802" s="9"/>
      <c r="O802" s="9"/>
      <c r="P802" s="9"/>
      <c r="Q802" s="9"/>
      <c r="R802" s="9"/>
      <c r="S802" s="9"/>
      <c r="T802" s="223"/>
      <c r="U802" s="9"/>
      <c r="V802" s="9"/>
      <c r="W802" s="971"/>
      <c r="X802" s="9"/>
      <c r="Y802" s="9"/>
      <c r="Z802" s="204"/>
      <c r="AA802" s="9"/>
      <c r="AB802" s="9"/>
      <c r="AC802" s="9"/>
      <c r="AD802" s="9"/>
    </row>
    <row r="803" ht="15.75" customHeight="1">
      <c r="A803" s="9"/>
      <c r="B803" s="223"/>
      <c r="C803" s="9"/>
      <c r="D803" s="9"/>
      <c r="E803" s="223"/>
      <c r="F803" s="9"/>
      <c r="G803" s="9"/>
      <c r="H803" s="9"/>
      <c r="I803" s="9"/>
      <c r="J803" s="9"/>
      <c r="K803" s="9"/>
      <c r="L803" s="9"/>
      <c r="M803" s="9"/>
      <c r="N803" s="9"/>
      <c r="O803" s="9"/>
      <c r="P803" s="9"/>
      <c r="Q803" s="9"/>
      <c r="R803" s="9"/>
      <c r="S803" s="9"/>
      <c r="T803" s="223"/>
      <c r="U803" s="9"/>
      <c r="V803" s="9"/>
      <c r="W803" s="971"/>
      <c r="X803" s="9"/>
      <c r="Y803" s="9"/>
      <c r="Z803" s="204"/>
      <c r="AA803" s="9"/>
      <c r="AB803" s="9"/>
      <c r="AC803" s="9"/>
      <c r="AD803" s="9"/>
    </row>
    <row r="804" ht="15.75" customHeight="1">
      <c r="A804" s="9"/>
      <c r="B804" s="223"/>
      <c r="C804" s="9"/>
      <c r="D804" s="9"/>
      <c r="E804" s="223"/>
      <c r="F804" s="9"/>
      <c r="G804" s="9"/>
      <c r="H804" s="9"/>
      <c r="I804" s="9"/>
      <c r="J804" s="9"/>
      <c r="K804" s="9"/>
      <c r="L804" s="9"/>
      <c r="M804" s="9"/>
      <c r="N804" s="9"/>
      <c r="O804" s="9"/>
      <c r="P804" s="9"/>
      <c r="Q804" s="9"/>
      <c r="R804" s="9"/>
      <c r="S804" s="9"/>
      <c r="T804" s="223"/>
      <c r="U804" s="9"/>
      <c r="V804" s="9"/>
      <c r="W804" s="971"/>
      <c r="X804" s="9"/>
      <c r="Y804" s="9"/>
      <c r="Z804" s="204"/>
      <c r="AA804" s="9"/>
      <c r="AB804" s="9"/>
      <c r="AC804" s="9"/>
      <c r="AD804" s="9"/>
    </row>
    <row r="805" ht="15.75" customHeight="1">
      <c r="A805" s="9"/>
      <c r="B805" s="223"/>
      <c r="C805" s="9"/>
      <c r="D805" s="9"/>
      <c r="E805" s="223"/>
      <c r="F805" s="9"/>
      <c r="G805" s="9"/>
      <c r="H805" s="9"/>
      <c r="I805" s="9"/>
      <c r="J805" s="9"/>
      <c r="K805" s="9"/>
      <c r="L805" s="9"/>
      <c r="M805" s="9"/>
      <c r="N805" s="9"/>
      <c r="O805" s="9"/>
      <c r="P805" s="9"/>
      <c r="Q805" s="9"/>
      <c r="R805" s="9"/>
      <c r="S805" s="9"/>
      <c r="T805" s="223"/>
      <c r="U805" s="9"/>
      <c r="V805" s="9"/>
      <c r="W805" s="971"/>
      <c r="X805" s="9"/>
      <c r="Y805" s="9"/>
      <c r="Z805" s="204"/>
      <c r="AA805" s="9"/>
      <c r="AB805" s="9"/>
      <c r="AC805" s="9"/>
      <c r="AD805" s="9"/>
    </row>
    <row r="806" ht="15.75" customHeight="1">
      <c r="A806" s="9"/>
      <c r="B806" s="223"/>
      <c r="C806" s="9"/>
      <c r="D806" s="9"/>
      <c r="E806" s="223"/>
      <c r="F806" s="9"/>
      <c r="G806" s="9"/>
      <c r="H806" s="9"/>
      <c r="I806" s="9"/>
      <c r="J806" s="9"/>
      <c r="K806" s="9"/>
      <c r="L806" s="9"/>
      <c r="M806" s="9"/>
      <c r="N806" s="9"/>
      <c r="O806" s="9"/>
      <c r="P806" s="9"/>
      <c r="Q806" s="9"/>
      <c r="R806" s="9"/>
      <c r="S806" s="9"/>
      <c r="T806" s="223"/>
      <c r="U806" s="9"/>
      <c r="V806" s="9"/>
      <c r="W806" s="971"/>
      <c r="X806" s="9"/>
      <c r="Y806" s="9"/>
      <c r="Z806" s="204"/>
      <c r="AA806" s="9"/>
      <c r="AB806" s="9"/>
      <c r="AC806" s="9"/>
      <c r="AD806" s="9"/>
    </row>
    <row r="807" ht="15.75" customHeight="1">
      <c r="A807" s="9"/>
      <c r="B807" s="223"/>
      <c r="C807" s="9"/>
      <c r="D807" s="9"/>
      <c r="E807" s="223"/>
      <c r="F807" s="9"/>
      <c r="G807" s="9"/>
      <c r="H807" s="9"/>
      <c r="I807" s="9"/>
      <c r="J807" s="9"/>
      <c r="K807" s="9"/>
      <c r="L807" s="9"/>
      <c r="M807" s="9"/>
      <c r="N807" s="9"/>
      <c r="O807" s="9"/>
      <c r="P807" s="9"/>
      <c r="Q807" s="9"/>
      <c r="R807" s="9"/>
      <c r="S807" s="9"/>
      <c r="T807" s="223"/>
      <c r="U807" s="9"/>
      <c r="V807" s="9"/>
      <c r="W807" s="971"/>
      <c r="X807" s="9"/>
      <c r="Y807" s="9"/>
      <c r="Z807" s="204"/>
      <c r="AA807" s="9"/>
      <c r="AB807" s="9"/>
      <c r="AC807" s="9"/>
      <c r="AD807" s="9"/>
    </row>
    <row r="808" ht="15.75" customHeight="1">
      <c r="A808" s="9"/>
      <c r="B808" s="223"/>
      <c r="C808" s="9"/>
      <c r="D808" s="9"/>
      <c r="E808" s="223"/>
      <c r="F808" s="9"/>
      <c r="G808" s="9"/>
      <c r="H808" s="9"/>
      <c r="I808" s="9"/>
      <c r="J808" s="9"/>
      <c r="K808" s="9"/>
      <c r="L808" s="9"/>
      <c r="M808" s="9"/>
      <c r="N808" s="9"/>
      <c r="O808" s="9"/>
      <c r="P808" s="9"/>
      <c r="Q808" s="9"/>
      <c r="R808" s="9"/>
      <c r="S808" s="9"/>
      <c r="T808" s="223"/>
      <c r="U808" s="9"/>
      <c r="V808" s="9"/>
      <c r="W808" s="971"/>
      <c r="X808" s="9"/>
      <c r="Y808" s="9"/>
      <c r="Z808" s="204"/>
      <c r="AA808" s="9"/>
      <c r="AB808" s="9"/>
      <c r="AC808" s="9"/>
      <c r="AD808" s="9"/>
    </row>
    <row r="809" ht="15.75" customHeight="1">
      <c r="A809" s="9"/>
      <c r="B809" s="223"/>
      <c r="C809" s="9"/>
      <c r="D809" s="9"/>
      <c r="E809" s="223"/>
      <c r="F809" s="9"/>
      <c r="G809" s="9"/>
      <c r="H809" s="9"/>
      <c r="I809" s="9"/>
      <c r="J809" s="9"/>
      <c r="K809" s="9"/>
      <c r="L809" s="9"/>
      <c r="M809" s="9"/>
      <c r="N809" s="9"/>
      <c r="O809" s="9"/>
      <c r="P809" s="9"/>
      <c r="Q809" s="9"/>
      <c r="R809" s="9"/>
      <c r="S809" s="9"/>
      <c r="T809" s="223"/>
      <c r="U809" s="9"/>
      <c r="V809" s="9"/>
      <c r="W809" s="971"/>
      <c r="X809" s="9"/>
      <c r="Y809" s="9"/>
      <c r="Z809" s="204"/>
      <c r="AA809" s="9"/>
      <c r="AB809" s="9"/>
      <c r="AC809" s="9"/>
      <c r="AD809" s="9"/>
    </row>
    <row r="810" ht="15.75" customHeight="1">
      <c r="A810" s="9"/>
      <c r="B810" s="223"/>
      <c r="C810" s="9"/>
      <c r="D810" s="9"/>
      <c r="E810" s="223"/>
      <c r="F810" s="9"/>
      <c r="G810" s="9"/>
      <c r="H810" s="9"/>
      <c r="I810" s="9"/>
      <c r="J810" s="9"/>
      <c r="K810" s="9"/>
      <c r="L810" s="9"/>
      <c r="M810" s="9"/>
      <c r="N810" s="9"/>
      <c r="O810" s="9"/>
      <c r="P810" s="9"/>
      <c r="Q810" s="9"/>
      <c r="R810" s="9"/>
      <c r="S810" s="9"/>
      <c r="T810" s="223"/>
      <c r="U810" s="9"/>
      <c r="V810" s="9"/>
      <c r="W810" s="971"/>
      <c r="X810" s="9"/>
      <c r="Y810" s="9"/>
      <c r="Z810" s="204"/>
      <c r="AA810" s="9"/>
      <c r="AB810" s="9"/>
      <c r="AC810" s="9"/>
      <c r="AD810" s="9"/>
    </row>
    <row r="811" ht="15.75" customHeight="1">
      <c r="A811" s="9"/>
      <c r="B811" s="223"/>
      <c r="C811" s="9"/>
      <c r="D811" s="9"/>
      <c r="E811" s="223"/>
      <c r="F811" s="9"/>
      <c r="G811" s="9"/>
      <c r="H811" s="9"/>
      <c r="I811" s="9"/>
      <c r="J811" s="9"/>
      <c r="K811" s="9"/>
      <c r="L811" s="9"/>
      <c r="M811" s="9"/>
      <c r="N811" s="9"/>
      <c r="O811" s="9"/>
      <c r="P811" s="9"/>
      <c r="Q811" s="9"/>
      <c r="R811" s="9"/>
      <c r="S811" s="9"/>
      <c r="T811" s="223"/>
      <c r="U811" s="9"/>
      <c r="V811" s="9"/>
      <c r="W811" s="971"/>
      <c r="X811" s="9"/>
      <c r="Y811" s="9"/>
      <c r="Z811" s="204"/>
      <c r="AA811" s="9"/>
      <c r="AB811" s="9"/>
      <c r="AC811" s="9"/>
      <c r="AD811" s="9"/>
    </row>
    <row r="812" ht="15.75" customHeight="1">
      <c r="A812" s="9"/>
      <c r="B812" s="223"/>
      <c r="C812" s="9"/>
      <c r="D812" s="9"/>
      <c r="E812" s="223"/>
      <c r="F812" s="9"/>
      <c r="G812" s="9"/>
      <c r="H812" s="9"/>
      <c r="I812" s="9"/>
      <c r="J812" s="9"/>
      <c r="K812" s="9"/>
      <c r="L812" s="9"/>
      <c r="M812" s="9"/>
      <c r="N812" s="9"/>
      <c r="O812" s="9"/>
      <c r="P812" s="9"/>
      <c r="Q812" s="9"/>
      <c r="R812" s="9"/>
      <c r="S812" s="9"/>
      <c r="T812" s="223"/>
      <c r="U812" s="9"/>
      <c r="V812" s="9"/>
      <c r="W812" s="971"/>
      <c r="X812" s="9"/>
      <c r="Y812" s="9"/>
      <c r="Z812" s="204"/>
      <c r="AA812" s="9"/>
      <c r="AB812" s="9"/>
      <c r="AC812" s="9"/>
      <c r="AD812" s="9"/>
    </row>
    <row r="813" ht="15.75" customHeight="1">
      <c r="A813" s="9"/>
      <c r="B813" s="223"/>
      <c r="C813" s="9"/>
      <c r="D813" s="9"/>
      <c r="E813" s="223"/>
      <c r="F813" s="9"/>
      <c r="G813" s="9"/>
      <c r="H813" s="9"/>
      <c r="I813" s="9"/>
      <c r="J813" s="9"/>
      <c r="K813" s="9"/>
      <c r="L813" s="9"/>
      <c r="M813" s="9"/>
      <c r="N813" s="9"/>
      <c r="O813" s="9"/>
      <c r="P813" s="9"/>
      <c r="Q813" s="9"/>
      <c r="R813" s="9"/>
      <c r="S813" s="9"/>
      <c r="T813" s="223"/>
      <c r="U813" s="9"/>
      <c r="V813" s="9"/>
      <c r="W813" s="971"/>
      <c r="X813" s="9"/>
      <c r="Y813" s="9"/>
      <c r="Z813" s="204"/>
      <c r="AA813" s="9"/>
      <c r="AB813" s="9"/>
      <c r="AC813" s="9"/>
      <c r="AD813" s="9"/>
    </row>
    <row r="814" ht="15.75" customHeight="1">
      <c r="A814" s="9"/>
      <c r="B814" s="223"/>
      <c r="C814" s="9"/>
      <c r="D814" s="9"/>
      <c r="E814" s="223"/>
      <c r="F814" s="9"/>
      <c r="G814" s="9"/>
      <c r="H814" s="9"/>
      <c r="I814" s="9"/>
      <c r="J814" s="9"/>
      <c r="K814" s="9"/>
      <c r="L814" s="9"/>
      <c r="M814" s="9"/>
      <c r="N814" s="9"/>
      <c r="O814" s="9"/>
      <c r="P814" s="9"/>
      <c r="Q814" s="9"/>
      <c r="R814" s="9"/>
      <c r="S814" s="9"/>
      <c r="T814" s="223"/>
      <c r="U814" s="9"/>
      <c r="V814" s="9"/>
      <c r="W814" s="971"/>
      <c r="X814" s="9"/>
      <c r="Y814" s="9"/>
      <c r="Z814" s="204"/>
      <c r="AA814" s="9"/>
      <c r="AB814" s="9"/>
      <c r="AC814" s="9"/>
      <c r="AD814" s="9"/>
    </row>
    <row r="815" ht="15.75" customHeight="1">
      <c r="A815" s="9"/>
      <c r="B815" s="223"/>
      <c r="C815" s="9"/>
      <c r="D815" s="9"/>
      <c r="E815" s="223"/>
      <c r="F815" s="9"/>
      <c r="G815" s="9"/>
      <c r="H815" s="9"/>
      <c r="I815" s="9"/>
      <c r="J815" s="9"/>
      <c r="K815" s="9"/>
      <c r="L815" s="9"/>
      <c r="M815" s="9"/>
      <c r="N815" s="9"/>
      <c r="O815" s="9"/>
      <c r="P815" s="9"/>
      <c r="Q815" s="9"/>
      <c r="R815" s="9"/>
      <c r="S815" s="9"/>
      <c r="T815" s="223"/>
      <c r="U815" s="9"/>
      <c r="V815" s="9"/>
      <c r="W815" s="971"/>
      <c r="X815" s="9"/>
      <c r="Y815" s="9"/>
      <c r="Z815" s="204"/>
      <c r="AA815" s="9"/>
      <c r="AB815" s="9"/>
      <c r="AC815" s="9"/>
      <c r="AD815" s="9"/>
    </row>
    <row r="816" ht="15.75" customHeight="1">
      <c r="A816" s="9"/>
      <c r="B816" s="223"/>
      <c r="C816" s="9"/>
      <c r="D816" s="9"/>
      <c r="E816" s="223"/>
      <c r="F816" s="9"/>
      <c r="G816" s="9"/>
      <c r="H816" s="9"/>
      <c r="I816" s="9"/>
      <c r="J816" s="9"/>
      <c r="K816" s="9"/>
      <c r="L816" s="9"/>
      <c r="M816" s="9"/>
      <c r="N816" s="9"/>
      <c r="O816" s="9"/>
      <c r="P816" s="9"/>
      <c r="Q816" s="9"/>
      <c r="R816" s="9"/>
      <c r="S816" s="9"/>
      <c r="T816" s="223"/>
      <c r="U816" s="9"/>
      <c r="V816" s="9"/>
      <c r="W816" s="971"/>
      <c r="X816" s="9"/>
      <c r="Y816" s="9"/>
      <c r="Z816" s="204"/>
      <c r="AA816" s="9"/>
      <c r="AB816" s="9"/>
      <c r="AC816" s="9"/>
      <c r="AD816" s="9"/>
    </row>
    <row r="817" ht="15.75" customHeight="1">
      <c r="A817" s="9"/>
      <c r="B817" s="223"/>
      <c r="C817" s="9"/>
      <c r="D817" s="9"/>
      <c r="E817" s="223"/>
      <c r="F817" s="9"/>
      <c r="G817" s="9"/>
      <c r="H817" s="9"/>
      <c r="I817" s="9"/>
      <c r="J817" s="9"/>
      <c r="K817" s="9"/>
      <c r="L817" s="9"/>
      <c r="M817" s="9"/>
      <c r="N817" s="9"/>
      <c r="O817" s="9"/>
      <c r="P817" s="9"/>
      <c r="Q817" s="9"/>
      <c r="R817" s="9"/>
      <c r="S817" s="9"/>
      <c r="T817" s="223"/>
      <c r="U817" s="9"/>
      <c r="V817" s="9"/>
      <c r="W817" s="971"/>
      <c r="X817" s="9"/>
      <c r="Y817" s="9"/>
      <c r="Z817" s="204"/>
      <c r="AA817" s="9"/>
      <c r="AB817" s="9"/>
      <c r="AC817" s="9"/>
      <c r="AD817" s="9"/>
    </row>
    <row r="818" ht="15.75" customHeight="1">
      <c r="A818" s="9"/>
      <c r="B818" s="223"/>
      <c r="C818" s="9"/>
      <c r="D818" s="9"/>
      <c r="E818" s="223"/>
      <c r="F818" s="9"/>
      <c r="G818" s="9"/>
      <c r="H818" s="9"/>
      <c r="I818" s="9"/>
      <c r="J818" s="9"/>
      <c r="K818" s="9"/>
      <c r="L818" s="9"/>
      <c r="M818" s="9"/>
      <c r="N818" s="9"/>
      <c r="O818" s="9"/>
      <c r="P818" s="9"/>
      <c r="Q818" s="9"/>
      <c r="R818" s="9"/>
      <c r="S818" s="9"/>
      <c r="T818" s="223"/>
      <c r="U818" s="9"/>
      <c r="V818" s="9"/>
      <c r="W818" s="971"/>
      <c r="X818" s="9"/>
      <c r="Y818" s="9"/>
      <c r="Z818" s="204"/>
      <c r="AA818" s="9"/>
      <c r="AB818" s="9"/>
      <c r="AC818" s="9"/>
      <c r="AD818" s="9"/>
    </row>
    <row r="819" ht="15.75" customHeight="1">
      <c r="A819" s="9"/>
      <c r="B819" s="223"/>
      <c r="C819" s="9"/>
      <c r="D819" s="9"/>
      <c r="E819" s="223"/>
      <c r="F819" s="9"/>
      <c r="G819" s="9"/>
      <c r="H819" s="9"/>
      <c r="I819" s="9"/>
      <c r="J819" s="9"/>
      <c r="K819" s="9"/>
      <c r="L819" s="9"/>
      <c r="M819" s="9"/>
      <c r="N819" s="9"/>
      <c r="O819" s="9"/>
      <c r="P819" s="9"/>
      <c r="Q819" s="9"/>
      <c r="R819" s="9"/>
      <c r="S819" s="9"/>
      <c r="T819" s="223"/>
      <c r="U819" s="9"/>
      <c r="V819" s="9"/>
      <c r="W819" s="971"/>
      <c r="X819" s="9"/>
      <c r="Y819" s="9"/>
      <c r="Z819" s="204"/>
      <c r="AA819" s="9"/>
      <c r="AB819" s="9"/>
      <c r="AC819" s="9"/>
      <c r="AD819" s="9"/>
    </row>
    <row r="820" ht="15.75" customHeight="1">
      <c r="A820" s="9"/>
      <c r="B820" s="223"/>
      <c r="C820" s="9"/>
      <c r="D820" s="9"/>
      <c r="E820" s="223"/>
      <c r="F820" s="9"/>
      <c r="G820" s="9"/>
      <c r="H820" s="9"/>
      <c r="I820" s="9"/>
      <c r="J820" s="9"/>
      <c r="K820" s="9"/>
      <c r="L820" s="9"/>
      <c r="M820" s="9"/>
      <c r="N820" s="9"/>
      <c r="O820" s="9"/>
      <c r="P820" s="9"/>
      <c r="Q820" s="9"/>
      <c r="R820" s="9"/>
      <c r="S820" s="9"/>
      <c r="T820" s="223"/>
      <c r="U820" s="9"/>
      <c r="V820" s="9"/>
      <c r="W820" s="971"/>
      <c r="X820" s="9"/>
      <c r="Y820" s="9"/>
      <c r="Z820" s="204"/>
      <c r="AA820" s="9"/>
      <c r="AB820" s="9"/>
      <c r="AC820" s="9"/>
      <c r="AD820" s="9"/>
    </row>
    <row r="821" ht="15.75" customHeight="1">
      <c r="A821" s="9"/>
      <c r="B821" s="223"/>
      <c r="C821" s="9"/>
      <c r="D821" s="9"/>
      <c r="E821" s="223"/>
      <c r="F821" s="9"/>
      <c r="G821" s="9"/>
      <c r="H821" s="9"/>
      <c r="I821" s="9"/>
      <c r="J821" s="9"/>
      <c r="K821" s="9"/>
      <c r="L821" s="9"/>
      <c r="M821" s="9"/>
      <c r="N821" s="9"/>
      <c r="O821" s="9"/>
      <c r="P821" s="9"/>
      <c r="Q821" s="9"/>
      <c r="R821" s="9"/>
      <c r="S821" s="9"/>
      <c r="T821" s="223"/>
      <c r="U821" s="9"/>
      <c r="V821" s="9"/>
      <c r="W821" s="971"/>
      <c r="X821" s="9"/>
      <c r="Y821" s="9"/>
      <c r="Z821" s="204"/>
      <c r="AA821" s="9"/>
      <c r="AB821" s="9"/>
      <c r="AC821" s="9"/>
      <c r="AD821" s="9"/>
    </row>
    <row r="822" ht="15.75" customHeight="1">
      <c r="A822" s="9"/>
      <c r="B822" s="223"/>
      <c r="C822" s="9"/>
      <c r="D822" s="9"/>
      <c r="E822" s="223"/>
      <c r="F822" s="9"/>
      <c r="G822" s="9"/>
      <c r="H822" s="9"/>
      <c r="I822" s="9"/>
      <c r="J822" s="9"/>
      <c r="K822" s="9"/>
      <c r="L822" s="9"/>
      <c r="M822" s="9"/>
      <c r="N822" s="9"/>
      <c r="O822" s="9"/>
      <c r="P822" s="9"/>
      <c r="Q822" s="9"/>
      <c r="R822" s="9"/>
      <c r="S822" s="9"/>
      <c r="T822" s="223"/>
      <c r="U822" s="9"/>
      <c r="V822" s="9"/>
      <c r="W822" s="971"/>
      <c r="X822" s="9"/>
      <c r="Y822" s="9"/>
      <c r="Z822" s="204"/>
      <c r="AA822" s="9"/>
      <c r="AB822" s="9"/>
      <c r="AC822" s="9"/>
      <c r="AD822" s="9"/>
    </row>
    <row r="823" ht="15.75" customHeight="1">
      <c r="A823" s="9"/>
      <c r="B823" s="223"/>
      <c r="C823" s="9"/>
      <c r="D823" s="9"/>
      <c r="E823" s="223"/>
      <c r="F823" s="9"/>
      <c r="G823" s="9"/>
      <c r="H823" s="9"/>
      <c r="I823" s="9"/>
      <c r="J823" s="9"/>
      <c r="K823" s="9"/>
      <c r="L823" s="9"/>
      <c r="M823" s="9"/>
      <c r="N823" s="9"/>
      <c r="O823" s="9"/>
      <c r="P823" s="9"/>
      <c r="Q823" s="9"/>
      <c r="R823" s="9"/>
      <c r="S823" s="9"/>
      <c r="T823" s="223"/>
      <c r="U823" s="9"/>
      <c r="V823" s="9"/>
      <c r="W823" s="971"/>
      <c r="X823" s="9"/>
      <c r="Y823" s="9"/>
      <c r="Z823" s="204"/>
      <c r="AA823" s="9"/>
      <c r="AB823" s="9"/>
      <c r="AC823" s="9"/>
      <c r="AD823" s="9"/>
    </row>
    <row r="824" ht="15.75" customHeight="1">
      <c r="A824" s="9"/>
      <c r="B824" s="223"/>
      <c r="C824" s="9"/>
      <c r="D824" s="9"/>
      <c r="E824" s="223"/>
      <c r="F824" s="9"/>
      <c r="G824" s="9"/>
      <c r="H824" s="9"/>
      <c r="I824" s="9"/>
      <c r="J824" s="9"/>
      <c r="K824" s="9"/>
      <c r="L824" s="9"/>
      <c r="M824" s="9"/>
      <c r="N824" s="9"/>
      <c r="O824" s="9"/>
      <c r="P824" s="9"/>
      <c r="Q824" s="9"/>
      <c r="R824" s="9"/>
      <c r="S824" s="9"/>
      <c r="T824" s="223"/>
      <c r="U824" s="9"/>
      <c r="V824" s="9"/>
      <c r="W824" s="971"/>
      <c r="X824" s="9"/>
      <c r="Y824" s="9"/>
      <c r="Z824" s="204"/>
      <c r="AA824" s="9"/>
      <c r="AB824" s="9"/>
      <c r="AC824" s="9"/>
      <c r="AD824" s="9"/>
    </row>
    <row r="825" ht="15.75" customHeight="1">
      <c r="A825" s="9"/>
      <c r="B825" s="223"/>
      <c r="C825" s="9"/>
      <c r="D825" s="9"/>
      <c r="E825" s="223"/>
      <c r="F825" s="9"/>
      <c r="G825" s="9"/>
      <c r="H825" s="9"/>
      <c r="I825" s="9"/>
      <c r="J825" s="9"/>
      <c r="K825" s="9"/>
      <c r="L825" s="9"/>
      <c r="M825" s="9"/>
      <c r="N825" s="9"/>
      <c r="O825" s="9"/>
      <c r="P825" s="9"/>
      <c r="Q825" s="9"/>
      <c r="R825" s="9"/>
      <c r="S825" s="9"/>
      <c r="T825" s="223"/>
      <c r="U825" s="9"/>
      <c r="V825" s="9"/>
      <c r="W825" s="971"/>
      <c r="X825" s="9"/>
      <c r="Y825" s="9"/>
      <c r="Z825" s="204"/>
      <c r="AA825" s="9"/>
      <c r="AB825" s="9"/>
      <c r="AC825" s="9"/>
      <c r="AD825" s="9"/>
    </row>
    <row r="826" ht="15.75" customHeight="1">
      <c r="A826" s="9"/>
      <c r="B826" s="223"/>
      <c r="C826" s="9"/>
      <c r="D826" s="9"/>
      <c r="E826" s="223"/>
      <c r="F826" s="9"/>
      <c r="G826" s="9"/>
      <c r="H826" s="9"/>
      <c r="I826" s="9"/>
      <c r="J826" s="9"/>
      <c r="K826" s="9"/>
      <c r="L826" s="9"/>
      <c r="M826" s="9"/>
      <c r="N826" s="9"/>
      <c r="O826" s="9"/>
      <c r="P826" s="9"/>
      <c r="Q826" s="9"/>
      <c r="R826" s="9"/>
      <c r="S826" s="9"/>
      <c r="T826" s="223"/>
      <c r="U826" s="9"/>
      <c r="V826" s="9"/>
      <c r="W826" s="971"/>
      <c r="X826" s="9"/>
      <c r="Y826" s="9"/>
      <c r="Z826" s="204"/>
      <c r="AA826" s="9"/>
      <c r="AB826" s="9"/>
      <c r="AC826" s="9"/>
      <c r="AD826" s="9"/>
    </row>
    <row r="827" ht="15.75" customHeight="1">
      <c r="A827" s="9"/>
      <c r="B827" s="223"/>
      <c r="C827" s="9"/>
      <c r="D827" s="9"/>
      <c r="E827" s="223"/>
      <c r="F827" s="9"/>
      <c r="G827" s="9"/>
      <c r="H827" s="9"/>
      <c r="I827" s="9"/>
      <c r="J827" s="9"/>
      <c r="K827" s="9"/>
      <c r="L827" s="9"/>
      <c r="M827" s="9"/>
      <c r="N827" s="9"/>
      <c r="O827" s="9"/>
      <c r="P827" s="9"/>
      <c r="Q827" s="9"/>
      <c r="R827" s="9"/>
      <c r="S827" s="9"/>
      <c r="T827" s="223"/>
      <c r="U827" s="9"/>
      <c r="V827" s="9"/>
      <c r="W827" s="971"/>
      <c r="X827" s="9"/>
      <c r="Y827" s="9"/>
      <c r="Z827" s="204"/>
      <c r="AA827" s="9"/>
      <c r="AB827" s="9"/>
      <c r="AC827" s="9"/>
      <c r="AD827" s="9"/>
    </row>
    <row r="828" ht="15.75" customHeight="1">
      <c r="A828" s="9"/>
      <c r="B828" s="223"/>
      <c r="C828" s="9"/>
      <c r="D828" s="9"/>
      <c r="E828" s="223"/>
      <c r="F828" s="9"/>
      <c r="G828" s="9"/>
      <c r="H828" s="9"/>
      <c r="I828" s="9"/>
      <c r="J828" s="9"/>
      <c r="K828" s="9"/>
      <c r="L828" s="9"/>
      <c r="M828" s="9"/>
      <c r="N828" s="9"/>
      <c r="O828" s="9"/>
      <c r="P828" s="9"/>
      <c r="Q828" s="9"/>
      <c r="R828" s="9"/>
      <c r="S828" s="9"/>
      <c r="T828" s="223"/>
      <c r="U828" s="9"/>
      <c r="V828" s="9"/>
      <c r="W828" s="971"/>
      <c r="X828" s="9"/>
      <c r="Y828" s="9"/>
      <c r="Z828" s="204"/>
      <c r="AA828" s="9"/>
      <c r="AB828" s="9"/>
      <c r="AC828" s="9"/>
      <c r="AD828" s="9"/>
    </row>
    <row r="829" ht="15.75" customHeight="1">
      <c r="A829" s="9"/>
      <c r="B829" s="223"/>
      <c r="C829" s="9"/>
      <c r="D829" s="9"/>
      <c r="E829" s="223"/>
      <c r="F829" s="9"/>
      <c r="G829" s="9"/>
      <c r="H829" s="9"/>
      <c r="I829" s="9"/>
      <c r="J829" s="9"/>
      <c r="K829" s="9"/>
      <c r="L829" s="9"/>
      <c r="M829" s="9"/>
      <c r="N829" s="9"/>
      <c r="O829" s="9"/>
      <c r="P829" s="9"/>
      <c r="Q829" s="9"/>
      <c r="R829" s="9"/>
      <c r="S829" s="9"/>
      <c r="T829" s="223"/>
      <c r="U829" s="9"/>
      <c r="V829" s="9"/>
      <c r="W829" s="971"/>
      <c r="X829" s="9"/>
      <c r="Y829" s="9"/>
      <c r="Z829" s="204"/>
      <c r="AA829" s="9"/>
      <c r="AB829" s="9"/>
      <c r="AC829" s="9"/>
      <c r="AD829" s="9"/>
    </row>
    <row r="830" ht="15.75" customHeight="1">
      <c r="A830" s="9"/>
      <c r="B830" s="223"/>
      <c r="C830" s="9"/>
      <c r="D830" s="9"/>
      <c r="E830" s="223"/>
      <c r="F830" s="9"/>
      <c r="G830" s="9"/>
      <c r="H830" s="9"/>
      <c r="I830" s="9"/>
      <c r="J830" s="9"/>
      <c r="K830" s="9"/>
      <c r="L830" s="9"/>
      <c r="M830" s="9"/>
      <c r="N830" s="9"/>
      <c r="O830" s="9"/>
      <c r="P830" s="9"/>
      <c r="Q830" s="9"/>
      <c r="R830" s="9"/>
      <c r="S830" s="9"/>
      <c r="T830" s="223"/>
      <c r="U830" s="9"/>
      <c r="V830" s="9"/>
      <c r="W830" s="971"/>
      <c r="X830" s="9"/>
      <c r="Y830" s="9"/>
      <c r="Z830" s="204"/>
      <c r="AA830" s="9"/>
      <c r="AB830" s="9"/>
      <c r="AC830" s="9"/>
      <c r="AD830" s="9"/>
    </row>
    <row r="831" ht="15.75" customHeight="1">
      <c r="A831" s="9"/>
      <c r="B831" s="223"/>
      <c r="C831" s="9"/>
      <c r="D831" s="9"/>
      <c r="E831" s="223"/>
      <c r="F831" s="9"/>
      <c r="G831" s="9"/>
      <c r="H831" s="9"/>
      <c r="I831" s="9"/>
      <c r="J831" s="9"/>
      <c r="K831" s="9"/>
      <c r="L831" s="9"/>
      <c r="M831" s="9"/>
      <c r="N831" s="9"/>
      <c r="O831" s="9"/>
      <c r="P831" s="9"/>
      <c r="Q831" s="9"/>
      <c r="R831" s="9"/>
      <c r="S831" s="9"/>
      <c r="T831" s="223"/>
      <c r="U831" s="9"/>
      <c r="V831" s="9"/>
      <c r="W831" s="971"/>
      <c r="X831" s="9"/>
      <c r="Y831" s="9"/>
      <c r="Z831" s="204"/>
      <c r="AA831" s="9"/>
      <c r="AB831" s="9"/>
      <c r="AC831" s="9"/>
      <c r="AD831" s="9"/>
    </row>
    <row r="832" ht="15.75" customHeight="1">
      <c r="A832" s="9"/>
      <c r="B832" s="223"/>
      <c r="C832" s="9"/>
      <c r="D832" s="9"/>
      <c r="E832" s="223"/>
      <c r="F832" s="9"/>
      <c r="G832" s="9"/>
      <c r="H832" s="9"/>
      <c r="I832" s="9"/>
      <c r="J832" s="9"/>
      <c r="K832" s="9"/>
      <c r="L832" s="9"/>
      <c r="M832" s="9"/>
      <c r="N832" s="9"/>
      <c r="O832" s="9"/>
      <c r="P832" s="9"/>
      <c r="Q832" s="9"/>
      <c r="R832" s="9"/>
      <c r="S832" s="9"/>
      <c r="T832" s="223"/>
      <c r="U832" s="9"/>
      <c r="V832" s="9"/>
      <c r="W832" s="971"/>
      <c r="X832" s="9"/>
      <c r="Y832" s="9"/>
      <c r="Z832" s="204"/>
      <c r="AA832" s="9"/>
      <c r="AB832" s="9"/>
      <c r="AC832" s="9"/>
      <c r="AD832" s="9"/>
    </row>
    <row r="833" ht="15.75" customHeight="1">
      <c r="A833" s="9"/>
      <c r="B833" s="223"/>
      <c r="C833" s="9"/>
      <c r="D833" s="9"/>
      <c r="E833" s="223"/>
      <c r="F833" s="9"/>
      <c r="G833" s="9"/>
      <c r="H833" s="9"/>
      <c r="I833" s="9"/>
      <c r="J833" s="9"/>
      <c r="K833" s="9"/>
      <c r="L833" s="9"/>
      <c r="M833" s="9"/>
      <c r="N833" s="9"/>
      <c r="O833" s="9"/>
      <c r="P833" s="9"/>
      <c r="Q833" s="9"/>
      <c r="R833" s="9"/>
      <c r="S833" s="9"/>
      <c r="T833" s="223"/>
      <c r="U833" s="9"/>
      <c r="V833" s="9"/>
      <c r="W833" s="971"/>
      <c r="X833" s="9"/>
      <c r="Y833" s="9"/>
      <c r="Z833" s="204"/>
      <c r="AA833" s="9"/>
      <c r="AB833" s="9"/>
      <c r="AC833" s="9"/>
      <c r="AD833" s="9"/>
    </row>
    <row r="834" ht="15.75" customHeight="1">
      <c r="A834" s="9"/>
      <c r="B834" s="223"/>
      <c r="C834" s="9"/>
      <c r="D834" s="9"/>
      <c r="E834" s="223"/>
      <c r="F834" s="9"/>
      <c r="G834" s="9"/>
      <c r="H834" s="9"/>
      <c r="I834" s="9"/>
      <c r="J834" s="9"/>
      <c r="K834" s="9"/>
      <c r="L834" s="9"/>
      <c r="M834" s="9"/>
      <c r="N834" s="9"/>
      <c r="O834" s="9"/>
      <c r="P834" s="9"/>
      <c r="Q834" s="9"/>
      <c r="R834" s="9"/>
      <c r="S834" s="9"/>
      <c r="T834" s="223"/>
      <c r="U834" s="9"/>
      <c r="V834" s="9"/>
      <c r="W834" s="971"/>
      <c r="X834" s="9"/>
      <c r="Y834" s="9"/>
      <c r="Z834" s="204"/>
      <c r="AA834" s="9"/>
      <c r="AB834" s="9"/>
      <c r="AC834" s="9"/>
      <c r="AD834" s="9"/>
    </row>
    <row r="835" ht="15.75" customHeight="1">
      <c r="A835" s="9"/>
      <c r="B835" s="223"/>
      <c r="C835" s="9"/>
      <c r="D835" s="9"/>
      <c r="E835" s="223"/>
      <c r="F835" s="9"/>
      <c r="G835" s="9"/>
      <c r="H835" s="9"/>
      <c r="I835" s="9"/>
      <c r="J835" s="9"/>
      <c r="K835" s="9"/>
      <c r="L835" s="9"/>
      <c r="M835" s="9"/>
      <c r="N835" s="9"/>
      <c r="O835" s="9"/>
      <c r="P835" s="9"/>
      <c r="Q835" s="9"/>
      <c r="R835" s="9"/>
      <c r="S835" s="9"/>
      <c r="T835" s="223"/>
      <c r="U835" s="9"/>
      <c r="V835" s="9"/>
      <c r="W835" s="971"/>
      <c r="X835" s="9"/>
      <c r="Y835" s="9"/>
      <c r="Z835" s="204"/>
      <c r="AA835" s="9"/>
      <c r="AB835" s="9"/>
      <c r="AC835" s="9"/>
      <c r="AD835" s="9"/>
    </row>
    <row r="836" ht="15.75" customHeight="1">
      <c r="A836" s="9"/>
      <c r="B836" s="223"/>
      <c r="C836" s="9"/>
      <c r="D836" s="9"/>
      <c r="E836" s="223"/>
      <c r="F836" s="9"/>
      <c r="G836" s="9"/>
      <c r="H836" s="9"/>
      <c r="I836" s="9"/>
      <c r="J836" s="9"/>
      <c r="K836" s="9"/>
      <c r="L836" s="9"/>
      <c r="M836" s="9"/>
      <c r="N836" s="9"/>
      <c r="O836" s="9"/>
      <c r="P836" s="9"/>
      <c r="Q836" s="9"/>
      <c r="R836" s="9"/>
      <c r="S836" s="9"/>
      <c r="T836" s="223"/>
      <c r="U836" s="9"/>
      <c r="V836" s="9"/>
      <c r="W836" s="971"/>
      <c r="X836" s="9"/>
      <c r="Y836" s="9"/>
      <c r="Z836" s="204"/>
      <c r="AA836" s="9"/>
      <c r="AB836" s="9"/>
      <c r="AC836" s="9"/>
      <c r="AD836" s="9"/>
    </row>
    <row r="837" ht="15.75" customHeight="1">
      <c r="A837" s="9"/>
      <c r="B837" s="223"/>
      <c r="C837" s="9"/>
      <c r="D837" s="9"/>
      <c r="E837" s="223"/>
      <c r="F837" s="9"/>
      <c r="G837" s="9"/>
      <c r="H837" s="9"/>
      <c r="I837" s="9"/>
      <c r="J837" s="9"/>
      <c r="K837" s="9"/>
      <c r="L837" s="9"/>
      <c r="M837" s="9"/>
      <c r="N837" s="9"/>
      <c r="O837" s="9"/>
      <c r="P837" s="9"/>
      <c r="Q837" s="9"/>
      <c r="R837" s="9"/>
      <c r="S837" s="9"/>
      <c r="T837" s="223"/>
      <c r="U837" s="9"/>
      <c r="V837" s="9"/>
      <c r="W837" s="971"/>
      <c r="X837" s="9"/>
      <c r="Y837" s="9"/>
      <c r="Z837" s="204"/>
      <c r="AA837" s="9"/>
      <c r="AB837" s="9"/>
      <c r="AC837" s="9"/>
      <c r="AD837" s="9"/>
    </row>
    <row r="838" ht="15.75" customHeight="1">
      <c r="A838" s="9"/>
      <c r="B838" s="223"/>
      <c r="C838" s="9"/>
      <c r="D838" s="9"/>
      <c r="E838" s="223"/>
      <c r="F838" s="9"/>
      <c r="G838" s="9"/>
      <c r="H838" s="9"/>
      <c r="I838" s="9"/>
      <c r="J838" s="9"/>
      <c r="K838" s="9"/>
      <c r="L838" s="9"/>
      <c r="M838" s="9"/>
      <c r="N838" s="9"/>
      <c r="O838" s="9"/>
      <c r="P838" s="9"/>
      <c r="Q838" s="9"/>
      <c r="R838" s="9"/>
      <c r="S838" s="9"/>
      <c r="T838" s="223"/>
      <c r="U838" s="9"/>
      <c r="V838" s="9"/>
      <c r="W838" s="971"/>
      <c r="X838" s="9"/>
      <c r="Y838" s="9"/>
      <c r="Z838" s="204"/>
      <c r="AA838" s="9"/>
      <c r="AB838" s="9"/>
      <c r="AC838" s="9"/>
      <c r="AD838" s="9"/>
    </row>
    <row r="839" ht="15.75" customHeight="1">
      <c r="A839" s="9"/>
      <c r="B839" s="223"/>
      <c r="C839" s="9"/>
      <c r="D839" s="9"/>
      <c r="E839" s="223"/>
      <c r="F839" s="9"/>
      <c r="G839" s="9"/>
      <c r="H839" s="9"/>
      <c r="I839" s="9"/>
      <c r="J839" s="9"/>
      <c r="K839" s="9"/>
      <c r="L839" s="9"/>
      <c r="M839" s="9"/>
      <c r="N839" s="9"/>
      <c r="O839" s="9"/>
      <c r="P839" s="9"/>
      <c r="Q839" s="9"/>
      <c r="R839" s="9"/>
      <c r="S839" s="9"/>
      <c r="T839" s="223"/>
      <c r="U839" s="9"/>
      <c r="V839" s="9"/>
      <c r="W839" s="971"/>
      <c r="X839" s="9"/>
      <c r="Y839" s="9"/>
      <c r="Z839" s="204"/>
      <c r="AA839" s="9"/>
      <c r="AB839" s="9"/>
      <c r="AC839" s="9"/>
      <c r="AD839" s="9"/>
    </row>
    <row r="840" ht="15.75" customHeight="1">
      <c r="A840" s="9"/>
      <c r="B840" s="223"/>
      <c r="C840" s="9"/>
      <c r="D840" s="9"/>
      <c r="E840" s="223"/>
      <c r="F840" s="9"/>
      <c r="G840" s="9"/>
      <c r="H840" s="9"/>
      <c r="I840" s="9"/>
      <c r="J840" s="9"/>
      <c r="K840" s="9"/>
      <c r="L840" s="9"/>
      <c r="M840" s="9"/>
      <c r="N840" s="9"/>
      <c r="O840" s="9"/>
      <c r="P840" s="9"/>
      <c r="Q840" s="9"/>
      <c r="R840" s="9"/>
      <c r="S840" s="9"/>
      <c r="T840" s="223"/>
      <c r="U840" s="9"/>
      <c r="V840" s="9"/>
      <c r="W840" s="971"/>
      <c r="X840" s="9"/>
      <c r="Y840" s="9"/>
      <c r="Z840" s="204"/>
      <c r="AA840" s="9"/>
      <c r="AB840" s="9"/>
      <c r="AC840" s="9"/>
      <c r="AD840" s="9"/>
    </row>
    <row r="841" ht="15.75" customHeight="1">
      <c r="A841" s="9"/>
      <c r="B841" s="223"/>
      <c r="C841" s="9"/>
      <c r="D841" s="9"/>
      <c r="E841" s="223"/>
      <c r="F841" s="9"/>
      <c r="G841" s="9"/>
      <c r="H841" s="9"/>
      <c r="I841" s="9"/>
      <c r="J841" s="9"/>
      <c r="K841" s="9"/>
      <c r="L841" s="9"/>
      <c r="M841" s="9"/>
      <c r="N841" s="9"/>
      <c r="O841" s="9"/>
      <c r="P841" s="9"/>
      <c r="Q841" s="9"/>
      <c r="R841" s="9"/>
      <c r="S841" s="9"/>
      <c r="T841" s="223"/>
      <c r="U841" s="9"/>
      <c r="V841" s="9"/>
      <c r="W841" s="971"/>
      <c r="X841" s="9"/>
      <c r="Y841" s="9"/>
      <c r="Z841" s="204"/>
      <c r="AA841" s="9"/>
      <c r="AB841" s="9"/>
      <c r="AC841" s="9"/>
      <c r="AD841" s="9"/>
    </row>
    <row r="842" ht="15.75" customHeight="1">
      <c r="A842" s="9"/>
      <c r="B842" s="223"/>
      <c r="C842" s="9"/>
      <c r="D842" s="9"/>
      <c r="E842" s="223"/>
      <c r="F842" s="9"/>
      <c r="G842" s="9"/>
      <c r="H842" s="9"/>
      <c r="I842" s="9"/>
      <c r="J842" s="9"/>
      <c r="K842" s="9"/>
      <c r="L842" s="9"/>
      <c r="M842" s="9"/>
      <c r="N842" s="9"/>
      <c r="O842" s="9"/>
      <c r="P842" s="9"/>
      <c r="Q842" s="9"/>
      <c r="R842" s="9"/>
      <c r="S842" s="9"/>
      <c r="T842" s="223"/>
      <c r="U842" s="9"/>
      <c r="V842" s="9"/>
      <c r="W842" s="971"/>
      <c r="X842" s="9"/>
      <c r="Y842" s="9"/>
      <c r="Z842" s="204"/>
      <c r="AA842" s="9"/>
      <c r="AB842" s="9"/>
      <c r="AC842" s="9"/>
      <c r="AD842" s="9"/>
    </row>
    <row r="843" ht="15.75" customHeight="1">
      <c r="A843" s="9"/>
      <c r="B843" s="223"/>
      <c r="C843" s="9"/>
      <c r="D843" s="9"/>
      <c r="E843" s="223"/>
      <c r="F843" s="9"/>
      <c r="G843" s="9"/>
      <c r="H843" s="9"/>
      <c r="I843" s="9"/>
      <c r="J843" s="9"/>
      <c r="K843" s="9"/>
      <c r="L843" s="9"/>
      <c r="M843" s="9"/>
      <c r="N843" s="9"/>
      <c r="O843" s="9"/>
      <c r="P843" s="9"/>
      <c r="Q843" s="9"/>
      <c r="R843" s="9"/>
      <c r="S843" s="9"/>
      <c r="T843" s="223"/>
      <c r="U843" s="9"/>
      <c r="V843" s="9"/>
      <c r="W843" s="971"/>
      <c r="X843" s="9"/>
      <c r="Y843" s="9"/>
      <c r="Z843" s="204"/>
      <c r="AA843" s="9"/>
      <c r="AB843" s="9"/>
      <c r="AC843" s="9"/>
      <c r="AD843" s="9"/>
    </row>
    <row r="844" ht="15.75" customHeight="1">
      <c r="A844" s="9"/>
      <c r="B844" s="223"/>
      <c r="C844" s="9"/>
      <c r="D844" s="9"/>
      <c r="E844" s="223"/>
      <c r="F844" s="9"/>
      <c r="G844" s="9"/>
      <c r="H844" s="9"/>
      <c r="I844" s="9"/>
      <c r="J844" s="9"/>
      <c r="K844" s="9"/>
      <c r="L844" s="9"/>
      <c r="M844" s="9"/>
      <c r="N844" s="9"/>
      <c r="O844" s="9"/>
      <c r="P844" s="9"/>
      <c r="Q844" s="9"/>
      <c r="R844" s="9"/>
      <c r="S844" s="9"/>
      <c r="T844" s="223"/>
      <c r="U844" s="9"/>
      <c r="V844" s="9"/>
      <c r="W844" s="971"/>
      <c r="X844" s="9"/>
      <c r="Y844" s="9"/>
      <c r="Z844" s="204"/>
      <c r="AA844" s="9"/>
      <c r="AB844" s="9"/>
      <c r="AC844" s="9"/>
      <c r="AD844" s="9"/>
    </row>
    <row r="845" ht="15.75" customHeight="1">
      <c r="A845" s="9"/>
      <c r="B845" s="223"/>
      <c r="C845" s="9"/>
      <c r="D845" s="9"/>
      <c r="E845" s="223"/>
      <c r="F845" s="9"/>
      <c r="G845" s="9"/>
      <c r="H845" s="9"/>
      <c r="I845" s="9"/>
      <c r="J845" s="9"/>
      <c r="K845" s="9"/>
      <c r="L845" s="9"/>
      <c r="M845" s="9"/>
      <c r="N845" s="9"/>
      <c r="O845" s="9"/>
      <c r="P845" s="9"/>
      <c r="Q845" s="9"/>
      <c r="R845" s="9"/>
      <c r="S845" s="9"/>
      <c r="T845" s="223"/>
      <c r="U845" s="9"/>
      <c r="V845" s="9"/>
      <c r="W845" s="971"/>
      <c r="X845" s="9"/>
      <c r="Y845" s="9"/>
      <c r="Z845" s="204"/>
      <c r="AA845" s="9"/>
      <c r="AB845" s="9"/>
      <c r="AC845" s="9"/>
      <c r="AD845" s="9"/>
    </row>
    <row r="846" ht="15.75" customHeight="1">
      <c r="A846" s="9"/>
      <c r="B846" s="223"/>
      <c r="C846" s="9"/>
      <c r="D846" s="9"/>
      <c r="E846" s="223"/>
      <c r="F846" s="9"/>
      <c r="G846" s="9"/>
      <c r="H846" s="9"/>
      <c r="I846" s="9"/>
      <c r="J846" s="9"/>
      <c r="K846" s="9"/>
      <c r="L846" s="9"/>
      <c r="M846" s="9"/>
      <c r="N846" s="9"/>
      <c r="O846" s="9"/>
      <c r="P846" s="9"/>
      <c r="Q846" s="9"/>
      <c r="R846" s="9"/>
      <c r="S846" s="9"/>
      <c r="T846" s="223"/>
      <c r="U846" s="9"/>
      <c r="V846" s="9"/>
      <c r="W846" s="971"/>
      <c r="X846" s="9"/>
      <c r="Y846" s="9"/>
      <c r="Z846" s="204"/>
      <c r="AA846" s="9"/>
      <c r="AB846" s="9"/>
      <c r="AC846" s="9"/>
      <c r="AD846" s="9"/>
    </row>
    <row r="847" ht="15.75" customHeight="1">
      <c r="A847" s="9"/>
      <c r="B847" s="223"/>
      <c r="C847" s="9"/>
      <c r="D847" s="9"/>
      <c r="E847" s="223"/>
      <c r="F847" s="9"/>
      <c r="G847" s="9"/>
      <c r="H847" s="9"/>
      <c r="I847" s="9"/>
      <c r="J847" s="9"/>
      <c r="K847" s="9"/>
      <c r="L847" s="9"/>
      <c r="M847" s="9"/>
      <c r="N847" s="9"/>
      <c r="O847" s="9"/>
      <c r="P847" s="9"/>
      <c r="Q847" s="9"/>
      <c r="R847" s="9"/>
      <c r="S847" s="9"/>
      <c r="T847" s="223"/>
      <c r="U847" s="9"/>
      <c r="V847" s="9"/>
      <c r="W847" s="971"/>
      <c r="X847" s="9"/>
      <c r="Y847" s="9"/>
      <c r="Z847" s="204"/>
      <c r="AA847" s="9"/>
      <c r="AB847" s="9"/>
      <c r="AC847" s="9"/>
      <c r="AD847" s="9"/>
    </row>
    <row r="848" ht="15.75" customHeight="1">
      <c r="A848" s="9"/>
      <c r="B848" s="223"/>
      <c r="C848" s="9"/>
      <c r="D848" s="9"/>
      <c r="E848" s="223"/>
      <c r="F848" s="9"/>
      <c r="G848" s="9"/>
      <c r="H848" s="9"/>
      <c r="I848" s="9"/>
      <c r="J848" s="9"/>
      <c r="K848" s="9"/>
      <c r="L848" s="9"/>
      <c r="M848" s="9"/>
      <c r="N848" s="9"/>
      <c r="O848" s="9"/>
      <c r="P848" s="9"/>
      <c r="Q848" s="9"/>
      <c r="R848" s="9"/>
      <c r="S848" s="9"/>
      <c r="T848" s="223"/>
      <c r="U848" s="9"/>
      <c r="V848" s="9"/>
      <c r="W848" s="971"/>
      <c r="X848" s="9"/>
      <c r="Y848" s="9"/>
      <c r="Z848" s="204"/>
      <c r="AA848" s="9"/>
      <c r="AB848" s="9"/>
      <c r="AC848" s="9"/>
      <c r="AD848" s="9"/>
    </row>
    <row r="849" ht="15.75" customHeight="1">
      <c r="A849" s="9"/>
      <c r="B849" s="223"/>
      <c r="C849" s="9"/>
      <c r="D849" s="9"/>
      <c r="E849" s="223"/>
      <c r="F849" s="9"/>
      <c r="G849" s="9"/>
      <c r="H849" s="9"/>
      <c r="I849" s="9"/>
      <c r="J849" s="9"/>
      <c r="K849" s="9"/>
      <c r="L849" s="9"/>
      <c r="M849" s="9"/>
      <c r="N849" s="9"/>
      <c r="O849" s="9"/>
      <c r="P849" s="9"/>
      <c r="Q849" s="9"/>
      <c r="R849" s="9"/>
      <c r="S849" s="9"/>
      <c r="T849" s="223"/>
      <c r="U849" s="9"/>
      <c r="V849" s="9"/>
      <c r="W849" s="971"/>
      <c r="X849" s="9"/>
      <c r="Y849" s="9"/>
      <c r="Z849" s="204"/>
      <c r="AA849" s="9"/>
      <c r="AB849" s="9"/>
      <c r="AC849" s="9"/>
      <c r="AD849" s="9"/>
    </row>
    <row r="850" ht="15.75" customHeight="1">
      <c r="A850" s="9"/>
      <c r="B850" s="223"/>
      <c r="C850" s="9"/>
      <c r="D850" s="9"/>
      <c r="E850" s="223"/>
      <c r="F850" s="9"/>
      <c r="G850" s="9"/>
      <c r="H850" s="9"/>
      <c r="I850" s="9"/>
      <c r="J850" s="9"/>
      <c r="K850" s="9"/>
      <c r="L850" s="9"/>
      <c r="M850" s="9"/>
      <c r="N850" s="9"/>
      <c r="O850" s="9"/>
      <c r="P850" s="9"/>
      <c r="Q850" s="9"/>
      <c r="R850" s="9"/>
      <c r="S850" s="9"/>
      <c r="T850" s="223"/>
      <c r="U850" s="9"/>
      <c r="V850" s="9"/>
      <c r="W850" s="971"/>
      <c r="X850" s="9"/>
      <c r="Y850" s="9"/>
      <c r="Z850" s="204"/>
      <c r="AA850" s="9"/>
      <c r="AB850" s="9"/>
      <c r="AC850" s="9"/>
      <c r="AD850" s="9"/>
    </row>
    <row r="851" ht="15.75" customHeight="1">
      <c r="A851" s="9"/>
      <c r="B851" s="223"/>
      <c r="C851" s="9"/>
      <c r="D851" s="9"/>
      <c r="E851" s="223"/>
      <c r="F851" s="9"/>
      <c r="G851" s="9"/>
      <c r="H851" s="9"/>
      <c r="I851" s="9"/>
      <c r="J851" s="9"/>
      <c r="K851" s="9"/>
      <c r="L851" s="9"/>
      <c r="M851" s="9"/>
      <c r="N851" s="9"/>
      <c r="O851" s="9"/>
      <c r="P851" s="9"/>
      <c r="Q851" s="9"/>
      <c r="R851" s="9"/>
      <c r="S851" s="9"/>
      <c r="T851" s="223"/>
      <c r="U851" s="9"/>
      <c r="V851" s="9"/>
      <c r="W851" s="971"/>
      <c r="X851" s="9"/>
      <c r="Y851" s="9"/>
      <c r="Z851" s="204"/>
      <c r="AA851" s="9"/>
      <c r="AB851" s="9"/>
      <c r="AC851" s="9"/>
      <c r="AD851" s="9"/>
    </row>
    <row r="852" ht="15.75" customHeight="1">
      <c r="A852" s="9"/>
      <c r="B852" s="223"/>
      <c r="C852" s="9"/>
      <c r="D852" s="9"/>
      <c r="E852" s="223"/>
      <c r="F852" s="9"/>
      <c r="G852" s="9"/>
      <c r="H852" s="9"/>
      <c r="I852" s="9"/>
      <c r="J852" s="9"/>
      <c r="K852" s="9"/>
      <c r="L852" s="9"/>
      <c r="M852" s="9"/>
      <c r="N852" s="9"/>
      <c r="O852" s="9"/>
      <c r="P852" s="9"/>
      <c r="Q852" s="9"/>
      <c r="R852" s="9"/>
      <c r="S852" s="9"/>
      <c r="T852" s="223"/>
      <c r="U852" s="9"/>
      <c r="V852" s="9"/>
      <c r="W852" s="971"/>
      <c r="X852" s="9"/>
      <c r="Y852" s="9"/>
      <c r="Z852" s="204"/>
      <c r="AA852" s="9"/>
      <c r="AB852" s="9"/>
      <c r="AC852" s="9"/>
      <c r="AD852" s="9"/>
    </row>
    <row r="853" ht="15.75" customHeight="1">
      <c r="A853" s="9"/>
      <c r="B853" s="223"/>
      <c r="C853" s="9"/>
      <c r="D853" s="9"/>
      <c r="E853" s="223"/>
      <c r="F853" s="9"/>
      <c r="G853" s="9"/>
      <c r="H853" s="9"/>
      <c r="I853" s="9"/>
      <c r="J853" s="9"/>
      <c r="K853" s="9"/>
      <c r="L853" s="9"/>
      <c r="M853" s="9"/>
      <c r="N853" s="9"/>
      <c r="O853" s="9"/>
      <c r="P853" s="9"/>
      <c r="Q853" s="9"/>
      <c r="R853" s="9"/>
      <c r="S853" s="9"/>
      <c r="T853" s="223"/>
      <c r="U853" s="9"/>
      <c r="V853" s="9"/>
      <c r="W853" s="971"/>
      <c r="X853" s="9"/>
      <c r="Y853" s="9"/>
      <c r="Z853" s="204"/>
      <c r="AA853" s="9"/>
      <c r="AB853" s="9"/>
      <c r="AC853" s="9"/>
      <c r="AD853" s="9"/>
    </row>
    <row r="854" ht="15.75" customHeight="1">
      <c r="A854" s="9"/>
      <c r="B854" s="223"/>
      <c r="C854" s="9"/>
      <c r="D854" s="9"/>
      <c r="E854" s="223"/>
      <c r="F854" s="9"/>
      <c r="G854" s="9"/>
      <c r="H854" s="9"/>
      <c r="I854" s="9"/>
      <c r="J854" s="9"/>
      <c r="K854" s="9"/>
      <c r="L854" s="9"/>
      <c r="M854" s="9"/>
      <c r="N854" s="9"/>
      <c r="O854" s="9"/>
      <c r="P854" s="9"/>
      <c r="Q854" s="9"/>
      <c r="R854" s="9"/>
      <c r="S854" s="9"/>
      <c r="T854" s="223"/>
      <c r="U854" s="9"/>
      <c r="V854" s="9"/>
      <c r="W854" s="971"/>
      <c r="X854" s="9"/>
      <c r="Y854" s="9"/>
      <c r="Z854" s="204"/>
      <c r="AA854" s="9"/>
      <c r="AB854" s="9"/>
      <c r="AC854" s="9"/>
      <c r="AD854" s="9"/>
    </row>
    <row r="855" ht="15.75" customHeight="1">
      <c r="A855" s="9"/>
      <c r="B855" s="223"/>
      <c r="C855" s="9"/>
      <c r="D855" s="9"/>
      <c r="E855" s="223"/>
      <c r="F855" s="9"/>
      <c r="G855" s="9"/>
      <c r="H855" s="9"/>
      <c r="I855" s="9"/>
      <c r="J855" s="9"/>
      <c r="K855" s="9"/>
      <c r="L855" s="9"/>
      <c r="M855" s="9"/>
      <c r="N855" s="9"/>
      <c r="O855" s="9"/>
      <c r="P855" s="9"/>
      <c r="Q855" s="9"/>
      <c r="R855" s="9"/>
      <c r="S855" s="9"/>
      <c r="T855" s="223"/>
      <c r="U855" s="9"/>
      <c r="V855" s="9"/>
      <c r="W855" s="971"/>
      <c r="X855" s="9"/>
      <c r="Y855" s="9"/>
      <c r="Z855" s="204"/>
      <c r="AA855" s="9"/>
      <c r="AB855" s="9"/>
      <c r="AC855" s="9"/>
      <c r="AD855" s="9"/>
    </row>
    <row r="856" ht="15.75" customHeight="1">
      <c r="A856" s="9"/>
      <c r="B856" s="223"/>
      <c r="C856" s="9"/>
      <c r="D856" s="9"/>
      <c r="E856" s="223"/>
      <c r="F856" s="9"/>
      <c r="G856" s="9"/>
      <c r="H856" s="9"/>
      <c r="I856" s="9"/>
      <c r="J856" s="9"/>
      <c r="K856" s="9"/>
      <c r="L856" s="9"/>
      <c r="M856" s="9"/>
      <c r="N856" s="9"/>
      <c r="O856" s="9"/>
      <c r="P856" s="9"/>
      <c r="Q856" s="9"/>
      <c r="R856" s="9"/>
      <c r="S856" s="9"/>
      <c r="T856" s="223"/>
      <c r="U856" s="9"/>
      <c r="V856" s="9"/>
      <c r="W856" s="971"/>
      <c r="X856" s="9"/>
      <c r="Y856" s="9"/>
      <c r="Z856" s="204"/>
      <c r="AA856" s="9"/>
      <c r="AB856" s="9"/>
      <c r="AC856" s="9"/>
      <c r="AD856" s="9"/>
    </row>
    <row r="857" ht="15.75" customHeight="1">
      <c r="A857" s="9"/>
      <c r="B857" s="223"/>
      <c r="C857" s="9"/>
      <c r="D857" s="9"/>
      <c r="E857" s="223"/>
      <c r="F857" s="9"/>
      <c r="G857" s="9"/>
      <c r="H857" s="9"/>
      <c r="I857" s="9"/>
      <c r="J857" s="9"/>
      <c r="K857" s="9"/>
      <c r="L857" s="9"/>
      <c r="M857" s="9"/>
      <c r="N857" s="9"/>
      <c r="O857" s="9"/>
      <c r="P857" s="9"/>
      <c r="Q857" s="9"/>
      <c r="R857" s="9"/>
      <c r="S857" s="9"/>
      <c r="T857" s="223"/>
      <c r="U857" s="9"/>
      <c r="V857" s="9"/>
      <c r="W857" s="971"/>
      <c r="X857" s="9"/>
      <c r="Y857" s="9"/>
      <c r="Z857" s="204"/>
      <c r="AA857" s="9"/>
      <c r="AB857" s="9"/>
      <c r="AC857" s="9"/>
      <c r="AD857" s="9"/>
    </row>
    <row r="858" ht="15.75" customHeight="1">
      <c r="A858" s="9"/>
      <c r="B858" s="223"/>
      <c r="C858" s="9"/>
      <c r="D858" s="9"/>
      <c r="E858" s="223"/>
      <c r="F858" s="9"/>
      <c r="G858" s="9"/>
      <c r="H858" s="9"/>
      <c r="I858" s="9"/>
      <c r="J858" s="9"/>
      <c r="K858" s="9"/>
      <c r="L858" s="9"/>
      <c r="M858" s="9"/>
      <c r="N858" s="9"/>
      <c r="O858" s="9"/>
      <c r="P858" s="9"/>
      <c r="Q858" s="9"/>
      <c r="R858" s="9"/>
      <c r="S858" s="9"/>
      <c r="T858" s="223"/>
      <c r="U858" s="9"/>
      <c r="V858" s="9"/>
      <c r="W858" s="971"/>
      <c r="X858" s="9"/>
      <c r="Y858" s="9"/>
      <c r="Z858" s="204"/>
      <c r="AA858" s="9"/>
      <c r="AB858" s="9"/>
      <c r="AC858" s="9"/>
      <c r="AD858" s="9"/>
    </row>
    <row r="859" ht="15.75" customHeight="1">
      <c r="A859" s="9"/>
      <c r="B859" s="223"/>
      <c r="C859" s="9"/>
      <c r="D859" s="9"/>
      <c r="E859" s="223"/>
      <c r="F859" s="9"/>
      <c r="G859" s="9"/>
      <c r="H859" s="9"/>
      <c r="I859" s="9"/>
      <c r="J859" s="9"/>
      <c r="K859" s="9"/>
      <c r="L859" s="9"/>
      <c r="M859" s="9"/>
      <c r="N859" s="9"/>
      <c r="O859" s="9"/>
      <c r="P859" s="9"/>
      <c r="Q859" s="9"/>
      <c r="R859" s="9"/>
      <c r="S859" s="9"/>
      <c r="T859" s="223"/>
      <c r="U859" s="9"/>
      <c r="V859" s="9"/>
      <c r="W859" s="971"/>
      <c r="X859" s="9"/>
      <c r="Y859" s="9"/>
      <c r="Z859" s="204"/>
      <c r="AA859" s="9"/>
      <c r="AB859" s="9"/>
      <c r="AC859" s="9"/>
      <c r="AD859" s="9"/>
    </row>
    <row r="860" ht="15.75" customHeight="1">
      <c r="A860" s="9"/>
      <c r="B860" s="223"/>
      <c r="C860" s="9"/>
      <c r="D860" s="9"/>
      <c r="E860" s="223"/>
      <c r="F860" s="9"/>
      <c r="G860" s="9"/>
      <c r="H860" s="9"/>
      <c r="I860" s="9"/>
      <c r="J860" s="9"/>
      <c r="K860" s="9"/>
      <c r="L860" s="9"/>
      <c r="M860" s="9"/>
      <c r="N860" s="9"/>
      <c r="O860" s="9"/>
      <c r="P860" s="9"/>
      <c r="Q860" s="9"/>
      <c r="R860" s="9"/>
      <c r="S860" s="9"/>
      <c r="T860" s="223"/>
      <c r="U860" s="9"/>
      <c r="V860" s="9"/>
      <c r="W860" s="971"/>
      <c r="X860" s="9"/>
      <c r="Y860" s="9"/>
      <c r="Z860" s="204"/>
      <c r="AA860" s="9"/>
      <c r="AB860" s="9"/>
      <c r="AC860" s="9"/>
      <c r="AD860" s="9"/>
    </row>
    <row r="861" ht="15.75" customHeight="1">
      <c r="A861" s="9"/>
      <c r="B861" s="223"/>
      <c r="C861" s="9"/>
      <c r="D861" s="9"/>
      <c r="E861" s="223"/>
      <c r="F861" s="9"/>
      <c r="G861" s="9"/>
      <c r="H861" s="9"/>
      <c r="I861" s="9"/>
      <c r="J861" s="9"/>
      <c r="K861" s="9"/>
      <c r="L861" s="9"/>
      <c r="M861" s="9"/>
      <c r="N861" s="9"/>
      <c r="O861" s="9"/>
      <c r="P861" s="9"/>
      <c r="Q861" s="9"/>
      <c r="R861" s="9"/>
      <c r="S861" s="9"/>
      <c r="T861" s="223"/>
      <c r="U861" s="9"/>
      <c r="V861" s="9"/>
      <c r="W861" s="971"/>
      <c r="X861" s="9"/>
      <c r="Y861" s="9"/>
      <c r="Z861" s="204"/>
      <c r="AA861" s="9"/>
      <c r="AB861" s="9"/>
      <c r="AC861" s="9"/>
      <c r="AD861" s="9"/>
    </row>
    <row r="862" ht="15.75" customHeight="1">
      <c r="A862" s="9"/>
      <c r="B862" s="223"/>
      <c r="C862" s="9"/>
      <c r="D862" s="9"/>
      <c r="E862" s="223"/>
      <c r="F862" s="9"/>
      <c r="G862" s="9"/>
      <c r="H862" s="9"/>
      <c r="I862" s="9"/>
      <c r="J862" s="9"/>
      <c r="K862" s="9"/>
      <c r="L862" s="9"/>
      <c r="M862" s="9"/>
      <c r="N862" s="9"/>
      <c r="O862" s="9"/>
      <c r="P862" s="9"/>
      <c r="Q862" s="9"/>
      <c r="R862" s="9"/>
      <c r="S862" s="9"/>
      <c r="T862" s="223"/>
      <c r="U862" s="9"/>
      <c r="V862" s="9"/>
      <c r="W862" s="971"/>
      <c r="X862" s="9"/>
      <c r="Y862" s="9"/>
      <c r="Z862" s="204"/>
      <c r="AA862" s="9"/>
      <c r="AB862" s="9"/>
      <c r="AC862" s="9"/>
      <c r="AD862" s="9"/>
    </row>
    <row r="863" ht="15.75" customHeight="1">
      <c r="A863" s="9"/>
      <c r="B863" s="223"/>
      <c r="C863" s="9"/>
      <c r="D863" s="9"/>
      <c r="E863" s="223"/>
      <c r="F863" s="9"/>
      <c r="G863" s="9"/>
      <c r="H863" s="9"/>
      <c r="I863" s="9"/>
      <c r="J863" s="9"/>
      <c r="K863" s="9"/>
      <c r="L863" s="9"/>
      <c r="M863" s="9"/>
      <c r="N863" s="9"/>
      <c r="O863" s="9"/>
      <c r="P863" s="9"/>
      <c r="Q863" s="9"/>
      <c r="R863" s="9"/>
      <c r="S863" s="9"/>
      <c r="T863" s="223"/>
      <c r="U863" s="9"/>
      <c r="V863" s="9"/>
      <c r="W863" s="971"/>
      <c r="X863" s="9"/>
      <c r="Y863" s="9"/>
      <c r="Z863" s="204"/>
      <c r="AA863" s="9"/>
      <c r="AB863" s="9"/>
      <c r="AC863" s="9"/>
      <c r="AD863" s="9"/>
    </row>
    <row r="864" ht="15.75" customHeight="1">
      <c r="A864" s="9"/>
      <c r="B864" s="223"/>
      <c r="C864" s="9"/>
      <c r="D864" s="9"/>
      <c r="E864" s="223"/>
      <c r="F864" s="9"/>
      <c r="G864" s="9"/>
      <c r="H864" s="9"/>
      <c r="I864" s="9"/>
      <c r="J864" s="9"/>
      <c r="K864" s="9"/>
      <c r="L864" s="9"/>
      <c r="M864" s="9"/>
      <c r="N864" s="9"/>
      <c r="O864" s="9"/>
      <c r="P864" s="9"/>
      <c r="Q864" s="9"/>
      <c r="R864" s="9"/>
      <c r="S864" s="9"/>
      <c r="T864" s="223"/>
      <c r="U864" s="9"/>
      <c r="V864" s="9"/>
      <c r="W864" s="971"/>
      <c r="X864" s="9"/>
      <c r="Y864" s="9"/>
      <c r="Z864" s="204"/>
      <c r="AA864" s="9"/>
      <c r="AB864" s="9"/>
      <c r="AC864" s="9"/>
      <c r="AD864" s="9"/>
    </row>
    <row r="865" ht="15.75" customHeight="1">
      <c r="A865" s="9"/>
      <c r="B865" s="223"/>
      <c r="C865" s="9"/>
      <c r="D865" s="9"/>
      <c r="E865" s="223"/>
      <c r="F865" s="9"/>
      <c r="G865" s="9"/>
      <c r="H865" s="9"/>
      <c r="I865" s="9"/>
      <c r="J865" s="9"/>
      <c r="K865" s="9"/>
      <c r="L865" s="9"/>
      <c r="M865" s="9"/>
      <c r="N865" s="9"/>
      <c r="O865" s="9"/>
      <c r="P865" s="9"/>
      <c r="Q865" s="9"/>
      <c r="R865" s="9"/>
      <c r="S865" s="9"/>
      <c r="T865" s="223"/>
      <c r="U865" s="9"/>
      <c r="V865" s="9"/>
      <c r="W865" s="971"/>
      <c r="X865" s="9"/>
      <c r="Y865" s="9"/>
      <c r="Z865" s="204"/>
      <c r="AA865" s="9"/>
      <c r="AB865" s="9"/>
      <c r="AC865" s="9"/>
      <c r="AD865" s="9"/>
    </row>
    <row r="866" ht="15.75" customHeight="1">
      <c r="A866" s="9"/>
      <c r="B866" s="223"/>
      <c r="C866" s="9"/>
      <c r="D866" s="9"/>
      <c r="E866" s="223"/>
      <c r="F866" s="9"/>
      <c r="G866" s="9"/>
      <c r="H866" s="9"/>
      <c r="I866" s="9"/>
      <c r="J866" s="9"/>
      <c r="K866" s="9"/>
      <c r="L866" s="9"/>
      <c r="M866" s="9"/>
      <c r="N866" s="9"/>
      <c r="O866" s="9"/>
      <c r="P866" s="9"/>
      <c r="Q866" s="9"/>
      <c r="R866" s="9"/>
      <c r="S866" s="9"/>
      <c r="T866" s="223"/>
      <c r="U866" s="9"/>
      <c r="V866" s="9"/>
      <c r="W866" s="971"/>
      <c r="X866" s="9"/>
      <c r="Y866" s="9"/>
      <c r="Z866" s="204"/>
      <c r="AA866" s="9"/>
      <c r="AB866" s="9"/>
      <c r="AC866" s="9"/>
      <c r="AD866" s="9"/>
    </row>
    <row r="867" ht="15.75" customHeight="1">
      <c r="A867" s="9"/>
      <c r="B867" s="223"/>
      <c r="C867" s="9"/>
      <c r="D867" s="9"/>
      <c r="E867" s="223"/>
      <c r="F867" s="9"/>
      <c r="G867" s="9"/>
      <c r="H867" s="9"/>
      <c r="I867" s="9"/>
      <c r="J867" s="9"/>
      <c r="K867" s="9"/>
      <c r="L867" s="9"/>
      <c r="M867" s="9"/>
      <c r="N867" s="9"/>
      <c r="O867" s="9"/>
      <c r="P867" s="9"/>
      <c r="Q867" s="9"/>
      <c r="R867" s="9"/>
      <c r="S867" s="9"/>
      <c r="T867" s="223"/>
      <c r="U867" s="9"/>
      <c r="V867" s="9"/>
      <c r="W867" s="971"/>
      <c r="X867" s="9"/>
      <c r="Y867" s="9"/>
      <c r="Z867" s="204"/>
      <c r="AA867" s="9"/>
      <c r="AB867" s="9"/>
      <c r="AC867" s="9"/>
      <c r="AD867" s="9"/>
    </row>
    <row r="868" ht="15.75" customHeight="1">
      <c r="A868" s="9"/>
      <c r="B868" s="223"/>
      <c r="C868" s="9"/>
      <c r="D868" s="9"/>
      <c r="E868" s="223"/>
      <c r="F868" s="9"/>
      <c r="G868" s="9"/>
      <c r="H868" s="9"/>
      <c r="I868" s="9"/>
      <c r="J868" s="9"/>
      <c r="K868" s="9"/>
      <c r="L868" s="9"/>
      <c r="M868" s="9"/>
      <c r="N868" s="9"/>
      <c r="O868" s="9"/>
      <c r="P868" s="9"/>
      <c r="Q868" s="9"/>
      <c r="R868" s="9"/>
      <c r="S868" s="9"/>
      <c r="T868" s="223"/>
      <c r="U868" s="9"/>
      <c r="V868" s="9"/>
      <c r="W868" s="971"/>
      <c r="X868" s="9"/>
      <c r="Y868" s="9"/>
      <c r="Z868" s="204"/>
      <c r="AA868" s="9"/>
      <c r="AB868" s="9"/>
      <c r="AC868" s="9"/>
      <c r="AD868" s="9"/>
    </row>
    <row r="869" ht="15.75" customHeight="1">
      <c r="A869" s="9"/>
      <c r="B869" s="223"/>
      <c r="C869" s="9"/>
      <c r="D869" s="9"/>
      <c r="E869" s="223"/>
      <c r="F869" s="9"/>
      <c r="G869" s="9"/>
      <c r="H869" s="9"/>
      <c r="I869" s="9"/>
      <c r="J869" s="9"/>
      <c r="K869" s="9"/>
      <c r="L869" s="9"/>
      <c r="M869" s="9"/>
      <c r="N869" s="9"/>
      <c r="O869" s="9"/>
      <c r="P869" s="9"/>
      <c r="Q869" s="9"/>
      <c r="R869" s="9"/>
      <c r="S869" s="9"/>
      <c r="T869" s="223"/>
      <c r="U869" s="9"/>
      <c r="V869" s="9"/>
      <c r="W869" s="971"/>
      <c r="X869" s="9"/>
      <c r="Y869" s="9"/>
      <c r="Z869" s="204"/>
      <c r="AA869" s="9"/>
      <c r="AB869" s="9"/>
      <c r="AC869" s="9"/>
      <c r="AD869" s="9"/>
    </row>
    <row r="870" ht="15.75" customHeight="1">
      <c r="A870" s="9"/>
      <c r="B870" s="223"/>
      <c r="C870" s="9"/>
      <c r="D870" s="9"/>
      <c r="E870" s="223"/>
      <c r="F870" s="9"/>
      <c r="G870" s="9"/>
      <c r="H870" s="9"/>
      <c r="I870" s="9"/>
      <c r="J870" s="9"/>
      <c r="K870" s="9"/>
      <c r="L870" s="9"/>
      <c r="M870" s="9"/>
      <c r="N870" s="9"/>
      <c r="O870" s="9"/>
      <c r="P870" s="9"/>
      <c r="Q870" s="9"/>
      <c r="R870" s="9"/>
      <c r="S870" s="9"/>
      <c r="T870" s="223"/>
      <c r="U870" s="9"/>
      <c r="V870" s="9"/>
      <c r="W870" s="971"/>
      <c r="X870" s="9"/>
      <c r="Y870" s="9"/>
      <c r="Z870" s="204"/>
      <c r="AA870" s="9"/>
      <c r="AB870" s="9"/>
      <c r="AC870" s="9"/>
      <c r="AD870" s="9"/>
    </row>
    <row r="871" ht="15.75" customHeight="1">
      <c r="A871" s="9"/>
      <c r="B871" s="223"/>
      <c r="C871" s="9"/>
      <c r="D871" s="9"/>
      <c r="E871" s="223"/>
      <c r="F871" s="9"/>
      <c r="G871" s="9"/>
      <c r="H871" s="9"/>
      <c r="I871" s="9"/>
      <c r="J871" s="9"/>
      <c r="K871" s="9"/>
      <c r="L871" s="9"/>
      <c r="M871" s="9"/>
      <c r="N871" s="9"/>
      <c r="O871" s="9"/>
      <c r="P871" s="9"/>
      <c r="Q871" s="9"/>
      <c r="R871" s="9"/>
      <c r="S871" s="9"/>
      <c r="T871" s="223"/>
      <c r="U871" s="9"/>
      <c r="V871" s="9"/>
      <c r="W871" s="971"/>
      <c r="X871" s="9"/>
      <c r="Y871" s="9"/>
      <c r="Z871" s="204"/>
      <c r="AA871" s="9"/>
      <c r="AB871" s="9"/>
      <c r="AC871" s="9"/>
      <c r="AD871" s="9"/>
    </row>
    <row r="872" ht="15.75" customHeight="1">
      <c r="A872" s="9"/>
      <c r="B872" s="223"/>
      <c r="C872" s="9"/>
      <c r="D872" s="9"/>
      <c r="E872" s="223"/>
      <c r="F872" s="9"/>
      <c r="G872" s="9"/>
      <c r="H872" s="9"/>
      <c r="I872" s="9"/>
      <c r="J872" s="9"/>
      <c r="K872" s="9"/>
      <c r="L872" s="9"/>
      <c r="M872" s="9"/>
      <c r="N872" s="9"/>
      <c r="O872" s="9"/>
      <c r="P872" s="9"/>
      <c r="Q872" s="9"/>
      <c r="R872" s="9"/>
      <c r="S872" s="9"/>
      <c r="T872" s="223"/>
      <c r="U872" s="9"/>
      <c r="V872" s="9"/>
      <c r="W872" s="971"/>
      <c r="X872" s="9"/>
      <c r="Y872" s="9"/>
      <c r="Z872" s="204"/>
      <c r="AA872" s="9"/>
      <c r="AB872" s="9"/>
      <c r="AC872" s="9"/>
      <c r="AD872" s="9"/>
    </row>
    <row r="873" ht="15.75" customHeight="1">
      <c r="A873" s="9"/>
      <c r="B873" s="223"/>
      <c r="C873" s="9"/>
      <c r="D873" s="9"/>
      <c r="E873" s="223"/>
      <c r="F873" s="9"/>
      <c r="G873" s="9"/>
      <c r="H873" s="9"/>
      <c r="I873" s="9"/>
      <c r="J873" s="9"/>
      <c r="K873" s="9"/>
      <c r="L873" s="9"/>
      <c r="M873" s="9"/>
      <c r="N873" s="9"/>
      <c r="O873" s="9"/>
      <c r="P873" s="9"/>
      <c r="Q873" s="9"/>
      <c r="R873" s="9"/>
      <c r="S873" s="9"/>
      <c r="T873" s="223"/>
      <c r="U873" s="9"/>
      <c r="V873" s="9"/>
      <c r="W873" s="971"/>
      <c r="X873" s="9"/>
      <c r="Y873" s="9"/>
      <c r="Z873" s="204"/>
      <c r="AA873" s="9"/>
      <c r="AB873" s="9"/>
      <c r="AC873" s="9"/>
      <c r="AD873" s="9"/>
    </row>
    <row r="874" ht="15.75" customHeight="1">
      <c r="A874" s="9"/>
      <c r="B874" s="223"/>
      <c r="C874" s="9"/>
      <c r="D874" s="9"/>
      <c r="E874" s="223"/>
      <c r="F874" s="9"/>
      <c r="G874" s="9"/>
      <c r="H874" s="9"/>
      <c r="I874" s="9"/>
      <c r="J874" s="9"/>
      <c r="K874" s="9"/>
      <c r="L874" s="9"/>
      <c r="M874" s="9"/>
      <c r="N874" s="9"/>
      <c r="O874" s="9"/>
      <c r="P874" s="9"/>
      <c r="Q874" s="9"/>
      <c r="R874" s="9"/>
      <c r="S874" s="9"/>
      <c r="T874" s="223"/>
      <c r="U874" s="9"/>
      <c r="V874" s="9"/>
      <c r="W874" s="971"/>
      <c r="X874" s="9"/>
      <c r="Y874" s="9"/>
      <c r="Z874" s="204"/>
      <c r="AA874" s="9"/>
      <c r="AB874" s="9"/>
      <c r="AC874" s="9"/>
      <c r="AD874" s="9"/>
    </row>
    <row r="875" ht="15.75" customHeight="1">
      <c r="A875" s="9"/>
      <c r="B875" s="223"/>
      <c r="C875" s="9"/>
      <c r="D875" s="9"/>
      <c r="E875" s="223"/>
      <c r="F875" s="9"/>
      <c r="G875" s="9"/>
      <c r="H875" s="9"/>
      <c r="I875" s="9"/>
      <c r="J875" s="9"/>
      <c r="K875" s="9"/>
      <c r="L875" s="9"/>
      <c r="M875" s="9"/>
      <c r="N875" s="9"/>
      <c r="O875" s="9"/>
      <c r="P875" s="9"/>
      <c r="Q875" s="9"/>
      <c r="R875" s="9"/>
      <c r="S875" s="9"/>
      <c r="T875" s="223"/>
      <c r="U875" s="9"/>
      <c r="V875" s="9"/>
      <c r="W875" s="971"/>
      <c r="X875" s="9"/>
      <c r="Y875" s="9"/>
      <c r="Z875" s="204"/>
      <c r="AA875" s="9"/>
      <c r="AB875" s="9"/>
      <c r="AC875" s="9"/>
      <c r="AD875" s="9"/>
    </row>
    <row r="876" ht="15.75" customHeight="1">
      <c r="A876" s="9"/>
      <c r="B876" s="223"/>
      <c r="C876" s="9"/>
      <c r="D876" s="9"/>
      <c r="E876" s="223"/>
      <c r="F876" s="9"/>
      <c r="G876" s="9"/>
      <c r="H876" s="9"/>
      <c r="I876" s="9"/>
      <c r="J876" s="9"/>
      <c r="K876" s="9"/>
      <c r="L876" s="9"/>
      <c r="M876" s="9"/>
      <c r="N876" s="9"/>
      <c r="O876" s="9"/>
      <c r="P876" s="9"/>
      <c r="Q876" s="9"/>
      <c r="R876" s="9"/>
      <c r="S876" s="9"/>
      <c r="T876" s="223"/>
      <c r="U876" s="9"/>
      <c r="V876" s="9"/>
      <c r="W876" s="971"/>
      <c r="X876" s="9"/>
      <c r="Y876" s="9"/>
      <c r="Z876" s="204"/>
      <c r="AA876" s="9"/>
      <c r="AB876" s="9"/>
      <c r="AC876" s="9"/>
      <c r="AD876" s="9"/>
    </row>
    <row r="877" ht="15.75" customHeight="1">
      <c r="A877" s="9"/>
      <c r="B877" s="223"/>
      <c r="C877" s="9"/>
      <c r="D877" s="9"/>
      <c r="E877" s="223"/>
      <c r="F877" s="9"/>
      <c r="G877" s="9"/>
      <c r="H877" s="9"/>
      <c r="I877" s="9"/>
      <c r="J877" s="9"/>
      <c r="K877" s="9"/>
      <c r="L877" s="9"/>
      <c r="M877" s="9"/>
      <c r="N877" s="9"/>
      <c r="O877" s="9"/>
      <c r="P877" s="9"/>
      <c r="Q877" s="9"/>
      <c r="R877" s="9"/>
      <c r="S877" s="9"/>
      <c r="T877" s="223"/>
      <c r="U877" s="9"/>
      <c r="V877" s="9"/>
      <c r="W877" s="971"/>
      <c r="X877" s="9"/>
      <c r="Y877" s="9"/>
      <c r="Z877" s="204"/>
      <c r="AA877" s="9"/>
      <c r="AB877" s="9"/>
      <c r="AC877" s="9"/>
      <c r="AD877" s="9"/>
    </row>
    <row r="878" ht="15.75" customHeight="1">
      <c r="A878" s="9"/>
      <c r="B878" s="223"/>
      <c r="C878" s="9"/>
      <c r="D878" s="9"/>
      <c r="E878" s="223"/>
      <c r="F878" s="9"/>
      <c r="G878" s="9"/>
      <c r="H878" s="9"/>
      <c r="I878" s="9"/>
      <c r="J878" s="9"/>
      <c r="K878" s="9"/>
      <c r="L878" s="9"/>
      <c r="M878" s="9"/>
      <c r="N878" s="9"/>
      <c r="O878" s="9"/>
      <c r="P878" s="9"/>
      <c r="Q878" s="9"/>
      <c r="R878" s="9"/>
      <c r="S878" s="9"/>
      <c r="T878" s="223"/>
      <c r="U878" s="9"/>
      <c r="V878" s="9"/>
      <c r="W878" s="971"/>
      <c r="X878" s="9"/>
      <c r="Y878" s="9"/>
      <c r="Z878" s="204"/>
      <c r="AA878" s="9"/>
      <c r="AB878" s="9"/>
      <c r="AC878" s="9"/>
      <c r="AD878" s="9"/>
    </row>
    <row r="879" ht="15.75" customHeight="1">
      <c r="A879" s="9"/>
      <c r="B879" s="223"/>
      <c r="C879" s="9"/>
      <c r="D879" s="9"/>
      <c r="E879" s="223"/>
      <c r="F879" s="9"/>
      <c r="G879" s="9"/>
      <c r="H879" s="9"/>
      <c r="I879" s="9"/>
      <c r="J879" s="9"/>
      <c r="K879" s="9"/>
      <c r="L879" s="9"/>
      <c r="M879" s="9"/>
      <c r="N879" s="9"/>
      <c r="O879" s="9"/>
      <c r="P879" s="9"/>
      <c r="Q879" s="9"/>
      <c r="R879" s="9"/>
      <c r="S879" s="9"/>
      <c r="T879" s="223"/>
      <c r="U879" s="9"/>
      <c r="V879" s="9"/>
      <c r="W879" s="971"/>
      <c r="X879" s="9"/>
      <c r="Y879" s="9"/>
      <c r="Z879" s="204"/>
      <c r="AA879" s="9"/>
      <c r="AB879" s="9"/>
      <c r="AC879" s="9"/>
      <c r="AD879" s="9"/>
    </row>
    <row r="880" ht="15.75" customHeight="1">
      <c r="A880" s="9"/>
      <c r="B880" s="223"/>
      <c r="C880" s="9"/>
      <c r="D880" s="9"/>
      <c r="E880" s="223"/>
      <c r="F880" s="9"/>
      <c r="G880" s="9"/>
      <c r="H880" s="9"/>
      <c r="I880" s="9"/>
      <c r="J880" s="9"/>
      <c r="K880" s="9"/>
      <c r="L880" s="9"/>
      <c r="M880" s="9"/>
      <c r="N880" s="9"/>
      <c r="O880" s="9"/>
      <c r="P880" s="9"/>
      <c r="Q880" s="9"/>
      <c r="R880" s="9"/>
      <c r="S880" s="9"/>
      <c r="T880" s="223"/>
      <c r="U880" s="9"/>
      <c r="V880" s="9"/>
      <c r="W880" s="971"/>
      <c r="X880" s="9"/>
      <c r="Y880" s="9"/>
      <c r="Z880" s="204"/>
      <c r="AA880" s="9"/>
      <c r="AB880" s="9"/>
      <c r="AC880" s="9"/>
      <c r="AD880" s="9"/>
    </row>
    <row r="881" ht="15.75" customHeight="1">
      <c r="A881" s="9"/>
      <c r="B881" s="223"/>
      <c r="C881" s="9"/>
      <c r="D881" s="9"/>
      <c r="E881" s="223"/>
      <c r="F881" s="9"/>
      <c r="G881" s="9"/>
      <c r="H881" s="9"/>
      <c r="I881" s="9"/>
      <c r="J881" s="9"/>
      <c r="K881" s="9"/>
      <c r="L881" s="9"/>
      <c r="M881" s="9"/>
      <c r="N881" s="9"/>
      <c r="O881" s="9"/>
      <c r="P881" s="9"/>
      <c r="Q881" s="9"/>
      <c r="R881" s="9"/>
      <c r="S881" s="9"/>
      <c r="T881" s="223"/>
      <c r="U881" s="9"/>
      <c r="V881" s="9"/>
      <c r="W881" s="971"/>
      <c r="X881" s="9"/>
      <c r="Y881" s="9"/>
      <c r="Z881" s="204"/>
      <c r="AA881" s="9"/>
      <c r="AB881" s="9"/>
      <c r="AC881" s="9"/>
      <c r="AD881" s="9"/>
    </row>
    <row r="882" ht="15.75" customHeight="1">
      <c r="A882" s="9"/>
      <c r="B882" s="223"/>
      <c r="C882" s="9"/>
      <c r="D882" s="9"/>
      <c r="E882" s="223"/>
      <c r="F882" s="9"/>
      <c r="G882" s="9"/>
      <c r="H882" s="9"/>
      <c r="I882" s="9"/>
      <c r="J882" s="9"/>
      <c r="K882" s="9"/>
      <c r="L882" s="9"/>
      <c r="M882" s="9"/>
      <c r="N882" s="9"/>
      <c r="O882" s="9"/>
      <c r="P882" s="9"/>
      <c r="Q882" s="9"/>
      <c r="R882" s="9"/>
      <c r="S882" s="9"/>
      <c r="T882" s="223"/>
      <c r="U882" s="9"/>
      <c r="V882" s="9"/>
      <c r="W882" s="971"/>
      <c r="X882" s="9"/>
      <c r="Y882" s="9"/>
      <c r="Z882" s="204"/>
      <c r="AA882" s="9"/>
      <c r="AB882" s="9"/>
      <c r="AC882" s="9"/>
      <c r="AD882" s="9"/>
    </row>
    <row r="883" ht="15.75" customHeight="1">
      <c r="A883" s="9"/>
      <c r="B883" s="223"/>
      <c r="C883" s="9"/>
      <c r="D883" s="9"/>
      <c r="E883" s="223"/>
      <c r="F883" s="9"/>
      <c r="G883" s="9"/>
      <c r="H883" s="9"/>
      <c r="I883" s="9"/>
      <c r="J883" s="9"/>
      <c r="K883" s="9"/>
      <c r="L883" s="9"/>
      <c r="M883" s="9"/>
      <c r="N883" s="9"/>
      <c r="O883" s="9"/>
      <c r="P883" s="9"/>
      <c r="Q883" s="9"/>
      <c r="R883" s="9"/>
      <c r="S883" s="9"/>
      <c r="T883" s="223"/>
      <c r="U883" s="9"/>
      <c r="V883" s="9"/>
      <c r="W883" s="971"/>
      <c r="X883" s="9"/>
      <c r="Y883" s="9"/>
      <c r="Z883" s="204"/>
      <c r="AA883" s="9"/>
      <c r="AB883" s="9"/>
      <c r="AC883" s="9"/>
      <c r="AD883" s="9"/>
    </row>
    <row r="884" ht="15.75" customHeight="1">
      <c r="A884" s="9"/>
      <c r="B884" s="223"/>
      <c r="C884" s="9"/>
      <c r="D884" s="9"/>
      <c r="E884" s="223"/>
      <c r="F884" s="9"/>
      <c r="G884" s="9"/>
      <c r="H884" s="9"/>
      <c r="I884" s="9"/>
      <c r="J884" s="9"/>
      <c r="K884" s="9"/>
      <c r="L884" s="9"/>
      <c r="M884" s="9"/>
      <c r="N884" s="9"/>
      <c r="O884" s="9"/>
      <c r="P884" s="9"/>
      <c r="Q884" s="9"/>
      <c r="R884" s="9"/>
      <c r="S884" s="9"/>
      <c r="T884" s="223"/>
      <c r="U884" s="9"/>
      <c r="V884" s="9"/>
      <c r="W884" s="971"/>
      <c r="X884" s="9"/>
      <c r="Y884" s="9"/>
      <c r="Z884" s="204"/>
      <c r="AA884" s="9"/>
      <c r="AB884" s="9"/>
      <c r="AC884" s="9"/>
      <c r="AD884" s="9"/>
    </row>
    <row r="885" ht="15.75" customHeight="1">
      <c r="A885" s="9"/>
      <c r="B885" s="223"/>
      <c r="C885" s="9"/>
      <c r="D885" s="9"/>
      <c r="E885" s="223"/>
      <c r="F885" s="9"/>
      <c r="G885" s="9"/>
      <c r="H885" s="9"/>
      <c r="I885" s="9"/>
      <c r="J885" s="9"/>
      <c r="K885" s="9"/>
      <c r="L885" s="9"/>
      <c r="M885" s="9"/>
      <c r="N885" s="9"/>
      <c r="O885" s="9"/>
      <c r="P885" s="9"/>
      <c r="Q885" s="9"/>
      <c r="R885" s="9"/>
      <c r="S885" s="9"/>
      <c r="T885" s="223"/>
      <c r="U885" s="9"/>
      <c r="V885" s="9"/>
      <c r="W885" s="971"/>
      <c r="X885" s="9"/>
      <c r="Y885" s="9"/>
      <c r="Z885" s="204"/>
      <c r="AA885" s="9"/>
      <c r="AB885" s="9"/>
      <c r="AC885" s="9"/>
      <c r="AD885" s="9"/>
    </row>
    <row r="886" ht="15.75" customHeight="1">
      <c r="A886" s="9"/>
      <c r="B886" s="223"/>
      <c r="C886" s="9"/>
      <c r="D886" s="9"/>
      <c r="E886" s="223"/>
      <c r="F886" s="9"/>
      <c r="G886" s="9"/>
      <c r="H886" s="9"/>
      <c r="I886" s="9"/>
      <c r="J886" s="9"/>
      <c r="K886" s="9"/>
      <c r="L886" s="9"/>
      <c r="M886" s="9"/>
      <c r="N886" s="9"/>
      <c r="O886" s="9"/>
      <c r="P886" s="9"/>
      <c r="Q886" s="9"/>
      <c r="R886" s="9"/>
      <c r="S886" s="9"/>
      <c r="T886" s="223"/>
      <c r="U886" s="9"/>
      <c r="V886" s="9"/>
      <c r="W886" s="971"/>
      <c r="X886" s="9"/>
      <c r="Y886" s="9"/>
      <c r="Z886" s="204"/>
      <c r="AA886" s="9"/>
      <c r="AB886" s="9"/>
      <c r="AC886" s="9"/>
      <c r="AD886" s="9"/>
    </row>
    <row r="887" ht="15.75" customHeight="1">
      <c r="A887" s="9"/>
      <c r="B887" s="223"/>
      <c r="C887" s="9"/>
      <c r="D887" s="9"/>
      <c r="E887" s="223"/>
      <c r="F887" s="9"/>
      <c r="G887" s="9"/>
      <c r="H887" s="9"/>
      <c r="I887" s="9"/>
      <c r="J887" s="9"/>
      <c r="K887" s="9"/>
      <c r="L887" s="9"/>
      <c r="M887" s="9"/>
      <c r="N887" s="9"/>
      <c r="O887" s="9"/>
      <c r="P887" s="9"/>
      <c r="Q887" s="9"/>
      <c r="R887" s="9"/>
      <c r="S887" s="9"/>
      <c r="T887" s="223"/>
      <c r="U887" s="9"/>
      <c r="V887" s="9"/>
      <c r="W887" s="971"/>
      <c r="X887" s="9"/>
      <c r="Y887" s="9"/>
      <c r="Z887" s="204"/>
      <c r="AA887" s="9"/>
      <c r="AB887" s="9"/>
      <c r="AC887" s="9"/>
      <c r="AD887" s="9"/>
    </row>
    <row r="888" ht="15.75" customHeight="1">
      <c r="A888" s="9"/>
      <c r="B888" s="223"/>
      <c r="C888" s="9"/>
      <c r="D888" s="9"/>
      <c r="E888" s="223"/>
      <c r="F888" s="9"/>
      <c r="G888" s="9"/>
      <c r="H888" s="9"/>
      <c r="I888" s="9"/>
      <c r="J888" s="9"/>
      <c r="K888" s="9"/>
      <c r="L888" s="9"/>
      <c r="M888" s="9"/>
      <c r="N888" s="9"/>
      <c r="O888" s="9"/>
      <c r="P888" s="9"/>
      <c r="Q888" s="9"/>
      <c r="R888" s="9"/>
      <c r="S888" s="9"/>
      <c r="T888" s="223"/>
      <c r="U888" s="9"/>
      <c r="V888" s="9"/>
      <c r="W888" s="971"/>
      <c r="X888" s="9"/>
      <c r="Y888" s="9"/>
      <c r="Z888" s="204"/>
      <c r="AA888" s="9"/>
      <c r="AB888" s="9"/>
      <c r="AC888" s="9"/>
      <c r="AD888" s="9"/>
    </row>
    <row r="889" ht="15.75" customHeight="1">
      <c r="A889" s="9"/>
      <c r="B889" s="223"/>
      <c r="C889" s="9"/>
      <c r="D889" s="9"/>
      <c r="E889" s="223"/>
      <c r="F889" s="9"/>
      <c r="G889" s="9"/>
      <c r="H889" s="9"/>
      <c r="I889" s="9"/>
      <c r="J889" s="9"/>
      <c r="K889" s="9"/>
      <c r="L889" s="9"/>
      <c r="M889" s="9"/>
      <c r="N889" s="9"/>
      <c r="O889" s="9"/>
      <c r="P889" s="9"/>
      <c r="Q889" s="9"/>
      <c r="R889" s="9"/>
      <c r="S889" s="9"/>
      <c r="T889" s="223"/>
      <c r="U889" s="9"/>
      <c r="V889" s="9"/>
      <c r="W889" s="971"/>
      <c r="X889" s="9"/>
      <c r="Y889" s="9"/>
      <c r="Z889" s="204"/>
      <c r="AA889" s="9"/>
      <c r="AB889" s="9"/>
      <c r="AC889" s="9"/>
      <c r="AD889" s="9"/>
    </row>
    <row r="890" ht="15.75" customHeight="1">
      <c r="A890" s="9"/>
      <c r="B890" s="223"/>
      <c r="C890" s="9"/>
      <c r="D890" s="9"/>
      <c r="E890" s="223"/>
      <c r="F890" s="9"/>
      <c r="G890" s="9"/>
      <c r="H890" s="9"/>
      <c r="I890" s="9"/>
      <c r="J890" s="9"/>
      <c r="K890" s="9"/>
      <c r="L890" s="9"/>
      <c r="M890" s="9"/>
      <c r="N890" s="9"/>
      <c r="O890" s="9"/>
      <c r="P890" s="9"/>
      <c r="Q890" s="9"/>
      <c r="R890" s="9"/>
      <c r="S890" s="9"/>
      <c r="T890" s="223"/>
      <c r="U890" s="9"/>
      <c r="V890" s="9"/>
      <c r="W890" s="971"/>
      <c r="X890" s="9"/>
      <c r="Y890" s="9"/>
      <c r="Z890" s="204"/>
      <c r="AA890" s="9"/>
      <c r="AB890" s="9"/>
      <c r="AC890" s="9"/>
      <c r="AD890" s="9"/>
    </row>
    <row r="891" ht="15.75" customHeight="1">
      <c r="A891" s="9"/>
      <c r="B891" s="223"/>
      <c r="C891" s="9"/>
      <c r="D891" s="9"/>
      <c r="E891" s="223"/>
      <c r="F891" s="9"/>
      <c r="G891" s="9"/>
      <c r="H891" s="9"/>
      <c r="I891" s="9"/>
      <c r="J891" s="9"/>
      <c r="K891" s="9"/>
      <c r="L891" s="9"/>
      <c r="M891" s="9"/>
      <c r="N891" s="9"/>
      <c r="O891" s="9"/>
      <c r="P891" s="9"/>
      <c r="Q891" s="9"/>
      <c r="R891" s="9"/>
      <c r="S891" s="9"/>
      <c r="T891" s="223"/>
      <c r="U891" s="9"/>
      <c r="V891" s="9"/>
      <c r="W891" s="971"/>
      <c r="X891" s="9"/>
      <c r="Y891" s="9"/>
      <c r="Z891" s="204"/>
      <c r="AA891" s="9"/>
      <c r="AB891" s="9"/>
      <c r="AC891" s="9"/>
      <c r="AD891" s="9"/>
    </row>
    <row r="892" ht="15.75" customHeight="1">
      <c r="A892" s="9"/>
      <c r="B892" s="223"/>
      <c r="C892" s="9"/>
      <c r="D892" s="9"/>
      <c r="E892" s="223"/>
      <c r="F892" s="9"/>
      <c r="G892" s="9"/>
      <c r="H892" s="9"/>
      <c r="I892" s="9"/>
      <c r="J892" s="9"/>
      <c r="K892" s="9"/>
      <c r="L892" s="9"/>
      <c r="M892" s="9"/>
      <c r="N892" s="9"/>
      <c r="O892" s="9"/>
      <c r="P892" s="9"/>
      <c r="Q892" s="9"/>
      <c r="R892" s="9"/>
      <c r="S892" s="9"/>
      <c r="T892" s="223"/>
      <c r="U892" s="9"/>
      <c r="V892" s="9"/>
      <c r="W892" s="971"/>
      <c r="X892" s="9"/>
      <c r="Y892" s="9"/>
      <c r="Z892" s="204"/>
      <c r="AA892" s="9"/>
      <c r="AB892" s="9"/>
      <c r="AC892" s="9"/>
      <c r="AD892" s="9"/>
    </row>
    <row r="893" ht="15.75" customHeight="1">
      <c r="A893" s="9"/>
      <c r="B893" s="223"/>
      <c r="C893" s="9"/>
      <c r="D893" s="9"/>
      <c r="E893" s="223"/>
      <c r="F893" s="9"/>
      <c r="G893" s="9"/>
      <c r="H893" s="9"/>
      <c r="I893" s="9"/>
      <c r="J893" s="9"/>
      <c r="K893" s="9"/>
      <c r="L893" s="9"/>
      <c r="M893" s="9"/>
      <c r="N893" s="9"/>
      <c r="O893" s="9"/>
      <c r="P893" s="9"/>
      <c r="Q893" s="9"/>
      <c r="R893" s="9"/>
      <c r="S893" s="9"/>
      <c r="T893" s="223"/>
      <c r="U893" s="9"/>
      <c r="V893" s="9"/>
      <c r="W893" s="971"/>
      <c r="X893" s="9"/>
      <c r="Y893" s="9"/>
      <c r="Z893" s="204"/>
      <c r="AA893" s="9"/>
      <c r="AB893" s="9"/>
      <c r="AC893" s="9"/>
      <c r="AD893" s="9"/>
    </row>
    <row r="894" ht="15.75" customHeight="1">
      <c r="A894" s="9"/>
      <c r="B894" s="223"/>
      <c r="C894" s="9"/>
      <c r="D894" s="9"/>
      <c r="E894" s="223"/>
      <c r="F894" s="9"/>
      <c r="G894" s="9"/>
      <c r="H894" s="9"/>
      <c r="I894" s="9"/>
      <c r="J894" s="9"/>
      <c r="K894" s="9"/>
      <c r="L894" s="9"/>
      <c r="M894" s="9"/>
      <c r="N894" s="9"/>
      <c r="O894" s="9"/>
      <c r="P894" s="9"/>
      <c r="Q894" s="9"/>
      <c r="R894" s="9"/>
      <c r="S894" s="9"/>
      <c r="T894" s="223"/>
      <c r="U894" s="9"/>
      <c r="V894" s="9"/>
      <c r="W894" s="971"/>
      <c r="X894" s="9"/>
      <c r="Y894" s="9"/>
      <c r="Z894" s="204"/>
      <c r="AA894" s="9"/>
      <c r="AB894" s="9"/>
      <c r="AC894" s="9"/>
      <c r="AD894" s="9"/>
    </row>
    <row r="895" ht="15.75" customHeight="1">
      <c r="A895" s="9"/>
      <c r="B895" s="223"/>
      <c r="C895" s="9"/>
      <c r="D895" s="9"/>
      <c r="E895" s="223"/>
      <c r="F895" s="9"/>
      <c r="G895" s="9"/>
      <c r="H895" s="9"/>
      <c r="I895" s="9"/>
      <c r="J895" s="9"/>
      <c r="K895" s="9"/>
      <c r="L895" s="9"/>
      <c r="M895" s="9"/>
      <c r="N895" s="9"/>
      <c r="O895" s="9"/>
      <c r="P895" s="9"/>
      <c r="Q895" s="9"/>
      <c r="R895" s="9"/>
      <c r="S895" s="9"/>
      <c r="T895" s="223"/>
      <c r="U895" s="9"/>
      <c r="V895" s="9"/>
      <c r="W895" s="971"/>
      <c r="X895" s="9"/>
      <c r="Y895" s="9"/>
      <c r="Z895" s="204"/>
      <c r="AA895" s="9"/>
      <c r="AB895" s="9"/>
      <c r="AC895" s="9"/>
      <c r="AD895" s="9"/>
    </row>
    <row r="896" ht="15.75" customHeight="1">
      <c r="A896" s="9"/>
      <c r="B896" s="223"/>
      <c r="C896" s="9"/>
      <c r="D896" s="9"/>
      <c r="E896" s="223"/>
      <c r="F896" s="9"/>
      <c r="G896" s="9"/>
      <c r="H896" s="9"/>
      <c r="I896" s="9"/>
      <c r="J896" s="9"/>
      <c r="K896" s="9"/>
      <c r="L896" s="9"/>
      <c r="M896" s="9"/>
      <c r="N896" s="9"/>
      <c r="O896" s="9"/>
      <c r="P896" s="9"/>
      <c r="Q896" s="9"/>
      <c r="R896" s="9"/>
      <c r="S896" s="9"/>
      <c r="T896" s="223"/>
      <c r="U896" s="9"/>
      <c r="V896" s="9"/>
      <c r="W896" s="971"/>
      <c r="X896" s="9"/>
      <c r="Y896" s="9"/>
      <c r="Z896" s="204"/>
      <c r="AA896" s="9"/>
      <c r="AB896" s="9"/>
      <c r="AC896" s="9"/>
      <c r="AD896" s="9"/>
    </row>
    <row r="897" ht="15.75" customHeight="1">
      <c r="A897" s="9"/>
      <c r="B897" s="223"/>
      <c r="C897" s="9"/>
      <c r="D897" s="9"/>
      <c r="E897" s="223"/>
      <c r="F897" s="9"/>
      <c r="G897" s="9"/>
      <c r="H897" s="9"/>
      <c r="I897" s="9"/>
      <c r="J897" s="9"/>
      <c r="K897" s="9"/>
      <c r="L897" s="9"/>
      <c r="M897" s="9"/>
      <c r="N897" s="9"/>
      <c r="O897" s="9"/>
      <c r="P897" s="9"/>
      <c r="Q897" s="9"/>
      <c r="R897" s="9"/>
      <c r="S897" s="9"/>
      <c r="T897" s="223"/>
      <c r="U897" s="9"/>
      <c r="V897" s="9"/>
      <c r="W897" s="971"/>
      <c r="X897" s="9"/>
      <c r="Y897" s="9"/>
      <c r="Z897" s="204"/>
      <c r="AA897" s="9"/>
      <c r="AB897" s="9"/>
      <c r="AC897" s="9"/>
      <c r="AD897" s="9"/>
    </row>
    <row r="898" ht="15.75" customHeight="1">
      <c r="A898" s="9"/>
      <c r="B898" s="223"/>
      <c r="C898" s="9"/>
      <c r="D898" s="9"/>
      <c r="E898" s="223"/>
      <c r="F898" s="9"/>
      <c r="G898" s="9"/>
      <c r="H898" s="9"/>
      <c r="I898" s="9"/>
      <c r="J898" s="9"/>
      <c r="K898" s="9"/>
      <c r="L898" s="9"/>
      <c r="M898" s="9"/>
      <c r="N898" s="9"/>
      <c r="O898" s="9"/>
      <c r="P898" s="9"/>
      <c r="Q898" s="9"/>
      <c r="R898" s="9"/>
      <c r="S898" s="9"/>
      <c r="T898" s="223"/>
      <c r="U898" s="9"/>
      <c r="V898" s="9"/>
      <c r="W898" s="971"/>
      <c r="X898" s="9"/>
      <c r="Y898" s="9"/>
      <c r="Z898" s="204"/>
      <c r="AA898" s="9"/>
      <c r="AB898" s="9"/>
      <c r="AC898" s="9"/>
      <c r="AD898" s="9"/>
    </row>
    <row r="899" ht="15.75" customHeight="1">
      <c r="A899" s="9"/>
      <c r="B899" s="223"/>
      <c r="C899" s="9"/>
      <c r="D899" s="9"/>
      <c r="E899" s="223"/>
      <c r="F899" s="9"/>
      <c r="G899" s="9"/>
      <c r="H899" s="9"/>
      <c r="I899" s="9"/>
      <c r="J899" s="9"/>
      <c r="K899" s="9"/>
      <c r="L899" s="9"/>
      <c r="M899" s="9"/>
      <c r="N899" s="9"/>
      <c r="O899" s="9"/>
      <c r="P899" s="9"/>
      <c r="Q899" s="9"/>
      <c r="R899" s="9"/>
      <c r="S899" s="9"/>
      <c r="T899" s="223"/>
      <c r="U899" s="9"/>
      <c r="V899" s="9"/>
      <c r="W899" s="971"/>
      <c r="X899" s="9"/>
      <c r="Y899" s="9"/>
      <c r="Z899" s="204"/>
      <c r="AA899" s="9"/>
      <c r="AB899" s="9"/>
      <c r="AC899" s="9"/>
      <c r="AD899" s="9"/>
    </row>
    <row r="900" ht="15.75" customHeight="1">
      <c r="A900" s="9"/>
      <c r="B900" s="223"/>
      <c r="C900" s="9"/>
      <c r="D900" s="9"/>
      <c r="E900" s="223"/>
      <c r="F900" s="9"/>
      <c r="G900" s="9"/>
      <c r="H900" s="9"/>
      <c r="I900" s="9"/>
      <c r="J900" s="9"/>
      <c r="K900" s="9"/>
      <c r="L900" s="9"/>
      <c r="M900" s="9"/>
      <c r="N900" s="9"/>
      <c r="O900" s="9"/>
      <c r="P900" s="9"/>
      <c r="Q900" s="9"/>
      <c r="R900" s="9"/>
      <c r="S900" s="9"/>
      <c r="T900" s="223"/>
      <c r="U900" s="9"/>
      <c r="V900" s="9"/>
      <c r="W900" s="971"/>
      <c r="X900" s="9"/>
      <c r="Y900" s="9"/>
      <c r="Z900" s="204"/>
      <c r="AA900" s="9"/>
      <c r="AB900" s="9"/>
      <c r="AC900" s="9"/>
      <c r="AD900" s="9"/>
    </row>
    <row r="901" ht="15.75" customHeight="1">
      <c r="A901" s="9"/>
      <c r="B901" s="223"/>
      <c r="C901" s="9"/>
      <c r="D901" s="9"/>
      <c r="E901" s="223"/>
      <c r="F901" s="9"/>
      <c r="G901" s="9"/>
      <c r="H901" s="9"/>
      <c r="I901" s="9"/>
      <c r="J901" s="9"/>
      <c r="K901" s="9"/>
      <c r="L901" s="9"/>
      <c r="M901" s="9"/>
      <c r="N901" s="9"/>
      <c r="O901" s="9"/>
      <c r="P901" s="9"/>
      <c r="Q901" s="9"/>
      <c r="R901" s="9"/>
      <c r="S901" s="9"/>
      <c r="T901" s="223"/>
      <c r="U901" s="9"/>
      <c r="V901" s="9"/>
      <c r="W901" s="971"/>
      <c r="X901" s="9"/>
      <c r="Y901" s="9"/>
      <c r="Z901" s="204"/>
      <c r="AA901" s="9"/>
      <c r="AB901" s="9"/>
      <c r="AC901" s="9"/>
      <c r="AD901" s="9"/>
    </row>
    <row r="902" ht="15.75" customHeight="1">
      <c r="A902" s="9"/>
      <c r="B902" s="223"/>
      <c r="C902" s="9"/>
      <c r="D902" s="9"/>
      <c r="E902" s="223"/>
      <c r="F902" s="9"/>
      <c r="G902" s="9"/>
      <c r="H902" s="9"/>
      <c r="I902" s="9"/>
      <c r="J902" s="9"/>
      <c r="K902" s="9"/>
      <c r="L902" s="9"/>
      <c r="M902" s="9"/>
      <c r="N902" s="9"/>
      <c r="O902" s="9"/>
      <c r="P902" s="9"/>
      <c r="Q902" s="9"/>
      <c r="R902" s="9"/>
      <c r="S902" s="9"/>
      <c r="T902" s="223"/>
      <c r="U902" s="9"/>
      <c r="V902" s="9"/>
      <c r="W902" s="971"/>
      <c r="X902" s="9"/>
      <c r="Y902" s="9"/>
      <c r="Z902" s="204"/>
      <c r="AA902" s="9"/>
      <c r="AB902" s="9"/>
      <c r="AC902" s="9"/>
      <c r="AD902" s="9"/>
    </row>
    <row r="903" ht="15.75" customHeight="1">
      <c r="A903" s="9"/>
      <c r="B903" s="223"/>
      <c r="C903" s="9"/>
      <c r="D903" s="9"/>
      <c r="E903" s="223"/>
      <c r="F903" s="9"/>
      <c r="G903" s="9"/>
      <c r="H903" s="9"/>
      <c r="I903" s="9"/>
      <c r="J903" s="9"/>
      <c r="K903" s="9"/>
      <c r="L903" s="9"/>
      <c r="M903" s="9"/>
      <c r="N903" s="9"/>
      <c r="O903" s="9"/>
      <c r="P903" s="9"/>
      <c r="Q903" s="9"/>
      <c r="R903" s="9"/>
      <c r="S903" s="9"/>
      <c r="T903" s="223"/>
      <c r="U903" s="9"/>
      <c r="V903" s="9"/>
      <c r="W903" s="971"/>
      <c r="X903" s="9"/>
      <c r="Y903" s="9"/>
      <c r="Z903" s="204"/>
      <c r="AA903" s="9"/>
      <c r="AB903" s="9"/>
      <c r="AC903" s="9"/>
      <c r="AD903" s="9"/>
    </row>
    <row r="904" ht="15.75" customHeight="1">
      <c r="A904" s="9"/>
      <c r="B904" s="223"/>
      <c r="C904" s="9"/>
      <c r="D904" s="9"/>
      <c r="E904" s="223"/>
      <c r="F904" s="9"/>
      <c r="G904" s="9"/>
      <c r="H904" s="9"/>
      <c r="I904" s="9"/>
      <c r="J904" s="9"/>
      <c r="K904" s="9"/>
      <c r="L904" s="9"/>
      <c r="M904" s="9"/>
      <c r="N904" s="9"/>
      <c r="O904" s="9"/>
      <c r="P904" s="9"/>
      <c r="Q904" s="9"/>
      <c r="R904" s="9"/>
      <c r="S904" s="9"/>
      <c r="T904" s="223"/>
      <c r="U904" s="9"/>
      <c r="V904" s="9"/>
      <c r="W904" s="971"/>
      <c r="X904" s="9"/>
      <c r="Y904" s="9"/>
      <c r="Z904" s="204"/>
      <c r="AA904" s="9"/>
      <c r="AB904" s="9"/>
      <c r="AC904" s="9"/>
      <c r="AD904" s="9"/>
    </row>
    <row r="905" ht="15.75" customHeight="1">
      <c r="A905" s="9"/>
      <c r="B905" s="223"/>
      <c r="C905" s="9"/>
      <c r="D905" s="9"/>
      <c r="E905" s="223"/>
      <c r="F905" s="9"/>
      <c r="G905" s="9"/>
      <c r="H905" s="9"/>
      <c r="I905" s="9"/>
      <c r="J905" s="9"/>
      <c r="K905" s="9"/>
      <c r="L905" s="9"/>
      <c r="M905" s="9"/>
      <c r="N905" s="9"/>
      <c r="O905" s="9"/>
      <c r="P905" s="9"/>
      <c r="Q905" s="9"/>
      <c r="R905" s="9"/>
      <c r="S905" s="9"/>
      <c r="T905" s="223"/>
      <c r="U905" s="9"/>
      <c r="V905" s="9"/>
      <c r="W905" s="971"/>
      <c r="X905" s="9"/>
      <c r="Y905" s="9"/>
      <c r="Z905" s="204"/>
      <c r="AA905" s="9"/>
      <c r="AB905" s="9"/>
      <c r="AC905" s="9"/>
      <c r="AD905" s="9"/>
    </row>
    <row r="906" ht="15.75" customHeight="1">
      <c r="A906" s="9"/>
      <c r="B906" s="223"/>
      <c r="C906" s="9"/>
      <c r="D906" s="9"/>
      <c r="E906" s="223"/>
      <c r="F906" s="9"/>
      <c r="G906" s="9"/>
      <c r="H906" s="9"/>
      <c r="I906" s="9"/>
      <c r="J906" s="9"/>
      <c r="K906" s="9"/>
      <c r="L906" s="9"/>
      <c r="M906" s="9"/>
      <c r="N906" s="9"/>
      <c r="O906" s="9"/>
      <c r="P906" s="9"/>
      <c r="Q906" s="9"/>
      <c r="R906" s="9"/>
      <c r="S906" s="9"/>
      <c r="T906" s="223"/>
      <c r="U906" s="9"/>
      <c r="V906" s="9"/>
      <c r="W906" s="971"/>
      <c r="X906" s="9"/>
      <c r="Y906" s="9"/>
      <c r="Z906" s="204"/>
      <c r="AA906" s="9"/>
      <c r="AB906" s="9"/>
      <c r="AC906" s="9"/>
      <c r="AD906" s="9"/>
    </row>
    <row r="907" ht="15.75" customHeight="1">
      <c r="A907" s="9"/>
      <c r="B907" s="223"/>
      <c r="C907" s="9"/>
      <c r="D907" s="9"/>
      <c r="E907" s="223"/>
      <c r="F907" s="9"/>
      <c r="G907" s="9"/>
      <c r="H907" s="9"/>
      <c r="I907" s="9"/>
      <c r="J907" s="9"/>
      <c r="K907" s="9"/>
      <c r="L907" s="9"/>
      <c r="M907" s="9"/>
      <c r="N907" s="9"/>
      <c r="O907" s="9"/>
      <c r="P907" s="9"/>
      <c r="Q907" s="9"/>
      <c r="R907" s="9"/>
      <c r="S907" s="9"/>
      <c r="T907" s="223"/>
      <c r="U907" s="9"/>
      <c r="V907" s="9"/>
      <c r="W907" s="971"/>
      <c r="X907" s="9"/>
      <c r="Y907" s="9"/>
      <c r="Z907" s="204"/>
      <c r="AA907" s="9"/>
      <c r="AB907" s="9"/>
      <c r="AC907" s="9"/>
      <c r="AD907" s="9"/>
    </row>
    <row r="908" ht="15.75" customHeight="1">
      <c r="A908" s="9"/>
      <c r="B908" s="223"/>
      <c r="C908" s="9"/>
      <c r="D908" s="9"/>
      <c r="E908" s="223"/>
      <c r="F908" s="9"/>
      <c r="G908" s="9"/>
      <c r="H908" s="9"/>
      <c r="I908" s="9"/>
      <c r="J908" s="9"/>
      <c r="K908" s="9"/>
      <c r="L908" s="9"/>
      <c r="M908" s="9"/>
      <c r="N908" s="9"/>
      <c r="O908" s="9"/>
      <c r="P908" s="9"/>
      <c r="Q908" s="9"/>
      <c r="R908" s="9"/>
      <c r="S908" s="9"/>
      <c r="T908" s="223"/>
      <c r="U908" s="9"/>
      <c r="V908" s="9"/>
      <c r="W908" s="971"/>
      <c r="X908" s="9"/>
      <c r="Y908" s="9"/>
      <c r="Z908" s="204"/>
      <c r="AA908" s="9"/>
      <c r="AB908" s="9"/>
      <c r="AC908" s="9"/>
      <c r="AD908" s="9"/>
    </row>
    <row r="909" ht="15.75" customHeight="1">
      <c r="A909" s="9"/>
      <c r="B909" s="223"/>
      <c r="C909" s="9"/>
      <c r="D909" s="9"/>
      <c r="E909" s="223"/>
      <c r="F909" s="9"/>
      <c r="G909" s="9"/>
      <c r="H909" s="9"/>
      <c r="I909" s="9"/>
      <c r="J909" s="9"/>
      <c r="K909" s="9"/>
      <c r="L909" s="9"/>
      <c r="M909" s="9"/>
      <c r="N909" s="9"/>
      <c r="O909" s="9"/>
      <c r="P909" s="9"/>
      <c r="Q909" s="9"/>
      <c r="R909" s="9"/>
      <c r="S909" s="9"/>
      <c r="T909" s="223"/>
      <c r="U909" s="9"/>
      <c r="V909" s="9"/>
      <c r="W909" s="971"/>
      <c r="X909" s="9"/>
      <c r="Y909" s="9"/>
      <c r="Z909" s="204"/>
      <c r="AA909" s="9"/>
      <c r="AB909" s="9"/>
      <c r="AC909" s="9"/>
      <c r="AD909" s="9"/>
    </row>
    <row r="910" ht="15.75" customHeight="1">
      <c r="A910" s="9"/>
      <c r="B910" s="223"/>
      <c r="C910" s="9"/>
      <c r="D910" s="9"/>
      <c r="E910" s="223"/>
      <c r="F910" s="9"/>
      <c r="G910" s="9"/>
      <c r="H910" s="9"/>
      <c r="I910" s="9"/>
      <c r="J910" s="9"/>
      <c r="K910" s="9"/>
      <c r="L910" s="9"/>
      <c r="M910" s="9"/>
      <c r="N910" s="9"/>
      <c r="O910" s="9"/>
      <c r="P910" s="9"/>
      <c r="Q910" s="9"/>
      <c r="R910" s="9"/>
      <c r="S910" s="9"/>
      <c r="T910" s="223"/>
      <c r="U910" s="9"/>
      <c r="V910" s="9"/>
      <c r="W910" s="971"/>
      <c r="X910" s="9"/>
      <c r="Y910" s="9"/>
      <c r="Z910" s="204"/>
      <c r="AA910" s="9"/>
      <c r="AB910" s="9"/>
      <c r="AC910" s="9"/>
      <c r="AD910" s="9"/>
    </row>
    <row r="911" ht="15.75" customHeight="1">
      <c r="A911" s="9"/>
      <c r="B911" s="223"/>
      <c r="C911" s="9"/>
      <c r="D911" s="9"/>
      <c r="E911" s="223"/>
      <c r="F911" s="9"/>
      <c r="G911" s="9"/>
      <c r="H911" s="9"/>
      <c r="I911" s="9"/>
      <c r="J911" s="9"/>
      <c r="K911" s="9"/>
      <c r="L911" s="9"/>
      <c r="M911" s="9"/>
      <c r="N911" s="9"/>
      <c r="O911" s="9"/>
      <c r="P911" s="9"/>
      <c r="Q911" s="9"/>
      <c r="R911" s="9"/>
      <c r="S911" s="9"/>
      <c r="T911" s="223"/>
      <c r="U911" s="9"/>
      <c r="V911" s="9"/>
      <c r="W911" s="971"/>
      <c r="X911" s="9"/>
      <c r="Y911" s="9"/>
      <c r="Z911" s="204"/>
      <c r="AA911" s="9"/>
      <c r="AB911" s="9"/>
      <c r="AC911" s="9"/>
      <c r="AD911" s="9"/>
    </row>
    <row r="912" ht="15.75" customHeight="1">
      <c r="A912" s="9"/>
      <c r="B912" s="223"/>
      <c r="C912" s="9"/>
      <c r="D912" s="9"/>
      <c r="E912" s="223"/>
      <c r="F912" s="9"/>
      <c r="G912" s="9"/>
      <c r="H912" s="9"/>
      <c r="I912" s="9"/>
      <c r="J912" s="9"/>
      <c r="K912" s="9"/>
      <c r="L912" s="9"/>
      <c r="M912" s="9"/>
      <c r="N912" s="9"/>
      <c r="O912" s="9"/>
      <c r="P912" s="9"/>
      <c r="Q912" s="9"/>
      <c r="R912" s="9"/>
      <c r="S912" s="9"/>
      <c r="T912" s="223"/>
      <c r="U912" s="9"/>
      <c r="V912" s="9"/>
      <c r="W912" s="971"/>
      <c r="X912" s="9"/>
      <c r="Y912" s="9"/>
      <c r="Z912" s="204"/>
      <c r="AA912" s="9"/>
      <c r="AB912" s="9"/>
      <c r="AC912" s="9"/>
      <c r="AD912" s="9"/>
    </row>
    <row r="913" ht="15.75" customHeight="1">
      <c r="A913" s="9"/>
      <c r="B913" s="223"/>
      <c r="C913" s="9"/>
      <c r="D913" s="9"/>
      <c r="E913" s="223"/>
      <c r="F913" s="9"/>
      <c r="G913" s="9"/>
      <c r="H913" s="9"/>
      <c r="I913" s="9"/>
      <c r="J913" s="9"/>
      <c r="K913" s="9"/>
      <c r="L913" s="9"/>
      <c r="M913" s="9"/>
      <c r="N913" s="9"/>
      <c r="O913" s="9"/>
      <c r="P913" s="9"/>
      <c r="Q913" s="9"/>
      <c r="R913" s="9"/>
      <c r="S913" s="9"/>
      <c r="T913" s="223"/>
      <c r="U913" s="9"/>
      <c r="V913" s="9"/>
      <c r="W913" s="971"/>
      <c r="X913" s="9"/>
      <c r="Y913" s="9"/>
      <c r="Z913" s="204"/>
      <c r="AA913" s="9"/>
      <c r="AB913" s="9"/>
      <c r="AC913" s="9"/>
      <c r="AD913" s="9"/>
    </row>
    <row r="914" ht="15.75" customHeight="1">
      <c r="A914" s="9"/>
      <c r="B914" s="223"/>
      <c r="C914" s="9"/>
      <c r="D914" s="9"/>
      <c r="E914" s="223"/>
      <c r="F914" s="9"/>
      <c r="G914" s="9"/>
      <c r="H914" s="9"/>
      <c r="I914" s="9"/>
      <c r="J914" s="9"/>
      <c r="K914" s="9"/>
      <c r="L914" s="9"/>
      <c r="M914" s="9"/>
      <c r="N914" s="9"/>
      <c r="O914" s="9"/>
      <c r="P914" s="9"/>
      <c r="Q914" s="9"/>
      <c r="R914" s="9"/>
      <c r="S914" s="9"/>
      <c r="T914" s="223"/>
      <c r="U914" s="9"/>
      <c r="V914" s="9"/>
      <c r="W914" s="971"/>
      <c r="X914" s="9"/>
      <c r="Y914" s="9"/>
      <c r="Z914" s="204"/>
      <c r="AA914" s="9"/>
      <c r="AB914" s="9"/>
      <c r="AC914" s="9"/>
      <c r="AD914" s="9"/>
    </row>
    <row r="915" ht="15.75" customHeight="1">
      <c r="A915" s="9"/>
      <c r="B915" s="223"/>
      <c r="C915" s="9"/>
      <c r="D915" s="9"/>
      <c r="E915" s="223"/>
      <c r="F915" s="9"/>
      <c r="G915" s="9"/>
      <c r="H915" s="9"/>
      <c r="I915" s="9"/>
      <c r="J915" s="9"/>
      <c r="K915" s="9"/>
      <c r="L915" s="9"/>
      <c r="M915" s="9"/>
      <c r="N915" s="9"/>
      <c r="O915" s="9"/>
      <c r="P915" s="9"/>
      <c r="Q915" s="9"/>
      <c r="R915" s="9"/>
      <c r="S915" s="9"/>
      <c r="T915" s="223"/>
      <c r="U915" s="9"/>
      <c r="V915" s="9"/>
      <c r="W915" s="971"/>
      <c r="X915" s="9"/>
      <c r="Y915" s="9"/>
      <c r="Z915" s="204"/>
      <c r="AA915" s="9"/>
      <c r="AB915" s="9"/>
      <c r="AC915" s="9"/>
      <c r="AD915" s="9"/>
    </row>
    <row r="916" ht="15.75" customHeight="1">
      <c r="A916" s="9"/>
      <c r="B916" s="223"/>
      <c r="C916" s="9"/>
      <c r="D916" s="9"/>
      <c r="E916" s="223"/>
      <c r="F916" s="9"/>
      <c r="G916" s="9"/>
      <c r="H916" s="9"/>
      <c r="I916" s="9"/>
      <c r="J916" s="9"/>
      <c r="K916" s="9"/>
      <c r="L916" s="9"/>
      <c r="M916" s="9"/>
      <c r="N916" s="9"/>
      <c r="O916" s="9"/>
      <c r="P916" s="9"/>
      <c r="Q916" s="9"/>
      <c r="R916" s="9"/>
      <c r="S916" s="9"/>
      <c r="T916" s="223"/>
      <c r="U916" s="9"/>
      <c r="V916" s="9"/>
      <c r="W916" s="971"/>
      <c r="X916" s="9"/>
      <c r="Y916" s="9"/>
      <c r="Z916" s="204"/>
      <c r="AA916" s="9"/>
      <c r="AB916" s="9"/>
      <c r="AC916" s="9"/>
      <c r="AD916" s="9"/>
    </row>
    <row r="917" ht="15.75" customHeight="1">
      <c r="A917" s="9"/>
      <c r="B917" s="223"/>
      <c r="C917" s="9"/>
      <c r="D917" s="9"/>
      <c r="E917" s="223"/>
      <c r="F917" s="9"/>
      <c r="G917" s="9"/>
      <c r="H917" s="9"/>
      <c r="I917" s="9"/>
      <c r="J917" s="9"/>
      <c r="K917" s="9"/>
      <c r="L917" s="9"/>
      <c r="M917" s="9"/>
      <c r="N917" s="9"/>
      <c r="O917" s="9"/>
      <c r="P917" s="9"/>
      <c r="Q917" s="9"/>
      <c r="R917" s="9"/>
      <c r="S917" s="9"/>
      <c r="T917" s="223"/>
      <c r="U917" s="9"/>
      <c r="V917" s="9"/>
      <c r="W917" s="971"/>
      <c r="X917" s="9"/>
      <c r="Y917" s="9"/>
      <c r="Z917" s="204"/>
      <c r="AA917" s="9"/>
      <c r="AB917" s="9"/>
      <c r="AC917" s="9"/>
      <c r="AD917" s="9"/>
    </row>
    <row r="918" ht="15.75" customHeight="1">
      <c r="A918" s="9"/>
      <c r="B918" s="223"/>
      <c r="C918" s="9"/>
      <c r="D918" s="9"/>
      <c r="E918" s="223"/>
      <c r="F918" s="9"/>
      <c r="G918" s="9"/>
      <c r="H918" s="9"/>
      <c r="I918" s="9"/>
      <c r="J918" s="9"/>
      <c r="K918" s="9"/>
      <c r="L918" s="9"/>
      <c r="M918" s="9"/>
      <c r="N918" s="9"/>
      <c r="O918" s="9"/>
      <c r="P918" s="9"/>
      <c r="Q918" s="9"/>
      <c r="R918" s="9"/>
      <c r="S918" s="9"/>
      <c r="T918" s="223"/>
      <c r="U918" s="9"/>
      <c r="V918" s="9"/>
      <c r="W918" s="971"/>
      <c r="X918" s="9"/>
      <c r="Y918" s="9"/>
      <c r="Z918" s="204"/>
      <c r="AA918" s="9"/>
      <c r="AB918" s="9"/>
      <c r="AC918" s="9"/>
      <c r="AD918" s="9"/>
    </row>
    <row r="919" ht="15.75" customHeight="1">
      <c r="A919" s="9"/>
      <c r="B919" s="223"/>
      <c r="C919" s="9"/>
      <c r="D919" s="9"/>
      <c r="E919" s="223"/>
      <c r="F919" s="9"/>
      <c r="G919" s="9"/>
      <c r="H919" s="9"/>
      <c r="I919" s="9"/>
      <c r="J919" s="9"/>
      <c r="K919" s="9"/>
      <c r="L919" s="9"/>
      <c r="M919" s="9"/>
      <c r="N919" s="9"/>
      <c r="O919" s="9"/>
      <c r="P919" s="9"/>
      <c r="Q919" s="9"/>
      <c r="R919" s="9"/>
      <c r="S919" s="9"/>
      <c r="T919" s="223"/>
      <c r="U919" s="9"/>
      <c r="V919" s="9"/>
      <c r="W919" s="971"/>
      <c r="X919" s="9"/>
      <c r="Y919" s="9"/>
      <c r="Z919" s="204"/>
      <c r="AA919" s="9"/>
      <c r="AB919" s="9"/>
      <c r="AC919" s="9"/>
      <c r="AD919" s="9"/>
    </row>
    <row r="920" ht="15.75" customHeight="1">
      <c r="A920" s="9"/>
      <c r="B920" s="223"/>
      <c r="C920" s="9"/>
      <c r="D920" s="9"/>
      <c r="E920" s="223"/>
      <c r="F920" s="9"/>
      <c r="G920" s="9"/>
      <c r="H920" s="9"/>
      <c r="I920" s="9"/>
      <c r="J920" s="9"/>
      <c r="K920" s="9"/>
      <c r="L920" s="9"/>
      <c r="M920" s="9"/>
      <c r="N920" s="9"/>
      <c r="O920" s="9"/>
      <c r="P920" s="9"/>
      <c r="Q920" s="9"/>
      <c r="R920" s="9"/>
      <c r="S920" s="9"/>
      <c r="T920" s="223"/>
      <c r="U920" s="9"/>
      <c r="V920" s="9"/>
      <c r="W920" s="971"/>
      <c r="X920" s="9"/>
      <c r="Y920" s="9"/>
      <c r="Z920" s="204"/>
      <c r="AA920" s="9"/>
      <c r="AB920" s="9"/>
      <c r="AC920" s="9"/>
      <c r="AD920" s="9"/>
    </row>
    <row r="921" ht="15.75" customHeight="1">
      <c r="A921" s="9"/>
      <c r="B921" s="223"/>
      <c r="C921" s="9"/>
      <c r="D921" s="9"/>
      <c r="E921" s="223"/>
      <c r="F921" s="9"/>
      <c r="G921" s="9"/>
      <c r="H921" s="9"/>
      <c r="I921" s="9"/>
      <c r="J921" s="9"/>
      <c r="K921" s="9"/>
      <c r="L921" s="9"/>
      <c r="M921" s="9"/>
      <c r="N921" s="9"/>
      <c r="O921" s="9"/>
      <c r="P921" s="9"/>
      <c r="Q921" s="9"/>
      <c r="R921" s="9"/>
      <c r="S921" s="9"/>
      <c r="T921" s="223"/>
      <c r="U921" s="9"/>
      <c r="V921" s="9"/>
      <c r="W921" s="971"/>
      <c r="X921" s="9"/>
      <c r="Y921" s="9"/>
      <c r="Z921" s="204"/>
      <c r="AA921" s="9"/>
      <c r="AB921" s="9"/>
      <c r="AC921" s="9"/>
      <c r="AD921" s="9"/>
    </row>
    <row r="922" ht="15.75" customHeight="1">
      <c r="A922" s="9"/>
      <c r="B922" s="223"/>
      <c r="C922" s="9"/>
      <c r="D922" s="9"/>
      <c r="E922" s="223"/>
      <c r="F922" s="9"/>
      <c r="G922" s="9"/>
      <c r="H922" s="9"/>
      <c r="I922" s="9"/>
      <c r="J922" s="9"/>
      <c r="K922" s="9"/>
      <c r="L922" s="9"/>
      <c r="M922" s="9"/>
      <c r="N922" s="9"/>
      <c r="O922" s="9"/>
      <c r="P922" s="9"/>
      <c r="Q922" s="9"/>
      <c r="R922" s="9"/>
      <c r="S922" s="9"/>
      <c r="T922" s="223"/>
      <c r="U922" s="9"/>
      <c r="V922" s="9"/>
      <c r="W922" s="971"/>
      <c r="X922" s="9"/>
      <c r="Y922" s="9"/>
      <c r="Z922" s="204"/>
      <c r="AA922" s="9"/>
      <c r="AB922" s="9"/>
      <c r="AC922" s="9"/>
      <c r="AD922" s="9"/>
    </row>
    <row r="923" ht="15.75" customHeight="1">
      <c r="A923" s="9"/>
      <c r="B923" s="223"/>
      <c r="C923" s="9"/>
      <c r="D923" s="9"/>
      <c r="E923" s="223"/>
      <c r="F923" s="9"/>
      <c r="G923" s="9"/>
      <c r="H923" s="9"/>
      <c r="I923" s="9"/>
      <c r="J923" s="9"/>
      <c r="K923" s="9"/>
      <c r="L923" s="9"/>
      <c r="M923" s="9"/>
      <c r="N923" s="9"/>
      <c r="O923" s="9"/>
      <c r="P923" s="9"/>
      <c r="Q923" s="9"/>
      <c r="R923" s="9"/>
      <c r="S923" s="9"/>
      <c r="T923" s="223"/>
      <c r="U923" s="9"/>
      <c r="V923" s="9"/>
      <c r="W923" s="971"/>
      <c r="X923" s="9"/>
      <c r="Y923" s="9"/>
      <c r="Z923" s="204"/>
      <c r="AA923" s="9"/>
      <c r="AB923" s="9"/>
      <c r="AC923" s="9"/>
      <c r="AD923" s="9"/>
    </row>
    <row r="924" ht="15.75" customHeight="1">
      <c r="A924" s="9"/>
      <c r="B924" s="223"/>
      <c r="C924" s="9"/>
      <c r="D924" s="9"/>
      <c r="E924" s="223"/>
      <c r="F924" s="9"/>
      <c r="G924" s="9"/>
      <c r="H924" s="9"/>
      <c r="I924" s="9"/>
      <c r="J924" s="9"/>
      <c r="K924" s="9"/>
      <c r="L924" s="9"/>
      <c r="M924" s="9"/>
      <c r="N924" s="9"/>
      <c r="O924" s="9"/>
      <c r="P924" s="9"/>
      <c r="Q924" s="9"/>
      <c r="R924" s="9"/>
      <c r="S924" s="9"/>
      <c r="T924" s="223"/>
      <c r="U924" s="9"/>
      <c r="V924" s="9"/>
      <c r="W924" s="971"/>
      <c r="X924" s="9"/>
      <c r="Y924" s="9"/>
      <c r="Z924" s="204"/>
      <c r="AA924" s="9"/>
      <c r="AB924" s="9"/>
      <c r="AC924" s="9"/>
      <c r="AD924" s="9"/>
    </row>
    <row r="925" ht="15.75" customHeight="1">
      <c r="A925" s="9"/>
      <c r="B925" s="223"/>
      <c r="C925" s="9"/>
      <c r="D925" s="9"/>
      <c r="E925" s="223"/>
      <c r="F925" s="9"/>
      <c r="G925" s="9"/>
      <c r="H925" s="9"/>
      <c r="I925" s="9"/>
      <c r="J925" s="9"/>
      <c r="K925" s="9"/>
      <c r="L925" s="9"/>
      <c r="M925" s="9"/>
      <c r="N925" s="9"/>
      <c r="O925" s="9"/>
      <c r="P925" s="9"/>
      <c r="Q925" s="9"/>
      <c r="R925" s="9"/>
      <c r="S925" s="9"/>
      <c r="T925" s="223"/>
      <c r="U925" s="9"/>
      <c r="V925" s="9"/>
      <c r="W925" s="971"/>
      <c r="X925" s="9"/>
      <c r="Y925" s="9"/>
      <c r="Z925" s="204"/>
      <c r="AA925" s="9"/>
      <c r="AB925" s="9"/>
      <c r="AC925" s="9"/>
      <c r="AD925" s="9"/>
    </row>
    <row r="926" ht="15.75" customHeight="1">
      <c r="A926" s="9"/>
      <c r="B926" s="223"/>
      <c r="C926" s="9"/>
      <c r="D926" s="9"/>
      <c r="E926" s="223"/>
      <c r="F926" s="9"/>
      <c r="G926" s="9"/>
      <c r="H926" s="9"/>
      <c r="I926" s="9"/>
      <c r="J926" s="9"/>
      <c r="K926" s="9"/>
      <c r="L926" s="9"/>
      <c r="M926" s="9"/>
      <c r="N926" s="9"/>
      <c r="O926" s="9"/>
      <c r="P926" s="9"/>
      <c r="Q926" s="9"/>
      <c r="R926" s="9"/>
      <c r="S926" s="9"/>
      <c r="T926" s="223"/>
      <c r="U926" s="9"/>
      <c r="V926" s="9"/>
      <c r="W926" s="971"/>
      <c r="X926" s="9"/>
      <c r="Y926" s="9"/>
      <c r="Z926" s="204"/>
      <c r="AA926" s="9"/>
      <c r="AB926" s="9"/>
      <c r="AC926" s="9"/>
      <c r="AD926" s="9"/>
    </row>
    <row r="927" ht="15.75" customHeight="1">
      <c r="A927" s="9"/>
      <c r="B927" s="223"/>
      <c r="C927" s="9"/>
      <c r="D927" s="9"/>
      <c r="E927" s="223"/>
      <c r="F927" s="9"/>
      <c r="G927" s="9"/>
      <c r="H927" s="9"/>
      <c r="I927" s="9"/>
      <c r="J927" s="9"/>
      <c r="K927" s="9"/>
      <c r="L927" s="9"/>
      <c r="M927" s="9"/>
      <c r="N927" s="9"/>
      <c r="O927" s="9"/>
      <c r="P927" s="9"/>
      <c r="Q927" s="9"/>
      <c r="R927" s="9"/>
      <c r="S927" s="9"/>
      <c r="T927" s="223"/>
      <c r="U927" s="9"/>
      <c r="V927" s="9"/>
      <c r="W927" s="971"/>
      <c r="X927" s="9"/>
      <c r="Y927" s="9"/>
      <c r="Z927" s="204"/>
      <c r="AA927" s="9"/>
      <c r="AB927" s="9"/>
      <c r="AC927" s="9"/>
      <c r="AD927" s="9"/>
    </row>
    <row r="928" ht="15.75" customHeight="1">
      <c r="A928" s="9"/>
      <c r="B928" s="223"/>
      <c r="C928" s="9"/>
      <c r="D928" s="9"/>
      <c r="E928" s="223"/>
      <c r="F928" s="9"/>
      <c r="G928" s="9"/>
      <c r="H928" s="9"/>
      <c r="I928" s="9"/>
      <c r="J928" s="9"/>
      <c r="K928" s="9"/>
      <c r="L928" s="9"/>
      <c r="M928" s="9"/>
      <c r="N928" s="9"/>
      <c r="O928" s="9"/>
      <c r="P928" s="9"/>
      <c r="Q928" s="9"/>
      <c r="R928" s="9"/>
      <c r="S928" s="9"/>
      <c r="T928" s="223"/>
      <c r="U928" s="9"/>
      <c r="V928" s="9"/>
      <c r="W928" s="971"/>
      <c r="X928" s="9"/>
      <c r="Y928" s="9"/>
      <c r="Z928" s="204"/>
      <c r="AA928" s="9"/>
      <c r="AB928" s="9"/>
      <c r="AC928" s="9"/>
      <c r="AD928" s="9"/>
    </row>
    <row r="929" ht="15.75" customHeight="1">
      <c r="A929" s="9"/>
      <c r="B929" s="223"/>
      <c r="C929" s="9"/>
      <c r="D929" s="9"/>
      <c r="E929" s="223"/>
      <c r="F929" s="9"/>
      <c r="G929" s="9"/>
      <c r="H929" s="9"/>
      <c r="I929" s="9"/>
      <c r="J929" s="9"/>
      <c r="K929" s="9"/>
      <c r="L929" s="9"/>
      <c r="M929" s="9"/>
      <c r="N929" s="9"/>
      <c r="O929" s="9"/>
      <c r="P929" s="9"/>
      <c r="Q929" s="9"/>
      <c r="R929" s="9"/>
      <c r="S929" s="9"/>
      <c r="T929" s="223"/>
      <c r="U929" s="9"/>
      <c r="V929" s="9"/>
      <c r="W929" s="971"/>
      <c r="X929" s="9"/>
      <c r="Y929" s="9"/>
      <c r="Z929" s="204"/>
      <c r="AA929" s="9"/>
      <c r="AB929" s="9"/>
      <c r="AC929" s="9"/>
      <c r="AD929" s="9"/>
    </row>
    <row r="930" ht="15.75" customHeight="1">
      <c r="A930" s="9"/>
      <c r="B930" s="223"/>
      <c r="C930" s="9"/>
      <c r="D930" s="9"/>
      <c r="E930" s="223"/>
      <c r="F930" s="9"/>
      <c r="G930" s="9"/>
      <c r="H930" s="9"/>
      <c r="I930" s="9"/>
      <c r="J930" s="9"/>
      <c r="K930" s="9"/>
      <c r="L930" s="9"/>
      <c r="M930" s="9"/>
      <c r="N930" s="9"/>
      <c r="O930" s="9"/>
      <c r="P930" s="9"/>
      <c r="Q930" s="9"/>
      <c r="R930" s="9"/>
      <c r="S930" s="9"/>
      <c r="T930" s="223"/>
      <c r="U930" s="9"/>
      <c r="V930" s="9"/>
      <c r="W930" s="971"/>
      <c r="X930" s="9"/>
      <c r="Y930" s="9"/>
      <c r="Z930" s="204"/>
      <c r="AA930" s="9"/>
      <c r="AB930" s="9"/>
      <c r="AC930" s="9"/>
      <c r="AD930" s="9"/>
    </row>
    <row r="931" ht="15.75" customHeight="1">
      <c r="A931" s="9"/>
      <c r="B931" s="223"/>
      <c r="C931" s="9"/>
      <c r="D931" s="9"/>
      <c r="E931" s="223"/>
      <c r="F931" s="9"/>
      <c r="G931" s="9"/>
      <c r="H931" s="9"/>
      <c r="I931" s="9"/>
      <c r="J931" s="9"/>
      <c r="K931" s="9"/>
      <c r="L931" s="9"/>
      <c r="M931" s="9"/>
      <c r="N931" s="9"/>
      <c r="O931" s="9"/>
      <c r="P931" s="9"/>
      <c r="Q931" s="9"/>
      <c r="R931" s="9"/>
      <c r="S931" s="9"/>
      <c r="T931" s="223"/>
      <c r="U931" s="9"/>
      <c r="V931" s="9"/>
      <c r="W931" s="971"/>
      <c r="X931" s="9"/>
      <c r="Y931" s="9"/>
      <c r="Z931" s="204"/>
      <c r="AA931" s="9"/>
      <c r="AB931" s="9"/>
      <c r="AC931" s="9"/>
      <c r="AD931" s="9"/>
    </row>
    <row r="932" ht="15.75" customHeight="1">
      <c r="A932" s="9"/>
      <c r="B932" s="223"/>
      <c r="C932" s="9"/>
      <c r="D932" s="9"/>
      <c r="E932" s="223"/>
      <c r="F932" s="9"/>
      <c r="G932" s="9"/>
      <c r="H932" s="9"/>
      <c r="I932" s="9"/>
      <c r="J932" s="9"/>
      <c r="K932" s="9"/>
      <c r="L932" s="9"/>
      <c r="M932" s="9"/>
      <c r="N932" s="9"/>
      <c r="O932" s="9"/>
      <c r="P932" s="9"/>
      <c r="Q932" s="9"/>
      <c r="R932" s="9"/>
      <c r="S932" s="9"/>
      <c r="T932" s="223"/>
      <c r="U932" s="9"/>
      <c r="V932" s="9"/>
      <c r="W932" s="971"/>
      <c r="X932" s="9"/>
      <c r="Y932" s="9"/>
      <c r="Z932" s="204"/>
      <c r="AA932" s="9"/>
      <c r="AB932" s="9"/>
      <c r="AC932" s="9"/>
      <c r="AD932" s="9"/>
    </row>
    <row r="933" ht="15.75" customHeight="1">
      <c r="A933" s="9"/>
      <c r="B933" s="223"/>
      <c r="C933" s="9"/>
      <c r="D933" s="9"/>
      <c r="E933" s="223"/>
      <c r="F933" s="9"/>
      <c r="G933" s="9"/>
      <c r="H933" s="9"/>
      <c r="I933" s="9"/>
      <c r="J933" s="9"/>
      <c r="K933" s="9"/>
      <c r="L933" s="9"/>
      <c r="M933" s="9"/>
      <c r="N933" s="9"/>
      <c r="O933" s="9"/>
      <c r="P933" s="9"/>
      <c r="Q933" s="9"/>
      <c r="R933" s="9"/>
      <c r="S933" s="9"/>
      <c r="T933" s="223"/>
      <c r="U933" s="9"/>
      <c r="V933" s="9"/>
      <c r="W933" s="971"/>
      <c r="X933" s="9"/>
      <c r="Y933" s="9"/>
      <c r="Z933" s="204"/>
      <c r="AA933" s="9"/>
      <c r="AB933" s="9"/>
      <c r="AC933" s="9"/>
      <c r="AD933" s="9"/>
    </row>
    <row r="934" ht="15.75" customHeight="1">
      <c r="A934" s="9"/>
      <c r="B934" s="223"/>
      <c r="C934" s="9"/>
      <c r="D934" s="9"/>
      <c r="E934" s="223"/>
      <c r="F934" s="9"/>
      <c r="G934" s="9"/>
      <c r="H934" s="9"/>
      <c r="I934" s="9"/>
      <c r="J934" s="9"/>
      <c r="K934" s="9"/>
      <c r="L934" s="9"/>
      <c r="M934" s="9"/>
      <c r="N934" s="9"/>
      <c r="O934" s="9"/>
      <c r="P934" s="9"/>
      <c r="Q934" s="9"/>
      <c r="R934" s="9"/>
      <c r="S934" s="9"/>
      <c r="T934" s="223"/>
      <c r="U934" s="9"/>
      <c r="V934" s="9"/>
      <c r="W934" s="971"/>
      <c r="X934" s="9"/>
      <c r="Y934" s="9"/>
      <c r="Z934" s="204"/>
      <c r="AA934" s="9"/>
      <c r="AB934" s="9"/>
      <c r="AC934" s="9"/>
      <c r="AD934" s="9"/>
    </row>
    <row r="935" ht="15.75" customHeight="1">
      <c r="A935" s="9"/>
      <c r="B935" s="223"/>
      <c r="C935" s="9"/>
      <c r="D935" s="9"/>
      <c r="E935" s="223"/>
      <c r="F935" s="9"/>
      <c r="G935" s="9"/>
      <c r="H935" s="9"/>
      <c r="I935" s="9"/>
      <c r="J935" s="9"/>
      <c r="K935" s="9"/>
      <c r="L935" s="9"/>
      <c r="M935" s="9"/>
      <c r="N935" s="9"/>
      <c r="O935" s="9"/>
      <c r="P935" s="9"/>
      <c r="Q935" s="9"/>
      <c r="R935" s="9"/>
      <c r="S935" s="9"/>
      <c r="T935" s="223"/>
      <c r="U935" s="9"/>
      <c r="V935" s="9"/>
      <c r="W935" s="971"/>
      <c r="X935" s="9"/>
      <c r="Y935" s="9"/>
      <c r="Z935" s="204"/>
      <c r="AA935" s="9"/>
      <c r="AB935" s="9"/>
      <c r="AC935" s="9"/>
      <c r="AD935" s="9"/>
    </row>
    <row r="936" ht="15.75" customHeight="1">
      <c r="A936" s="9"/>
      <c r="B936" s="223"/>
      <c r="C936" s="9"/>
      <c r="D936" s="9"/>
      <c r="E936" s="223"/>
      <c r="F936" s="9"/>
      <c r="G936" s="9"/>
      <c r="H936" s="9"/>
      <c r="I936" s="9"/>
      <c r="J936" s="9"/>
      <c r="K936" s="9"/>
      <c r="L936" s="9"/>
      <c r="M936" s="9"/>
      <c r="N936" s="9"/>
      <c r="O936" s="9"/>
      <c r="P936" s="9"/>
      <c r="Q936" s="9"/>
      <c r="R936" s="9"/>
      <c r="S936" s="9"/>
      <c r="T936" s="223"/>
      <c r="U936" s="9"/>
      <c r="V936" s="9"/>
      <c r="W936" s="971"/>
      <c r="X936" s="9"/>
      <c r="Y936" s="9"/>
      <c r="Z936" s="204"/>
      <c r="AA936" s="9"/>
      <c r="AB936" s="9"/>
      <c r="AC936" s="9"/>
      <c r="AD936" s="9"/>
    </row>
    <row r="937" ht="15.75" customHeight="1">
      <c r="A937" s="9"/>
      <c r="B937" s="223"/>
      <c r="C937" s="9"/>
      <c r="D937" s="9"/>
      <c r="E937" s="223"/>
      <c r="F937" s="9"/>
      <c r="G937" s="9"/>
      <c r="H937" s="9"/>
      <c r="I937" s="9"/>
      <c r="J937" s="9"/>
      <c r="K937" s="9"/>
      <c r="L937" s="9"/>
      <c r="M937" s="9"/>
      <c r="N937" s="9"/>
      <c r="O937" s="9"/>
      <c r="P937" s="9"/>
      <c r="Q937" s="9"/>
      <c r="R937" s="9"/>
      <c r="S937" s="9"/>
      <c r="T937" s="223"/>
      <c r="U937" s="9"/>
      <c r="V937" s="9"/>
      <c r="W937" s="971"/>
      <c r="X937" s="9"/>
      <c r="Y937" s="9"/>
      <c r="Z937" s="204"/>
      <c r="AA937" s="9"/>
      <c r="AB937" s="9"/>
      <c r="AC937" s="9"/>
      <c r="AD937" s="9"/>
    </row>
    <row r="938" ht="15.75" customHeight="1">
      <c r="A938" s="9"/>
      <c r="B938" s="223"/>
      <c r="C938" s="9"/>
      <c r="D938" s="9"/>
      <c r="E938" s="223"/>
      <c r="F938" s="9"/>
      <c r="G938" s="9"/>
      <c r="H938" s="9"/>
      <c r="I938" s="9"/>
      <c r="J938" s="9"/>
      <c r="K938" s="9"/>
      <c r="L938" s="9"/>
      <c r="M938" s="9"/>
      <c r="N938" s="9"/>
      <c r="O938" s="9"/>
      <c r="P938" s="9"/>
      <c r="Q938" s="9"/>
      <c r="R938" s="9"/>
      <c r="S938" s="9"/>
      <c r="T938" s="223"/>
      <c r="U938" s="9"/>
      <c r="V938" s="9"/>
      <c r="W938" s="971"/>
      <c r="X938" s="9"/>
      <c r="Y938" s="9"/>
      <c r="Z938" s="204"/>
      <c r="AA938" s="9"/>
      <c r="AB938" s="9"/>
      <c r="AC938" s="9"/>
      <c r="AD938" s="9"/>
    </row>
    <row r="939" ht="15.75" customHeight="1">
      <c r="A939" s="9"/>
      <c r="B939" s="223"/>
      <c r="C939" s="9"/>
      <c r="D939" s="9"/>
      <c r="E939" s="223"/>
      <c r="F939" s="9"/>
      <c r="G939" s="9"/>
      <c r="H939" s="9"/>
      <c r="I939" s="9"/>
      <c r="J939" s="9"/>
      <c r="K939" s="9"/>
      <c r="L939" s="9"/>
      <c r="M939" s="9"/>
      <c r="N939" s="9"/>
      <c r="O939" s="9"/>
      <c r="P939" s="9"/>
      <c r="Q939" s="9"/>
      <c r="R939" s="9"/>
      <c r="S939" s="9"/>
      <c r="T939" s="223"/>
      <c r="U939" s="9"/>
      <c r="V939" s="9"/>
      <c r="W939" s="971"/>
      <c r="X939" s="9"/>
      <c r="Y939" s="9"/>
      <c r="Z939" s="204"/>
      <c r="AA939" s="9"/>
      <c r="AB939" s="9"/>
      <c r="AC939" s="9"/>
      <c r="AD939" s="9"/>
    </row>
    <row r="940" ht="15.75" customHeight="1">
      <c r="A940" s="9"/>
      <c r="B940" s="223"/>
      <c r="C940" s="9"/>
      <c r="D940" s="9"/>
      <c r="E940" s="223"/>
      <c r="F940" s="9"/>
      <c r="G940" s="9"/>
      <c r="H940" s="9"/>
      <c r="I940" s="9"/>
      <c r="J940" s="9"/>
      <c r="K940" s="9"/>
      <c r="L940" s="9"/>
      <c r="M940" s="9"/>
      <c r="N940" s="9"/>
      <c r="O940" s="9"/>
      <c r="P940" s="9"/>
      <c r="Q940" s="9"/>
      <c r="R940" s="9"/>
      <c r="S940" s="9"/>
      <c r="T940" s="223"/>
      <c r="U940" s="9"/>
      <c r="V940" s="9"/>
      <c r="W940" s="971"/>
      <c r="X940" s="9"/>
      <c r="Y940" s="9"/>
      <c r="Z940" s="204"/>
      <c r="AA940" s="9"/>
      <c r="AB940" s="9"/>
      <c r="AC940" s="9"/>
      <c r="AD940" s="9"/>
    </row>
    <row r="941" ht="15.75" customHeight="1">
      <c r="A941" s="9"/>
      <c r="B941" s="223"/>
      <c r="C941" s="9"/>
      <c r="D941" s="9"/>
      <c r="E941" s="223"/>
      <c r="F941" s="9"/>
      <c r="G941" s="9"/>
      <c r="H941" s="9"/>
      <c r="I941" s="9"/>
      <c r="J941" s="9"/>
      <c r="K941" s="9"/>
      <c r="L941" s="9"/>
      <c r="M941" s="9"/>
      <c r="N941" s="9"/>
      <c r="O941" s="9"/>
      <c r="P941" s="9"/>
      <c r="Q941" s="9"/>
      <c r="R941" s="9"/>
      <c r="S941" s="9"/>
      <c r="T941" s="223"/>
      <c r="U941" s="9"/>
      <c r="V941" s="9"/>
      <c r="W941" s="971"/>
      <c r="X941" s="9"/>
      <c r="Y941" s="9"/>
      <c r="Z941" s="204"/>
      <c r="AA941" s="9"/>
      <c r="AB941" s="9"/>
      <c r="AC941" s="9"/>
      <c r="AD941" s="9"/>
    </row>
    <row r="942" ht="15.75" customHeight="1">
      <c r="A942" s="9"/>
      <c r="B942" s="223"/>
      <c r="C942" s="9"/>
      <c r="D942" s="9"/>
      <c r="E942" s="223"/>
      <c r="F942" s="9"/>
      <c r="G942" s="9"/>
      <c r="H942" s="9"/>
      <c r="I942" s="9"/>
      <c r="J942" s="9"/>
      <c r="K942" s="9"/>
      <c r="L942" s="9"/>
      <c r="M942" s="9"/>
      <c r="N942" s="9"/>
      <c r="O942" s="9"/>
      <c r="P942" s="9"/>
      <c r="Q942" s="9"/>
      <c r="R942" s="9"/>
      <c r="S942" s="9"/>
      <c r="T942" s="223"/>
      <c r="U942" s="9"/>
      <c r="V942" s="9"/>
      <c r="W942" s="971"/>
      <c r="X942" s="9"/>
      <c r="Y942" s="9"/>
      <c r="Z942" s="204"/>
      <c r="AA942" s="9"/>
      <c r="AB942" s="9"/>
      <c r="AC942" s="9"/>
      <c r="AD942" s="9"/>
    </row>
    <row r="943" ht="15.75" customHeight="1">
      <c r="A943" s="9"/>
      <c r="B943" s="223"/>
      <c r="C943" s="9"/>
      <c r="D943" s="9"/>
      <c r="E943" s="223"/>
      <c r="F943" s="9"/>
      <c r="G943" s="9"/>
      <c r="H943" s="9"/>
      <c r="I943" s="9"/>
      <c r="J943" s="9"/>
      <c r="K943" s="9"/>
      <c r="L943" s="9"/>
      <c r="M943" s="9"/>
      <c r="N943" s="9"/>
      <c r="O943" s="9"/>
      <c r="P943" s="9"/>
      <c r="Q943" s="9"/>
      <c r="R943" s="9"/>
      <c r="S943" s="9"/>
      <c r="T943" s="223"/>
      <c r="U943" s="9"/>
      <c r="V943" s="9"/>
      <c r="W943" s="971"/>
      <c r="X943" s="9"/>
      <c r="Y943" s="9"/>
      <c r="Z943" s="204"/>
      <c r="AA943" s="9"/>
      <c r="AB943" s="9"/>
      <c r="AC943" s="9"/>
      <c r="AD943" s="9"/>
    </row>
    <row r="944" ht="15.75" customHeight="1">
      <c r="A944" s="9"/>
      <c r="B944" s="223"/>
      <c r="C944" s="9"/>
      <c r="D944" s="9"/>
      <c r="E944" s="223"/>
      <c r="F944" s="9"/>
      <c r="G944" s="9"/>
      <c r="H944" s="9"/>
      <c r="I944" s="9"/>
      <c r="J944" s="9"/>
      <c r="K944" s="9"/>
      <c r="L944" s="9"/>
      <c r="M944" s="9"/>
      <c r="N944" s="9"/>
      <c r="O944" s="9"/>
      <c r="P944" s="9"/>
      <c r="Q944" s="9"/>
      <c r="R944" s="9"/>
      <c r="S944" s="9"/>
      <c r="T944" s="223"/>
      <c r="U944" s="9"/>
      <c r="V944" s="9"/>
      <c r="W944" s="971"/>
      <c r="X944" s="9"/>
      <c r="Y944" s="9"/>
      <c r="Z944" s="204"/>
      <c r="AA944" s="9"/>
      <c r="AB944" s="9"/>
      <c r="AC944" s="9"/>
      <c r="AD944" s="9"/>
    </row>
    <row r="945" ht="15.75" customHeight="1">
      <c r="A945" s="9"/>
      <c r="B945" s="223"/>
      <c r="C945" s="9"/>
      <c r="D945" s="9"/>
      <c r="E945" s="223"/>
      <c r="F945" s="9"/>
      <c r="G945" s="9"/>
      <c r="H945" s="9"/>
      <c r="I945" s="9"/>
      <c r="J945" s="9"/>
      <c r="K945" s="9"/>
      <c r="L945" s="9"/>
      <c r="M945" s="9"/>
      <c r="N945" s="9"/>
      <c r="O945" s="9"/>
      <c r="P945" s="9"/>
      <c r="Q945" s="9"/>
      <c r="R945" s="9"/>
      <c r="S945" s="9"/>
      <c r="T945" s="223"/>
      <c r="U945" s="9"/>
      <c r="V945" s="9"/>
      <c r="W945" s="971"/>
      <c r="X945" s="9"/>
      <c r="Y945" s="9"/>
      <c r="Z945" s="204"/>
      <c r="AA945" s="9"/>
      <c r="AB945" s="9"/>
      <c r="AC945" s="9"/>
      <c r="AD945" s="9"/>
    </row>
    <row r="946" ht="15.75" customHeight="1">
      <c r="A946" s="9"/>
      <c r="B946" s="223"/>
      <c r="C946" s="9"/>
      <c r="D946" s="9"/>
      <c r="E946" s="223"/>
      <c r="F946" s="9"/>
      <c r="G946" s="9"/>
      <c r="H946" s="9"/>
      <c r="I946" s="9"/>
      <c r="J946" s="9"/>
      <c r="K946" s="9"/>
      <c r="L946" s="9"/>
      <c r="M946" s="9"/>
      <c r="N946" s="9"/>
      <c r="O946" s="9"/>
      <c r="P946" s="9"/>
      <c r="Q946" s="9"/>
      <c r="R946" s="9"/>
      <c r="S946" s="9"/>
      <c r="T946" s="223"/>
      <c r="U946" s="9"/>
      <c r="V946" s="9"/>
      <c r="W946" s="971"/>
      <c r="X946" s="9"/>
      <c r="Y946" s="9"/>
      <c r="Z946" s="204"/>
      <c r="AA946" s="9"/>
      <c r="AB946" s="9"/>
      <c r="AC946" s="9"/>
      <c r="AD946" s="9"/>
    </row>
    <row r="947" ht="15.75" customHeight="1">
      <c r="A947" s="9"/>
      <c r="B947" s="223"/>
      <c r="C947" s="9"/>
      <c r="D947" s="9"/>
      <c r="E947" s="223"/>
      <c r="F947" s="9"/>
      <c r="G947" s="9"/>
      <c r="H947" s="9"/>
      <c r="I947" s="9"/>
      <c r="J947" s="9"/>
      <c r="K947" s="9"/>
      <c r="L947" s="9"/>
      <c r="M947" s="9"/>
      <c r="N947" s="9"/>
      <c r="O947" s="9"/>
      <c r="P947" s="9"/>
      <c r="Q947" s="9"/>
      <c r="R947" s="9"/>
      <c r="S947" s="9"/>
      <c r="T947" s="223"/>
      <c r="U947" s="9"/>
      <c r="V947" s="9"/>
      <c r="W947" s="971"/>
      <c r="X947" s="9"/>
      <c r="Y947" s="9"/>
      <c r="Z947" s="204"/>
      <c r="AA947" s="9"/>
      <c r="AB947" s="9"/>
      <c r="AC947" s="9"/>
      <c r="AD947" s="9"/>
    </row>
    <row r="948" ht="15.75" customHeight="1">
      <c r="A948" s="9"/>
      <c r="B948" s="223"/>
      <c r="C948" s="9"/>
      <c r="D948" s="9"/>
      <c r="E948" s="223"/>
      <c r="F948" s="9"/>
      <c r="G948" s="9"/>
      <c r="H948" s="9"/>
      <c r="I948" s="9"/>
      <c r="J948" s="9"/>
      <c r="K948" s="9"/>
      <c r="L948" s="9"/>
      <c r="M948" s="9"/>
      <c r="N948" s="9"/>
      <c r="O948" s="9"/>
      <c r="P948" s="9"/>
      <c r="Q948" s="9"/>
      <c r="R948" s="9"/>
      <c r="S948" s="9"/>
      <c r="T948" s="223"/>
      <c r="U948" s="9"/>
      <c r="V948" s="9"/>
      <c r="W948" s="971"/>
      <c r="X948" s="9"/>
      <c r="Y948" s="9"/>
      <c r="Z948" s="204"/>
      <c r="AA948" s="9"/>
      <c r="AB948" s="9"/>
      <c r="AC948" s="9"/>
      <c r="AD948" s="9"/>
    </row>
    <row r="949" ht="15.75" customHeight="1">
      <c r="A949" s="9"/>
      <c r="B949" s="223"/>
      <c r="C949" s="9"/>
      <c r="D949" s="9"/>
      <c r="E949" s="223"/>
      <c r="F949" s="9"/>
      <c r="G949" s="9"/>
      <c r="H949" s="9"/>
      <c r="I949" s="9"/>
      <c r="J949" s="9"/>
      <c r="K949" s="9"/>
      <c r="L949" s="9"/>
      <c r="M949" s="9"/>
      <c r="N949" s="9"/>
      <c r="O949" s="9"/>
      <c r="P949" s="9"/>
      <c r="Q949" s="9"/>
      <c r="R949" s="9"/>
      <c r="S949" s="9"/>
      <c r="T949" s="223"/>
      <c r="U949" s="9"/>
      <c r="V949" s="9"/>
      <c r="W949" s="971"/>
      <c r="X949" s="9"/>
      <c r="Y949" s="9"/>
      <c r="Z949" s="204"/>
      <c r="AA949" s="9"/>
      <c r="AB949" s="9"/>
      <c r="AC949" s="9"/>
      <c r="AD949" s="9"/>
    </row>
    <row r="950" ht="15.75" customHeight="1">
      <c r="A950" s="9"/>
      <c r="B950" s="223"/>
      <c r="C950" s="9"/>
      <c r="D950" s="9"/>
      <c r="E950" s="223"/>
      <c r="F950" s="9"/>
      <c r="G950" s="9"/>
      <c r="H950" s="9"/>
      <c r="I950" s="9"/>
      <c r="J950" s="9"/>
      <c r="K950" s="9"/>
      <c r="L950" s="9"/>
      <c r="M950" s="9"/>
      <c r="N950" s="9"/>
      <c r="O950" s="9"/>
      <c r="P950" s="9"/>
      <c r="Q950" s="9"/>
      <c r="R950" s="9"/>
      <c r="S950" s="9"/>
      <c r="T950" s="223"/>
      <c r="U950" s="9"/>
      <c r="V950" s="9"/>
      <c r="W950" s="971"/>
      <c r="X950" s="9"/>
      <c r="Y950" s="9"/>
      <c r="Z950" s="204"/>
      <c r="AA950" s="9"/>
      <c r="AB950" s="9"/>
      <c r="AC950" s="9"/>
      <c r="AD950" s="9"/>
    </row>
    <row r="951" ht="15.75" customHeight="1">
      <c r="A951" s="9"/>
      <c r="B951" s="223"/>
      <c r="C951" s="9"/>
      <c r="D951" s="9"/>
      <c r="E951" s="223"/>
      <c r="F951" s="9"/>
      <c r="G951" s="9"/>
      <c r="H951" s="9"/>
      <c r="I951" s="9"/>
      <c r="J951" s="9"/>
      <c r="K951" s="9"/>
      <c r="L951" s="9"/>
      <c r="M951" s="9"/>
      <c r="N951" s="9"/>
      <c r="O951" s="9"/>
      <c r="P951" s="9"/>
      <c r="Q951" s="9"/>
      <c r="R951" s="9"/>
      <c r="S951" s="9"/>
      <c r="T951" s="223"/>
      <c r="U951" s="9"/>
      <c r="V951" s="9"/>
      <c r="W951" s="971"/>
      <c r="X951" s="9"/>
      <c r="Y951" s="9"/>
      <c r="Z951" s="204"/>
      <c r="AA951" s="9"/>
      <c r="AB951" s="9"/>
      <c r="AC951" s="9"/>
      <c r="AD951" s="9"/>
    </row>
    <row r="952" ht="15.75" customHeight="1">
      <c r="A952" s="9"/>
      <c r="B952" s="223"/>
      <c r="C952" s="9"/>
      <c r="D952" s="9"/>
      <c r="E952" s="223"/>
      <c r="F952" s="9"/>
      <c r="G952" s="9"/>
      <c r="H952" s="9"/>
      <c r="I952" s="9"/>
      <c r="J952" s="9"/>
      <c r="K952" s="9"/>
      <c r="L952" s="9"/>
      <c r="M952" s="9"/>
      <c r="N952" s="9"/>
      <c r="O952" s="9"/>
      <c r="P952" s="9"/>
      <c r="Q952" s="9"/>
      <c r="R952" s="9"/>
      <c r="S952" s="9"/>
      <c r="T952" s="223"/>
      <c r="U952" s="9"/>
      <c r="V952" s="9"/>
      <c r="W952" s="971"/>
      <c r="X952" s="9"/>
      <c r="Y952" s="9"/>
      <c r="Z952" s="204"/>
      <c r="AA952" s="9"/>
      <c r="AB952" s="9"/>
      <c r="AC952" s="9"/>
      <c r="AD952" s="9"/>
    </row>
    <row r="953" ht="15.75" customHeight="1">
      <c r="A953" s="9"/>
      <c r="B953" s="223"/>
      <c r="C953" s="9"/>
      <c r="D953" s="9"/>
      <c r="E953" s="223"/>
      <c r="F953" s="9"/>
      <c r="G953" s="9"/>
      <c r="H953" s="9"/>
      <c r="I953" s="9"/>
      <c r="J953" s="9"/>
      <c r="K953" s="9"/>
      <c r="L953" s="9"/>
      <c r="M953" s="9"/>
      <c r="N953" s="9"/>
      <c r="O953" s="9"/>
      <c r="P953" s="9"/>
      <c r="Q953" s="9"/>
      <c r="R953" s="9"/>
      <c r="S953" s="9"/>
      <c r="T953" s="223"/>
      <c r="U953" s="9"/>
      <c r="V953" s="9"/>
      <c r="W953" s="971"/>
      <c r="X953" s="9"/>
      <c r="Y953" s="9"/>
      <c r="Z953" s="204"/>
      <c r="AA953" s="9"/>
      <c r="AB953" s="9"/>
      <c r="AC953" s="9"/>
      <c r="AD953" s="9"/>
    </row>
    <row r="954" ht="15.75" customHeight="1">
      <c r="A954" s="9"/>
      <c r="B954" s="223"/>
      <c r="C954" s="9"/>
      <c r="D954" s="9"/>
      <c r="E954" s="223"/>
      <c r="F954" s="9"/>
      <c r="G954" s="9"/>
      <c r="H954" s="9"/>
      <c r="I954" s="9"/>
      <c r="J954" s="9"/>
      <c r="K954" s="9"/>
      <c r="L954" s="9"/>
      <c r="M954" s="9"/>
      <c r="N954" s="9"/>
      <c r="O954" s="9"/>
      <c r="P954" s="9"/>
      <c r="Q954" s="9"/>
      <c r="R954" s="9"/>
      <c r="S954" s="9"/>
      <c r="T954" s="223"/>
      <c r="U954" s="9"/>
      <c r="V954" s="9"/>
      <c r="W954" s="971"/>
      <c r="X954" s="9"/>
      <c r="Y954" s="9"/>
      <c r="Z954" s="204"/>
      <c r="AA954" s="9"/>
      <c r="AB954" s="9"/>
      <c r="AC954" s="9"/>
      <c r="AD954" s="9"/>
    </row>
    <row r="955" ht="15.75" customHeight="1">
      <c r="A955" s="9"/>
      <c r="B955" s="223"/>
      <c r="C955" s="9"/>
      <c r="D955" s="9"/>
      <c r="E955" s="223"/>
      <c r="F955" s="9"/>
      <c r="G955" s="9"/>
      <c r="H955" s="9"/>
      <c r="I955" s="9"/>
      <c r="J955" s="9"/>
      <c r="K955" s="9"/>
      <c r="L955" s="9"/>
      <c r="M955" s="9"/>
      <c r="N955" s="9"/>
      <c r="O955" s="9"/>
      <c r="P955" s="9"/>
      <c r="Q955" s="9"/>
      <c r="R955" s="9"/>
      <c r="S955" s="9"/>
      <c r="T955" s="223"/>
      <c r="U955" s="9"/>
      <c r="V955" s="9"/>
      <c r="W955" s="971"/>
      <c r="X955" s="9"/>
      <c r="Y955" s="9"/>
      <c r="Z955" s="204"/>
      <c r="AA955" s="9"/>
      <c r="AB955" s="9"/>
      <c r="AC955" s="9"/>
      <c r="AD955" s="9"/>
    </row>
    <row r="956" ht="15.75" customHeight="1">
      <c r="A956" s="9"/>
      <c r="B956" s="223"/>
      <c r="C956" s="9"/>
      <c r="D956" s="9"/>
      <c r="E956" s="223"/>
      <c r="F956" s="9"/>
      <c r="G956" s="9"/>
      <c r="H956" s="9"/>
      <c r="I956" s="9"/>
      <c r="J956" s="9"/>
      <c r="K956" s="9"/>
      <c r="L956" s="9"/>
      <c r="M956" s="9"/>
      <c r="N956" s="9"/>
      <c r="O956" s="9"/>
      <c r="P956" s="9"/>
      <c r="Q956" s="9"/>
      <c r="R956" s="9"/>
      <c r="S956" s="9"/>
      <c r="T956" s="223"/>
      <c r="U956" s="9"/>
      <c r="V956" s="9"/>
      <c r="W956" s="971"/>
      <c r="X956" s="9"/>
      <c r="Y956" s="9"/>
      <c r="Z956" s="204"/>
      <c r="AA956" s="9"/>
      <c r="AB956" s="9"/>
      <c r="AC956" s="9"/>
      <c r="AD956" s="9"/>
    </row>
    <row r="957" ht="15.75" customHeight="1">
      <c r="A957" s="9"/>
      <c r="B957" s="223"/>
      <c r="C957" s="9"/>
      <c r="D957" s="9"/>
      <c r="E957" s="223"/>
      <c r="F957" s="9"/>
      <c r="G957" s="9"/>
      <c r="H957" s="9"/>
      <c r="I957" s="9"/>
      <c r="J957" s="9"/>
      <c r="K957" s="9"/>
      <c r="L957" s="9"/>
      <c r="M957" s="9"/>
      <c r="N957" s="9"/>
      <c r="O957" s="9"/>
      <c r="P957" s="9"/>
      <c r="Q957" s="9"/>
      <c r="R957" s="9"/>
      <c r="S957" s="9"/>
      <c r="T957" s="223"/>
      <c r="U957" s="9"/>
      <c r="V957" s="9"/>
      <c r="W957" s="971"/>
      <c r="X957" s="9"/>
      <c r="Y957" s="9"/>
      <c r="Z957" s="204"/>
      <c r="AA957" s="9"/>
      <c r="AB957" s="9"/>
      <c r="AC957" s="9"/>
      <c r="AD957" s="9"/>
    </row>
    <row r="958" ht="15.75" customHeight="1">
      <c r="A958" s="9"/>
      <c r="B958" s="223"/>
      <c r="C958" s="9"/>
      <c r="D958" s="9"/>
      <c r="E958" s="223"/>
      <c r="F958" s="9"/>
      <c r="G958" s="9"/>
      <c r="H958" s="9"/>
      <c r="I958" s="9"/>
      <c r="J958" s="9"/>
      <c r="K958" s="9"/>
      <c r="L958" s="9"/>
      <c r="M958" s="9"/>
      <c r="N958" s="9"/>
      <c r="O958" s="9"/>
      <c r="P958" s="9"/>
      <c r="Q958" s="9"/>
      <c r="R958" s="9"/>
      <c r="S958" s="9"/>
      <c r="T958" s="223"/>
      <c r="U958" s="9"/>
      <c r="V958" s="9"/>
      <c r="W958" s="971"/>
      <c r="X958" s="9"/>
      <c r="Y958" s="9"/>
      <c r="Z958" s="204"/>
      <c r="AA958" s="9"/>
      <c r="AB958" s="9"/>
      <c r="AC958" s="9"/>
      <c r="AD958" s="9"/>
    </row>
    <row r="959" ht="15.75" customHeight="1">
      <c r="A959" s="9"/>
      <c r="B959" s="223"/>
      <c r="C959" s="9"/>
      <c r="D959" s="9"/>
      <c r="E959" s="223"/>
      <c r="F959" s="9"/>
      <c r="G959" s="9"/>
      <c r="H959" s="9"/>
      <c r="I959" s="9"/>
      <c r="J959" s="9"/>
      <c r="K959" s="9"/>
      <c r="L959" s="9"/>
      <c r="M959" s="9"/>
      <c r="N959" s="9"/>
      <c r="O959" s="9"/>
      <c r="P959" s="9"/>
      <c r="Q959" s="9"/>
      <c r="R959" s="9"/>
      <c r="S959" s="9"/>
      <c r="T959" s="223"/>
      <c r="U959" s="9"/>
      <c r="V959" s="9"/>
      <c r="W959" s="971"/>
      <c r="X959" s="9"/>
      <c r="Y959" s="9"/>
      <c r="Z959" s="204"/>
      <c r="AA959" s="9"/>
      <c r="AB959" s="9"/>
      <c r="AC959" s="9"/>
      <c r="AD959" s="9"/>
    </row>
    <row r="960" ht="15.75" customHeight="1">
      <c r="A960" s="9"/>
      <c r="B960" s="223"/>
      <c r="C960" s="9"/>
      <c r="D960" s="9"/>
      <c r="E960" s="223"/>
      <c r="F960" s="9"/>
      <c r="G960" s="9"/>
      <c r="H960" s="9"/>
      <c r="I960" s="9"/>
      <c r="J960" s="9"/>
      <c r="K960" s="9"/>
      <c r="L960" s="9"/>
      <c r="M960" s="9"/>
      <c r="N960" s="9"/>
      <c r="O960" s="9"/>
      <c r="P960" s="9"/>
      <c r="Q960" s="9"/>
      <c r="R960" s="9"/>
      <c r="S960" s="9"/>
      <c r="T960" s="223"/>
      <c r="U960" s="9"/>
      <c r="V960" s="9"/>
      <c r="W960" s="971"/>
      <c r="X960" s="9"/>
      <c r="Y960" s="9"/>
      <c r="Z960" s="204"/>
      <c r="AA960" s="9"/>
      <c r="AB960" s="9"/>
      <c r="AC960" s="9"/>
      <c r="AD960" s="9"/>
    </row>
    <row r="961" ht="15.75" customHeight="1">
      <c r="A961" s="9"/>
      <c r="B961" s="223"/>
      <c r="C961" s="9"/>
      <c r="D961" s="9"/>
      <c r="E961" s="223"/>
      <c r="F961" s="9"/>
      <c r="G961" s="9"/>
      <c r="H961" s="9"/>
      <c r="I961" s="9"/>
      <c r="J961" s="9"/>
      <c r="K961" s="9"/>
      <c r="L961" s="9"/>
      <c r="M961" s="9"/>
      <c r="N961" s="9"/>
      <c r="O961" s="9"/>
      <c r="P961" s="9"/>
      <c r="Q961" s="9"/>
      <c r="R961" s="9"/>
      <c r="S961" s="9"/>
      <c r="T961" s="223"/>
      <c r="U961" s="9"/>
      <c r="V961" s="9"/>
      <c r="W961" s="971"/>
      <c r="X961" s="9"/>
      <c r="Y961" s="9"/>
      <c r="Z961" s="204"/>
      <c r="AA961" s="9"/>
      <c r="AB961" s="9"/>
      <c r="AC961" s="9"/>
      <c r="AD961" s="9"/>
    </row>
    <row r="962" ht="15.75" customHeight="1">
      <c r="A962" s="9"/>
      <c r="B962" s="223"/>
      <c r="C962" s="9"/>
      <c r="D962" s="9"/>
      <c r="E962" s="223"/>
      <c r="F962" s="9"/>
      <c r="G962" s="9"/>
      <c r="H962" s="9"/>
      <c r="I962" s="9"/>
      <c r="J962" s="9"/>
      <c r="K962" s="9"/>
      <c r="L962" s="9"/>
      <c r="M962" s="9"/>
      <c r="N962" s="9"/>
      <c r="O962" s="9"/>
      <c r="P962" s="9"/>
      <c r="Q962" s="9"/>
      <c r="R962" s="9"/>
      <c r="S962" s="9"/>
      <c r="T962" s="223"/>
      <c r="U962" s="9"/>
      <c r="V962" s="9"/>
      <c r="W962" s="971"/>
      <c r="X962" s="9"/>
      <c r="Y962" s="9"/>
      <c r="Z962" s="204"/>
      <c r="AA962" s="9"/>
      <c r="AB962" s="9"/>
      <c r="AC962" s="9"/>
      <c r="AD962" s="9"/>
    </row>
    <row r="963" ht="15.75" customHeight="1">
      <c r="A963" s="9"/>
      <c r="B963" s="223"/>
      <c r="C963" s="9"/>
      <c r="D963" s="9"/>
      <c r="E963" s="223"/>
      <c r="F963" s="9"/>
      <c r="G963" s="9"/>
      <c r="H963" s="9"/>
      <c r="I963" s="9"/>
      <c r="J963" s="9"/>
      <c r="K963" s="9"/>
      <c r="L963" s="9"/>
      <c r="M963" s="9"/>
      <c r="N963" s="9"/>
      <c r="O963" s="9"/>
      <c r="P963" s="9"/>
      <c r="Q963" s="9"/>
      <c r="R963" s="9"/>
      <c r="S963" s="9"/>
      <c r="T963" s="223"/>
      <c r="U963" s="9"/>
      <c r="V963" s="9"/>
      <c r="W963" s="971"/>
      <c r="X963" s="9"/>
      <c r="Y963" s="9"/>
      <c r="Z963" s="204"/>
      <c r="AA963" s="9"/>
      <c r="AB963" s="9"/>
      <c r="AC963" s="9"/>
      <c r="AD963" s="9"/>
    </row>
    <row r="964" ht="15.75" customHeight="1">
      <c r="A964" s="9"/>
      <c r="B964" s="223"/>
      <c r="C964" s="9"/>
      <c r="D964" s="9"/>
      <c r="E964" s="223"/>
      <c r="F964" s="9"/>
      <c r="G964" s="9"/>
      <c r="H964" s="9"/>
      <c r="I964" s="9"/>
      <c r="J964" s="9"/>
      <c r="K964" s="9"/>
      <c r="L964" s="9"/>
      <c r="M964" s="9"/>
      <c r="N964" s="9"/>
      <c r="O964" s="9"/>
      <c r="P964" s="9"/>
      <c r="Q964" s="9"/>
      <c r="R964" s="9"/>
      <c r="S964" s="9"/>
      <c r="T964" s="223"/>
      <c r="U964" s="9"/>
      <c r="V964" s="9"/>
      <c r="W964" s="971"/>
      <c r="X964" s="9"/>
      <c r="Y964" s="9"/>
      <c r="Z964" s="204"/>
      <c r="AA964" s="9"/>
      <c r="AB964" s="9"/>
      <c r="AC964" s="9"/>
      <c r="AD964" s="9"/>
    </row>
    <row r="965" ht="15.75" customHeight="1">
      <c r="A965" s="9"/>
      <c r="B965" s="223"/>
      <c r="C965" s="9"/>
      <c r="D965" s="9"/>
      <c r="E965" s="223"/>
      <c r="F965" s="9"/>
      <c r="G965" s="9"/>
      <c r="H965" s="9"/>
      <c r="I965" s="9"/>
      <c r="J965" s="9"/>
      <c r="K965" s="9"/>
      <c r="L965" s="9"/>
      <c r="M965" s="9"/>
      <c r="N965" s="9"/>
      <c r="O965" s="9"/>
      <c r="P965" s="9"/>
      <c r="Q965" s="9"/>
      <c r="R965" s="9"/>
      <c r="S965" s="9"/>
      <c r="T965" s="223"/>
      <c r="U965" s="9"/>
      <c r="V965" s="9"/>
      <c r="W965" s="971"/>
      <c r="X965" s="9"/>
      <c r="Y965" s="9"/>
      <c r="Z965" s="204"/>
      <c r="AA965" s="9"/>
      <c r="AB965" s="9"/>
      <c r="AC965" s="9"/>
      <c r="AD965" s="9"/>
    </row>
    <row r="966" ht="15.75" customHeight="1">
      <c r="A966" s="9"/>
      <c r="B966" s="223"/>
      <c r="C966" s="9"/>
      <c r="D966" s="9"/>
      <c r="E966" s="223"/>
      <c r="F966" s="9"/>
      <c r="G966" s="9"/>
      <c r="H966" s="9"/>
      <c r="I966" s="9"/>
      <c r="J966" s="9"/>
      <c r="K966" s="9"/>
      <c r="L966" s="9"/>
      <c r="M966" s="9"/>
      <c r="N966" s="9"/>
      <c r="O966" s="9"/>
      <c r="P966" s="9"/>
      <c r="Q966" s="9"/>
      <c r="R966" s="9"/>
      <c r="S966" s="9"/>
      <c r="T966" s="223"/>
      <c r="U966" s="9"/>
      <c r="V966" s="9"/>
      <c r="W966" s="971"/>
      <c r="X966" s="9"/>
      <c r="Y966" s="9"/>
      <c r="Z966" s="204"/>
      <c r="AA966" s="9"/>
      <c r="AB966" s="9"/>
      <c r="AC966" s="9"/>
      <c r="AD966" s="9"/>
    </row>
    <row r="967" ht="15.75" customHeight="1">
      <c r="A967" s="9"/>
      <c r="B967" s="223"/>
      <c r="C967" s="9"/>
      <c r="D967" s="9"/>
      <c r="E967" s="223"/>
      <c r="F967" s="9"/>
      <c r="G967" s="9"/>
      <c r="H967" s="9"/>
      <c r="I967" s="9"/>
      <c r="J967" s="9"/>
      <c r="K967" s="9"/>
      <c r="L967" s="9"/>
      <c r="M967" s="9"/>
      <c r="N967" s="9"/>
      <c r="O967" s="9"/>
      <c r="P967" s="9"/>
      <c r="Q967" s="9"/>
      <c r="R967" s="9"/>
      <c r="S967" s="9"/>
      <c r="T967" s="223"/>
      <c r="U967" s="9"/>
      <c r="V967" s="9"/>
      <c r="W967" s="971"/>
      <c r="X967" s="9"/>
      <c r="Y967" s="9"/>
      <c r="Z967" s="204"/>
      <c r="AA967" s="9"/>
      <c r="AB967" s="9"/>
      <c r="AC967" s="9"/>
      <c r="AD967" s="9"/>
    </row>
    <row r="968" ht="15.75" customHeight="1">
      <c r="A968" s="9"/>
      <c r="B968" s="223"/>
      <c r="C968" s="9"/>
      <c r="D968" s="9"/>
      <c r="E968" s="223"/>
      <c r="F968" s="9"/>
      <c r="G968" s="9"/>
      <c r="H968" s="9"/>
      <c r="I968" s="9"/>
      <c r="J968" s="9"/>
      <c r="K968" s="9"/>
      <c r="L968" s="9"/>
      <c r="M968" s="9"/>
      <c r="N968" s="9"/>
      <c r="O968" s="9"/>
      <c r="P968" s="9"/>
      <c r="Q968" s="9"/>
      <c r="R968" s="9"/>
      <c r="S968" s="9"/>
      <c r="T968" s="223"/>
      <c r="U968" s="9"/>
      <c r="V968" s="9"/>
      <c r="W968" s="971"/>
      <c r="X968" s="9"/>
      <c r="Y968" s="9"/>
      <c r="Z968" s="204"/>
      <c r="AA968" s="9"/>
      <c r="AB968" s="9"/>
      <c r="AC968" s="9"/>
      <c r="AD968" s="9"/>
    </row>
    <row r="969" ht="15.75" customHeight="1">
      <c r="A969" s="9"/>
      <c r="B969" s="223"/>
      <c r="C969" s="9"/>
      <c r="D969" s="9"/>
      <c r="E969" s="223"/>
      <c r="F969" s="9"/>
      <c r="G969" s="9"/>
      <c r="H969" s="9"/>
      <c r="I969" s="9"/>
      <c r="J969" s="9"/>
      <c r="K969" s="9"/>
      <c r="L969" s="9"/>
      <c r="M969" s="9"/>
      <c r="N969" s="9"/>
      <c r="O969" s="9"/>
      <c r="P969" s="9"/>
      <c r="Q969" s="9"/>
      <c r="R969" s="9"/>
      <c r="S969" s="9"/>
      <c r="T969" s="223"/>
      <c r="U969" s="9"/>
      <c r="V969" s="9"/>
      <c r="W969" s="971"/>
      <c r="X969" s="9"/>
      <c r="Y969" s="9"/>
      <c r="Z969" s="204"/>
      <c r="AA969" s="9"/>
      <c r="AB969" s="9"/>
      <c r="AC969" s="9"/>
      <c r="AD969" s="9"/>
    </row>
    <row r="970" ht="15.75" customHeight="1">
      <c r="A970" s="9"/>
      <c r="B970" s="223"/>
      <c r="C970" s="9"/>
      <c r="D970" s="9"/>
      <c r="E970" s="223"/>
      <c r="F970" s="9"/>
      <c r="G970" s="9"/>
      <c r="H970" s="9"/>
      <c r="I970" s="9"/>
      <c r="J970" s="9"/>
      <c r="K970" s="9"/>
      <c r="L970" s="9"/>
      <c r="M970" s="9"/>
      <c r="N970" s="9"/>
      <c r="O970" s="9"/>
      <c r="P970" s="9"/>
      <c r="Q970" s="9"/>
      <c r="R970" s="9"/>
      <c r="S970" s="9"/>
      <c r="T970" s="223"/>
      <c r="U970" s="9"/>
      <c r="V970" s="9"/>
      <c r="W970" s="971"/>
      <c r="X970" s="9"/>
      <c r="Y970" s="9"/>
      <c r="Z970" s="204"/>
      <c r="AA970" s="9"/>
      <c r="AB970" s="9"/>
      <c r="AC970" s="9"/>
      <c r="AD970" s="9"/>
    </row>
    <row r="971" ht="15.75" customHeight="1">
      <c r="A971" s="9"/>
      <c r="B971" s="223"/>
      <c r="C971" s="9"/>
      <c r="D971" s="9"/>
      <c r="E971" s="223"/>
      <c r="F971" s="9"/>
      <c r="G971" s="9"/>
      <c r="H971" s="9"/>
      <c r="I971" s="9"/>
      <c r="J971" s="9"/>
      <c r="K971" s="9"/>
      <c r="L971" s="9"/>
      <c r="M971" s="9"/>
      <c r="N971" s="9"/>
      <c r="O971" s="9"/>
      <c r="P971" s="9"/>
      <c r="Q971" s="9"/>
      <c r="R971" s="9"/>
      <c r="S971" s="9"/>
      <c r="T971" s="223"/>
      <c r="U971" s="9"/>
      <c r="V971" s="9"/>
      <c r="W971" s="971"/>
      <c r="X971" s="9"/>
      <c r="Y971" s="9"/>
      <c r="Z971" s="204"/>
      <c r="AA971" s="9"/>
      <c r="AB971" s="9"/>
      <c r="AC971" s="9"/>
      <c r="AD971" s="9"/>
    </row>
    <row r="972" ht="15.75" customHeight="1">
      <c r="A972" s="9"/>
      <c r="B972" s="223"/>
      <c r="C972" s="9"/>
      <c r="D972" s="9"/>
      <c r="E972" s="223"/>
      <c r="F972" s="9"/>
      <c r="G972" s="9"/>
      <c r="H972" s="9"/>
      <c r="I972" s="9"/>
      <c r="J972" s="9"/>
      <c r="K972" s="9"/>
      <c r="L972" s="9"/>
      <c r="M972" s="9"/>
      <c r="N972" s="9"/>
      <c r="O972" s="9"/>
      <c r="P972" s="9"/>
      <c r="Q972" s="9"/>
      <c r="R972" s="9"/>
      <c r="S972" s="9"/>
      <c r="T972" s="223"/>
      <c r="U972" s="9"/>
      <c r="V972" s="9"/>
      <c r="W972" s="971"/>
      <c r="X972" s="9"/>
      <c r="Y972" s="9"/>
      <c r="Z972" s="204"/>
      <c r="AA972" s="9"/>
      <c r="AB972" s="9"/>
      <c r="AC972" s="9"/>
      <c r="AD972" s="9"/>
    </row>
    <row r="973" ht="15.75" customHeight="1">
      <c r="A973" s="9"/>
      <c r="B973" s="223"/>
      <c r="C973" s="9"/>
      <c r="D973" s="9"/>
      <c r="E973" s="223"/>
      <c r="F973" s="9"/>
      <c r="G973" s="9"/>
      <c r="H973" s="9"/>
      <c r="I973" s="9"/>
      <c r="J973" s="9"/>
      <c r="K973" s="9"/>
      <c r="L973" s="9"/>
      <c r="M973" s="9"/>
      <c r="N973" s="9"/>
      <c r="O973" s="9"/>
      <c r="P973" s="9"/>
      <c r="Q973" s="9"/>
      <c r="R973" s="9"/>
      <c r="S973" s="9"/>
      <c r="T973" s="223"/>
      <c r="U973" s="9"/>
      <c r="V973" s="9"/>
      <c r="W973" s="971"/>
      <c r="X973" s="9"/>
      <c r="Y973" s="9"/>
      <c r="Z973" s="204"/>
      <c r="AA973" s="9"/>
      <c r="AB973" s="9"/>
      <c r="AC973" s="9"/>
      <c r="AD973" s="9"/>
    </row>
    <row r="974" ht="15.75" customHeight="1">
      <c r="A974" s="9"/>
      <c r="B974" s="223"/>
      <c r="C974" s="9"/>
      <c r="D974" s="9"/>
      <c r="E974" s="223"/>
      <c r="F974" s="9"/>
      <c r="G974" s="9"/>
      <c r="H974" s="9"/>
      <c r="I974" s="9"/>
      <c r="J974" s="9"/>
      <c r="K974" s="9"/>
      <c r="L974" s="9"/>
      <c r="M974" s="9"/>
      <c r="N974" s="9"/>
      <c r="O974" s="9"/>
      <c r="P974" s="9"/>
      <c r="Q974" s="9"/>
      <c r="R974" s="9"/>
      <c r="S974" s="9"/>
      <c r="T974" s="223"/>
      <c r="U974" s="9"/>
      <c r="V974" s="9"/>
      <c r="W974" s="971"/>
      <c r="X974" s="9"/>
      <c r="Y974" s="9"/>
      <c r="Z974" s="204"/>
      <c r="AA974" s="9"/>
      <c r="AB974" s="9"/>
      <c r="AC974" s="9"/>
      <c r="AD974" s="9"/>
    </row>
    <row r="975" ht="15.75" customHeight="1">
      <c r="A975" s="9"/>
      <c r="B975" s="223"/>
      <c r="C975" s="9"/>
      <c r="D975" s="9"/>
      <c r="E975" s="223"/>
      <c r="F975" s="9"/>
      <c r="G975" s="9"/>
      <c r="H975" s="9"/>
      <c r="I975" s="9"/>
      <c r="J975" s="9"/>
      <c r="K975" s="9"/>
      <c r="L975" s="9"/>
      <c r="M975" s="9"/>
      <c r="N975" s="9"/>
      <c r="O975" s="9"/>
      <c r="P975" s="9"/>
      <c r="Q975" s="9"/>
      <c r="R975" s="9"/>
      <c r="S975" s="9"/>
      <c r="T975" s="223"/>
      <c r="U975" s="9"/>
      <c r="V975" s="9"/>
      <c r="W975" s="971"/>
      <c r="X975" s="9"/>
      <c r="Y975" s="9"/>
      <c r="Z975" s="204"/>
      <c r="AA975" s="9"/>
      <c r="AB975" s="9"/>
      <c r="AC975" s="9"/>
      <c r="AD975" s="9"/>
    </row>
    <row r="976" ht="15.75" customHeight="1">
      <c r="A976" s="9"/>
      <c r="B976" s="223"/>
      <c r="C976" s="9"/>
      <c r="D976" s="9"/>
      <c r="E976" s="223"/>
      <c r="F976" s="9"/>
      <c r="G976" s="9"/>
      <c r="H976" s="9"/>
      <c r="I976" s="9"/>
      <c r="J976" s="9"/>
      <c r="K976" s="9"/>
      <c r="L976" s="9"/>
      <c r="M976" s="9"/>
      <c r="N976" s="9"/>
      <c r="O976" s="9"/>
      <c r="P976" s="9"/>
      <c r="Q976" s="9"/>
      <c r="R976" s="9"/>
      <c r="S976" s="9"/>
      <c r="T976" s="223"/>
      <c r="U976" s="9"/>
      <c r="V976" s="9"/>
      <c r="W976" s="971"/>
      <c r="X976" s="9"/>
      <c r="Y976" s="9"/>
      <c r="Z976" s="204"/>
      <c r="AA976" s="9"/>
      <c r="AB976" s="9"/>
      <c r="AC976" s="9"/>
      <c r="AD976" s="9"/>
    </row>
    <row r="977" ht="15.75" customHeight="1">
      <c r="A977" s="9"/>
      <c r="B977" s="223"/>
      <c r="C977" s="9"/>
      <c r="D977" s="9"/>
      <c r="E977" s="223"/>
      <c r="F977" s="9"/>
      <c r="G977" s="9"/>
      <c r="H977" s="9"/>
      <c r="I977" s="9"/>
      <c r="J977" s="9"/>
      <c r="K977" s="9"/>
      <c r="L977" s="9"/>
      <c r="M977" s="9"/>
      <c r="N977" s="9"/>
      <c r="O977" s="9"/>
      <c r="P977" s="9"/>
      <c r="Q977" s="9"/>
      <c r="R977" s="9"/>
      <c r="S977" s="9"/>
      <c r="T977" s="223"/>
      <c r="U977" s="9"/>
      <c r="V977" s="9"/>
      <c r="W977" s="971"/>
      <c r="X977" s="9"/>
      <c r="Y977" s="9"/>
      <c r="Z977" s="204"/>
      <c r="AA977" s="9"/>
      <c r="AB977" s="9"/>
      <c r="AC977" s="9"/>
      <c r="AD977" s="9"/>
    </row>
    <row r="978" ht="15.75" customHeight="1">
      <c r="A978" s="9"/>
      <c r="B978" s="223"/>
      <c r="C978" s="9"/>
      <c r="D978" s="9"/>
      <c r="E978" s="223"/>
      <c r="F978" s="9"/>
      <c r="G978" s="9"/>
      <c r="H978" s="9"/>
      <c r="I978" s="9"/>
      <c r="J978" s="9"/>
      <c r="K978" s="9"/>
      <c r="L978" s="9"/>
      <c r="M978" s="9"/>
      <c r="N978" s="9"/>
      <c r="O978" s="9"/>
      <c r="P978" s="9"/>
      <c r="Q978" s="9"/>
      <c r="R978" s="9"/>
      <c r="S978" s="9"/>
      <c r="T978" s="223"/>
      <c r="U978" s="9"/>
      <c r="V978" s="9"/>
      <c r="W978" s="971"/>
      <c r="X978" s="9"/>
      <c r="Y978" s="9"/>
      <c r="Z978" s="204"/>
      <c r="AA978" s="9"/>
      <c r="AB978" s="9"/>
      <c r="AC978" s="9"/>
      <c r="AD978" s="9"/>
    </row>
    <row r="979" ht="15.75" customHeight="1">
      <c r="A979" s="9"/>
      <c r="B979" s="223"/>
      <c r="C979" s="9"/>
      <c r="D979" s="9"/>
      <c r="E979" s="223"/>
      <c r="F979" s="9"/>
      <c r="G979" s="9"/>
      <c r="H979" s="9"/>
      <c r="I979" s="9"/>
      <c r="J979" s="9"/>
      <c r="K979" s="9"/>
      <c r="L979" s="9"/>
      <c r="M979" s="9"/>
      <c r="N979" s="9"/>
      <c r="O979" s="9"/>
      <c r="P979" s="9"/>
      <c r="Q979" s="9"/>
      <c r="R979" s="9"/>
      <c r="S979" s="9"/>
      <c r="T979" s="223"/>
      <c r="U979" s="9"/>
      <c r="V979" s="9"/>
      <c r="W979" s="971"/>
      <c r="X979" s="9"/>
      <c r="Y979" s="9"/>
      <c r="Z979" s="204"/>
      <c r="AA979" s="9"/>
      <c r="AB979" s="9"/>
      <c r="AC979" s="9"/>
      <c r="AD979" s="9"/>
    </row>
    <row r="980" ht="15.75" customHeight="1">
      <c r="A980" s="9"/>
      <c r="B980" s="223"/>
      <c r="C980" s="9"/>
      <c r="D980" s="9"/>
      <c r="E980" s="223"/>
      <c r="F980" s="9"/>
      <c r="G980" s="9"/>
      <c r="H980" s="9"/>
      <c r="I980" s="9"/>
      <c r="J980" s="9"/>
      <c r="K980" s="9"/>
      <c r="L980" s="9"/>
      <c r="M980" s="9"/>
      <c r="N980" s="9"/>
      <c r="O980" s="9"/>
      <c r="P980" s="9"/>
      <c r="Q980" s="9"/>
      <c r="R980" s="9"/>
      <c r="S980" s="9"/>
      <c r="T980" s="223"/>
      <c r="U980" s="9"/>
      <c r="V980" s="9"/>
      <c r="W980" s="971"/>
      <c r="X980" s="9"/>
      <c r="Y980" s="9"/>
      <c r="Z980" s="204"/>
      <c r="AA980" s="9"/>
      <c r="AB980" s="9"/>
      <c r="AC980" s="9"/>
      <c r="AD980" s="9"/>
    </row>
    <row r="981" ht="15.75" customHeight="1">
      <c r="A981" s="9"/>
      <c r="B981" s="223"/>
      <c r="C981" s="9"/>
      <c r="D981" s="9"/>
      <c r="E981" s="223"/>
      <c r="F981" s="9"/>
      <c r="G981" s="9"/>
      <c r="H981" s="9"/>
      <c r="I981" s="9"/>
      <c r="J981" s="9"/>
      <c r="K981" s="9"/>
      <c r="L981" s="9"/>
      <c r="M981" s="9"/>
      <c r="N981" s="9"/>
      <c r="O981" s="9"/>
      <c r="P981" s="9"/>
      <c r="Q981" s="9"/>
      <c r="R981" s="9"/>
      <c r="S981" s="9"/>
      <c r="T981" s="223"/>
      <c r="U981" s="9"/>
      <c r="V981" s="9"/>
      <c r="W981" s="971"/>
      <c r="X981" s="9"/>
      <c r="Y981" s="9"/>
      <c r="Z981" s="204"/>
      <c r="AA981" s="9"/>
      <c r="AB981" s="9"/>
      <c r="AC981" s="9"/>
      <c r="AD981" s="9"/>
    </row>
    <row r="982" ht="15.75" customHeight="1">
      <c r="A982" s="9"/>
      <c r="B982" s="223"/>
      <c r="C982" s="9"/>
      <c r="D982" s="9"/>
      <c r="E982" s="223"/>
      <c r="F982" s="9"/>
      <c r="G982" s="9"/>
      <c r="H982" s="9"/>
      <c r="I982" s="9"/>
      <c r="J982" s="9"/>
      <c r="K982" s="9"/>
      <c r="L982" s="9"/>
      <c r="M982" s="9"/>
      <c r="N982" s="9"/>
      <c r="O982" s="9"/>
      <c r="P982" s="9"/>
      <c r="Q982" s="9"/>
      <c r="R982" s="9"/>
      <c r="S982" s="9"/>
      <c r="T982" s="223"/>
      <c r="U982" s="9"/>
      <c r="V982" s="9"/>
      <c r="W982" s="971"/>
      <c r="X982" s="9"/>
      <c r="Y982" s="9"/>
      <c r="Z982" s="204"/>
      <c r="AA982" s="9"/>
      <c r="AB982" s="9"/>
      <c r="AC982" s="9"/>
      <c r="AD982" s="9"/>
    </row>
    <row r="983" ht="15.75" customHeight="1">
      <c r="A983" s="9"/>
      <c r="B983" s="223"/>
      <c r="C983" s="9"/>
      <c r="D983" s="9"/>
      <c r="E983" s="223"/>
      <c r="F983" s="9"/>
      <c r="G983" s="9"/>
      <c r="H983" s="9"/>
      <c r="I983" s="9"/>
      <c r="J983" s="9"/>
      <c r="K983" s="9"/>
      <c r="L983" s="9"/>
      <c r="M983" s="9"/>
      <c r="N983" s="9"/>
      <c r="O983" s="9"/>
      <c r="P983" s="9"/>
      <c r="Q983" s="9"/>
      <c r="R983" s="9"/>
      <c r="S983" s="9"/>
      <c r="T983" s="223"/>
      <c r="U983" s="9"/>
      <c r="V983" s="9"/>
      <c r="W983" s="971"/>
      <c r="X983" s="9"/>
      <c r="Y983" s="9"/>
      <c r="Z983" s="204"/>
      <c r="AA983" s="9"/>
      <c r="AB983" s="9"/>
      <c r="AC983" s="9"/>
      <c r="AD983" s="9"/>
    </row>
    <row r="984" ht="15.75" customHeight="1">
      <c r="A984" s="9"/>
      <c r="B984" s="223"/>
      <c r="C984" s="9"/>
      <c r="D984" s="9"/>
      <c r="E984" s="223"/>
      <c r="F984" s="9"/>
      <c r="G984" s="9"/>
      <c r="H984" s="9"/>
      <c r="I984" s="9"/>
      <c r="J984" s="9"/>
      <c r="K984" s="9"/>
      <c r="L984" s="9"/>
      <c r="M984" s="9"/>
      <c r="N984" s="9"/>
      <c r="O984" s="9"/>
      <c r="P984" s="9"/>
      <c r="Q984" s="9"/>
      <c r="R984" s="9"/>
      <c r="S984" s="9"/>
      <c r="T984" s="223"/>
      <c r="U984" s="9"/>
      <c r="V984" s="9"/>
      <c r="W984" s="971"/>
      <c r="X984" s="9"/>
      <c r="Y984" s="9"/>
      <c r="Z984" s="204"/>
      <c r="AA984" s="9"/>
      <c r="AB984" s="9"/>
      <c r="AC984" s="9"/>
      <c r="AD984" s="9"/>
    </row>
    <row r="985" ht="15.75" customHeight="1">
      <c r="A985" s="9"/>
      <c r="B985" s="223"/>
      <c r="C985" s="9"/>
      <c r="D985" s="9"/>
      <c r="E985" s="223"/>
      <c r="F985" s="9"/>
      <c r="G985" s="9"/>
      <c r="H985" s="9"/>
      <c r="I985" s="9"/>
      <c r="J985" s="9"/>
      <c r="K985" s="9"/>
      <c r="L985" s="9"/>
      <c r="M985" s="9"/>
      <c r="N985" s="9"/>
      <c r="O985" s="9"/>
      <c r="P985" s="9"/>
      <c r="Q985" s="9"/>
      <c r="R985" s="9"/>
      <c r="S985" s="9"/>
      <c r="T985" s="223"/>
      <c r="U985" s="9"/>
      <c r="V985" s="9"/>
      <c r="W985" s="971"/>
      <c r="X985" s="9"/>
      <c r="Y985" s="9"/>
      <c r="Z985" s="204"/>
      <c r="AA985" s="9"/>
      <c r="AB985" s="9"/>
      <c r="AC985" s="9"/>
      <c r="AD985" s="9"/>
    </row>
    <row r="986" ht="15.75" customHeight="1">
      <c r="A986" s="9"/>
      <c r="B986" s="223"/>
      <c r="C986" s="9"/>
      <c r="D986" s="9"/>
      <c r="E986" s="223"/>
      <c r="F986" s="9"/>
      <c r="G986" s="9"/>
      <c r="H986" s="9"/>
      <c r="I986" s="9"/>
      <c r="J986" s="9"/>
      <c r="K986" s="9"/>
      <c r="L986" s="9"/>
      <c r="M986" s="9"/>
      <c r="N986" s="9"/>
      <c r="O986" s="9"/>
      <c r="P986" s="9"/>
      <c r="Q986" s="9"/>
      <c r="R986" s="9"/>
      <c r="S986" s="9"/>
      <c r="T986" s="223"/>
      <c r="U986" s="9"/>
      <c r="V986" s="9"/>
      <c r="W986" s="971"/>
      <c r="X986" s="9"/>
      <c r="Y986" s="9"/>
      <c r="Z986" s="204"/>
      <c r="AA986" s="9"/>
      <c r="AB986" s="9"/>
      <c r="AC986" s="9"/>
      <c r="AD986" s="9"/>
    </row>
    <row r="987" ht="15.75" customHeight="1">
      <c r="A987" s="9"/>
      <c r="B987" s="223"/>
      <c r="C987" s="9"/>
      <c r="D987" s="9"/>
      <c r="E987" s="223"/>
      <c r="F987" s="9"/>
      <c r="G987" s="9"/>
      <c r="H987" s="9"/>
      <c r="I987" s="9"/>
      <c r="J987" s="9"/>
      <c r="K987" s="9"/>
      <c r="L987" s="9"/>
      <c r="M987" s="9"/>
      <c r="N987" s="9"/>
      <c r="O987" s="9"/>
      <c r="P987" s="9"/>
      <c r="Q987" s="9"/>
      <c r="R987" s="9"/>
      <c r="S987" s="9"/>
      <c r="T987" s="223"/>
      <c r="U987" s="9"/>
      <c r="V987" s="9"/>
      <c r="W987" s="971"/>
      <c r="X987" s="9"/>
      <c r="Y987" s="9"/>
      <c r="Z987" s="204"/>
      <c r="AA987" s="9"/>
      <c r="AB987" s="9"/>
      <c r="AC987" s="9"/>
      <c r="AD987" s="9"/>
    </row>
    <row r="988" ht="15.75" customHeight="1">
      <c r="A988" s="9"/>
      <c r="B988" s="223"/>
      <c r="C988" s="9"/>
      <c r="D988" s="9"/>
      <c r="E988" s="223"/>
      <c r="F988" s="9"/>
      <c r="G988" s="9"/>
      <c r="H988" s="9"/>
      <c r="I988" s="9"/>
      <c r="J988" s="9"/>
      <c r="K988" s="9"/>
      <c r="L988" s="9"/>
      <c r="M988" s="9"/>
      <c r="N988" s="9"/>
      <c r="O988" s="9"/>
      <c r="P988" s="9"/>
      <c r="Q988" s="9"/>
      <c r="R988" s="9"/>
      <c r="S988" s="9"/>
      <c r="T988" s="223"/>
      <c r="U988" s="9"/>
      <c r="V988" s="9"/>
      <c r="W988" s="971"/>
      <c r="X988" s="9"/>
      <c r="Y988" s="9"/>
      <c r="Z988" s="204"/>
      <c r="AA988" s="9"/>
      <c r="AB988" s="9"/>
      <c r="AC988" s="9"/>
      <c r="AD988" s="9"/>
    </row>
    <row r="989" ht="15.75" customHeight="1">
      <c r="A989" s="9"/>
      <c r="B989" s="223"/>
      <c r="C989" s="9"/>
      <c r="D989" s="9"/>
      <c r="E989" s="223"/>
      <c r="F989" s="9"/>
      <c r="G989" s="9"/>
      <c r="H989" s="9"/>
      <c r="I989" s="9"/>
      <c r="J989" s="9"/>
      <c r="K989" s="9"/>
      <c r="L989" s="9"/>
      <c r="M989" s="9"/>
      <c r="N989" s="9"/>
      <c r="O989" s="9"/>
      <c r="P989" s="9"/>
      <c r="Q989" s="9"/>
      <c r="R989" s="9"/>
      <c r="S989" s="9"/>
      <c r="T989" s="223"/>
      <c r="U989" s="9"/>
      <c r="V989" s="9"/>
      <c r="W989" s="971"/>
      <c r="X989" s="9"/>
      <c r="Y989" s="9"/>
      <c r="Z989" s="204"/>
      <c r="AA989" s="9"/>
      <c r="AB989" s="9"/>
      <c r="AC989" s="9"/>
      <c r="AD989" s="9"/>
    </row>
    <row r="990" ht="15.75" customHeight="1">
      <c r="A990" s="9"/>
      <c r="B990" s="223"/>
      <c r="C990" s="9"/>
      <c r="D990" s="9"/>
      <c r="E990" s="223"/>
      <c r="F990" s="9"/>
      <c r="G990" s="9"/>
      <c r="H990" s="9"/>
      <c r="I990" s="9"/>
      <c r="J990" s="9"/>
      <c r="K990" s="9"/>
      <c r="L990" s="9"/>
      <c r="M990" s="9"/>
      <c r="N990" s="9"/>
      <c r="O990" s="9"/>
      <c r="P990" s="9"/>
      <c r="Q990" s="9"/>
      <c r="R990" s="9"/>
      <c r="S990" s="9"/>
      <c r="T990" s="223"/>
      <c r="U990" s="9"/>
      <c r="V990" s="9"/>
      <c r="W990" s="971"/>
      <c r="X990" s="9"/>
      <c r="Y990" s="9"/>
      <c r="Z990" s="204"/>
      <c r="AA990" s="9"/>
      <c r="AB990" s="9"/>
      <c r="AC990" s="9"/>
      <c r="AD990" s="9"/>
    </row>
    <row r="991" ht="15.75" customHeight="1">
      <c r="A991" s="9"/>
      <c r="B991" s="223"/>
      <c r="C991" s="9"/>
      <c r="D991" s="9"/>
      <c r="E991" s="223"/>
      <c r="F991" s="9"/>
      <c r="G991" s="9"/>
      <c r="H991" s="9"/>
      <c r="I991" s="9"/>
      <c r="J991" s="9"/>
      <c r="K991" s="9"/>
      <c r="L991" s="9"/>
      <c r="M991" s="9"/>
      <c r="N991" s="9"/>
      <c r="O991" s="9"/>
      <c r="P991" s="9"/>
      <c r="Q991" s="9"/>
      <c r="R991" s="9"/>
      <c r="S991" s="9"/>
      <c r="T991" s="223"/>
      <c r="U991" s="9"/>
      <c r="V991" s="9"/>
      <c r="W991" s="971"/>
      <c r="X991" s="9"/>
      <c r="Y991" s="9"/>
      <c r="Z991" s="204"/>
      <c r="AA991" s="9"/>
      <c r="AB991" s="9"/>
      <c r="AC991" s="9"/>
      <c r="AD991" s="9"/>
    </row>
    <row r="992" ht="15.75" customHeight="1">
      <c r="A992" s="9"/>
      <c r="B992" s="223"/>
      <c r="C992" s="9"/>
      <c r="D992" s="9"/>
      <c r="E992" s="223"/>
      <c r="F992" s="9"/>
      <c r="G992" s="9"/>
      <c r="H992" s="9"/>
      <c r="I992" s="9"/>
      <c r="J992" s="9"/>
      <c r="K992" s="9"/>
      <c r="L992" s="9"/>
      <c r="M992" s="9"/>
      <c r="N992" s="9"/>
      <c r="O992" s="9"/>
      <c r="P992" s="9"/>
      <c r="Q992" s="9"/>
      <c r="R992" s="9"/>
      <c r="S992" s="9"/>
      <c r="T992" s="223"/>
      <c r="U992" s="9"/>
      <c r="V992" s="9"/>
      <c r="W992" s="971"/>
      <c r="X992" s="9"/>
      <c r="Y992" s="9"/>
      <c r="Z992" s="204"/>
      <c r="AA992" s="9"/>
      <c r="AB992" s="9"/>
      <c r="AC992" s="9"/>
      <c r="AD992" s="9"/>
    </row>
    <row r="993" ht="15.75" customHeight="1">
      <c r="A993" s="9"/>
      <c r="B993" s="223"/>
      <c r="C993" s="9"/>
      <c r="D993" s="9"/>
      <c r="E993" s="223"/>
      <c r="F993" s="9"/>
      <c r="G993" s="9"/>
      <c r="H993" s="9"/>
      <c r="I993" s="9"/>
      <c r="J993" s="9"/>
      <c r="K993" s="9"/>
      <c r="L993" s="9"/>
      <c r="M993" s="9"/>
      <c r="N993" s="9"/>
      <c r="O993" s="9"/>
      <c r="P993" s="9"/>
      <c r="Q993" s="9"/>
      <c r="R993" s="9"/>
      <c r="S993" s="9"/>
      <c r="T993" s="223"/>
      <c r="U993" s="9"/>
      <c r="V993" s="9"/>
      <c r="W993" s="971"/>
      <c r="X993" s="9"/>
      <c r="Y993" s="9"/>
      <c r="Z993" s="204"/>
      <c r="AA993" s="9"/>
      <c r="AB993" s="9"/>
      <c r="AC993" s="9"/>
      <c r="AD993" s="9"/>
    </row>
    <row r="994" ht="15.75" customHeight="1">
      <c r="A994" s="9"/>
      <c r="B994" s="223"/>
      <c r="C994" s="9"/>
      <c r="D994" s="9"/>
      <c r="E994" s="223"/>
      <c r="F994" s="9"/>
      <c r="G994" s="9"/>
      <c r="H994" s="9"/>
      <c r="I994" s="9"/>
      <c r="J994" s="9"/>
      <c r="K994" s="9"/>
      <c r="L994" s="9"/>
      <c r="M994" s="9"/>
      <c r="N994" s="9"/>
      <c r="O994" s="9"/>
      <c r="P994" s="9"/>
      <c r="Q994" s="9"/>
      <c r="R994" s="9"/>
      <c r="S994" s="9"/>
      <c r="T994" s="223"/>
      <c r="U994" s="9"/>
      <c r="V994" s="9"/>
      <c r="W994" s="971"/>
      <c r="X994" s="9"/>
      <c r="Y994" s="9"/>
      <c r="Z994" s="204"/>
      <c r="AA994" s="9"/>
      <c r="AB994" s="9"/>
      <c r="AC994" s="9"/>
      <c r="AD994" s="9"/>
    </row>
    <row r="995" ht="15.75" customHeight="1">
      <c r="A995" s="9"/>
      <c r="B995" s="223"/>
      <c r="C995" s="9"/>
      <c r="D995" s="9"/>
      <c r="E995" s="223"/>
      <c r="F995" s="9"/>
      <c r="G995" s="9"/>
      <c r="H995" s="9"/>
      <c r="I995" s="9"/>
      <c r="J995" s="9"/>
      <c r="K995" s="9"/>
      <c r="L995" s="9"/>
      <c r="M995" s="9"/>
      <c r="N995" s="9"/>
      <c r="O995" s="9"/>
      <c r="P995" s="9"/>
      <c r="Q995" s="9"/>
      <c r="R995" s="9"/>
      <c r="S995" s="9"/>
      <c r="T995" s="223"/>
      <c r="U995" s="9"/>
      <c r="V995" s="9"/>
      <c r="W995" s="971"/>
      <c r="X995" s="9"/>
      <c r="Y995" s="9"/>
      <c r="Z995" s="204"/>
      <c r="AA995" s="9"/>
      <c r="AB995" s="9"/>
      <c r="AC995" s="9"/>
      <c r="AD995" s="9"/>
    </row>
    <row r="996" ht="15.75" customHeight="1">
      <c r="A996" s="9"/>
      <c r="B996" s="223"/>
      <c r="C996" s="9"/>
      <c r="D996" s="9"/>
      <c r="E996" s="223"/>
      <c r="F996" s="9"/>
      <c r="G996" s="9"/>
      <c r="H996" s="9"/>
      <c r="I996" s="9"/>
      <c r="J996" s="9"/>
      <c r="K996" s="9"/>
      <c r="L996" s="9"/>
      <c r="M996" s="9"/>
      <c r="N996" s="9"/>
      <c r="O996" s="9"/>
      <c r="P996" s="9"/>
      <c r="Q996" s="9"/>
      <c r="R996" s="9"/>
      <c r="S996" s="9"/>
      <c r="T996" s="223"/>
      <c r="U996" s="9"/>
      <c r="V996" s="9"/>
      <c r="W996" s="971"/>
      <c r="X996" s="9"/>
      <c r="Y996" s="9"/>
      <c r="Z996" s="204"/>
      <c r="AA996" s="9"/>
      <c r="AB996" s="9"/>
      <c r="AC996" s="9"/>
      <c r="AD996" s="9"/>
    </row>
    <row r="997" ht="15.75" customHeight="1">
      <c r="A997" s="9"/>
      <c r="B997" s="223"/>
      <c r="C997" s="9"/>
      <c r="D997" s="9"/>
      <c r="E997" s="223"/>
      <c r="F997" s="9"/>
      <c r="G997" s="9"/>
      <c r="H997" s="9"/>
      <c r="I997" s="9"/>
      <c r="J997" s="9"/>
      <c r="K997" s="9"/>
      <c r="L997" s="9"/>
      <c r="M997" s="9"/>
      <c r="N997" s="9"/>
      <c r="O997" s="9"/>
      <c r="P997" s="9"/>
      <c r="Q997" s="9"/>
      <c r="R997" s="9"/>
      <c r="S997" s="9"/>
      <c r="T997" s="223"/>
      <c r="U997" s="9"/>
      <c r="V997" s="9"/>
      <c r="W997" s="971"/>
      <c r="X997" s="9"/>
      <c r="Y997" s="9"/>
      <c r="Z997" s="204"/>
      <c r="AA997" s="9"/>
      <c r="AB997" s="9"/>
      <c r="AC997" s="9"/>
      <c r="AD997" s="9"/>
    </row>
    <row r="998" ht="15.75" customHeight="1">
      <c r="A998" s="9"/>
      <c r="B998" s="223"/>
      <c r="C998" s="9"/>
      <c r="D998" s="9"/>
      <c r="E998" s="223"/>
      <c r="F998" s="9"/>
      <c r="G998" s="9"/>
      <c r="H998" s="9"/>
      <c r="I998" s="9"/>
      <c r="J998" s="9"/>
      <c r="K998" s="9"/>
      <c r="L998" s="9"/>
      <c r="M998" s="9"/>
      <c r="N998" s="9"/>
      <c r="O998" s="9"/>
      <c r="P998" s="9"/>
      <c r="Q998" s="9"/>
      <c r="R998" s="9"/>
      <c r="S998" s="9"/>
      <c r="T998" s="223"/>
      <c r="U998" s="9"/>
      <c r="V998" s="9"/>
      <c r="W998" s="971"/>
      <c r="X998" s="9"/>
      <c r="Y998" s="9"/>
      <c r="Z998" s="204"/>
      <c r="AA998" s="9"/>
      <c r="AB998" s="9"/>
      <c r="AC998" s="9"/>
      <c r="AD998" s="9"/>
    </row>
    <row r="999" ht="15.75" customHeight="1">
      <c r="A999" s="9"/>
      <c r="B999" s="223"/>
      <c r="C999" s="9"/>
      <c r="D999" s="9"/>
      <c r="E999" s="223"/>
      <c r="F999" s="9"/>
      <c r="G999" s="9"/>
      <c r="H999" s="9"/>
      <c r="I999" s="9"/>
      <c r="J999" s="9"/>
      <c r="K999" s="9"/>
      <c r="L999" s="9"/>
      <c r="M999" s="9"/>
      <c r="N999" s="9"/>
      <c r="O999" s="9"/>
      <c r="P999" s="9"/>
      <c r="Q999" s="9"/>
      <c r="R999" s="9"/>
      <c r="S999" s="9"/>
      <c r="T999" s="223"/>
      <c r="U999" s="9"/>
      <c r="V999" s="9"/>
      <c r="W999" s="971"/>
      <c r="X999" s="9"/>
      <c r="Y999" s="9"/>
      <c r="Z999" s="204"/>
      <c r="AA999" s="9"/>
      <c r="AB999" s="9"/>
      <c r="AC999" s="9"/>
      <c r="AD999" s="9"/>
    </row>
    <row r="1000" ht="15.75" customHeight="1">
      <c r="A1000" s="9"/>
      <c r="B1000" s="223"/>
      <c r="C1000" s="9"/>
      <c r="D1000" s="9"/>
      <c r="E1000" s="223"/>
      <c r="F1000" s="9"/>
      <c r="G1000" s="9"/>
      <c r="H1000" s="9"/>
      <c r="I1000" s="9"/>
      <c r="J1000" s="9"/>
      <c r="K1000" s="9"/>
      <c r="L1000" s="9"/>
      <c r="M1000" s="9"/>
      <c r="N1000" s="9"/>
      <c r="O1000" s="9"/>
      <c r="P1000" s="9"/>
      <c r="Q1000" s="9"/>
      <c r="R1000" s="9"/>
      <c r="S1000" s="9"/>
      <c r="T1000" s="223"/>
      <c r="U1000" s="9"/>
      <c r="V1000" s="9"/>
      <c r="W1000" s="971"/>
      <c r="X1000" s="9"/>
      <c r="Y1000" s="9"/>
      <c r="Z1000" s="204"/>
      <c r="AA1000" s="9"/>
      <c r="AB1000" s="9"/>
      <c r="AC1000" s="9"/>
      <c r="AD1000" s="9"/>
    </row>
    <row r="1001" ht="15.75" customHeight="1">
      <c r="A1001" s="9"/>
      <c r="B1001" s="223"/>
      <c r="C1001" s="9"/>
      <c r="D1001" s="9"/>
      <c r="E1001" s="223"/>
      <c r="F1001" s="9"/>
      <c r="G1001" s="9"/>
      <c r="H1001" s="9"/>
      <c r="I1001" s="9"/>
      <c r="J1001" s="9"/>
      <c r="K1001" s="9"/>
      <c r="L1001" s="9"/>
      <c r="M1001" s="9"/>
      <c r="N1001" s="9"/>
      <c r="O1001" s="9"/>
      <c r="P1001" s="9"/>
      <c r="Q1001" s="9"/>
      <c r="R1001" s="9"/>
      <c r="S1001" s="9"/>
      <c r="T1001" s="223"/>
      <c r="U1001" s="9"/>
      <c r="V1001" s="9"/>
      <c r="W1001" s="971"/>
      <c r="X1001" s="9"/>
      <c r="Y1001" s="9"/>
      <c r="Z1001" s="204"/>
      <c r="AA1001" s="9"/>
      <c r="AB1001" s="9"/>
      <c r="AC1001" s="9"/>
      <c r="AD1001" s="9"/>
    </row>
    <row r="1002" ht="15.75" customHeight="1">
      <c r="A1002" s="9"/>
      <c r="B1002" s="223"/>
      <c r="C1002" s="9"/>
      <c r="D1002" s="9"/>
      <c r="E1002" s="223"/>
      <c r="F1002" s="9"/>
      <c r="G1002" s="9"/>
      <c r="H1002" s="9"/>
      <c r="I1002" s="9"/>
      <c r="J1002" s="9"/>
      <c r="K1002" s="9"/>
      <c r="L1002" s="9"/>
      <c r="M1002" s="9"/>
      <c r="N1002" s="9"/>
      <c r="O1002" s="9"/>
      <c r="P1002" s="9"/>
      <c r="Q1002" s="9"/>
      <c r="R1002" s="9"/>
      <c r="S1002" s="9"/>
      <c r="T1002" s="223"/>
      <c r="U1002" s="9"/>
      <c r="V1002" s="9"/>
      <c r="W1002" s="971"/>
      <c r="X1002" s="9"/>
      <c r="Y1002" s="9"/>
      <c r="Z1002" s="204"/>
      <c r="AA1002" s="9"/>
      <c r="AB1002" s="9"/>
      <c r="AC1002" s="9"/>
      <c r="AD1002" s="9"/>
    </row>
    <row r="1003" ht="15.75" customHeight="1">
      <c r="A1003" s="9"/>
      <c r="B1003" s="223"/>
      <c r="C1003" s="9"/>
      <c r="D1003" s="9"/>
      <c r="E1003" s="223"/>
      <c r="F1003" s="9"/>
      <c r="G1003" s="9"/>
      <c r="H1003" s="9"/>
      <c r="I1003" s="9"/>
      <c r="J1003" s="9"/>
      <c r="K1003" s="9"/>
      <c r="L1003" s="9"/>
      <c r="M1003" s="9"/>
      <c r="N1003" s="9"/>
      <c r="O1003" s="9"/>
      <c r="P1003" s="9"/>
      <c r="Q1003" s="9"/>
      <c r="R1003" s="9"/>
      <c r="S1003" s="9"/>
      <c r="T1003" s="223"/>
      <c r="U1003" s="9"/>
      <c r="V1003" s="9"/>
      <c r="W1003" s="971"/>
      <c r="X1003" s="9"/>
      <c r="Y1003" s="9"/>
      <c r="Z1003" s="204"/>
      <c r="AA1003" s="9"/>
      <c r="AB1003" s="9"/>
      <c r="AC1003" s="9"/>
      <c r="AD1003" s="9"/>
    </row>
    <row r="1004" ht="15.75" customHeight="1">
      <c r="A1004" s="9"/>
      <c r="B1004" s="223"/>
      <c r="C1004" s="9"/>
      <c r="D1004" s="9"/>
      <c r="E1004" s="223"/>
      <c r="F1004" s="9"/>
      <c r="G1004" s="9"/>
      <c r="H1004" s="9"/>
      <c r="I1004" s="9"/>
      <c r="J1004" s="9"/>
      <c r="K1004" s="9"/>
      <c r="L1004" s="9"/>
      <c r="M1004" s="9"/>
      <c r="N1004" s="9"/>
      <c r="O1004" s="9"/>
      <c r="P1004" s="9"/>
      <c r="Q1004" s="9"/>
      <c r="R1004" s="9"/>
      <c r="S1004" s="9"/>
      <c r="T1004" s="223"/>
      <c r="U1004" s="9"/>
      <c r="V1004" s="9"/>
      <c r="W1004" s="971"/>
      <c r="X1004" s="9"/>
      <c r="Y1004" s="9"/>
      <c r="Z1004" s="204"/>
      <c r="AA1004" s="9"/>
      <c r="AB1004" s="9"/>
      <c r="AC1004" s="9"/>
      <c r="AD1004" s="9"/>
    </row>
    <row r="1005" ht="15.75" customHeight="1">
      <c r="A1005" s="9"/>
      <c r="B1005" s="223"/>
      <c r="C1005" s="9"/>
      <c r="D1005" s="9"/>
      <c r="E1005" s="223"/>
      <c r="F1005" s="9"/>
      <c r="G1005" s="9"/>
      <c r="H1005" s="9"/>
      <c r="I1005" s="9"/>
      <c r="J1005" s="9"/>
      <c r="K1005" s="9"/>
      <c r="L1005" s="9"/>
      <c r="M1005" s="9"/>
      <c r="N1005" s="9"/>
      <c r="O1005" s="9"/>
      <c r="P1005" s="9"/>
      <c r="Q1005" s="9"/>
      <c r="R1005" s="9"/>
      <c r="S1005" s="9"/>
      <c r="T1005" s="223"/>
      <c r="U1005" s="9"/>
      <c r="V1005" s="9"/>
      <c r="W1005" s="971"/>
      <c r="X1005" s="9"/>
      <c r="Y1005" s="9"/>
      <c r="Z1005" s="204"/>
      <c r="AA1005" s="9"/>
      <c r="AB1005" s="9"/>
      <c r="AC1005" s="9"/>
      <c r="AD1005" s="9"/>
    </row>
    <row r="1006" ht="15.75" customHeight="1">
      <c r="A1006" s="9"/>
      <c r="B1006" s="223"/>
      <c r="C1006" s="9"/>
      <c r="D1006" s="9"/>
      <c r="E1006" s="223"/>
      <c r="F1006" s="9"/>
      <c r="G1006" s="9"/>
      <c r="H1006" s="9"/>
      <c r="I1006" s="9"/>
      <c r="J1006" s="9"/>
      <c r="K1006" s="9"/>
      <c r="L1006" s="9"/>
      <c r="M1006" s="9"/>
      <c r="N1006" s="9"/>
      <c r="O1006" s="9"/>
      <c r="P1006" s="9"/>
      <c r="Q1006" s="9"/>
      <c r="R1006" s="9"/>
      <c r="S1006" s="9"/>
      <c r="T1006" s="223"/>
      <c r="U1006" s="9"/>
      <c r="V1006" s="9"/>
      <c r="W1006" s="971"/>
      <c r="X1006" s="9"/>
      <c r="Y1006" s="9"/>
      <c r="Z1006" s="204"/>
      <c r="AA1006" s="9"/>
      <c r="AB1006" s="9"/>
      <c r="AC1006" s="9"/>
      <c r="AD1006" s="9"/>
    </row>
    <row r="1007" ht="15.75" customHeight="1">
      <c r="A1007" s="9"/>
      <c r="B1007" s="223"/>
      <c r="C1007" s="9"/>
      <c r="D1007" s="9"/>
      <c r="E1007" s="223"/>
      <c r="F1007" s="9"/>
      <c r="G1007" s="9"/>
      <c r="H1007" s="9"/>
      <c r="I1007" s="9"/>
      <c r="J1007" s="9"/>
      <c r="K1007" s="9"/>
      <c r="L1007" s="9"/>
      <c r="M1007" s="9"/>
      <c r="N1007" s="9"/>
      <c r="O1007" s="9"/>
      <c r="P1007" s="9"/>
      <c r="Q1007" s="9"/>
      <c r="R1007" s="9"/>
      <c r="S1007" s="9"/>
      <c r="T1007" s="223"/>
      <c r="U1007" s="9"/>
      <c r="V1007" s="9"/>
      <c r="W1007" s="971"/>
      <c r="X1007" s="9"/>
      <c r="Y1007" s="9"/>
      <c r="Z1007" s="204"/>
      <c r="AA1007" s="9"/>
      <c r="AB1007" s="9"/>
      <c r="AC1007" s="9"/>
      <c r="AD1007" s="9"/>
    </row>
    <row r="1008" ht="15.75" customHeight="1">
      <c r="A1008" s="9"/>
      <c r="B1008" s="223"/>
      <c r="C1008" s="9"/>
      <c r="D1008" s="9"/>
      <c r="E1008" s="223"/>
      <c r="F1008" s="9"/>
      <c r="G1008" s="9"/>
      <c r="H1008" s="9"/>
      <c r="I1008" s="9"/>
      <c r="J1008" s="9"/>
      <c r="K1008" s="9"/>
      <c r="L1008" s="9"/>
      <c r="M1008" s="9"/>
      <c r="N1008" s="9"/>
      <c r="O1008" s="9"/>
      <c r="P1008" s="9"/>
      <c r="Q1008" s="9"/>
      <c r="R1008" s="9"/>
      <c r="S1008" s="9"/>
      <c r="T1008" s="223"/>
      <c r="U1008" s="9"/>
      <c r="V1008" s="9"/>
      <c r="W1008" s="971"/>
      <c r="X1008" s="9"/>
      <c r="Y1008" s="9"/>
      <c r="Z1008" s="204"/>
      <c r="AA1008" s="9"/>
      <c r="AB1008" s="9"/>
      <c r="AC1008" s="9"/>
      <c r="AD1008" s="9"/>
    </row>
    <row r="1009" ht="15.75" customHeight="1">
      <c r="A1009" s="9"/>
      <c r="B1009" s="223"/>
      <c r="C1009" s="9"/>
      <c r="D1009" s="9"/>
      <c r="E1009" s="223"/>
      <c r="F1009" s="9"/>
      <c r="G1009" s="9"/>
      <c r="H1009" s="9"/>
      <c r="I1009" s="9"/>
      <c r="J1009" s="9"/>
      <c r="K1009" s="9"/>
      <c r="L1009" s="9"/>
      <c r="M1009" s="9"/>
      <c r="N1009" s="9"/>
      <c r="O1009" s="9"/>
      <c r="P1009" s="9"/>
      <c r="Q1009" s="9"/>
      <c r="R1009" s="9"/>
      <c r="S1009" s="9"/>
      <c r="T1009" s="223"/>
      <c r="U1009" s="9"/>
      <c r="V1009" s="9"/>
      <c r="W1009" s="971"/>
      <c r="X1009" s="9"/>
      <c r="Y1009" s="9"/>
      <c r="Z1009" s="204"/>
      <c r="AA1009" s="9"/>
      <c r="AB1009" s="9"/>
      <c r="AC1009" s="9"/>
      <c r="AD1009" s="9"/>
    </row>
    <row r="1010" ht="15.75" customHeight="1">
      <c r="A1010" s="9"/>
      <c r="B1010" s="223"/>
      <c r="C1010" s="9"/>
      <c r="D1010" s="9"/>
      <c r="E1010" s="223"/>
      <c r="F1010" s="9"/>
      <c r="G1010" s="9"/>
      <c r="H1010" s="9"/>
      <c r="I1010" s="9"/>
      <c r="J1010" s="9"/>
      <c r="K1010" s="9"/>
      <c r="L1010" s="9"/>
      <c r="M1010" s="9"/>
      <c r="N1010" s="9"/>
      <c r="O1010" s="9"/>
      <c r="P1010" s="9"/>
      <c r="Q1010" s="9"/>
      <c r="R1010" s="9"/>
      <c r="S1010" s="9"/>
      <c r="T1010" s="223"/>
      <c r="U1010" s="9"/>
      <c r="V1010" s="9"/>
      <c r="W1010" s="971"/>
      <c r="X1010" s="9"/>
      <c r="Y1010" s="9"/>
      <c r="Z1010" s="204"/>
      <c r="AA1010" s="9"/>
      <c r="AB1010" s="9"/>
      <c r="AC1010" s="9"/>
      <c r="AD1010" s="9"/>
    </row>
    <row r="1011" ht="15.75" customHeight="1">
      <c r="A1011" s="9"/>
      <c r="B1011" s="223"/>
      <c r="C1011" s="9"/>
      <c r="D1011" s="9"/>
      <c r="E1011" s="223"/>
      <c r="F1011" s="9"/>
      <c r="G1011" s="9"/>
      <c r="H1011" s="9"/>
      <c r="I1011" s="9"/>
      <c r="J1011" s="9"/>
      <c r="K1011" s="9"/>
      <c r="L1011" s="9"/>
      <c r="M1011" s="9"/>
      <c r="N1011" s="9"/>
      <c r="O1011" s="9"/>
      <c r="P1011" s="9"/>
      <c r="Q1011" s="9"/>
      <c r="R1011" s="9"/>
      <c r="S1011" s="9"/>
      <c r="T1011" s="223"/>
      <c r="U1011" s="9"/>
      <c r="V1011" s="9"/>
      <c r="W1011" s="971"/>
      <c r="X1011" s="9"/>
      <c r="Y1011" s="9"/>
      <c r="Z1011" s="204"/>
      <c r="AA1011" s="9"/>
      <c r="AB1011" s="9"/>
      <c r="AC1011" s="9"/>
      <c r="AD1011" s="9"/>
    </row>
    <row r="1012" ht="15.75" customHeight="1">
      <c r="A1012" s="9"/>
      <c r="B1012" s="223"/>
      <c r="C1012" s="9"/>
      <c r="D1012" s="9"/>
      <c r="E1012" s="223"/>
      <c r="F1012" s="9"/>
      <c r="G1012" s="9"/>
      <c r="H1012" s="9"/>
      <c r="I1012" s="9"/>
      <c r="J1012" s="9"/>
      <c r="K1012" s="9"/>
      <c r="L1012" s="9"/>
      <c r="M1012" s="9"/>
      <c r="N1012" s="9"/>
      <c r="O1012" s="9"/>
      <c r="P1012" s="9"/>
      <c r="Q1012" s="9"/>
      <c r="R1012" s="9"/>
      <c r="S1012" s="9"/>
      <c r="T1012" s="223"/>
      <c r="U1012" s="9"/>
      <c r="V1012" s="9"/>
      <c r="W1012" s="971"/>
      <c r="X1012" s="9"/>
      <c r="Y1012" s="9"/>
      <c r="Z1012" s="204"/>
      <c r="AA1012" s="9"/>
      <c r="AB1012" s="9"/>
      <c r="AC1012" s="9"/>
      <c r="AD1012" s="9"/>
    </row>
    <row r="1013" ht="15.75" customHeight="1">
      <c r="A1013" s="9"/>
      <c r="B1013" s="223"/>
      <c r="C1013" s="9"/>
      <c r="D1013" s="9"/>
      <c r="E1013" s="223"/>
      <c r="F1013" s="9"/>
      <c r="G1013" s="9"/>
      <c r="H1013" s="9"/>
      <c r="I1013" s="9"/>
      <c r="J1013" s="9"/>
      <c r="K1013" s="9"/>
      <c r="L1013" s="9"/>
      <c r="M1013" s="9"/>
      <c r="N1013" s="9"/>
      <c r="O1013" s="9"/>
      <c r="P1013" s="9"/>
      <c r="Q1013" s="9"/>
      <c r="R1013" s="9"/>
      <c r="S1013" s="9"/>
      <c r="T1013" s="223"/>
      <c r="U1013" s="9"/>
      <c r="V1013" s="9"/>
      <c r="W1013" s="971"/>
      <c r="X1013" s="9"/>
      <c r="Y1013" s="9"/>
      <c r="Z1013" s="204"/>
      <c r="AA1013" s="9"/>
      <c r="AB1013" s="9"/>
      <c r="AC1013" s="9"/>
      <c r="AD1013" s="9"/>
    </row>
    <row r="1014" ht="15.75" customHeight="1">
      <c r="A1014" s="9"/>
      <c r="B1014" s="223"/>
      <c r="C1014" s="9"/>
      <c r="D1014" s="9"/>
      <c r="E1014" s="223"/>
      <c r="F1014" s="9"/>
      <c r="G1014" s="9"/>
      <c r="H1014" s="9"/>
      <c r="I1014" s="9"/>
      <c r="J1014" s="9"/>
      <c r="K1014" s="9"/>
      <c r="L1014" s="9"/>
      <c r="M1014" s="9"/>
      <c r="N1014" s="9"/>
      <c r="O1014" s="9"/>
      <c r="P1014" s="9"/>
      <c r="Q1014" s="9"/>
      <c r="R1014" s="9"/>
      <c r="S1014" s="9"/>
      <c r="T1014" s="223"/>
      <c r="U1014" s="9"/>
      <c r="V1014" s="9"/>
      <c r="W1014" s="971"/>
      <c r="X1014" s="9"/>
      <c r="Y1014" s="9"/>
      <c r="Z1014" s="204"/>
      <c r="AA1014" s="9"/>
      <c r="AB1014" s="9"/>
      <c r="AC1014" s="9"/>
      <c r="AD1014" s="9"/>
    </row>
    <row r="1015" ht="15.75" customHeight="1">
      <c r="A1015" s="9"/>
      <c r="B1015" s="223"/>
      <c r="C1015" s="9"/>
      <c r="D1015" s="9"/>
      <c r="E1015" s="223"/>
      <c r="F1015" s="9"/>
      <c r="G1015" s="9"/>
      <c r="H1015" s="9"/>
      <c r="I1015" s="9"/>
      <c r="J1015" s="9"/>
      <c r="K1015" s="9"/>
      <c r="L1015" s="9"/>
      <c r="M1015" s="9"/>
      <c r="N1015" s="9"/>
      <c r="O1015" s="9"/>
      <c r="P1015" s="9"/>
      <c r="Q1015" s="9"/>
      <c r="R1015" s="9"/>
      <c r="S1015" s="9"/>
      <c r="T1015" s="223"/>
      <c r="U1015" s="9"/>
      <c r="V1015" s="9"/>
      <c r="W1015" s="971"/>
      <c r="X1015" s="9"/>
      <c r="Y1015" s="9"/>
      <c r="Z1015" s="204"/>
      <c r="AA1015" s="9"/>
      <c r="AB1015" s="9"/>
      <c r="AC1015" s="9"/>
      <c r="AD1015" s="9"/>
    </row>
    <row r="1016" ht="15.75" customHeight="1">
      <c r="A1016" s="9"/>
      <c r="B1016" s="223"/>
      <c r="C1016" s="9"/>
      <c r="D1016" s="9"/>
      <c r="E1016" s="223"/>
      <c r="F1016" s="9"/>
      <c r="G1016" s="9"/>
      <c r="H1016" s="9"/>
      <c r="I1016" s="9"/>
      <c r="J1016" s="9"/>
      <c r="K1016" s="9"/>
      <c r="L1016" s="9"/>
      <c r="M1016" s="9"/>
      <c r="N1016" s="9"/>
      <c r="O1016" s="9"/>
      <c r="P1016" s="9"/>
      <c r="Q1016" s="9"/>
      <c r="R1016" s="9"/>
      <c r="S1016" s="9"/>
      <c r="T1016" s="223"/>
      <c r="U1016" s="9"/>
      <c r="V1016" s="9"/>
      <c r="W1016" s="971"/>
      <c r="X1016" s="9"/>
      <c r="Y1016" s="9"/>
      <c r="Z1016" s="204"/>
      <c r="AA1016" s="9"/>
      <c r="AB1016" s="9"/>
      <c r="AC1016" s="9"/>
      <c r="AD1016" s="9"/>
    </row>
    <row r="1017" ht="15.75" customHeight="1">
      <c r="A1017" s="9"/>
      <c r="B1017" s="223"/>
      <c r="C1017" s="9"/>
      <c r="D1017" s="9"/>
      <c r="E1017" s="223"/>
      <c r="F1017" s="9"/>
      <c r="G1017" s="9"/>
      <c r="H1017" s="9"/>
      <c r="I1017" s="9"/>
      <c r="J1017" s="9"/>
      <c r="K1017" s="9"/>
      <c r="L1017" s="9"/>
      <c r="M1017" s="9"/>
      <c r="N1017" s="9"/>
      <c r="O1017" s="9"/>
      <c r="P1017" s="9"/>
      <c r="Q1017" s="9"/>
      <c r="R1017" s="9"/>
      <c r="S1017" s="9"/>
      <c r="T1017" s="223"/>
      <c r="U1017" s="9"/>
      <c r="V1017" s="9"/>
      <c r="W1017" s="971"/>
      <c r="X1017" s="9"/>
      <c r="Y1017" s="9"/>
      <c r="Z1017" s="204"/>
      <c r="AA1017" s="9"/>
      <c r="AB1017" s="9"/>
      <c r="AC1017" s="9"/>
      <c r="AD1017" s="9"/>
    </row>
    <row r="1018" ht="15.75" customHeight="1">
      <c r="A1018" s="9"/>
      <c r="B1018" s="223"/>
      <c r="C1018" s="9"/>
      <c r="D1018" s="9"/>
      <c r="E1018" s="223"/>
      <c r="F1018" s="9"/>
      <c r="G1018" s="9"/>
      <c r="H1018" s="9"/>
      <c r="I1018" s="9"/>
      <c r="J1018" s="9"/>
      <c r="K1018" s="9"/>
      <c r="L1018" s="9"/>
      <c r="M1018" s="9"/>
      <c r="N1018" s="9"/>
      <c r="O1018" s="9"/>
      <c r="P1018" s="9"/>
      <c r="Q1018" s="9"/>
      <c r="R1018" s="9"/>
      <c r="S1018" s="9"/>
      <c r="T1018" s="223"/>
      <c r="U1018" s="9"/>
      <c r="V1018" s="9"/>
      <c r="W1018" s="971"/>
      <c r="X1018" s="9"/>
      <c r="Y1018" s="9"/>
      <c r="Z1018" s="204"/>
      <c r="AA1018" s="9"/>
      <c r="AB1018" s="9"/>
      <c r="AC1018" s="9"/>
      <c r="AD1018" s="9"/>
    </row>
    <row r="1019" ht="15.75" customHeight="1">
      <c r="A1019" s="9"/>
      <c r="B1019" s="223"/>
      <c r="C1019" s="9"/>
      <c r="D1019" s="9"/>
      <c r="E1019" s="223"/>
      <c r="F1019" s="9"/>
      <c r="G1019" s="9"/>
      <c r="H1019" s="9"/>
      <c r="I1019" s="9"/>
      <c r="J1019" s="9"/>
      <c r="K1019" s="9"/>
      <c r="L1019" s="9"/>
      <c r="M1019" s="9"/>
      <c r="N1019" s="9"/>
      <c r="O1019" s="9"/>
      <c r="P1019" s="9"/>
      <c r="Q1019" s="9"/>
      <c r="R1019" s="9"/>
      <c r="S1019" s="9"/>
      <c r="T1019" s="223"/>
      <c r="U1019" s="9"/>
      <c r="V1019" s="9"/>
      <c r="W1019" s="971"/>
      <c r="X1019" s="9"/>
      <c r="Y1019" s="9"/>
      <c r="Z1019" s="204"/>
      <c r="AA1019" s="9"/>
      <c r="AB1019" s="9"/>
      <c r="AC1019" s="9"/>
      <c r="AD1019" s="9"/>
    </row>
    <row r="1020" ht="15.75" customHeight="1">
      <c r="A1020" s="9"/>
      <c r="B1020" s="223"/>
      <c r="C1020" s="9"/>
      <c r="D1020" s="9"/>
      <c r="E1020" s="223"/>
      <c r="F1020" s="9"/>
      <c r="G1020" s="9"/>
      <c r="H1020" s="9"/>
      <c r="I1020" s="9"/>
      <c r="J1020" s="9"/>
      <c r="K1020" s="9"/>
      <c r="L1020" s="9"/>
      <c r="M1020" s="9"/>
      <c r="N1020" s="9"/>
      <c r="O1020" s="9"/>
      <c r="P1020" s="9"/>
      <c r="Q1020" s="9"/>
      <c r="R1020" s="9"/>
      <c r="S1020" s="9"/>
      <c r="T1020" s="223"/>
      <c r="U1020" s="9"/>
      <c r="V1020" s="9"/>
      <c r="W1020" s="971"/>
      <c r="X1020" s="9"/>
      <c r="Y1020" s="9"/>
      <c r="Z1020" s="204"/>
      <c r="AA1020" s="9"/>
      <c r="AB1020" s="9"/>
      <c r="AC1020" s="9"/>
      <c r="AD1020" s="9"/>
    </row>
    <row r="1021" ht="15.75" customHeight="1">
      <c r="A1021" s="9"/>
      <c r="B1021" s="223"/>
      <c r="C1021" s="9"/>
      <c r="D1021" s="9"/>
      <c r="E1021" s="223"/>
      <c r="F1021" s="9"/>
      <c r="G1021" s="9"/>
      <c r="H1021" s="9"/>
      <c r="I1021" s="9"/>
      <c r="J1021" s="9"/>
      <c r="K1021" s="9"/>
      <c r="L1021" s="9"/>
      <c r="M1021" s="9"/>
      <c r="N1021" s="9"/>
      <c r="O1021" s="9"/>
      <c r="P1021" s="9"/>
      <c r="Q1021" s="9"/>
      <c r="R1021" s="9"/>
      <c r="S1021" s="9"/>
      <c r="T1021" s="223"/>
      <c r="U1021" s="9"/>
      <c r="V1021" s="9"/>
      <c r="W1021" s="971"/>
      <c r="X1021" s="9"/>
      <c r="Y1021" s="9"/>
      <c r="Z1021" s="204"/>
      <c r="AA1021" s="9"/>
      <c r="AB1021" s="9"/>
      <c r="AC1021" s="9"/>
      <c r="AD1021" s="9"/>
    </row>
    <row r="1022" ht="15.75" customHeight="1">
      <c r="A1022" s="9"/>
      <c r="B1022" s="223"/>
      <c r="C1022" s="9"/>
      <c r="D1022" s="9"/>
      <c r="E1022" s="223"/>
      <c r="F1022" s="9"/>
      <c r="G1022" s="9"/>
      <c r="H1022" s="9"/>
      <c r="I1022" s="9"/>
      <c r="J1022" s="9"/>
      <c r="K1022" s="9"/>
      <c r="L1022" s="9"/>
      <c r="M1022" s="9"/>
      <c r="N1022" s="9"/>
      <c r="O1022" s="9"/>
      <c r="P1022" s="9"/>
      <c r="Q1022" s="9"/>
      <c r="R1022" s="9"/>
      <c r="S1022" s="9"/>
      <c r="T1022" s="223"/>
      <c r="U1022" s="9"/>
      <c r="V1022" s="9"/>
      <c r="W1022" s="971"/>
      <c r="X1022" s="9"/>
      <c r="Y1022" s="9"/>
      <c r="Z1022" s="204"/>
      <c r="AA1022" s="9"/>
      <c r="AB1022" s="9"/>
      <c r="AC1022" s="9"/>
      <c r="AD1022" s="9"/>
    </row>
    <row r="1023" ht="15.75" customHeight="1">
      <c r="A1023" s="9"/>
      <c r="B1023" s="223"/>
      <c r="C1023" s="9"/>
      <c r="D1023" s="9"/>
      <c r="E1023" s="223"/>
      <c r="F1023" s="9"/>
      <c r="G1023" s="9"/>
      <c r="H1023" s="9"/>
      <c r="I1023" s="9"/>
      <c r="J1023" s="9"/>
      <c r="K1023" s="9"/>
      <c r="L1023" s="9"/>
      <c r="M1023" s="9"/>
      <c r="N1023" s="9"/>
      <c r="O1023" s="9"/>
      <c r="P1023" s="9"/>
      <c r="Q1023" s="9"/>
      <c r="R1023" s="9"/>
      <c r="S1023" s="9"/>
      <c r="T1023" s="223"/>
      <c r="U1023" s="9"/>
      <c r="V1023" s="9"/>
      <c r="W1023" s="971"/>
      <c r="X1023" s="9"/>
      <c r="Y1023" s="9"/>
      <c r="Z1023" s="204"/>
      <c r="AA1023" s="9"/>
      <c r="AB1023" s="9"/>
      <c r="AC1023" s="9"/>
      <c r="AD1023" s="9"/>
    </row>
    <row r="1024" ht="15.75" customHeight="1">
      <c r="A1024" s="9"/>
      <c r="B1024" s="223"/>
      <c r="C1024" s="9"/>
      <c r="D1024" s="9"/>
      <c r="E1024" s="223"/>
      <c r="F1024" s="9"/>
      <c r="G1024" s="9"/>
      <c r="H1024" s="9"/>
      <c r="I1024" s="9"/>
      <c r="J1024" s="9"/>
      <c r="K1024" s="9"/>
      <c r="L1024" s="9"/>
      <c r="M1024" s="9"/>
      <c r="N1024" s="9"/>
      <c r="O1024" s="9"/>
      <c r="P1024" s="9"/>
      <c r="Q1024" s="9"/>
      <c r="R1024" s="9"/>
      <c r="S1024" s="9"/>
      <c r="T1024" s="223"/>
      <c r="U1024" s="9"/>
      <c r="V1024" s="9"/>
      <c r="W1024" s="971"/>
      <c r="X1024" s="9"/>
      <c r="Y1024" s="9"/>
      <c r="Z1024" s="204"/>
      <c r="AA1024" s="9"/>
      <c r="AB1024" s="9"/>
      <c r="AC1024" s="9"/>
      <c r="AD1024" s="9"/>
    </row>
    <row r="1025" ht="15.75" customHeight="1">
      <c r="A1025" s="9"/>
      <c r="B1025" s="223"/>
      <c r="C1025" s="9"/>
      <c r="D1025" s="9"/>
      <c r="E1025" s="223"/>
      <c r="F1025" s="9"/>
      <c r="G1025" s="9"/>
      <c r="H1025" s="9"/>
      <c r="I1025" s="9"/>
      <c r="J1025" s="9"/>
      <c r="K1025" s="9"/>
      <c r="L1025" s="9"/>
      <c r="M1025" s="9"/>
      <c r="N1025" s="9"/>
      <c r="O1025" s="9"/>
      <c r="P1025" s="9"/>
      <c r="Q1025" s="9"/>
      <c r="R1025" s="9"/>
      <c r="S1025" s="9"/>
      <c r="T1025" s="223"/>
      <c r="U1025" s="9"/>
      <c r="V1025" s="9"/>
      <c r="W1025" s="971"/>
      <c r="X1025" s="9"/>
      <c r="Y1025" s="9"/>
      <c r="Z1025" s="204"/>
      <c r="AA1025" s="9"/>
      <c r="AB1025" s="9"/>
      <c r="AC1025" s="9"/>
      <c r="AD1025" s="9"/>
    </row>
    <row r="1026" ht="15.75" customHeight="1">
      <c r="A1026" s="9"/>
      <c r="B1026" s="223"/>
      <c r="C1026" s="9"/>
      <c r="D1026" s="9"/>
      <c r="E1026" s="223"/>
      <c r="F1026" s="9"/>
      <c r="G1026" s="9"/>
      <c r="H1026" s="9"/>
      <c r="I1026" s="9"/>
      <c r="J1026" s="9"/>
      <c r="K1026" s="9"/>
      <c r="L1026" s="9"/>
      <c r="M1026" s="9"/>
      <c r="N1026" s="9"/>
      <c r="O1026" s="9"/>
      <c r="P1026" s="9"/>
      <c r="Q1026" s="9"/>
      <c r="R1026" s="9"/>
      <c r="S1026" s="9"/>
      <c r="T1026" s="223"/>
      <c r="U1026" s="9"/>
      <c r="V1026" s="9"/>
      <c r="W1026" s="971"/>
      <c r="X1026" s="9"/>
      <c r="Y1026" s="9"/>
      <c r="Z1026" s="204"/>
      <c r="AA1026" s="9"/>
      <c r="AB1026" s="9"/>
      <c r="AC1026" s="9"/>
      <c r="AD1026" s="9"/>
    </row>
    <row r="1027" ht="15.75" customHeight="1">
      <c r="A1027" s="9"/>
      <c r="B1027" s="223"/>
      <c r="C1027" s="9"/>
      <c r="D1027" s="9"/>
      <c r="E1027" s="223"/>
      <c r="F1027" s="9"/>
      <c r="G1027" s="9"/>
      <c r="H1027" s="9"/>
      <c r="I1027" s="9"/>
      <c r="J1027" s="9"/>
      <c r="K1027" s="9"/>
      <c r="L1027" s="9"/>
      <c r="M1027" s="9"/>
      <c r="N1027" s="9"/>
      <c r="O1027" s="9"/>
      <c r="P1027" s="9"/>
      <c r="Q1027" s="9"/>
      <c r="R1027" s="9"/>
      <c r="S1027" s="9"/>
      <c r="T1027" s="223"/>
      <c r="U1027" s="9"/>
      <c r="V1027" s="9"/>
      <c r="W1027" s="971"/>
      <c r="X1027" s="9"/>
      <c r="Y1027" s="9"/>
      <c r="Z1027" s="204"/>
      <c r="AA1027" s="9"/>
      <c r="AB1027" s="9"/>
      <c r="AC1027" s="9"/>
      <c r="AD1027" s="9"/>
    </row>
    <row r="1028" ht="15.75" customHeight="1">
      <c r="A1028" s="9"/>
      <c r="B1028" s="223"/>
      <c r="C1028" s="9"/>
      <c r="D1028" s="9"/>
      <c r="E1028" s="223"/>
      <c r="F1028" s="9"/>
      <c r="G1028" s="9"/>
      <c r="H1028" s="9"/>
      <c r="I1028" s="9"/>
      <c r="J1028" s="9"/>
      <c r="K1028" s="9"/>
      <c r="L1028" s="9"/>
      <c r="M1028" s="9"/>
      <c r="N1028" s="9"/>
      <c r="O1028" s="9"/>
      <c r="P1028" s="9"/>
      <c r="Q1028" s="9"/>
      <c r="R1028" s="9"/>
      <c r="S1028" s="9"/>
      <c r="T1028" s="223"/>
      <c r="U1028" s="9"/>
      <c r="V1028" s="9"/>
      <c r="W1028" s="971"/>
      <c r="X1028" s="9"/>
      <c r="Y1028" s="9"/>
      <c r="Z1028" s="204"/>
      <c r="AA1028" s="9"/>
      <c r="AB1028" s="9"/>
      <c r="AC1028" s="9"/>
      <c r="AD1028" s="9"/>
    </row>
    <row r="1029" ht="15.75" customHeight="1">
      <c r="A1029" s="9"/>
      <c r="B1029" s="223"/>
      <c r="C1029" s="9"/>
      <c r="D1029" s="9"/>
      <c r="E1029" s="223"/>
      <c r="F1029" s="9"/>
      <c r="G1029" s="9"/>
      <c r="H1029" s="9"/>
      <c r="I1029" s="9"/>
      <c r="J1029" s="9"/>
      <c r="K1029" s="9"/>
      <c r="L1029" s="9"/>
      <c r="M1029" s="9"/>
      <c r="N1029" s="9"/>
      <c r="O1029" s="9"/>
      <c r="P1029" s="9"/>
      <c r="Q1029" s="9"/>
      <c r="R1029" s="9"/>
      <c r="S1029" s="9"/>
      <c r="T1029" s="223"/>
      <c r="U1029" s="9"/>
      <c r="V1029" s="9"/>
      <c r="W1029" s="971"/>
      <c r="X1029" s="9"/>
      <c r="Y1029" s="9"/>
      <c r="Z1029" s="204"/>
      <c r="AA1029" s="9"/>
      <c r="AB1029" s="9"/>
      <c r="AC1029" s="9"/>
      <c r="AD1029" s="9"/>
    </row>
    <row r="1030" ht="15.75" customHeight="1">
      <c r="A1030" s="9"/>
      <c r="B1030" s="223"/>
      <c r="C1030" s="9"/>
      <c r="D1030" s="9"/>
      <c r="E1030" s="223"/>
      <c r="F1030" s="9"/>
      <c r="G1030" s="9"/>
      <c r="H1030" s="9"/>
      <c r="I1030" s="9"/>
      <c r="J1030" s="9"/>
      <c r="K1030" s="9"/>
      <c r="L1030" s="9"/>
      <c r="M1030" s="9"/>
      <c r="N1030" s="9"/>
      <c r="O1030" s="9"/>
      <c r="P1030" s="9"/>
      <c r="Q1030" s="9"/>
      <c r="R1030" s="9"/>
      <c r="S1030" s="9"/>
      <c r="T1030" s="223"/>
      <c r="U1030" s="9"/>
      <c r="V1030" s="9"/>
      <c r="W1030" s="971"/>
      <c r="X1030" s="9"/>
      <c r="Y1030" s="9"/>
      <c r="Z1030" s="204"/>
      <c r="AA1030" s="9"/>
      <c r="AB1030" s="9"/>
      <c r="AC1030" s="9"/>
      <c r="AD1030" s="9"/>
    </row>
    <row r="1031" ht="15.75" customHeight="1">
      <c r="A1031" s="9"/>
      <c r="B1031" s="223"/>
      <c r="C1031" s="9"/>
      <c r="D1031" s="9"/>
      <c r="E1031" s="223"/>
      <c r="F1031" s="9"/>
      <c r="G1031" s="9"/>
      <c r="H1031" s="9"/>
      <c r="I1031" s="9"/>
      <c r="J1031" s="9"/>
      <c r="K1031" s="9"/>
      <c r="L1031" s="9"/>
      <c r="M1031" s="9"/>
      <c r="N1031" s="9"/>
      <c r="O1031" s="9"/>
      <c r="P1031" s="9"/>
      <c r="Q1031" s="9"/>
      <c r="R1031" s="9"/>
      <c r="S1031" s="9"/>
      <c r="T1031" s="223"/>
      <c r="U1031" s="9"/>
      <c r="V1031" s="9"/>
      <c r="W1031" s="971"/>
      <c r="X1031" s="9"/>
      <c r="Y1031" s="9"/>
      <c r="Z1031" s="204"/>
      <c r="AA1031" s="9"/>
      <c r="AB1031" s="9"/>
      <c r="AC1031" s="9"/>
      <c r="AD1031" s="9"/>
    </row>
    <row r="1032" ht="15.75" customHeight="1">
      <c r="A1032" s="9"/>
      <c r="B1032" s="223"/>
      <c r="C1032" s="9"/>
      <c r="D1032" s="9"/>
      <c r="E1032" s="223"/>
      <c r="F1032" s="9"/>
      <c r="G1032" s="9"/>
      <c r="H1032" s="9"/>
      <c r="I1032" s="9"/>
      <c r="J1032" s="9"/>
      <c r="K1032" s="9"/>
      <c r="L1032" s="9"/>
      <c r="M1032" s="9"/>
      <c r="N1032" s="9"/>
      <c r="O1032" s="9"/>
      <c r="P1032" s="9"/>
      <c r="Q1032" s="9"/>
      <c r="R1032" s="9"/>
      <c r="S1032" s="9"/>
      <c r="T1032" s="223"/>
      <c r="U1032" s="9"/>
      <c r="V1032" s="9"/>
      <c r="W1032" s="971"/>
      <c r="X1032" s="9"/>
      <c r="Y1032" s="9"/>
      <c r="Z1032" s="204"/>
      <c r="AA1032" s="9"/>
      <c r="AB1032" s="9"/>
      <c r="AC1032" s="9"/>
      <c r="AD1032" s="9"/>
    </row>
    <row r="1033" ht="15.75" customHeight="1">
      <c r="A1033" s="9"/>
      <c r="B1033" s="223"/>
      <c r="C1033" s="9"/>
      <c r="D1033" s="9"/>
      <c r="E1033" s="223"/>
      <c r="F1033" s="9"/>
      <c r="G1033" s="9"/>
      <c r="H1033" s="9"/>
      <c r="I1033" s="9"/>
      <c r="J1033" s="9"/>
      <c r="K1033" s="9"/>
      <c r="L1033" s="9"/>
      <c r="M1033" s="9"/>
      <c r="N1033" s="9"/>
      <c r="O1033" s="9"/>
      <c r="P1033" s="9"/>
      <c r="Q1033" s="9"/>
      <c r="R1033" s="9"/>
      <c r="S1033" s="9"/>
      <c r="T1033" s="223"/>
      <c r="U1033" s="9"/>
      <c r="V1033" s="9"/>
      <c r="W1033" s="971"/>
      <c r="X1033" s="9"/>
      <c r="Y1033" s="9"/>
      <c r="Z1033" s="204"/>
      <c r="AA1033" s="9"/>
      <c r="AB1033" s="9"/>
      <c r="AC1033" s="9"/>
      <c r="AD1033" s="9"/>
    </row>
    <row r="1034" ht="15.75" customHeight="1">
      <c r="A1034" s="9"/>
      <c r="B1034" s="223"/>
      <c r="C1034" s="9"/>
      <c r="D1034" s="9"/>
      <c r="E1034" s="223"/>
      <c r="F1034" s="9"/>
      <c r="G1034" s="9"/>
      <c r="H1034" s="9"/>
      <c r="I1034" s="9"/>
      <c r="J1034" s="9"/>
      <c r="K1034" s="9"/>
      <c r="L1034" s="9"/>
      <c r="M1034" s="9"/>
      <c r="N1034" s="9"/>
      <c r="O1034" s="9"/>
      <c r="P1034" s="9"/>
      <c r="Q1034" s="9"/>
      <c r="R1034" s="9"/>
      <c r="S1034" s="9"/>
      <c r="T1034" s="223"/>
      <c r="U1034" s="9"/>
      <c r="V1034" s="9"/>
      <c r="W1034" s="971"/>
      <c r="X1034" s="9"/>
      <c r="Y1034" s="9"/>
      <c r="Z1034" s="204"/>
      <c r="AA1034" s="9"/>
      <c r="AB1034" s="9"/>
      <c r="AC1034" s="9"/>
      <c r="AD1034" s="9"/>
    </row>
    <row r="1035" ht="15.75" customHeight="1">
      <c r="A1035" s="9"/>
      <c r="B1035" s="223"/>
      <c r="C1035" s="9"/>
      <c r="D1035" s="9"/>
      <c r="E1035" s="223"/>
      <c r="F1035" s="9"/>
      <c r="G1035" s="9"/>
      <c r="H1035" s="9"/>
      <c r="I1035" s="9"/>
      <c r="J1035" s="9"/>
      <c r="K1035" s="9"/>
      <c r="L1035" s="9"/>
      <c r="M1035" s="9"/>
      <c r="N1035" s="9"/>
      <c r="O1035" s="9"/>
      <c r="P1035" s="9"/>
      <c r="Q1035" s="9"/>
      <c r="R1035" s="9"/>
      <c r="S1035" s="9"/>
      <c r="T1035" s="223"/>
      <c r="U1035" s="9"/>
      <c r="V1035" s="9"/>
      <c r="W1035" s="971"/>
      <c r="X1035" s="9"/>
      <c r="Y1035" s="9"/>
      <c r="Z1035" s="204"/>
      <c r="AA1035" s="9"/>
      <c r="AB1035" s="9"/>
      <c r="AC1035" s="9"/>
      <c r="AD1035" s="9"/>
    </row>
    <row r="1036" ht="15.75" customHeight="1">
      <c r="A1036" s="9"/>
      <c r="B1036" s="223"/>
      <c r="C1036" s="9"/>
      <c r="D1036" s="9"/>
      <c r="E1036" s="223"/>
      <c r="F1036" s="9"/>
      <c r="G1036" s="9"/>
      <c r="H1036" s="9"/>
      <c r="I1036" s="9"/>
      <c r="J1036" s="9"/>
      <c r="K1036" s="9"/>
      <c r="L1036" s="9"/>
      <c r="M1036" s="9"/>
      <c r="N1036" s="9"/>
      <c r="O1036" s="9"/>
      <c r="P1036" s="9"/>
      <c r="Q1036" s="9"/>
      <c r="R1036" s="9"/>
      <c r="S1036" s="9"/>
      <c r="T1036" s="223"/>
      <c r="U1036" s="9"/>
      <c r="V1036" s="9"/>
      <c r="W1036" s="971"/>
      <c r="X1036" s="9"/>
      <c r="Y1036" s="9"/>
      <c r="Z1036" s="204"/>
      <c r="AA1036" s="9"/>
      <c r="AB1036" s="9"/>
      <c r="AC1036" s="9"/>
      <c r="AD1036" s="9"/>
    </row>
    <row r="1037" ht="15.75" customHeight="1">
      <c r="A1037" s="9"/>
      <c r="B1037" s="223"/>
      <c r="C1037" s="9"/>
      <c r="D1037" s="9"/>
      <c r="E1037" s="223"/>
      <c r="F1037" s="9"/>
      <c r="G1037" s="9"/>
      <c r="H1037" s="9"/>
      <c r="I1037" s="9"/>
      <c r="J1037" s="9"/>
      <c r="K1037" s="9"/>
      <c r="L1037" s="9"/>
      <c r="M1037" s="9"/>
      <c r="N1037" s="9"/>
      <c r="O1037" s="9"/>
      <c r="P1037" s="9"/>
      <c r="Q1037" s="9"/>
      <c r="R1037" s="9"/>
      <c r="S1037" s="9"/>
      <c r="T1037" s="223"/>
      <c r="U1037" s="9"/>
      <c r="V1037" s="9"/>
      <c r="W1037" s="971"/>
      <c r="X1037" s="9"/>
      <c r="Y1037" s="9"/>
      <c r="Z1037" s="204"/>
      <c r="AA1037" s="9"/>
      <c r="AB1037" s="9"/>
      <c r="AC1037" s="9"/>
      <c r="AD1037" s="9"/>
    </row>
    <row r="1038" ht="15.75" customHeight="1">
      <c r="A1038" s="9"/>
      <c r="B1038" s="223"/>
      <c r="C1038" s="9"/>
      <c r="D1038" s="9"/>
      <c r="E1038" s="223"/>
      <c r="F1038" s="9"/>
      <c r="G1038" s="9"/>
      <c r="H1038" s="9"/>
      <c r="I1038" s="9"/>
      <c r="J1038" s="9"/>
      <c r="K1038" s="9"/>
      <c r="L1038" s="9"/>
      <c r="M1038" s="9"/>
      <c r="N1038" s="9"/>
      <c r="O1038" s="9"/>
      <c r="P1038" s="9"/>
      <c r="Q1038" s="9"/>
      <c r="R1038" s="9"/>
      <c r="S1038" s="9"/>
      <c r="T1038" s="223"/>
      <c r="U1038" s="9"/>
      <c r="V1038" s="9"/>
      <c r="W1038" s="971"/>
      <c r="X1038" s="9"/>
      <c r="Y1038" s="9"/>
      <c r="Z1038" s="204"/>
      <c r="AA1038" s="9"/>
      <c r="AB1038" s="9"/>
      <c r="AC1038" s="9"/>
      <c r="AD1038" s="9"/>
    </row>
    <row r="1039" ht="15.75" customHeight="1">
      <c r="A1039" s="9"/>
      <c r="B1039" s="223"/>
      <c r="C1039" s="9"/>
      <c r="D1039" s="9"/>
      <c r="E1039" s="223"/>
      <c r="F1039" s="9"/>
      <c r="G1039" s="9"/>
      <c r="H1039" s="9"/>
      <c r="I1039" s="9"/>
      <c r="J1039" s="9"/>
      <c r="K1039" s="9"/>
      <c r="L1039" s="9"/>
      <c r="M1039" s="9"/>
      <c r="N1039" s="9"/>
      <c r="O1039" s="9"/>
      <c r="P1039" s="9"/>
      <c r="Q1039" s="9"/>
      <c r="R1039" s="9"/>
      <c r="S1039" s="9"/>
      <c r="T1039" s="223"/>
      <c r="U1039" s="9"/>
      <c r="V1039" s="9"/>
      <c r="W1039" s="971"/>
      <c r="X1039" s="9"/>
      <c r="Y1039" s="9"/>
      <c r="Z1039" s="204"/>
      <c r="AA1039" s="9"/>
      <c r="AB1039" s="9"/>
      <c r="AC1039" s="9"/>
      <c r="AD1039" s="9"/>
    </row>
    <row r="1040" ht="15.75" customHeight="1">
      <c r="A1040" s="9"/>
      <c r="B1040" s="223"/>
      <c r="C1040" s="9"/>
      <c r="D1040" s="9"/>
      <c r="E1040" s="223"/>
      <c r="F1040" s="9"/>
      <c r="G1040" s="9"/>
      <c r="H1040" s="9"/>
      <c r="I1040" s="9"/>
      <c r="J1040" s="9"/>
      <c r="K1040" s="9"/>
      <c r="L1040" s="9"/>
      <c r="M1040" s="9"/>
      <c r="N1040" s="9"/>
      <c r="O1040" s="9"/>
      <c r="P1040" s="9"/>
      <c r="Q1040" s="9"/>
      <c r="R1040" s="9"/>
      <c r="S1040" s="9"/>
      <c r="T1040" s="223"/>
      <c r="U1040" s="9"/>
      <c r="V1040" s="9"/>
      <c r="W1040" s="971"/>
      <c r="X1040" s="9"/>
      <c r="Y1040" s="9"/>
      <c r="Z1040" s="204"/>
      <c r="AA1040" s="9"/>
      <c r="AB1040" s="9"/>
      <c r="AC1040" s="9"/>
      <c r="AD1040" s="9"/>
    </row>
    <row r="1041" ht="15.75" customHeight="1">
      <c r="A1041" s="9"/>
      <c r="B1041" s="223"/>
      <c r="C1041" s="9"/>
      <c r="D1041" s="9"/>
      <c r="E1041" s="223"/>
      <c r="F1041" s="9"/>
      <c r="G1041" s="9"/>
      <c r="H1041" s="9"/>
      <c r="I1041" s="9"/>
      <c r="J1041" s="9"/>
      <c r="K1041" s="9"/>
      <c r="L1041" s="9"/>
      <c r="M1041" s="9"/>
      <c r="N1041" s="9"/>
      <c r="O1041" s="9"/>
      <c r="P1041" s="9"/>
      <c r="Q1041" s="9"/>
      <c r="R1041" s="9"/>
      <c r="S1041" s="9"/>
      <c r="T1041" s="223"/>
      <c r="U1041" s="9"/>
      <c r="V1041" s="9"/>
      <c r="W1041" s="971"/>
      <c r="X1041" s="9"/>
      <c r="Y1041" s="9"/>
      <c r="Z1041" s="204"/>
      <c r="AA1041" s="9"/>
      <c r="AB1041" s="9"/>
      <c r="AC1041" s="9"/>
      <c r="AD1041" s="9"/>
    </row>
    <row r="1042" ht="15.75" customHeight="1">
      <c r="A1042" s="9"/>
      <c r="B1042" s="223"/>
      <c r="C1042" s="9"/>
      <c r="D1042" s="9"/>
      <c r="E1042" s="223"/>
      <c r="F1042" s="9"/>
      <c r="G1042" s="9"/>
      <c r="H1042" s="9"/>
      <c r="I1042" s="9"/>
      <c r="J1042" s="9"/>
      <c r="K1042" s="9"/>
      <c r="L1042" s="9"/>
      <c r="M1042" s="9"/>
      <c r="N1042" s="9"/>
      <c r="O1042" s="9"/>
      <c r="P1042" s="9"/>
      <c r="Q1042" s="9"/>
      <c r="R1042" s="9"/>
      <c r="S1042" s="9"/>
      <c r="T1042" s="223"/>
      <c r="U1042" s="9"/>
      <c r="V1042" s="9"/>
      <c r="W1042" s="971"/>
      <c r="X1042" s="9"/>
      <c r="Y1042" s="9"/>
      <c r="Z1042" s="204"/>
      <c r="AA1042" s="9"/>
      <c r="AB1042" s="9"/>
      <c r="AC1042" s="9"/>
      <c r="AD1042" s="9"/>
    </row>
    <row r="1043" ht="15.75" customHeight="1">
      <c r="A1043" s="9"/>
      <c r="B1043" s="223"/>
      <c r="C1043" s="9"/>
      <c r="D1043" s="9"/>
      <c r="E1043" s="223"/>
      <c r="F1043" s="9"/>
      <c r="G1043" s="9"/>
      <c r="H1043" s="9"/>
      <c r="I1043" s="9"/>
      <c r="J1043" s="9"/>
      <c r="K1043" s="9"/>
      <c r="L1043" s="9"/>
      <c r="M1043" s="9"/>
      <c r="N1043" s="9"/>
      <c r="O1043" s="9"/>
      <c r="P1043" s="9"/>
      <c r="Q1043" s="9"/>
      <c r="R1043" s="9"/>
      <c r="S1043" s="9"/>
      <c r="T1043" s="223"/>
      <c r="U1043" s="9"/>
      <c r="V1043" s="9"/>
      <c r="W1043" s="971"/>
      <c r="X1043" s="9"/>
      <c r="Y1043" s="9"/>
      <c r="Z1043" s="204"/>
      <c r="AA1043" s="9"/>
      <c r="AB1043" s="9"/>
      <c r="AC1043" s="9"/>
      <c r="AD1043" s="9"/>
    </row>
    <row r="1044" ht="15.75" customHeight="1">
      <c r="A1044" s="9"/>
      <c r="B1044" s="223"/>
      <c r="C1044" s="9"/>
      <c r="D1044" s="9"/>
      <c r="E1044" s="223"/>
      <c r="F1044" s="9"/>
      <c r="G1044" s="9"/>
      <c r="H1044" s="9"/>
      <c r="I1044" s="9"/>
      <c r="J1044" s="9"/>
      <c r="K1044" s="9"/>
      <c r="L1044" s="9"/>
      <c r="M1044" s="9"/>
      <c r="N1044" s="9"/>
      <c r="O1044" s="9"/>
      <c r="P1044" s="9"/>
      <c r="Q1044" s="9"/>
      <c r="R1044" s="9"/>
      <c r="S1044" s="9"/>
      <c r="T1044" s="223"/>
      <c r="U1044" s="9"/>
      <c r="V1044" s="9"/>
      <c r="W1044" s="971"/>
      <c r="X1044" s="9"/>
      <c r="Y1044" s="9"/>
      <c r="Z1044" s="204"/>
      <c r="AA1044" s="9"/>
      <c r="AB1044" s="9"/>
      <c r="AC1044" s="9"/>
      <c r="AD1044" s="9"/>
    </row>
    <row r="1045" ht="15.75" customHeight="1">
      <c r="A1045" s="9"/>
      <c r="B1045" s="223"/>
      <c r="C1045" s="9"/>
      <c r="D1045" s="9"/>
      <c r="E1045" s="223"/>
      <c r="F1045" s="9"/>
      <c r="G1045" s="9"/>
      <c r="H1045" s="9"/>
      <c r="I1045" s="9"/>
      <c r="J1045" s="9"/>
      <c r="K1045" s="9"/>
      <c r="L1045" s="9"/>
      <c r="M1045" s="9"/>
      <c r="N1045" s="9"/>
      <c r="O1045" s="9"/>
      <c r="P1045" s="9"/>
      <c r="Q1045" s="9"/>
      <c r="R1045" s="9"/>
      <c r="S1045" s="9"/>
      <c r="T1045" s="223"/>
      <c r="U1045" s="9"/>
      <c r="V1045" s="9"/>
      <c r="W1045" s="971"/>
      <c r="X1045" s="9"/>
      <c r="Y1045" s="9"/>
      <c r="Z1045" s="204"/>
      <c r="AA1045" s="9"/>
      <c r="AB1045" s="9"/>
      <c r="AC1045" s="9"/>
      <c r="AD1045" s="9"/>
    </row>
    <row r="1046" ht="15.75" customHeight="1">
      <c r="A1046" s="9"/>
      <c r="B1046" s="223"/>
      <c r="C1046" s="9"/>
      <c r="D1046" s="9"/>
      <c r="E1046" s="223"/>
      <c r="F1046" s="9"/>
      <c r="G1046" s="9"/>
      <c r="H1046" s="9"/>
      <c r="I1046" s="9"/>
      <c r="J1046" s="9"/>
      <c r="K1046" s="9"/>
      <c r="L1046" s="9"/>
      <c r="M1046" s="9"/>
      <c r="N1046" s="9"/>
      <c r="O1046" s="9"/>
      <c r="P1046" s="9"/>
      <c r="Q1046" s="9"/>
      <c r="R1046" s="9"/>
      <c r="S1046" s="9"/>
      <c r="T1046" s="223"/>
      <c r="U1046" s="9"/>
      <c r="V1046" s="9"/>
      <c r="W1046" s="971"/>
      <c r="X1046" s="9"/>
      <c r="Y1046" s="9"/>
      <c r="Z1046" s="204"/>
      <c r="AA1046" s="9"/>
      <c r="AB1046" s="9"/>
      <c r="AC1046" s="9"/>
      <c r="AD1046" s="9"/>
    </row>
    <row r="1047" ht="15.75" customHeight="1">
      <c r="A1047" s="9"/>
      <c r="B1047" s="223"/>
      <c r="C1047" s="9"/>
      <c r="D1047" s="9"/>
      <c r="E1047" s="223"/>
      <c r="F1047" s="9"/>
      <c r="G1047" s="9"/>
      <c r="H1047" s="9"/>
      <c r="I1047" s="9"/>
      <c r="J1047" s="9"/>
      <c r="K1047" s="9"/>
      <c r="L1047" s="9"/>
      <c r="M1047" s="9"/>
      <c r="N1047" s="9"/>
      <c r="O1047" s="9"/>
      <c r="P1047" s="9"/>
      <c r="Q1047" s="9"/>
      <c r="R1047" s="9"/>
      <c r="S1047" s="9"/>
      <c r="T1047" s="223"/>
      <c r="U1047" s="9"/>
      <c r="V1047" s="9"/>
      <c r="W1047" s="971"/>
      <c r="X1047" s="9"/>
      <c r="Y1047" s="9"/>
      <c r="Z1047" s="204"/>
      <c r="AA1047" s="9"/>
      <c r="AB1047" s="9"/>
      <c r="AC1047" s="9"/>
      <c r="AD1047" s="9"/>
    </row>
    <row r="1048" ht="15.75" customHeight="1">
      <c r="A1048" s="9"/>
      <c r="B1048" s="223"/>
      <c r="C1048" s="9"/>
      <c r="D1048" s="9"/>
      <c r="E1048" s="223"/>
      <c r="F1048" s="9"/>
      <c r="G1048" s="9"/>
      <c r="H1048" s="9"/>
      <c r="I1048" s="9"/>
      <c r="J1048" s="9"/>
      <c r="K1048" s="9"/>
      <c r="L1048" s="9"/>
      <c r="M1048" s="9"/>
      <c r="N1048" s="9"/>
      <c r="O1048" s="9"/>
      <c r="P1048" s="9"/>
      <c r="Q1048" s="9"/>
      <c r="R1048" s="9"/>
      <c r="S1048" s="9"/>
      <c r="T1048" s="223"/>
      <c r="U1048" s="9"/>
      <c r="V1048" s="9"/>
      <c r="W1048" s="971"/>
      <c r="X1048" s="9"/>
      <c r="Y1048" s="9"/>
      <c r="Z1048" s="204"/>
      <c r="AA1048" s="9"/>
      <c r="AB1048" s="9"/>
      <c r="AC1048" s="9"/>
      <c r="AD1048" s="9"/>
    </row>
    <row r="1049" ht="15.75" customHeight="1">
      <c r="A1049" s="9"/>
      <c r="B1049" s="223"/>
      <c r="C1049" s="9"/>
      <c r="D1049" s="9"/>
      <c r="E1049" s="223"/>
      <c r="F1049" s="9"/>
      <c r="G1049" s="9"/>
      <c r="H1049" s="9"/>
      <c r="I1049" s="9"/>
      <c r="J1049" s="9"/>
      <c r="K1049" s="9"/>
      <c r="L1049" s="9"/>
      <c r="M1049" s="9"/>
      <c r="N1049" s="9"/>
      <c r="O1049" s="9"/>
      <c r="P1049" s="9"/>
      <c r="Q1049" s="9"/>
      <c r="R1049" s="9"/>
      <c r="S1049" s="9"/>
      <c r="T1049" s="223"/>
      <c r="U1049" s="9"/>
      <c r="V1049" s="9"/>
      <c r="W1049" s="971"/>
      <c r="X1049" s="9"/>
      <c r="Y1049" s="9"/>
      <c r="Z1049" s="204"/>
      <c r="AA1049" s="9"/>
      <c r="AB1049" s="9"/>
      <c r="AC1049" s="9"/>
      <c r="AD1049" s="9"/>
    </row>
    <row r="1050" ht="15.75" customHeight="1">
      <c r="A1050" s="9"/>
      <c r="B1050" s="223"/>
      <c r="C1050" s="9"/>
      <c r="D1050" s="9"/>
      <c r="E1050" s="223"/>
      <c r="F1050" s="9"/>
      <c r="G1050" s="9"/>
      <c r="H1050" s="9"/>
      <c r="I1050" s="9"/>
      <c r="J1050" s="9"/>
      <c r="K1050" s="9"/>
      <c r="L1050" s="9"/>
      <c r="M1050" s="9"/>
      <c r="N1050" s="9"/>
      <c r="O1050" s="9"/>
      <c r="P1050" s="9"/>
      <c r="Q1050" s="9"/>
      <c r="R1050" s="9"/>
      <c r="S1050" s="9"/>
      <c r="T1050" s="223"/>
      <c r="U1050" s="9"/>
      <c r="V1050" s="9"/>
      <c r="W1050" s="971"/>
      <c r="X1050" s="9"/>
      <c r="Y1050" s="9"/>
      <c r="Z1050" s="204"/>
      <c r="AA1050" s="9"/>
      <c r="AB1050" s="9"/>
      <c r="AC1050" s="9"/>
      <c r="AD1050" s="9"/>
    </row>
    <row r="1051" ht="15.75" customHeight="1">
      <c r="A1051" s="9"/>
      <c r="B1051" s="223"/>
      <c r="C1051" s="9"/>
      <c r="D1051" s="9"/>
      <c r="E1051" s="223"/>
      <c r="F1051" s="9"/>
      <c r="G1051" s="9"/>
      <c r="H1051" s="9"/>
      <c r="I1051" s="9"/>
      <c r="J1051" s="9"/>
      <c r="K1051" s="9"/>
      <c r="L1051" s="9"/>
      <c r="M1051" s="9"/>
      <c r="N1051" s="9"/>
      <c r="O1051" s="9"/>
      <c r="P1051" s="9"/>
      <c r="Q1051" s="9"/>
      <c r="R1051" s="9"/>
      <c r="S1051" s="9"/>
      <c r="T1051" s="223"/>
      <c r="U1051" s="9"/>
      <c r="V1051" s="9"/>
      <c r="W1051" s="971"/>
      <c r="X1051" s="9"/>
      <c r="Y1051" s="9"/>
      <c r="Z1051" s="204"/>
      <c r="AA1051" s="9"/>
      <c r="AB1051" s="9"/>
      <c r="AC1051" s="9"/>
      <c r="AD1051" s="9"/>
    </row>
    <row r="1052" ht="15.75" customHeight="1">
      <c r="A1052" s="9"/>
      <c r="B1052" s="223"/>
      <c r="C1052" s="9"/>
      <c r="D1052" s="9"/>
      <c r="E1052" s="223"/>
      <c r="F1052" s="9"/>
      <c r="G1052" s="9"/>
      <c r="H1052" s="9"/>
      <c r="I1052" s="9"/>
      <c r="J1052" s="9"/>
      <c r="K1052" s="9"/>
      <c r="L1052" s="9"/>
      <c r="M1052" s="9"/>
      <c r="N1052" s="9"/>
      <c r="O1052" s="9"/>
      <c r="P1052" s="9"/>
      <c r="Q1052" s="9"/>
      <c r="R1052" s="9"/>
      <c r="S1052" s="9"/>
      <c r="T1052" s="223"/>
      <c r="U1052" s="9"/>
      <c r="V1052" s="9"/>
      <c r="W1052" s="971"/>
      <c r="X1052" s="9"/>
      <c r="Y1052" s="9"/>
      <c r="Z1052" s="204"/>
      <c r="AA1052" s="9"/>
      <c r="AB1052" s="9"/>
      <c r="AC1052" s="9"/>
      <c r="AD1052" s="9"/>
    </row>
    <row r="1053" ht="15.75" customHeight="1">
      <c r="A1053" s="9"/>
      <c r="B1053" s="223"/>
      <c r="C1053" s="9"/>
      <c r="D1053" s="9"/>
      <c r="E1053" s="223"/>
      <c r="F1053" s="9"/>
      <c r="G1053" s="9"/>
      <c r="H1053" s="9"/>
      <c r="I1053" s="9"/>
      <c r="J1053" s="9"/>
      <c r="K1053" s="9"/>
      <c r="L1053" s="9"/>
      <c r="M1053" s="9"/>
      <c r="N1053" s="9"/>
      <c r="O1053" s="9"/>
      <c r="P1053" s="9"/>
      <c r="Q1053" s="9"/>
      <c r="R1053" s="9"/>
      <c r="S1053" s="9"/>
      <c r="T1053" s="223"/>
      <c r="U1053" s="9"/>
      <c r="V1053" s="9"/>
      <c r="W1053" s="971"/>
      <c r="X1053" s="9"/>
      <c r="Y1053" s="9"/>
      <c r="Z1053" s="204"/>
      <c r="AA1053" s="9"/>
      <c r="AB1053" s="9"/>
      <c r="AC1053" s="9"/>
      <c r="AD1053" s="9"/>
    </row>
    <row r="1054" ht="15.75" customHeight="1">
      <c r="A1054" s="9"/>
      <c r="B1054" s="223"/>
      <c r="C1054" s="9"/>
      <c r="D1054" s="9"/>
      <c r="E1054" s="223"/>
      <c r="F1054" s="9"/>
      <c r="G1054" s="9"/>
      <c r="H1054" s="9"/>
      <c r="I1054" s="9"/>
      <c r="J1054" s="9"/>
      <c r="K1054" s="9"/>
      <c r="L1054" s="9"/>
      <c r="M1054" s="9"/>
      <c r="N1054" s="9"/>
      <c r="O1054" s="9"/>
      <c r="P1054" s="9"/>
      <c r="Q1054" s="9"/>
      <c r="R1054" s="9"/>
      <c r="S1054" s="9"/>
      <c r="T1054" s="223"/>
      <c r="U1054" s="9"/>
      <c r="V1054" s="9"/>
      <c r="W1054" s="971"/>
      <c r="X1054" s="9"/>
      <c r="Y1054" s="9"/>
      <c r="Z1054" s="204"/>
      <c r="AA1054" s="9"/>
      <c r="AB1054" s="9"/>
      <c r="AC1054" s="9"/>
      <c r="AD1054" s="9"/>
    </row>
    <row r="1055" ht="15.75" customHeight="1">
      <c r="A1055" s="9"/>
      <c r="B1055" s="223"/>
      <c r="C1055" s="9"/>
      <c r="D1055" s="9"/>
      <c r="E1055" s="223"/>
      <c r="F1055" s="9"/>
      <c r="G1055" s="9"/>
      <c r="H1055" s="9"/>
      <c r="I1055" s="9"/>
      <c r="J1055" s="9"/>
      <c r="K1055" s="9"/>
      <c r="L1055" s="9"/>
      <c r="M1055" s="9"/>
      <c r="N1055" s="9"/>
      <c r="O1055" s="9"/>
      <c r="P1055" s="9"/>
      <c r="Q1055" s="9"/>
      <c r="R1055" s="9"/>
      <c r="S1055" s="9"/>
      <c r="T1055" s="223"/>
      <c r="U1055" s="9"/>
      <c r="V1055" s="9"/>
      <c r="W1055" s="971"/>
      <c r="X1055" s="9"/>
      <c r="Y1055" s="9"/>
      <c r="Z1055" s="204"/>
      <c r="AA1055" s="9"/>
      <c r="AB1055" s="9"/>
      <c r="AC1055" s="9"/>
      <c r="AD1055" s="9"/>
    </row>
    <row r="1056" ht="15.75" customHeight="1">
      <c r="A1056" s="9"/>
      <c r="B1056" s="223"/>
      <c r="C1056" s="9"/>
      <c r="D1056" s="9"/>
      <c r="E1056" s="223"/>
      <c r="F1056" s="9"/>
      <c r="G1056" s="9"/>
      <c r="H1056" s="9"/>
      <c r="I1056" s="9"/>
      <c r="J1056" s="9"/>
      <c r="K1056" s="9"/>
      <c r="L1056" s="9"/>
      <c r="M1056" s="9"/>
      <c r="N1056" s="9"/>
      <c r="O1056" s="9"/>
      <c r="P1056" s="9"/>
      <c r="Q1056" s="9"/>
      <c r="R1056" s="9"/>
      <c r="S1056" s="9"/>
      <c r="T1056" s="223"/>
      <c r="U1056" s="9"/>
      <c r="V1056" s="9"/>
      <c r="W1056" s="971"/>
      <c r="X1056" s="9"/>
      <c r="Y1056" s="9"/>
      <c r="Z1056" s="204"/>
      <c r="AA1056" s="9"/>
      <c r="AB1056" s="9"/>
      <c r="AC1056" s="9"/>
      <c r="AD1056" s="9"/>
    </row>
    <row r="1057" ht="15.75" customHeight="1">
      <c r="A1057" s="9"/>
      <c r="B1057" s="223"/>
      <c r="C1057" s="9"/>
      <c r="D1057" s="9"/>
      <c r="E1057" s="223"/>
      <c r="F1057" s="9"/>
      <c r="G1057" s="9"/>
      <c r="H1057" s="9"/>
      <c r="I1057" s="9"/>
      <c r="J1057" s="9"/>
      <c r="K1057" s="9"/>
      <c r="L1057" s="9"/>
      <c r="M1057" s="9"/>
      <c r="N1057" s="9"/>
      <c r="O1057" s="9"/>
      <c r="P1057" s="9"/>
      <c r="Q1057" s="9"/>
      <c r="R1057" s="9"/>
      <c r="S1057" s="9"/>
      <c r="T1057" s="223"/>
      <c r="U1057" s="9"/>
      <c r="V1057" s="9"/>
      <c r="W1057" s="971"/>
      <c r="X1057" s="9"/>
      <c r="Y1057" s="9"/>
      <c r="Z1057" s="204"/>
      <c r="AA1057" s="9"/>
      <c r="AB1057" s="9"/>
      <c r="AC1057" s="9"/>
      <c r="AD1057" s="9"/>
    </row>
    <row r="1058" ht="15.75" customHeight="1">
      <c r="A1058" s="9"/>
      <c r="B1058" s="223"/>
      <c r="C1058" s="9"/>
      <c r="D1058" s="9"/>
      <c r="E1058" s="223"/>
      <c r="F1058" s="9"/>
      <c r="G1058" s="9"/>
      <c r="H1058" s="9"/>
      <c r="I1058" s="9"/>
      <c r="J1058" s="9"/>
      <c r="K1058" s="9"/>
      <c r="L1058" s="9"/>
      <c r="M1058" s="9"/>
      <c r="N1058" s="9"/>
      <c r="O1058" s="9"/>
      <c r="P1058" s="9"/>
      <c r="Q1058" s="9"/>
      <c r="R1058" s="9"/>
      <c r="S1058" s="9"/>
      <c r="T1058" s="223"/>
      <c r="U1058" s="9"/>
      <c r="V1058" s="9"/>
      <c r="W1058" s="971"/>
      <c r="X1058" s="9"/>
      <c r="Y1058" s="9"/>
      <c r="Z1058" s="204"/>
      <c r="AA1058" s="9"/>
      <c r="AB1058" s="9"/>
      <c r="AC1058" s="9"/>
      <c r="AD1058" s="9"/>
    </row>
    <row r="1059" ht="15.75" customHeight="1">
      <c r="A1059" s="9"/>
      <c r="B1059" s="223"/>
      <c r="C1059" s="9"/>
      <c r="D1059" s="9"/>
      <c r="E1059" s="223"/>
      <c r="F1059" s="9"/>
      <c r="G1059" s="9"/>
      <c r="H1059" s="9"/>
      <c r="I1059" s="9"/>
      <c r="J1059" s="9"/>
      <c r="K1059" s="9"/>
      <c r="L1059" s="9"/>
      <c r="M1059" s="9"/>
      <c r="N1059" s="9"/>
      <c r="O1059" s="9"/>
      <c r="P1059" s="9"/>
      <c r="Q1059" s="9"/>
      <c r="R1059" s="9"/>
      <c r="S1059" s="9"/>
      <c r="T1059" s="223"/>
      <c r="U1059" s="9"/>
      <c r="V1059" s="9"/>
      <c r="W1059" s="971"/>
      <c r="X1059" s="9"/>
      <c r="Y1059" s="9"/>
      <c r="Z1059" s="204"/>
      <c r="AA1059" s="9"/>
      <c r="AB1059" s="9"/>
      <c r="AC1059" s="9"/>
      <c r="AD1059" s="9"/>
    </row>
    <row r="1060" ht="15.75" customHeight="1">
      <c r="A1060" s="9"/>
      <c r="B1060" s="223"/>
      <c r="C1060" s="9"/>
      <c r="D1060" s="9"/>
      <c r="E1060" s="223"/>
      <c r="F1060" s="9"/>
      <c r="G1060" s="9"/>
      <c r="H1060" s="9"/>
      <c r="I1060" s="9"/>
      <c r="J1060" s="9"/>
      <c r="K1060" s="9"/>
      <c r="L1060" s="9"/>
      <c r="M1060" s="9"/>
      <c r="N1060" s="9"/>
      <c r="O1060" s="9"/>
      <c r="P1060" s="9"/>
      <c r="Q1060" s="9"/>
      <c r="R1060" s="9"/>
      <c r="S1060" s="9"/>
      <c r="T1060" s="223"/>
      <c r="U1060" s="9"/>
      <c r="V1060" s="9"/>
      <c r="W1060" s="971"/>
      <c r="X1060" s="9"/>
      <c r="Y1060" s="9"/>
      <c r="Z1060" s="204"/>
      <c r="AA1060" s="9"/>
      <c r="AB1060" s="9"/>
      <c r="AC1060" s="9"/>
      <c r="AD1060" s="9"/>
    </row>
    <row r="1061" ht="15.75" customHeight="1">
      <c r="A1061" s="9"/>
      <c r="B1061" s="223"/>
      <c r="C1061" s="9"/>
      <c r="D1061" s="9"/>
      <c r="E1061" s="223"/>
      <c r="F1061" s="9"/>
      <c r="G1061" s="9"/>
      <c r="H1061" s="9"/>
      <c r="I1061" s="9"/>
      <c r="J1061" s="9"/>
      <c r="K1061" s="9"/>
      <c r="L1061" s="9"/>
      <c r="M1061" s="9"/>
      <c r="N1061" s="9"/>
      <c r="O1061" s="9"/>
      <c r="P1061" s="9"/>
      <c r="Q1061" s="9"/>
      <c r="R1061" s="9"/>
      <c r="S1061" s="9"/>
      <c r="T1061" s="223"/>
      <c r="U1061" s="9"/>
      <c r="V1061" s="9"/>
      <c r="W1061" s="971"/>
      <c r="X1061" s="9"/>
      <c r="Y1061" s="9"/>
      <c r="Z1061" s="204"/>
      <c r="AA1061" s="9"/>
      <c r="AB1061" s="9"/>
      <c r="AC1061" s="9"/>
      <c r="AD1061" s="9"/>
    </row>
    <row r="1062" ht="15.75" customHeight="1">
      <c r="A1062" s="9"/>
      <c r="B1062" s="223"/>
      <c r="C1062" s="9"/>
      <c r="D1062" s="9"/>
      <c r="E1062" s="223"/>
      <c r="F1062" s="9"/>
      <c r="G1062" s="9"/>
      <c r="H1062" s="9"/>
      <c r="I1062" s="9"/>
      <c r="J1062" s="9"/>
      <c r="K1062" s="9"/>
      <c r="L1062" s="9"/>
      <c r="M1062" s="9"/>
      <c r="N1062" s="9"/>
      <c r="O1062" s="9"/>
      <c r="P1062" s="9"/>
      <c r="Q1062" s="9"/>
      <c r="R1062" s="9"/>
      <c r="S1062" s="9"/>
      <c r="T1062" s="223"/>
      <c r="U1062" s="9"/>
      <c r="V1062" s="9"/>
      <c r="W1062" s="971"/>
      <c r="X1062" s="9"/>
      <c r="Y1062" s="9"/>
      <c r="Z1062" s="204"/>
      <c r="AA1062" s="9"/>
      <c r="AB1062" s="9"/>
      <c r="AC1062" s="9"/>
      <c r="AD1062" s="9"/>
    </row>
    <row r="1063" ht="15.75" customHeight="1">
      <c r="A1063" s="9"/>
      <c r="B1063" s="223"/>
      <c r="C1063" s="9"/>
      <c r="D1063" s="9"/>
      <c r="E1063" s="223"/>
      <c r="F1063" s="9"/>
      <c r="G1063" s="9"/>
      <c r="H1063" s="9"/>
      <c r="I1063" s="9"/>
      <c r="J1063" s="9"/>
      <c r="K1063" s="9"/>
      <c r="L1063" s="9"/>
      <c r="M1063" s="9"/>
      <c r="N1063" s="9"/>
      <c r="O1063" s="9"/>
      <c r="P1063" s="9"/>
      <c r="Q1063" s="9"/>
      <c r="R1063" s="9"/>
      <c r="S1063" s="9"/>
      <c r="T1063" s="223"/>
      <c r="U1063" s="9"/>
      <c r="V1063" s="9"/>
      <c r="W1063" s="971"/>
      <c r="X1063" s="9"/>
      <c r="Y1063" s="9"/>
      <c r="Z1063" s="204"/>
      <c r="AA1063" s="9"/>
      <c r="AB1063" s="9"/>
      <c r="AC1063" s="9"/>
      <c r="AD1063" s="9"/>
    </row>
    <row r="1064" ht="15.75" customHeight="1">
      <c r="A1064" s="9"/>
      <c r="B1064" s="223"/>
      <c r="C1064" s="9"/>
      <c r="D1064" s="9"/>
      <c r="E1064" s="223"/>
      <c r="F1064" s="9"/>
      <c r="G1064" s="9"/>
      <c r="H1064" s="9"/>
      <c r="I1064" s="9"/>
      <c r="J1064" s="9"/>
      <c r="K1064" s="9"/>
      <c r="L1064" s="9"/>
      <c r="M1064" s="9"/>
      <c r="N1064" s="9"/>
      <c r="O1064" s="9"/>
      <c r="P1064" s="9"/>
      <c r="Q1064" s="9"/>
      <c r="R1064" s="9"/>
      <c r="S1064" s="9"/>
      <c r="T1064" s="223"/>
      <c r="U1064" s="9"/>
      <c r="V1064" s="9"/>
      <c r="W1064" s="971"/>
      <c r="X1064" s="9"/>
      <c r="Y1064" s="9"/>
      <c r="Z1064" s="204"/>
      <c r="AA1064" s="9"/>
      <c r="AB1064" s="9"/>
      <c r="AC1064" s="9"/>
      <c r="AD1064" s="9"/>
    </row>
    <row r="1065" ht="15.75" customHeight="1">
      <c r="A1065" s="9"/>
      <c r="B1065" s="223"/>
      <c r="C1065" s="9"/>
      <c r="D1065" s="9"/>
      <c r="E1065" s="223"/>
      <c r="F1065" s="9"/>
      <c r="G1065" s="9"/>
      <c r="H1065" s="9"/>
      <c r="I1065" s="9"/>
      <c r="J1065" s="9"/>
      <c r="K1065" s="9"/>
      <c r="L1065" s="9"/>
      <c r="M1065" s="9"/>
      <c r="N1065" s="9"/>
      <c r="O1065" s="9"/>
      <c r="P1065" s="9"/>
      <c r="Q1065" s="9"/>
      <c r="R1065" s="9"/>
      <c r="S1065" s="9"/>
      <c r="T1065" s="223"/>
      <c r="U1065" s="9"/>
      <c r="V1065" s="9"/>
      <c r="W1065" s="971"/>
      <c r="X1065" s="9"/>
      <c r="Y1065" s="9"/>
      <c r="Z1065" s="204"/>
      <c r="AA1065" s="9"/>
      <c r="AB1065" s="9"/>
      <c r="AC1065" s="9"/>
      <c r="AD1065" s="9"/>
    </row>
    <row r="1066" ht="15.75" customHeight="1">
      <c r="A1066" s="9"/>
      <c r="B1066" s="223"/>
      <c r="C1066" s="9"/>
      <c r="D1066" s="9"/>
      <c r="E1066" s="223"/>
      <c r="F1066" s="9"/>
      <c r="G1066" s="9"/>
      <c r="H1066" s="9"/>
      <c r="I1066" s="9"/>
      <c r="J1066" s="9"/>
      <c r="K1066" s="9"/>
      <c r="L1066" s="9"/>
      <c r="M1066" s="9"/>
      <c r="N1066" s="9"/>
      <c r="O1066" s="9"/>
      <c r="P1066" s="9"/>
      <c r="Q1066" s="9"/>
      <c r="R1066" s="9"/>
      <c r="S1066" s="9"/>
      <c r="T1066" s="223"/>
      <c r="U1066" s="9"/>
      <c r="V1066" s="9"/>
      <c r="W1066" s="971"/>
      <c r="X1066" s="9"/>
      <c r="Y1066" s="9"/>
      <c r="Z1066" s="204"/>
      <c r="AA1066" s="9"/>
      <c r="AB1066" s="9"/>
      <c r="AC1066" s="9"/>
      <c r="AD1066" s="9"/>
    </row>
    <row r="1067" ht="15.75" customHeight="1">
      <c r="A1067" s="9"/>
      <c r="B1067" s="223"/>
      <c r="C1067" s="9"/>
      <c r="D1067" s="9"/>
      <c r="E1067" s="223"/>
      <c r="F1067" s="9"/>
      <c r="G1067" s="9"/>
      <c r="H1067" s="9"/>
      <c r="I1067" s="9"/>
      <c r="J1067" s="9"/>
      <c r="K1067" s="9"/>
      <c r="L1067" s="9"/>
      <c r="M1067" s="9"/>
      <c r="N1067" s="9"/>
      <c r="O1067" s="9"/>
      <c r="P1067" s="9"/>
      <c r="Q1067" s="9"/>
      <c r="R1067" s="9"/>
      <c r="S1067" s="9"/>
      <c r="T1067" s="223"/>
      <c r="U1067" s="9"/>
      <c r="V1067" s="9"/>
      <c r="W1067" s="971"/>
      <c r="X1067" s="9"/>
      <c r="Y1067" s="9"/>
      <c r="Z1067" s="204"/>
      <c r="AA1067" s="9"/>
      <c r="AB1067" s="9"/>
      <c r="AC1067" s="9"/>
      <c r="AD1067" s="9"/>
    </row>
    <row r="1068" ht="15.75" customHeight="1">
      <c r="A1068" s="9"/>
      <c r="B1068" s="223"/>
      <c r="C1068" s="9"/>
      <c r="D1068" s="9"/>
      <c r="E1068" s="223"/>
      <c r="F1068" s="9"/>
      <c r="G1068" s="9"/>
      <c r="H1068" s="9"/>
      <c r="I1068" s="9"/>
      <c r="J1068" s="9"/>
      <c r="K1068" s="9"/>
      <c r="L1068" s="9"/>
      <c r="M1068" s="9"/>
      <c r="N1068" s="9"/>
      <c r="O1068" s="9"/>
      <c r="P1068" s="9"/>
      <c r="Q1068" s="9"/>
      <c r="R1068" s="9"/>
      <c r="S1068" s="9"/>
      <c r="T1068" s="223"/>
      <c r="U1068" s="9"/>
      <c r="V1068" s="9"/>
      <c r="W1068" s="971"/>
      <c r="X1068" s="9"/>
      <c r="Y1068" s="9"/>
      <c r="Z1068" s="204"/>
      <c r="AA1068" s="9"/>
      <c r="AB1068" s="9"/>
      <c r="AC1068" s="9"/>
      <c r="AD1068" s="9"/>
    </row>
    <row r="1069" ht="15.75" customHeight="1">
      <c r="A1069" s="9"/>
      <c r="B1069" s="223"/>
      <c r="C1069" s="9"/>
      <c r="D1069" s="9"/>
      <c r="E1069" s="223"/>
      <c r="F1069" s="9"/>
      <c r="G1069" s="9"/>
      <c r="H1069" s="9"/>
      <c r="I1069" s="9"/>
      <c r="J1069" s="9"/>
      <c r="K1069" s="9"/>
      <c r="L1069" s="9"/>
      <c r="M1069" s="9"/>
      <c r="N1069" s="9"/>
      <c r="O1069" s="9"/>
      <c r="P1069" s="9"/>
      <c r="Q1069" s="9"/>
      <c r="R1069" s="9"/>
      <c r="S1069" s="9"/>
      <c r="T1069" s="223"/>
      <c r="U1069" s="9"/>
      <c r="V1069" s="9"/>
      <c r="W1069" s="971"/>
      <c r="X1069" s="9"/>
      <c r="Y1069" s="9"/>
      <c r="Z1069" s="204"/>
      <c r="AA1069" s="9"/>
      <c r="AB1069" s="9"/>
      <c r="AC1069" s="9"/>
      <c r="AD1069" s="9"/>
    </row>
    <row r="1070" ht="15.75" customHeight="1">
      <c r="A1070" s="9"/>
      <c r="B1070" s="223"/>
      <c r="C1070" s="9"/>
      <c r="D1070" s="9"/>
      <c r="E1070" s="223"/>
      <c r="F1070" s="9"/>
      <c r="G1070" s="9"/>
      <c r="H1070" s="9"/>
      <c r="I1070" s="9"/>
      <c r="J1070" s="9"/>
      <c r="K1070" s="9"/>
      <c r="L1070" s="9"/>
      <c r="M1070" s="9"/>
      <c r="N1070" s="9"/>
      <c r="O1070" s="9"/>
      <c r="P1070" s="9"/>
      <c r="Q1070" s="9"/>
      <c r="R1070" s="9"/>
      <c r="S1070" s="9"/>
      <c r="T1070" s="223"/>
      <c r="U1070" s="9"/>
      <c r="V1070" s="9"/>
      <c r="W1070" s="971"/>
      <c r="X1070" s="9"/>
      <c r="Y1070" s="9"/>
      <c r="Z1070" s="204"/>
      <c r="AA1070" s="9"/>
      <c r="AB1070" s="9"/>
      <c r="AC1070" s="9"/>
      <c r="AD1070" s="9"/>
    </row>
    <row r="1071" ht="15.75" customHeight="1">
      <c r="A1071" s="9"/>
      <c r="B1071" s="223"/>
      <c r="C1071" s="9"/>
      <c r="D1071" s="9"/>
      <c r="E1071" s="223"/>
      <c r="F1071" s="9"/>
      <c r="G1071" s="9"/>
      <c r="H1071" s="9"/>
      <c r="I1071" s="9"/>
      <c r="J1071" s="9"/>
      <c r="K1071" s="9"/>
      <c r="L1071" s="9"/>
      <c r="M1071" s="9"/>
      <c r="N1071" s="9"/>
      <c r="O1071" s="9"/>
      <c r="P1071" s="9"/>
      <c r="Q1071" s="9"/>
      <c r="R1071" s="9"/>
      <c r="S1071" s="9"/>
      <c r="T1071" s="223"/>
      <c r="U1071" s="9"/>
      <c r="V1071" s="9"/>
      <c r="W1071" s="971"/>
      <c r="X1071" s="9"/>
      <c r="Y1071" s="9"/>
      <c r="Z1071" s="204"/>
      <c r="AA1071" s="9"/>
      <c r="AB1071" s="9"/>
      <c r="AC1071" s="9"/>
      <c r="AD1071" s="9"/>
    </row>
    <row r="1072" ht="15.75" customHeight="1">
      <c r="A1072" s="9"/>
      <c r="B1072" s="223"/>
      <c r="C1072" s="9"/>
      <c r="D1072" s="9"/>
      <c r="E1072" s="223"/>
      <c r="F1072" s="9"/>
      <c r="G1072" s="9"/>
      <c r="H1072" s="9"/>
      <c r="I1072" s="9"/>
      <c r="J1072" s="9"/>
      <c r="K1072" s="9"/>
      <c r="L1072" s="9"/>
      <c r="M1072" s="9"/>
      <c r="N1072" s="9"/>
      <c r="O1072" s="9"/>
      <c r="P1072" s="9"/>
      <c r="Q1072" s="9"/>
      <c r="R1072" s="9"/>
      <c r="S1072" s="9"/>
      <c r="T1072" s="223"/>
      <c r="U1072" s="9"/>
      <c r="V1072" s="9"/>
      <c r="W1072" s="971"/>
      <c r="X1072" s="9"/>
      <c r="Y1072" s="9"/>
      <c r="Z1072" s="204"/>
      <c r="AA1072" s="9"/>
      <c r="AB1072" s="9"/>
      <c r="AC1072" s="9"/>
      <c r="AD1072" s="9"/>
    </row>
    <row r="1073" ht="15.75" customHeight="1">
      <c r="A1073" s="9"/>
      <c r="B1073" s="223"/>
      <c r="C1073" s="9"/>
      <c r="D1073" s="9"/>
      <c r="E1073" s="223"/>
      <c r="F1073" s="9"/>
      <c r="G1073" s="9"/>
      <c r="H1073" s="9"/>
      <c r="I1073" s="9"/>
      <c r="J1073" s="9"/>
      <c r="K1073" s="9"/>
      <c r="L1073" s="9"/>
      <c r="M1073" s="9"/>
      <c r="N1073" s="9"/>
      <c r="O1073" s="9"/>
      <c r="P1073" s="9"/>
      <c r="Q1073" s="9"/>
      <c r="R1073" s="9"/>
      <c r="S1073" s="9"/>
      <c r="T1073" s="223"/>
      <c r="U1073" s="9"/>
      <c r="V1073" s="9"/>
      <c r="W1073" s="971"/>
      <c r="X1073" s="9"/>
      <c r="Y1073" s="9"/>
      <c r="Z1073" s="204"/>
      <c r="AA1073" s="9"/>
      <c r="AB1073" s="9"/>
      <c r="AC1073" s="9"/>
      <c r="AD1073" s="9"/>
    </row>
    <row r="1074" ht="15.75" customHeight="1">
      <c r="A1074" s="9"/>
      <c r="B1074" s="223"/>
      <c r="C1074" s="9"/>
      <c r="D1074" s="9"/>
      <c r="E1074" s="223"/>
      <c r="F1074" s="9"/>
      <c r="G1074" s="9"/>
      <c r="H1074" s="9"/>
      <c r="I1074" s="9"/>
      <c r="J1074" s="9"/>
      <c r="K1074" s="9"/>
      <c r="L1074" s="9"/>
      <c r="M1074" s="9"/>
      <c r="N1074" s="9"/>
      <c r="O1074" s="9"/>
      <c r="P1074" s="9"/>
      <c r="Q1074" s="9"/>
      <c r="R1074" s="9"/>
      <c r="S1074" s="9"/>
      <c r="T1074" s="223"/>
      <c r="U1074" s="9"/>
      <c r="V1074" s="9"/>
      <c r="W1074" s="971"/>
      <c r="X1074" s="9"/>
      <c r="Y1074" s="9"/>
      <c r="Z1074" s="204"/>
      <c r="AA1074" s="9"/>
      <c r="AB1074" s="9"/>
      <c r="AC1074" s="9"/>
      <c r="AD1074" s="9"/>
    </row>
    <row r="1075" ht="15.75" customHeight="1">
      <c r="A1075" s="9"/>
      <c r="B1075" s="223"/>
      <c r="C1075" s="9"/>
      <c r="D1075" s="9"/>
      <c r="E1075" s="223"/>
      <c r="F1075" s="9"/>
      <c r="G1075" s="9"/>
      <c r="H1075" s="9"/>
      <c r="I1075" s="9"/>
      <c r="J1075" s="9"/>
      <c r="K1075" s="9"/>
      <c r="L1075" s="9"/>
      <c r="M1075" s="9"/>
      <c r="N1075" s="9"/>
      <c r="O1075" s="9"/>
      <c r="P1075" s="9"/>
      <c r="Q1075" s="9"/>
      <c r="R1075" s="9"/>
      <c r="S1075" s="9"/>
      <c r="T1075" s="223"/>
      <c r="U1075" s="9"/>
      <c r="V1075" s="9"/>
      <c r="W1075" s="971"/>
      <c r="X1075" s="9"/>
      <c r="Y1075" s="9"/>
      <c r="Z1075" s="204"/>
      <c r="AA1075" s="9"/>
      <c r="AB1075" s="9"/>
      <c r="AC1075" s="9"/>
      <c r="AD1075" s="9"/>
    </row>
    <row r="1076" ht="15.75" customHeight="1">
      <c r="A1076" s="9"/>
      <c r="B1076" s="223"/>
      <c r="C1076" s="9"/>
      <c r="D1076" s="9"/>
      <c r="E1076" s="223"/>
      <c r="F1076" s="9"/>
      <c r="G1076" s="9"/>
      <c r="H1076" s="9"/>
      <c r="I1076" s="9"/>
      <c r="J1076" s="9"/>
      <c r="K1076" s="9"/>
      <c r="L1076" s="9"/>
      <c r="M1076" s="9"/>
      <c r="N1076" s="9"/>
      <c r="O1076" s="9"/>
      <c r="P1076" s="9"/>
      <c r="Q1076" s="9"/>
      <c r="R1076" s="9"/>
      <c r="S1076" s="9"/>
      <c r="T1076" s="223"/>
      <c r="U1076" s="9"/>
      <c r="V1076" s="9"/>
      <c r="W1076" s="971"/>
      <c r="X1076" s="9"/>
      <c r="Y1076" s="9"/>
      <c r="Z1076" s="204"/>
      <c r="AA1076" s="9"/>
      <c r="AB1076" s="9"/>
      <c r="AC1076" s="9"/>
      <c r="AD1076" s="9"/>
    </row>
    <row r="1077" ht="15.75" customHeight="1">
      <c r="A1077" s="9"/>
      <c r="B1077" s="223"/>
      <c r="C1077" s="9"/>
      <c r="D1077" s="9"/>
      <c r="E1077" s="223"/>
      <c r="F1077" s="9"/>
      <c r="G1077" s="9"/>
      <c r="H1077" s="9"/>
      <c r="I1077" s="9"/>
      <c r="J1077" s="9"/>
      <c r="K1077" s="9"/>
      <c r="L1077" s="9"/>
      <c r="M1077" s="9"/>
      <c r="N1077" s="9"/>
      <c r="O1077" s="9"/>
      <c r="P1077" s="9"/>
      <c r="Q1077" s="9"/>
      <c r="R1077" s="9"/>
      <c r="S1077" s="9"/>
      <c r="T1077" s="223"/>
      <c r="U1077" s="9"/>
      <c r="V1077" s="9"/>
      <c r="W1077" s="971"/>
      <c r="X1077" s="9"/>
      <c r="Y1077" s="9"/>
      <c r="Z1077" s="204"/>
      <c r="AA1077" s="9"/>
      <c r="AB1077" s="9"/>
      <c r="AC1077" s="9"/>
      <c r="AD1077" s="9"/>
    </row>
    <row r="1078" ht="15.75" customHeight="1">
      <c r="A1078" s="9"/>
      <c r="B1078" s="223"/>
      <c r="C1078" s="9"/>
      <c r="D1078" s="9"/>
      <c r="E1078" s="223"/>
      <c r="F1078" s="9"/>
      <c r="G1078" s="9"/>
      <c r="H1078" s="9"/>
      <c r="I1078" s="9"/>
      <c r="J1078" s="9"/>
      <c r="K1078" s="9"/>
      <c r="L1078" s="9"/>
      <c r="M1078" s="9"/>
      <c r="N1078" s="9"/>
      <c r="O1078" s="9"/>
      <c r="P1078" s="9"/>
      <c r="Q1078" s="9"/>
      <c r="R1078" s="9"/>
      <c r="S1078" s="9"/>
      <c r="T1078" s="223"/>
      <c r="U1078" s="9"/>
      <c r="V1078" s="9"/>
      <c r="W1078" s="971"/>
      <c r="X1078" s="9"/>
      <c r="Y1078" s="9"/>
      <c r="Z1078" s="204"/>
      <c r="AA1078" s="9"/>
      <c r="AB1078" s="9"/>
      <c r="AC1078" s="9"/>
      <c r="AD1078" s="9"/>
    </row>
    <row r="1079" ht="15.75" customHeight="1">
      <c r="A1079" s="9"/>
      <c r="B1079" s="223"/>
      <c r="C1079" s="9"/>
      <c r="D1079" s="9"/>
      <c r="E1079" s="223"/>
      <c r="F1079" s="9"/>
      <c r="G1079" s="9"/>
      <c r="H1079" s="9"/>
      <c r="I1079" s="9"/>
      <c r="J1079" s="9"/>
      <c r="K1079" s="9"/>
      <c r="L1079" s="9"/>
      <c r="M1079" s="9"/>
      <c r="N1079" s="9"/>
      <c r="O1079" s="9"/>
      <c r="P1079" s="9"/>
      <c r="Q1079" s="9"/>
      <c r="R1079" s="9"/>
      <c r="S1079" s="9"/>
      <c r="T1079" s="223"/>
      <c r="U1079" s="9"/>
      <c r="V1079" s="9"/>
      <c r="W1079" s="971"/>
      <c r="X1079" s="9"/>
      <c r="Y1079" s="9"/>
      <c r="Z1079" s="204"/>
      <c r="AA1079" s="9"/>
      <c r="AB1079" s="9"/>
      <c r="AC1079" s="9"/>
      <c r="AD1079" s="9"/>
    </row>
    <row r="1080" ht="15.75" customHeight="1">
      <c r="A1080" s="9"/>
      <c r="B1080" s="223"/>
      <c r="C1080" s="9"/>
      <c r="D1080" s="9"/>
      <c r="E1080" s="223"/>
      <c r="F1080" s="9"/>
      <c r="G1080" s="9"/>
      <c r="H1080" s="9"/>
      <c r="I1080" s="9"/>
      <c r="J1080" s="9"/>
      <c r="K1080" s="9"/>
      <c r="L1080" s="9"/>
      <c r="M1080" s="9"/>
      <c r="N1080" s="9"/>
      <c r="O1080" s="9"/>
      <c r="P1080" s="9"/>
      <c r="Q1080" s="9"/>
      <c r="R1080" s="9"/>
      <c r="S1080" s="9"/>
      <c r="T1080" s="223"/>
      <c r="U1080" s="9"/>
      <c r="V1080" s="9"/>
      <c r="W1080" s="971"/>
      <c r="X1080" s="9"/>
      <c r="Y1080" s="9"/>
      <c r="Z1080" s="204"/>
      <c r="AA1080" s="9"/>
      <c r="AB1080" s="9"/>
      <c r="AC1080" s="9"/>
      <c r="AD1080" s="9"/>
    </row>
    <row r="1081" ht="15.75" customHeight="1">
      <c r="A1081" s="9"/>
      <c r="B1081" s="223"/>
      <c r="C1081" s="9"/>
      <c r="D1081" s="9"/>
      <c r="E1081" s="223"/>
      <c r="F1081" s="9"/>
      <c r="G1081" s="9"/>
      <c r="H1081" s="9"/>
      <c r="I1081" s="9"/>
      <c r="J1081" s="9"/>
      <c r="K1081" s="9"/>
      <c r="L1081" s="9"/>
      <c r="M1081" s="9"/>
      <c r="N1081" s="9"/>
      <c r="O1081" s="9"/>
      <c r="P1081" s="9"/>
      <c r="Q1081" s="9"/>
      <c r="R1081" s="9"/>
      <c r="S1081" s="9"/>
      <c r="T1081" s="223"/>
      <c r="U1081" s="9"/>
      <c r="V1081" s="9"/>
      <c r="W1081" s="971"/>
      <c r="X1081" s="9"/>
      <c r="Y1081" s="9"/>
      <c r="Z1081" s="204"/>
      <c r="AA1081" s="9"/>
      <c r="AB1081" s="9"/>
      <c r="AC1081" s="9"/>
      <c r="AD1081" s="9"/>
    </row>
    <row r="1082" ht="15.75" customHeight="1">
      <c r="A1082" s="9"/>
      <c r="B1082" s="223"/>
      <c r="C1082" s="9"/>
      <c r="D1082" s="9"/>
      <c r="E1082" s="223"/>
      <c r="F1082" s="9"/>
      <c r="G1082" s="9"/>
      <c r="H1082" s="9"/>
      <c r="I1082" s="9"/>
      <c r="J1082" s="9"/>
      <c r="K1082" s="9"/>
      <c r="L1082" s="9"/>
      <c r="M1082" s="9"/>
      <c r="N1082" s="9"/>
      <c r="O1082" s="9"/>
      <c r="P1082" s="9"/>
      <c r="Q1082" s="9"/>
      <c r="R1082" s="9"/>
      <c r="S1082" s="9"/>
      <c r="T1082" s="223"/>
      <c r="U1082" s="9"/>
      <c r="V1082" s="9"/>
      <c r="W1082" s="971"/>
      <c r="X1082" s="9"/>
      <c r="Y1082" s="9"/>
      <c r="Z1082" s="204"/>
      <c r="AA1082" s="9"/>
      <c r="AB1082" s="9"/>
      <c r="AC1082" s="9"/>
      <c r="AD1082" s="9"/>
    </row>
    <row r="1083" ht="15.75" customHeight="1">
      <c r="A1083" s="9"/>
      <c r="B1083" s="223"/>
      <c r="C1083" s="9"/>
      <c r="D1083" s="9"/>
      <c r="E1083" s="223"/>
      <c r="F1083" s="9"/>
      <c r="G1083" s="9"/>
      <c r="H1083" s="9"/>
      <c r="I1083" s="9"/>
      <c r="J1083" s="9"/>
      <c r="K1083" s="9"/>
      <c r="L1083" s="9"/>
      <c r="M1083" s="9"/>
      <c r="N1083" s="9"/>
      <c r="O1083" s="9"/>
      <c r="P1083" s="9"/>
      <c r="Q1083" s="9"/>
      <c r="R1083" s="9"/>
      <c r="S1083" s="9"/>
      <c r="T1083" s="223"/>
      <c r="U1083" s="9"/>
      <c r="V1083" s="9"/>
      <c r="W1083" s="971"/>
      <c r="X1083" s="9"/>
      <c r="Y1083" s="9"/>
      <c r="Z1083" s="204"/>
      <c r="AA1083" s="9"/>
      <c r="AB1083" s="9"/>
      <c r="AC1083" s="9"/>
      <c r="AD1083" s="9"/>
    </row>
    <row r="1084" ht="15.75" customHeight="1">
      <c r="A1084" s="9"/>
      <c r="B1084" s="223"/>
      <c r="C1084" s="9"/>
      <c r="D1084" s="9"/>
      <c r="E1084" s="223"/>
      <c r="F1084" s="9"/>
      <c r="G1084" s="9"/>
      <c r="H1084" s="9"/>
      <c r="I1084" s="9"/>
      <c r="J1084" s="9"/>
      <c r="K1084" s="9"/>
      <c r="L1084" s="9"/>
      <c r="M1084" s="9"/>
      <c r="N1084" s="9"/>
      <c r="O1084" s="9"/>
      <c r="P1084" s="9"/>
      <c r="Q1084" s="9"/>
      <c r="R1084" s="9"/>
      <c r="S1084" s="9"/>
      <c r="T1084" s="223"/>
      <c r="U1084" s="9"/>
      <c r="V1084" s="9"/>
      <c r="W1084" s="971"/>
      <c r="X1084" s="9"/>
      <c r="Y1084" s="9"/>
      <c r="Z1084" s="204"/>
      <c r="AA1084" s="9"/>
      <c r="AB1084" s="9"/>
      <c r="AC1084" s="9"/>
      <c r="AD1084" s="9"/>
    </row>
    <row r="1085" ht="15.75" customHeight="1">
      <c r="A1085" s="9"/>
      <c r="B1085" s="223"/>
      <c r="C1085" s="9"/>
      <c r="D1085" s="9"/>
      <c r="E1085" s="223"/>
      <c r="F1085" s="9"/>
      <c r="G1085" s="9"/>
      <c r="H1085" s="9"/>
      <c r="I1085" s="9"/>
      <c r="J1085" s="9"/>
      <c r="K1085" s="9"/>
      <c r="L1085" s="9"/>
      <c r="M1085" s="9"/>
      <c r="N1085" s="9"/>
      <c r="O1085" s="9"/>
      <c r="P1085" s="9"/>
      <c r="Q1085" s="9"/>
      <c r="R1085" s="9"/>
      <c r="S1085" s="9"/>
      <c r="T1085" s="223"/>
      <c r="U1085" s="9"/>
      <c r="V1085" s="9"/>
      <c r="W1085" s="971"/>
      <c r="X1085" s="9"/>
      <c r="Y1085" s="9"/>
      <c r="Z1085" s="204"/>
      <c r="AA1085" s="9"/>
      <c r="AB1085" s="9"/>
      <c r="AC1085" s="9"/>
      <c r="AD1085" s="9"/>
    </row>
    <row r="1086" ht="15.75" customHeight="1">
      <c r="A1086" s="9"/>
      <c r="B1086" s="223"/>
      <c r="C1086" s="9"/>
      <c r="D1086" s="9"/>
      <c r="E1086" s="223"/>
      <c r="F1086" s="9"/>
      <c r="G1086" s="9"/>
      <c r="H1086" s="9"/>
      <c r="I1086" s="9"/>
      <c r="J1086" s="9"/>
      <c r="K1086" s="9"/>
      <c r="L1086" s="9"/>
      <c r="M1086" s="9"/>
      <c r="N1086" s="9"/>
      <c r="O1086" s="9"/>
      <c r="P1086" s="9"/>
      <c r="Q1086" s="9"/>
      <c r="R1086" s="9"/>
      <c r="S1086" s="9"/>
      <c r="T1086" s="223"/>
      <c r="U1086" s="9"/>
      <c r="V1086" s="9"/>
      <c r="W1086" s="971"/>
      <c r="X1086" s="9"/>
      <c r="Y1086" s="9"/>
      <c r="Z1086" s="204"/>
      <c r="AA1086" s="9"/>
      <c r="AB1086" s="9"/>
      <c r="AC1086" s="9"/>
      <c r="AD1086" s="9"/>
    </row>
    <row r="1087" ht="15.75" customHeight="1">
      <c r="A1087" s="9"/>
      <c r="B1087" s="223"/>
      <c r="C1087" s="9"/>
      <c r="D1087" s="9"/>
      <c r="E1087" s="223"/>
      <c r="F1087" s="9"/>
      <c r="G1087" s="9"/>
      <c r="H1087" s="9"/>
      <c r="I1087" s="9"/>
      <c r="J1087" s="9"/>
      <c r="K1087" s="9"/>
      <c r="L1087" s="9"/>
      <c r="M1087" s="9"/>
      <c r="N1087" s="9"/>
      <c r="O1087" s="9"/>
      <c r="P1087" s="9"/>
      <c r="Q1087" s="9"/>
      <c r="R1087" s="9"/>
      <c r="S1087" s="9"/>
      <c r="T1087" s="223"/>
      <c r="U1087" s="9"/>
      <c r="V1087" s="9"/>
      <c r="W1087" s="971"/>
      <c r="X1087" s="9"/>
      <c r="Y1087" s="9"/>
      <c r="Z1087" s="204"/>
      <c r="AA1087" s="9"/>
      <c r="AB1087" s="9"/>
      <c r="AC1087" s="9"/>
      <c r="AD1087" s="9"/>
    </row>
    <row r="1088" ht="15.75" customHeight="1">
      <c r="A1088" s="9"/>
      <c r="B1088" s="223"/>
      <c r="C1088" s="9"/>
      <c r="D1088" s="9"/>
      <c r="E1088" s="223"/>
      <c r="F1088" s="9"/>
      <c r="G1088" s="9"/>
      <c r="H1088" s="9"/>
      <c r="I1088" s="9"/>
      <c r="J1088" s="9"/>
      <c r="K1088" s="9"/>
      <c r="L1088" s="9"/>
      <c r="M1088" s="9"/>
      <c r="N1088" s="9"/>
      <c r="O1088" s="9"/>
      <c r="P1088" s="9"/>
      <c r="Q1088" s="9"/>
      <c r="R1088" s="9"/>
      <c r="S1088" s="9"/>
      <c r="T1088" s="223"/>
      <c r="U1088" s="9"/>
      <c r="V1088" s="9"/>
      <c r="W1088" s="971"/>
      <c r="X1088" s="9"/>
      <c r="Y1088" s="9"/>
      <c r="Z1088" s="204"/>
      <c r="AA1088" s="9"/>
      <c r="AB1088" s="9"/>
      <c r="AC1088" s="9"/>
      <c r="AD1088" s="9"/>
    </row>
    <row r="1089" ht="15.75" customHeight="1">
      <c r="A1089" s="9"/>
      <c r="B1089" s="223"/>
      <c r="C1089" s="9"/>
      <c r="D1089" s="9"/>
      <c r="E1089" s="223"/>
      <c r="F1089" s="9"/>
      <c r="G1089" s="9"/>
      <c r="H1089" s="9"/>
      <c r="I1089" s="9"/>
      <c r="J1089" s="9"/>
      <c r="K1089" s="9"/>
      <c r="L1089" s="9"/>
      <c r="M1089" s="9"/>
      <c r="N1089" s="9"/>
      <c r="O1089" s="9"/>
      <c r="P1089" s="9"/>
      <c r="Q1089" s="9"/>
      <c r="R1089" s="9"/>
      <c r="S1089" s="9"/>
      <c r="T1089" s="223"/>
      <c r="U1089" s="9"/>
      <c r="V1089" s="9"/>
      <c r="W1089" s="971"/>
      <c r="X1089" s="9"/>
      <c r="Y1089" s="9"/>
      <c r="Z1089" s="204"/>
      <c r="AA1089" s="9"/>
      <c r="AB1089" s="9"/>
      <c r="AC1089" s="9"/>
      <c r="AD1089" s="9"/>
    </row>
    <row r="1090" ht="15.75" customHeight="1">
      <c r="A1090" s="9"/>
      <c r="B1090" s="223"/>
      <c r="C1090" s="9"/>
      <c r="D1090" s="9"/>
      <c r="E1090" s="223"/>
      <c r="F1090" s="9"/>
      <c r="G1090" s="9"/>
      <c r="H1090" s="9"/>
      <c r="I1090" s="9"/>
      <c r="J1090" s="9"/>
      <c r="K1090" s="9"/>
      <c r="L1090" s="9"/>
      <c r="M1090" s="9"/>
      <c r="N1090" s="9"/>
      <c r="O1090" s="9"/>
      <c r="P1090" s="9"/>
      <c r="Q1090" s="9"/>
      <c r="R1090" s="9"/>
      <c r="S1090" s="9"/>
      <c r="T1090" s="223"/>
      <c r="U1090" s="9"/>
      <c r="V1090" s="9"/>
      <c r="W1090" s="971"/>
      <c r="X1090" s="9"/>
      <c r="Y1090" s="9"/>
      <c r="Z1090" s="204"/>
      <c r="AA1090" s="9"/>
      <c r="AB1090" s="9"/>
      <c r="AC1090" s="9"/>
      <c r="AD1090" s="9"/>
    </row>
    <row r="1091" ht="15.75" customHeight="1">
      <c r="A1091" s="9"/>
      <c r="B1091" s="223"/>
      <c r="C1091" s="9"/>
      <c r="D1091" s="9"/>
      <c r="E1091" s="223"/>
      <c r="F1091" s="9"/>
      <c r="G1091" s="9"/>
      <c r="H1091" s="9"/>
      <c r="I1091" s="9"/>
      <c r="J1091" s="9"/>
      <c r="K1091" s="9"/>
      <c r="L1091" s="9"/>
      <c r="M1091" s="9"/>
      <c r="N1091" s="9"/>
      <c r="O1091" s="9"/>
      <c r="P1091" s="9"/>
      <c r="Q1091" s="9"/>
      <c r="R1091" s="9"/>
      <c r="S1091" s="9"/>
      <c r="T1091" s="223"/>
      <c r="U1091" s="9"/>
      <c r="V1091" s="9"/>
      <c r="W1091" s="971"/>
      <c r="X1091" s="9"/>
      <c r="Y1091" s="9"/>
      <c r="Z1091" s="204"/>
      <c r="AA1091" s="9"/>
      <c r="AB1091" s="9"/>
      <c r="AC1091" s="9"/>
      <c r="AD1091" s="9"/>
    </row>
    <row r="1092" ht="15.75" customHeight="1">
      <c r="A1092" s="9"/>
      <c r="B1092" s="223"/>
      <c r="C1092" s="9"/>
      <c r="D1092" s="9"/>
      <c r="E1092" s="223"/>
      <c r="F1092" s="9"/>
      <c r="G1092" s="9"/>
      <c r="H1092" s="9"/>
      <c r="I1092" s="9"/>
      <c r="J1092" s="9"/>
      <c r="K1092" s="9"/>
      <c r="L1092" s="9"/>
      <c r="M1092" s="9"/>
      <c r="N1092" s="9"/>
      <c r="O1092" s="9"/>
      <c r="P1092" s="9"/>
      <c r="Q1092" s="9"/>
      <c r="R1092" s="9"/>
      <c r="S1092" s="9"/>
      <c r="T1092" s="223"/>
      <c r="U1092" s="9"/>
      <c r="V1092" s="9"/>
      <c r="W1092" s="971"/>
      <c r="X1092" s="9"/>
      <c r="Y1092" s="9"/>
      <c r="Z1092" s="204"/>
      <c r="AA1092" s="9"/>
      <c r="AB1092" s="9"/>
      <c r="AC1092" s="9"/>
      <c r="AD1092" s="9"/>
    </row>
    <row r="1093" ht="15.75" customHeight="1">
      <c r="A1093" s="9"/>
      <c r="B1093" s="223"/>
      <c r="C1093" s="9"/>
      <c r="D1093" s="9"/>
      <c r="E1093" s="223"/>
      <c r="F1093" s="9"/>
      <c r="G1093" s="9"/>
      <c r="H1093" s="9"/>
      <c r="I1093" s="9"/>
      <c r="J1093" s="9"/>
      <c r="K1093" s="9"/>
      <c r="L1093" s="9"/>
      <c r="M1093" s="9"/>
      <c r="N1093" s="9"/>
      <c r="O1093" s="9"/>
      <c r="P1093" s="9"/>
      <c r="Q1093" s="9"/>
      <c r="R1093" s="9"/>
      <c r="S1093" s="9"/>
      <c r="T1093" s="223"/>
      <c r="U1093" s="9"/>
      <c r="V1093" s="9"/>
      <c r="W1093" s="971"/>
      <c r="X1093" s="9"/>
      <c r="Y1093" s="9"/>
      <c r="Z1093" s="204"/>
      <c r="AA1093" s="9"/>
      <c r="AB1093" s="9"/>
      <c r="AC1093" s="9"/>
      <c r="AD1093" s="9"/>
    </row>
    <row r="1094" ht="15.75" customHeight="1">
      <c r="A1094" s="9"/>
      <c r="B1094" s="223"/>
      <c r="C1094" s="9"/>
      <c r="D1094" s="9"/>
      <c r="E1094" s="223"/>
      <c r="F1094" s="9"/>
      <c r="G1094" s="9"/>
      <c r="H1094" s="9"/>
      <c r="I1094" s="9"/>
      <c r="J1094" s="9"/>
      <c r="K1094" s="9"/>
      <c r="L1094" s="9"/>
      <c r="M1094" s="9"/>
      <c r="N1094" s="9"/>
      <c r="O1094" s="9"/>
      <c r="P1094" s="9"/>
      <c r="Q1094" s="9"/>
      <c r="R1094" s="9"/>
      <c r="S1094" s="9"/>
      <c r="T1094" s="223"/>
      <c r="U1094" s="9"/>
      <c r="V1094" s="9"/>
      <c r="W1094" s="971"/>
      <c r="X1094" s="9"/>
      <c r="Y1094" s="9"/>
      <c r="Z1094" s="204"/>
      <c r="AA1094" s="9"/>
      <c r="AB1094" s="9"/>
      <c r="AC1094" s="9"/>
      <c r="AD1094" s="9"/>
    </row>
    <row r="1095" ht="15.75" customHeight="1">
      <c r="A1095" s="9"/>
      <c r="B1095" s="223"/>
      <c r="C1095" s="9"/>
      <c r="D1095" s="9"/>
      <c r="E1095" s="223"/>
      <c r="F1095" s="9"/>
      <c r="G1095" s="9"/>
      <c r="H1095" s="9"/>
      <c r="I1095" s="9"/>
      <c r="J1095" s="9"/>
      <c r="K1095" s="9"/>
      <c r="L1095" s="9"/>
      <c r="M1095" s="9"/>
      <c r="N1095" s="9"/>
      <c r="O1095" s="9"/>
      <c r="P1095" s="9"/>
      <c r="Q1095" s="9"/>
      <c r="R1095" s="9"/>
      <c r="S1095" s="9"/>
      <c r="T1095" s="223"/>
      <c r="U1095" s="9"/>
      <c r="V1095" s="9"/>
      <c r="W1095" s="971"/>
      <c r="X1095" s="9"/>
      <c r="Y1095" s="9"/>
      <c r="Z1095" s="204"/>
      <c r="AA1095" s="9"/>
      <c r="AB1095" s="9"/>
      <c r="AC1095" s="9"/>
      <c r="AD1095" s="9"/>
    </row>
    <row r="1096" ht="15.75" customHeight="1">
      <c r="A1096" s="9"/>
      <c r="B1096" s="223"/>
      <c r="C1096" s="9"/>
      <c r="D1096" s="9"/>
      <c r="E1096" s="223"/>
      <c r="F1096" s="9"/>
      <c r="G1096" s="9"/>
      <c r="H1096" s="9"/>
      <c r="I1096" s="9"/>
      <c r="J1096" s="9"/>
      <c r="K1096" s="9"/>
      <c r="L1096" s="9"/>
      <c r="M1096" s="9"/>
      <c r="N1096" s="9"/>
      <c r="O1096" s="9"/>
      <c r="P1096" s="9"/>
      <c r="Q1096" s="9"/>
      <c r="R1096" s="9"/>
      <c r="S1096" s="9"/>
      <c r="T1096" s="223"/>
      <c r="U1096" s="9"/>
      <c r="V1096" s="9"/>
      <c r="W1096" s="971"/>
      <c r="X1096" s="9"/>
      <c r="Y1096" s="9"/>
      <c r="Z1096" s="204"/>
      <c r="AA1096" s="9"/>
      <c r="AB1096" s="9"/>
      <c r="AC1096" s="9"/>
      <c r="AD1096" s="9"/>
    </row>
    <row r="1097" ht="15.75" customHeight="1">
      <c r="A1097" s="9"/>
      <c r="B1097" s="223"/>
      <c r="C1097" s="9"/>
      <c r="D1097" s="9"/>
      <c r="E1097" s="223"/>
      <c r="F1097" s="9"/>
      <c r="G1097" s="9"/>
      <c r="H1097" s="9"/>
      <c r="I1097" s="9"/>
      <c r="J1097" s="9"/>
      <c r="K1097" s="9"/>
      <c r="L1097" s="9"/>
      <c r="M1097" s="9"/>
      <c r="N1097" s="9"/>
      <c r="O1097" s="9"/>
      <c r="P1097" s="9"/>
      <c r="Q1097" s="9"/>
      <c r="R1097" s="9"/>
      <c r="S1097" s="9"/>
      <c r="T1097" s="223"/>
      <c r="U1097" s="9"/>
      <c r="V1097" s="9"/>
      <c r="W1097" s="971"/>
      <c r="X1097" s="9"/>
      <c r="Y1097" s="9"/>
      <c r="Z1097" s="204"/>
      <c r="AA1097" s="9"/>
      <c r="AB1097" s="9"/>
      <c r="AC1097" s="9"/>
      <c r="AD1097" s="9"/>
    </row>
    <row r="1098" ht="15.75" customHeight="1">
      <c r="A1098" s="9"/>
      <c r="B1098" s="223"/>
      <c r="C1098" s="9"/>
      <c r="D1098" s="9"/>
      <c r="E1098" s="223"/>
      <c r="F1098" s="9"/>
      <c r="G1098" s="9"/>
      <c r="H1098" s="9"/>
      <c r="I1098" s="9"/>
      <c r="J1098" s="9"/>
      <c r="K1098" s="9"/>
      <c r="L1098" s="9"/>
      <c r="M1098" s="9"/>
      <c r="N1098" s="9"/>
      <c r="O1098" s="9"/>
      <c r="P1098" s="9"/>
      <c r="Q1098" s="9"/>
      <c r="R1098" s="9"/>
      <c r="S1098" s="9"/>
      <c r="T1098" s="223"/>
      <c r="U1098" s="9"/>
      <c r="V1098" s="9"/>
      <c r="W1098" s="971"/>
      <c r="X1098" s="9"/>
      <c r="Y1098" s="9"/>
      <c r="Z1098" s="204"/>
      <c r="AA1098" s="9"/>
      <c r="AB1098" s="9"/>
      <c r="AC1098" s="9"/>
      <c r="AD1098" s="9"/>
    </row>
    <row r="1099" ht="15.75" customHeight="1">
      <c r="A1099" s="9"/>
      <c r="B1099" s="223"/>
      <c r="C1099" s="9"/>
      <c r="D1099" s="9"/>
      <c r="E1099" s="223"/>
      <c r="F1099" s="9"/>
      <c r="G1099" s="9"/>
      <c r="H1099" s="9"/>
      <c r="I1099" s="9"/>
      <c r="J1099" s="9"/>
      <c r="K1099" s="9"/>
      <c r="L1099" s="9"/>
      <c r="M1099" s="9"/>
      <c r="N1099" s="9"/>
      <c r="O1099" s="9"/>
      <c r="P1099" s="9"/>
      <c r="Q1099" s="9"/>
      <c r="R1099" s="9"/>
      <c r="S1099" s="9"/>
      <c r="T1099" s="223"/>
      <c r="U1099" s="9"/>
      <c r="V1099" s="9"/>
      <c r="W1099" s="971"/>
      <c r="X1099" s="9"/>
      <c r="Y1099" s="9"/>
      <c r="Z1099" s="204"/>
      <c r="AA1099" s="9"/>
      <c r="AB1099" s="9"/>
      <c r="AC1099" s="9"/>
      <c r="AD1099" s="9"/>
    </row>
    <row r="1100" ht="15.75" customHeight="1">
      <c r="A1100" s="9"/>
      <c r="B1100" s="223"/>
      <c r="C1100" s="9"/>
      <c r="D1100" s="9"/>
      <c r="E1100" s="223"/>
      <c r="F1100" s="9"/>
      <c r="G1100" s="9"/>
      <c r="H1100" s="9"/>
      <c r="I1100" s="9"/>
      <c r="J1100" s="9"/>
      <c r="K1100" s="9"/>
      <c r="L1100" s="9"/>
      <c r="M1100" s="9"/>
      <c r="N1100" s="9"/>
      <c r="O1100" s="9"/>
      <c r="P1100" s="9"/>
      <c r="Q1100" s="9"/>
      <c r="R1100" s="9"/>
      <c r="S1100" s="9"/>
      <c r="T1100" s="223"/>
      <c r="U1100" s="9"/>
      <c r="V1100" s="9"/>
      <c r="W1100" s="971"/>
      <c r="X1100" s="9"/>
      <c r="Y1100" s="9"/>
      <c r="Z1100" s="204"/>
      <c r="AA1100" s="9"/>
      <c r="AB1100" s="9"/>
      <c r="AC1100" s="9"/>
      <c r="AD1100" s="9"/>
    </row>
    <row r="1101" ht="15.75" customHeight="1">
      <c r="A1101" s="9"/>
      <c r="B1101" s="223"/>
      <c r="C1101" s="9"/>
      <c r="D1101" s="9"/>
      <c r="E1101" s="223"/>
      <c r="F1101" s="9"/>
      <c r="G1101" s="9"/>
      <c r="H1101" s="9"/>
      <c r="I1101" s="9"/>
      <c r="J1101" s="9"/>
      <c r="K1101" s="9"/>
      <c r="L1101" s="9"/>
      <c r="M1101" s="9"/>
      <c r="N1101" s="9"/>
      <c r="O1101" s="9"/>
      <c r="P1101" s="9"/>
      <c r="Q1101" s="9"/>
      <c r="R1101" s="9"/>
      <c r="S1101" s="9"/>
      <c r="T1101" s="223"/>
      <c r="U1101" s="9"/>
      <c r="V1101" s="9"/>
      <c r="W1101" s="971"/>
      <c r="X1101" s="9"/>
      <c r="Y1101" s="9"/>
      <c r="Z1101" s="204"/>
      <c r="AA1101" s="9"/>
      <c r="AB1101" s="9"/>
      <c r="AC1101" s="9"/>
      <c r="AD1101" s="9"/>
    </row>
    <row r="1102" ht="15.75" customHeight="1">
      <c r="A1102" s="9"/>
      <c r="B1102" s="223"/>
      <c r="C1102" s="9"/>
      <c r="D1102" s="9"/>
      <c r="E1102" s="223"/>
      <c r="F1102" s="9"/>
      <c r="G1102" s="9"/>
      <c r="H1102" s="9"/>
      <c r="I1102" s="9"/>
      <c r="J1102" s="9"/>
      <c r="K1102" s="9"/>
      <c r="L1102" s="9"/>
      <c r="M1102" s="9"/>
      <c r="N1102" s="9"/>
      <c r="O1102" s="9"/>
      <c r="P1102" s="9"/>
      <c r="Q1102" s="9"/>
      <c r="R1102" s="9"/>
      <c r="S1102" s="9"/>
      <c r="T1102" s="223"/>
      <c r="U1102" s="9"/>
      <c r="V1102" s="9"/>
      <c r="W1102" s="971"/>
      <c r="X1102" s="9"/>
      <c r="Y1102" s="9"/>
      <c r="Z1102" s="204"/>
      <c r="AA1102" s="9"/>
      <c r="AB1102" s="9"/>
      <c r="AC1102" s="9"/>
      <c r="AD1102" s="9"/>
    </row>
    <row r="1103" ht="15.75" customHeight="1">
      <c r="A1103" s="9"/>
      <c r="B1103" s="223"/>
      <c r="C1103" s="9"/>
      <c r="D1103" s="9"/>
      <c r="E1103" s="223"/>
      <c r="F1103" s="9"/>
      <c r="G1103" s="9"/>
      <c r="H1103" s="9"/>
      <c r="I1103" s="9"/>
      <c r="J1103" s="9"/>
      <c r="K1103" s="9"/>
      <c r="L1103" s="9"/>
      <c r="M1103" s="9"/>
      <c r="N1103" s="9"/>
      <c r="O1103" s="9"/>
      <c r="P1103" s="9"/>
      <c r="Q1103" s="9"/>
      <c r="R1103" s="9"/>
      <c r="S1103" s="9"/>
      <c r="T1103" s="223"/>
      <c r="U1103" s="9"/>
      <c r="V1103" s="9"/>
      <c r="W1103" s="971"/>
      <c r="X1103" s="9"/>
      <c r="Y1103" s="9"/>
      <c r="Z1103" s="204"/>
      <c r="AA1103" s="9"/>
      <c r="AB1103" s="9"/>
      <c r="AC1103" s="9"/>
      <c r="AD1103" s="9"/>
    </row>
    <row r="1104" ht="15.75" customHeight="1">
      <c r="A1104" s="9"/>
      <c r="B1104" s="223"/>
      <c r="C1104" s="9"/>
      <c r="D1104" s="9"/>
      <c r="E1104" s="223"/>
      <c r="F1104" s="9"/>
      <c r="G1104" s="9"/>
      <c r="H1104" s="9"/>
      <c r="I1104" s="9"/>
      <c r="J1104" s="9"/>
      <c r="K1104" s="9"/>
      <c r="L1104" s="9"/>
      <c r="M1104" s="9"/>
      <c r="N1104" s="9"/>
      <c r="O1104" s="9"/>
      <c r="P1104" s="9"/>
      <c r="Q1104" s="9"/>
      <c r="R1104" s="9"/>
      <c r="S1104" s="9"/>
      <c r="T1104" s="223"/>
      <c r="U1104" s="9"/>
      <c r="V1104" s="9"/>
      <c r="W1104" s="971"/>
      <c r="X1104" s="9"/>
      <c r="Y1104" s="9"/>
      <c r="Z1104" s="204"/>
      <c r="AA1104" s="9"/>
      <c r="AB1104" s="9"/>
      <c r="AC1104" s="9"/>
      <c r="AD1104" s="9"/>
    </row>
    <row r="1105" ht="15.75" customHeight="1">
      <c r="A1105" s="9"/>
      <c r="B1105" s="223"/>
      <c r="C1105" s="9"/>
      <c r="D1105" s="9"/>
      <c r="E1105" s="223"/>
      <c r="F1105" s="9"/>
      <c r="G1105" s="9"/>
      <c r="H1105" s="9"/>
      <c r="I1105" s="9"/>
      <c r="J1105" s="9"/>
      <c r="K1105" s="9"/>
      <c r="L1105" s="9"/>
      <c r="M1105" s="9"/>
      <c r="N1105" s="9"/>
      <c r="O1105" s="9"/>
      <c r="P1105" s="9"/>
      <c r="Q1105" s="9"/>
      <c r="R1105" s="9"/>
      <c r="S1105" s="9"/>
      <c r="T1105" s="223"/>
      <c r="U1105" s="9"/>
      <c r="V1105" s="9"/>
      <c r="W1105" s="971"/>
      <c r="X1105" s="9"/>
      <c r="Y1105" s="9"/>
      <c r="Z1105" s="204"/>
      <c r="AA1105" s="9"/>
      <c r="AB1105" s="9"/>
      <c r="AC1105" s="9"/>
      <c r="AD1105" s="9"/>
    </row>
    <row r="1106" ht="15.75" customHeight="1">
      <c r="A1106" s="9"/>
      <c r="B1106" s="223"/>
      <c r="C1106" s="9"/>
      <c r="D1106" s="9"/>
      <c r="E1106" s="223"/>
      <c r="F1106" s="9"/>
      <c r="G1106" s="9"/>
      <c r="H1106" s="9"/>
      <c r="I1106" s="9"/>
      <c r="J1106" s="9"/>
      <c r="K1106" s="9"/>
      <c r="L1106" s="9"/>
      <c r="M1106" s="9"/>
      <c r="N1106" s="9"/>
      <c r="O1106" s="9"/>
      <c r="P1106" s="9"/>
      <c r="Q1106" s="9"/>
      <c r="R1106" s="9"/>
      <c r="S1106" s="9"/>
      <c r="T1106" s="223"/>
      <c r="U1106" s="9"/>
      <c r="V1106" s="9"/>
      <c r="W1106" s="971"/>
      <c r="X1106" s="9"/>
      <c r="Y1106" s="9"/>
      <c r="Z1106" s="204"/>
      <c r="AA1106" s="9"/>
      <c r="AB1106" s="9"/>
      <c r="AC1106" s="9"/>
      <c r="AD1106" s="9"/>
    </row>
    <row r="1107" ht="15.75" customHeight="1">
      <c r="A1107" s="9"/>
      <c r="B1107" s="223"/>
      <c r="C1107" s="9"/>
      <c r="D1107" s="9"/>
      <c r="E1107" s="223"/>
      <c r="F1107" s="9"/>
      <c r="G1107" s="9"/>
      <c r="H1107" s="9"/>
      <c r="I1107" s="9"/>
      <c r="J1107" s="9"/>
      <c r="K1107" s="9"/>
      <c r="L1107" s="9"/>
      <c r="M1107" s="9"/>
      <c r="N1107" s="9"/>
      <c r="O1107" s="9"/>
      <c r="P1107" s="9"/>
      <c r="Q1107" s="9"/>
      <c r="R1107" s="9"/>
      <c r="S1107" s="9"/>
      <c r="T1107" s="223"/>
      <c r="U1107" s="9"/>
      <c r="V1107" s="9"/>
      <c r="W1107" s="971"/>
      <c r="X1107" s="9"/>
      <c r="Y1107" s="9"/>
      <c r="Z1107" s="204"/>
      <c r="AA1107" s="9"/>
      <c r="AB1107" s="9"/>
      <c r="AC1107" s="9"/>
      <c r="AD1107" s="9"/>
    </row>
    <row r="1108" ht="15.75" customHeight="1">
      <c r="A1108" s="9"/>
      <c r="B1108" s="223"/>
      <c r="C1108" s="9"/>
      <c r="D1108" s="9"/>
      <c r="E1108" s="223"/>
      <c r="F1108" s="9"/>
      <c r="G1108" s="9"/>
      <c r="H1108" s="9"/>
      <c r="I1108" s="9"/>
      <c r="J1108" s="9"/>
      <c r="K1108" s="9"/>
      <c r="L1108" s="9"/>
      <c r="M1108" s="9"/>
      <c r="N1108" s="9"/>
      <c r="O1108" s="9"/>
      <c r="P1108" s="9"/>
      <c r="Q1108" s="9"/>
      <c r="R1108" s="9"/>
      <c r="S1108" s="9"/>
      <c r="T1108" s="223"/>
      <c r="U1108" s="9"/>
      <c r="V1108" s="9"/>
      <c r="W1108" s="971"/>
      <c r="X1108" s="9"/>
      <c r="Y1108" s="9"/>
      <c r="Z1108" s="204"/>
      <c r="AA1108" s="9"/>
      <c r="AB1108" s="9"/>
      <c r="AC1108" s="9"/>
      <c r="AD1108" s="9"/>
    </row>
    <row r="1109" ht="15.75" customHeight="1">
      <c r="A1109" s="9"/>
      <c r="B1109" s="223"/>
      <c r="C1109" s="9"/>
      <c r="D1109" s="9"/>
      <c r="E1109" s="223"/>
      <c r="F1109" s="9"/>
      <c r="G1109" s="9"/>
      <c r="H1109" s="9"/>
      <c r="I1109" s="9"/>
      <c r="J1109" s="9"/>
      <c r="K1109" s="9"/>
      <c r="L1109" s="9"/>
      <c r="M1109" s="9"/>
      <c r="N1109" s="9"/>
      <c r="O1109" s="9"/>
      <c r="P1109" s="9"/>
      <c r="Q1109" s="9"/>
      <c r="R1109" s="9"/>
      <c r="S1109" s="9"/>
      <c r="T1109" s="223"/>
      <c r="U1109" s="9"/>
      <c r="V1109" s="9"/>
      <c r="W1109" s="971"/>
      <c r="X1109" s="9"/>
      <c r="Y1109" s="9"/>
      <c r="Z1109" s="204"/>
      <c r="AA1109" s="9"/>
      <c r="AB1109" s="9"/>
      <c r="AC1109" s="9"/>
      <c r="AD1109" s="9"/>
    </row>
    <row r="1110" ht="15.75" customHeight="1">
      <c r="A1110" s="9"/>
      <c r="B1110" s="223"/>
      <c r="C1110" s="9"/>
      <c r="D1110" s="9"/>
      <c r="E1110" s="223"/>
      <c r="F1110" s="9"/>
      <c r="G1110" s="9"/>
      <c r="H1110" s="9"/>
      <c r="I1110" s="9"/>
      <c r="J1110" s="9"/>
      <c r="K1110" s="9"/>
      <c r="L1110" s="9"/>
      <c r="M1110" s="9"/>
      <c r="N1110" s="9"/>
      <c r="O1110" s="9"/>
      <c r="P1110" s="9"/>
      <c r="Q1110" s="9"/>
      <c r="R1110" s="9"/>
      <c r="S1110" s="9"/>
      <c r="T1110" s="223"/>
      <c r="U1110" s="9"/>
      <c r="V1110" s="9"/>
      <c r="W1110" s="971"/>
      <c r="X1110" s="9"/>
      <c r="Y1110" s="9"/>
      <c r="Z1110" s="204"/>
      <c r="AA1110" s="9"/>
      <c r="AB1110" s="9"/>
      <c r="AC1110" s="9"/>
      <c r="AD1110" s="9"/>
    </row>
    <row r="1111" ht="15.75" customHeight="1">
      <c r="A1111" s="9"/>
      <c r="B1111" s="223"/>
      <c r="C1111" s="9"/>
      <c r="D1111" s="9"/>
      <c r="E1111" s="223"/>
      <c r="F1111" s="9"/>
      <c r="G1111" s="9"/>
      <c r="H1111" s="9"/>
      <c r="I1111" s="9"/>
      <c r="J1111" s="9"/>
      <c r="K1111" s="9"/>
      <c r="L1111" s="9"/>
      <c r="M1111" s="9"/>
      <c r="N1111" s="9"/>
      <c r="O1111" s="9"/>
      <c r="P1111" s="9"/>
      <c r="Q1111" s="9"/>
      <c r="R1111" s="9"/>
      <c r="S1111" s="9"/>
      <c r="T1111" s="223"/>
      <c r="U1111" s="9"/>
      <c r="V1111" s="9"/>
      <c r="W1111" s="971"/>
      <c r="X1111" s="9"/>
      <c r="Y1111" s="9"/>
      <c r="Z1111" s="204"/>
      <c r="AA1111" s="9"/>
      <c r="AB1111" s="9"/>
      <c r="AC1111" s="9"/>
      <c r="AD1111" s="9"/>
    </row>
    <row r="1112" ht="15.75" customHeight="1">
      <c r="A1112" s="9"/>
      <c r="B1112" s="223"/>
      <c r="C1112" s="9"/>
      <c r="D1112" s="9"/>
      <c r="E1112" s="223"/>
      <c r="F1112" s="9"/>
      <c r="G1112" s="9"/>
      <c r="H1112" s="9"/>
      <c r="I1112" s="9"/>
      <c r="J1112" s="9"/>
      <c r="K1112" s="9"/>
      <c r="L1112" s="9"/>
      <c r="M1112" s="9"/>
      <c r="N1112" s="9"/>
      <c r="O1112" s="9"/>
      <c r="P1112" s="9"/>
      <c r="Q1112" s="9"/>
      <c r="R1112" s="9"/>
      <c r="S1112" s="9"/>
      <c r="T1112" s="223"/>
      <c r="U1112" s="9"/>
      <c r="V1112" s="9"/>
      <c r="W1112" s="971"/>
      <c r="X1112" s="9"/>
      <c r="Y1112" s="9"/>
      <c r="Z1112" s="204"/>
      <c r="AA1112" s="9"/>
      <c r="AB1112" s="9"/>
      <c r="AC1112" s="9"/>
      <c r="AD1112" s="9"/>
    </row>
    <row r="1113" ht="15.75" customHeight="1">
      <c r="A1113" s="9"/>
      <c r="B1113" s="223"/>
      <c r="C1113" s="9"/>
      <c r="D1113" s="9"/>
      <c r="E1113" s="223"/>
      <c r="F1113" s="9"/>
      <c r="G1113" s="9"/>
      <c r="H1113" s="9"/>
      <c r="I1113" s="9"/>
      <c r="J1113" s="9"/>
      <c r="K1113" s="9"/>
      <c r="L1113" s="9"/>
      <c r="M1113" s="9"/>
      <c r="N1113" s="9"/>
      <c r="O1113" s="9"/>
      <c r="P1113" s="9"/>
      <c r="Q1113" s="9"/>
      <c r="R1113" s="9"/>
      <c r="S1113" s="9"/>
      <c r="T1113" s="223"/>
      <c r="U1113" s="9"/>
      <c r="V1113" s="9"/>
      <c r="W1113" s="971"/>
      <c r="X1113" s="9"/>
      <c r="Y1113" s="9"/>
      <c r="Z1113" s="204"/>
      <c r="AA1113" s="9"/>
      <c r="AB1113" s="9"/>
      <c r="AC1113" s="9"/>
      <c r="AD1113" s="9"/>
    </row>
    <row r="1114" ht="15.75" customHeight="1">
      <c r="A1114" s="9"/>
      <c r="B1114" s="223"/>
      <c r="C1114" s="9"/>
      <c r="D1114" s="9"/>
      <c r="E1114" s="223"/>
      <c r="F1114" s="9"/>
      <c r="G1114" s="9"/>
      <c r="H1114" s="9"/>
      <c r="I1114" s="9"/>
      <c r="J1114" s="9"/>
      <c r="K1114" s="9"/>
      <c r="L1114" s="9"/>
      <c r="M1114" s="9"/>
      <c r="N1114" s="9"/>
      <c r="O1114" s="9"/>
      <c r="P1114" s="9"/>
      <c r="Q1114" s="9"/>
      <c r="R1114" s="9"/>
      <c r="S1114" s="9"/>
      <c r="T1114" s="223"/>
      <c r="U1114" s="9"/>
      <c r="V1114" s="9"/>
      <c r="W1114" s="971"/>
      <c r="X1114" s="9"/>
      <c r="Y1114" s="9"/>
      <c r="Z1114" s="204"/>
      <c r="AA1114" s="9"/>
      <c r="AB1114" s="9"/>
      <c r="AC1114" s="9"/>
      <c r="AD1114" s="9"/>
    </row>
    <row r="1115" ht="15.75" customHeight="1">
      <c r="A1115" s="9"/>
      <c r="B1115" s="223"/>
      <c r="C1115" s="9"/>
      <c r="D1115" s="9"/>
      <c r="E1115" s="223"/>
      <c r="F1115" s="9"/>
      <c r="G1115" s="9"/>
      <c r="H1115" s="9"/>
      <c r="I1115" s="9"/>
      <c r="J1115" s="9"/>
      <c r="K1115" s="9"/>
      <c r="L1115" s="9"/>
      <c r="M1115" s="9"/>
      <c r="N1115" s="9"/>
      <c r="O1115" s="9"/>
      <c r="P1115" s="9"/>
      <c r="Q1115" s="9"/>
      <c r="R1115" s="9"/>
      <c r="S1115" s="9"/>
      <c r="T1115" s="223"/>
      <c r="U1115" s="9"/>
      <c r="V1115" s="9"/>
      <c r="W1115" s="971"/>
      <c r="X1115" s="9"/>
      <c r="Y1115" s="9"/>
      <c r="Z1115" s="204"/>
      <c r="AA1115" s="9"/>
      <c r="AB1115" s="9"/>
      <c r="AC1115" s="9"/>
      <c r="AD1115" s="9"/>
    </row>
    <row r="1116" ht="15.75" customHeight="1">
      <c r="A1116" s="9"/>
      <c r="B1116" s="223"/>
      <c r="C1116" s="9"/>
      <c r="D1116" s="9"/>
      <c r="E1116" s="223"/>
      <c r="F1116" s="9"/>
      <c r="G1116" s="9"/>
      <c r="H1116" s="9"/>
      <c r="I1116" s="9"/>
      <c r="J1116" s="9"/>
      <c r="K1116" s="9"/>
      <c r="L1116" s="9"/>
      <c r="M1116" s="9"/>
      <c r="N1116" s="9"/>
      <c r="O1116" s="9"/>
      <c r="P1116" s="9"/>
      <c r="Q1116" s="9"/>
      <c r="R1116" s="9"/>
      <c r="S1116" s="9"/>
      <c r="T1116" s="223"/>
      <c r="U1116" s="9"/>
      <c r="V1116" s="9"/>
      <c r="W1116" s="971"/>
      <c r="X1116" s="9"/>
      <c r="Y1116" s="9"/>
      <c r="Z1116" s="204"/>
      <c r="AA1116" s="9"/>
      <c r="AB1116" s="9"/>
      <c r="AC1116" s="9"/>
      <c r="AD1116" s="9"/>
    </row>
    <row r="1117" ht="15.75" customHeight="1">
      <c r="A1117" s="9"/>
      <c r="B1117" s="223"/>
      <c r="C1117" s="9"/>
      <c r="D1117" s="9"/>
      <c r="E1117" s="223"/>
      <c r="F1117" s="9"/>
      <c r="G1117" s="9"/>
      <c r="H1117" s="9"/>
      <c r="I1117" s="9"/>
      <c r="J1117" s="9"/>
      <c r="K1117" s="9"/>
      <c r="L1117" s="9"/>
      <c r="M1117" s="9"/>
      <c r="N1117" s="9"/>
      <c r="O1117" s="9"/>
      <c r="P1117" s="9"/>
      <c r="Q1117" s="9"/>
      <c r="R1117" s="9"/>
      <c r="S1117" s="9"/>
      <c r="T1117" s="223"/>
      <c r="U1117" s="9"/>
      <c r="V1117" s="9"/>
      <c r="W1117" s="971"/>
      <c r="X1117" s="9"/>
      <c r="Y1117" s="9"/>
      <c r="Z1117" s="204"/>
      <c r="AA1117" s="9"/>
      <c r="AB1117" s="9"/>
      <c r="AC1117" s="9"/>
      <c r="AD1117" s="9"/>
    </row>
    <row r="1118" ht="15.75" customHeight="1">
      <c r="A1118" s="9"/>
      <c r="B1118" s="223"/>
      <c r="C1118" s="9"/>
      <c r="D1118" s="9"/>
      <c r="E1118" s="223"/>
      <c r="F1118" s="9"/>
      <c r="G1118" s="9"/>
      <c r="H1118" s="9"/>
      <c r="I1118" s="9"/>
      <c r="J1118" s="9"/>
      <c r="K1118" s="9"/>
      <c r="L1118" s="9"/>
      <c r="M1118" s="9"/>
      <c r="N1118" s="9"/>
      <c r="O1118" s="9"/>
      <c r="P1118" s="9"/>
      <c r="Q1118" s="9"/>
      <c r="R1118" s="9"/>
      <c r="S1118" s="9"/>
      <c r="T1118" s="223"/>
      <c r="U1118" s="9"/>
      <c r="V1118" s="9"/>
      <c r="W1118" s="971"/>
      <c r="X1118" s="9"/>
      <c r="Y1118" s="9"/>
      <c r="Z1118" s="204"/>
      <c r="AA1118" s="9"/>
      <c r="AB1118" s="9"/>
      <c r="AC1118" s="9"/>
      <c r="AD1118" s="9"/>
    </row>
    <row r="1119" ht="15.75" customHeight="1">
      <c r="A1119" s="9"/>
      <c r="B1119" s="223"/>
      <c r="C1119" s="9"/>
      <c r="D1119" s="9"/>
      <c r="E1119" s="223"/>
      <c r="F1119" s="9"/>
      <c r="G1119" s="9"/>
      <c r="H1119" s="9"/>
      <c r="I1119" s="9"/>
      <c r="J1119" s="9"/>
      <c r="K1119" s="9"/>
      <c r="L1119" s="9"/>
      <c r="M1119" s="9"/>
      <c r="N1119" s="9"/>
      <c r="O1119" s="9"/>
      <c r="P1119" s="9"/>
      <c r="Q1119" s="9"/>
      <c r="R1119" s="9"/>
      <c r="S1119" s="9"/>
      <c r="T1119" s="223"/>
      <c r="U1119" s="9"/>
      <c r="V1119" s="9"/>
      <c r="W1119" s="971"/>
      <c r="X1119" s="9"/>
      <c r="Y1119" s="9"/>
      <c r="Z1119" s="204"/>
      <c r="AA1119" s="9"/>
      <c r="AB1119" s="9"/>
      <c r="AC1119" s="9"/>
      <c r="AD1119" s="9"/>
    </row>
    <row r="1120" ht="15.75" customHeight="1">
      <c r="A1120" s="9"/>
      <c r="B1120" s="223"/>
      <c r="C1120" s="9"/>
      <c r="D1120" s="9"/>
      <c r="E1120" s="223"/>
      <c r="F1120" s="9"/>
      <c r="G1120" s="9"/>
      <c r="H1120" s="9"/>
      <c r="I1120" s="9"/>
      <c r="J1120" s="9"/>
      <c r="K1120" s="9"/>
      <c r="L1120" s="9"/>
      <c r="M1120" s="9"/>
      <c r="N1120" s="9"/>
      <c r="O1120" s="9"/>
      <c r="P1120" s="9"/>
      <c r="Q1120" s="9"/>
      <c r="R1120" s="9"/>
      <c r="S1120" s="9"/>
      <c r="T1120" s="223"/>
      <c r="U1120" s="9"/>
      <c r="V1120" s="9"/>
      <c r="W1120" s="971"/>
      <c r="X1120" s="9"/>
      <c r="Y1120" s="9"/>
      <c r="Z1120" s="204"/>
      <c r="AA1120" s="9"/>
      <c r="AB1120" s="9"/>
      <c r="AC1120" s="9"/>
      <c r="AD1120" s="9"/>
    </row>
    <row r="1121" ht="15.75" customHeight="1">
      <c r="A1121" s="9"/>
      <c r="B1121" s="223"/>
      <c r="C1121" s="9"/>
      <c r="D1121" s="9"/>
      <c r="E1121" s="223"/>
      <c r="F1121" s="9"/>
      <c r="G1121" s="9"/>
      <c r="H1121" s="9"/>
      <c r="I1121" s="9"/>
      <c r="J1121" s="9"/>
      <c r="K1121" s="9"/>
      <c r="L1121" s="9"/>
      <c r="M1121" s="9"/>
      <c r="N1121" s="9"/>
      <c r="O1121" s="9"/>
      <c r="P1121" s="9"/>
      <c r="Q1121" s="9"/>
      <c r="R1121" s="9"/>
      <c r="S1121" s="9"/>
      <c r="T1121" s="223"/>
      <c r="U1121" s="9"/>
      <c r="V1121" s="9"/>
      <c r="W1121" s="971"/>
      <c r="X1121" s="9"/>
      <c r="Y1121" s="9"/>
      <c r="Z1121" s="204"/>
      <c r="AA1121" s="9"/>
      <c r="AB1121" s="9"/>
      <c r="AC1121" s="9"/>
      <c r="AD1121" s="9"/>
    </row>
    <row r="1122" ht="15.75" customHeight="1">
      <c r="A1122" s="9"/>
      <c r="B1122" s="223"/>
      <c r="C1122" s="9"/>
      <c r="D1122" s="9"/>
      <c r="E1122" s="223"/>
      <c r="F1122" s="9"/>
      <c r="G1122" s="9"/>
      <c r="H1122" s="9"/>
      <c r="I1122" s="9"/>
      <c r="J1122" s="9"/>
      <c r="K1122" s="9"/>
      <c r="L1122" s="9"/>
      <c r="M1122" s="9"/>
      <c r="N1122" s="9"/>
      <c r="O1122" s="9"/>
      <c r="P1122" s="9"/>
      <c r="Q1122" s="9"/>
      <c r="R1122" s="9"/>
      <c r="S1122" s="9"/>
      <c r="T1122" s="223"/>
      <c r="U1122" s="9"/>
      <c r="V1122" s="9"/>
      <c r="W1122" s="971"/>
      <c r="X1122" s="9"/>
      <c r="Y1122" s="9"/>
      <c r="Z1122" s="204"/>
      <c r="AA1122" s="9"/>
      <c r="AB1122" s="9"/>
      <c r="AC1122" s="9"/>
      <c r="AD1122" s="9"/>
    </row>
    <row r="1123" ht="15.75" customHeight="1">
      <c r="A1123" s="9"/>
      <c r="B1123" s="223"/>
      <c r="C1123" s="9"/>
      <c r="D1123" s="9"/>
      <c r="E1123" s="223"/>
      <c r="F1123" s="9"/>
      <c r="G1123" s="9"/>
      <c r="H1123" s="9"/>
      <c r="I1123" s="9"/>
      <c r="J1123" s="9"/>
      <c r="K1123" s="9"/>
      <c r="L1123" s="9"/>
      <c r="M1123" s="9"/>
      <c r="N1123" s="9"/>
      <c r="O1123" s="9"/>
      <c r="P1123" s="9"/>
      <c r="Q1123" s="9"/>
      <c r="R1123" s="9"/>
      <c r="S1123" s="9"/>
      <c r="T1123" s="223"/>
      <c r="U1123" s="9"/>
      <c r="V1123" s="9"/>
      <c r="W1123" s="971"/>
      <c r="X1123" s="9"/>
      <c r="Y1123" s="9"/>
      <c r="Z1123" s="204"/>
      <c r="AA1123" s="9"/>
      <c r="AB1123" s="9"/>
      <c r="AC1123" s="9"/>
      <c r="AD1123" s="9"/>
    </row>
    <row r="1124" ht="15.75" customHeight="1">
      <c r="A1124" s="9"/>
      <c r="B1124" s="223"/>
      <c r="C1124" s="9"/>
      <c r="D1124" s="9"/>
      <c r="E1124" s="223"/>
      <c r="F1124" s="9"/>
      <c r="G1124" s="9"/>
      <c r="H1124" s="9"/>
      <c r="I1124" s="9"/>
      <c r="J1124" s="9"/>
      <c r="K1124" s="9"/>
      <c r="L1124" s="9"/>
      <c r="M1124" s="9"/>
      <c r="N1124" s="9"/>
      <c r="O1124" s="9"/>
      <c r="P1124" s="9"/>
      <c r="Q1124" s="9"/>
      <c r="R1124" s="9"/>
      <c r="S1124" s="9"/>
      <c r="T1124" s="223"/>
      <c r="U1124" s="9"/>
      <c r="V1124" s="9"/>
      <c r="W1124" s="971"/>
      <c r="X1124" s="9"/>
      <c r="Y1124" s="9"/>
      <c r="Z1124" s="204"/>
      <c r="AA1124" s="9"/>
      <c r="AB1124" s="9"/>
      <c r="AC1124" s="9"/>
      <c r="AD1124" s="9"/>
    </row>
    <row r="1125" ht="15.75" customHeight="1">
      <c r="A1125" s="9"/>
      <c r="B1125" s="223"/>
      <c r="C1125" s="9"/>
      <c r="D1125" s="9"/>
      <c r="E1125" s="223"/>
      <c r="F1125" s="9"/>
      <c r="G1125" s="9"/>
      <c r="H1125" s="9"/>
      <c r="I1125" s="9"/>
      <c r="J1125" s="9"/>
      <c r="K1125" s="9"/>
      <c r="L1125" s="9"/>
      <c r="M1125" s="9"/>
      <c r="N1125" s="9"/>
      <c r="O1125" s="9"/>
      <c r="P1125" s="9"/>
      <c r="Q1125" s="9"/>
      <c r="R1125" s="9"/>
      <c r="S1125" s="9"/>
      <c r="T1125" s="223"/>
      <c r="U1125" s="9"/>
      <c r="V1125" s="9"/>
      <c r="W1125" s="971"/>
      <c r="X1125" s="9"/>
      <c r="Y1125" s="9"/>
      <c r="Z1125" s="204"/>
      <c r="AA1125" s="9"/>
      <c r="AB1125" s="9"/>
      <c r="AC1125" s="9"/>
      <c r="AD1125" s="9"/>
    </row>
    <row r="1126" ht="15.75" customHeight="1">
      <c r="A1126" s="9"/>
      <c r="B1126" s="223"/>
      <c r="C1126" s="9"/>
      <c r="D1126" s="9"/>
      <c r="E1126" s="223"/>
      <c r="F1126" s="9"/>
      <c r="G1126" s="9"/>
      <c r="H1126" s="9"/>
      <c r="I1126" s="9"/>
      <c r="J1126" s="9"/>
      <c r="K1126" s="9"/>
      <c r="L1126" s="9"/>
      <c r="M1126" s="9"/>
      <c r="N1126" s="9"/>
      <c r="O1126" s="9"/>
      <c r="P1126" s="9"/>
      <c r="Q1126" s="9"/>
      <c r="R1126" s="9"/>
      <c r="S1126" s="9"/>
      <c r="T1126" s="223"/>
      <c r="U1126" s="9"/>
      <c r="V1126" s="9"/>
      <c r="W1126" s="971"/>
      <c r="X1126" s="9"/>
      <c r="Y1126" s="9"/>
      <c r="Z1126" s="204"/>
      <c r="AA1126" s="9"/>
      <c r="AB1126" s="9"/>
      <c r="AC1126" s="9"/>
      <c r="AD1126" s="9"/>
    </row>
    <row r="1127" ht="15.75" customHeight="1">
      <c r="A1127" s="9"/>
      <c r="B1127" s="223"/>
      <c r="C1127" s="9"/>
      <c r="D1127" s="9"/>
      <c r="E1127" s="223"/>
      <c r="F1127" s="9"/>
      <c r="G1127" s="9"/>
      <c r="H1127" s="9"/>
      <c r="I1127" s="9"/>
      <c r="J1127" s="9"/>
      <c r="K1127" s="9"/>
      <c r="L1127" s="9"/>
      <c r="M1127" s="9"/>
      <c r="N1127" s="9"/>
      <c r="O1127" s="9"/>
      <c r="P1127" s="9"/>
      <c r="Q1127" s="9"/>
      <c r="R1127" s="9"/>
      <c r="S1127" s="9"/>
      <c r="T1127" s="223"/>
      <c r="U1127" s="9"/>
      <c r="V1127" s="9"/>
      <c r="W1127" s="971"/>
      <c r="X1127" s="9"/>
      <c r="Y1127" s="9"/>
      <c r="Z1127" s="204"/>
      <c r="AA1127" s="9"/>
      <c r="AB1127" s="9"/>
      <c r="AC1127" s="9"/>
      <c r="AD1127" s="9"/>
    </row>
    <row r="1128" ht="15.75" customHeight="1">
      <c r="A1128" s="9"/>
      <c r="B1128" s="223"/>
      <c r="C1128" s="9"/>
      <c r="D1128" s="9"/>
      <c r="E1128" s="223"/>
      <c r="F1128" s="9"/>
      <c r="G1128" s="9"/>
      <c r="H1128" s="9"/>
      <c r="I1128" s="9"/>
      <c r="J1128" s="9"/>
      <c r="K1128" s="9"/>
      <c r="L1128" s="9"/>
      <c r="M1128" s="9"/>
      <c r="N1128" s="9"/>
      <c r="O1128" s="9"/>
      <c r="P1128" s="9"/>
      <c r="Q1128" s="9"/>
      <c r="R1128" s="9"/>
      <c r="S1128" s="9"/>
      <c r="T1128" s="223"/>
      <c r="U1128" s="9"/>
      <c r="V1128" s="9"/>
      <c r="W1128" s="971"/>
      <c r="X1128" s="9"/>
      <c r="Y1128" s="9"/>
      <c r="Z1128" s="204"/>
      <c r="AA1128" s="9"/>
      <c r="AB1128" s="9"/>
      <c r="AC1128" s="9"/>
      <c r="AD1128" s="9"/>
    </row>
    <row r="1129" ht="15.75" customHeight="1">
      <c r="A1129" s="9"/>
      <c r="B1129" s="223"/>
      <c r="C1129" s="9"/>
      <c r="D1129" s="9"/>
      <c r="E1129" s="223"/>
      <c r="F1129" s="9"/>
      <c r="G1129" s="9"/>
      <c r="H1129" s="9"/>
      <c r="I1129" s="9"/>
      <c r="J1129" s="9"/>
      <c r="K1129" s="9"/>
      <c r="L1129" s="9"/>
      <c r="M1129" s="9"/>
      <c r="N1129" s="9"/>
      <c r="O1129" s="9"/>
      <c r="P1129" s="9"/>
      <c r="Q1129" s="9"/>
      <c r="R1129" s="9"/>
      <c r="S1129" s="9"/>
      <c r="T1129" s="223"/>
      <c r="U1129" s="9"/>
      <c r="V1129" s="9"/>
      <c r="W1129" s="971"/>
      <c r="X1129" s="9"/>
      <c r="Y1129" s="9"/>
      <c r="Z1129" s="204"/>
      <c r="AA1129" s="9"/>
      <c r="AB1129" s="9"/>
      <c r="AC1129" s="9"/>
      <c r="AD1129" s="9"/>
    </row>
    <row r="1130" ht="15.75" customHeight="1">
      <c r="A1130" s="9"/>
      <c r="B1130" s="223"/>
      <c r="C1130" s="9"/>
      <c r="D1130" s="9"/>
      <c r="E1130" s="223"/>
      <c r="F1130" s="9"/>
      <c r="G1130" s="9"/>
      <c r="H1130" s="9"/>
      <c r="I1130" s="9"/>
      <c r="J1130" s="9"/>
      <c r="K1130" s="9"/>
      <c r="L1130" s="9"/>
      <c r="M1130" s="9"/>
      <c r="N1130" s="9"/>
      <c r="O1130" s="9"/>
      <c r="P1130" s="9"/>
      <c r="Q1130" s="9"/>
      <c r="R1130" s="9"/>
      <c r="S1130" s="9"/>
      <c r="T1130" s="223"/>
      <c r="U1130" s="9"/>
      <c r="V1130" s="9"/>
      <c r="W1130" s="971"/>
      <c r="X1130" s="9"/>
      <c r="Y1130" s="9"/>
      <c r="Z1130" s="204"/>
      <c r="AA1130" s="9"/>
      <c r="AB1130" s="9"/>
      <c r="AC1130" s="9"/>
      <c r="AD1130" s="9"/>
    </row>
    <row r="1131" ht="15.75" customHeight="1">
      <c r="A1131" s="9"/>
      <c r="B1131" s="223"/>
      <c r="C1131" s="9"/>
      <c r="D1131" s="9"/>
      <c r="E1131" s="223"/>
      <c r="F1131" s="9"/>
      <c r="G1131" s="9"/>
      <c r="H1131" s="9"/>
      <c r="I1131" s="9"/>
      <c r="J1131" s="9"/>
      <c r="K1131" s="9"/>
      <c r="L1131" s="9"/>
      <c r="M1131" s="9"/>
      <c r="N1131" s="9"/>
      <c r="O1131" s="9"/>
      <c r="P1131" s="9"/>
      <c r="Q1131" s="9"/>
      <c r="R1131" s="9"/>
      <c r="S1131" s="9"/>
      <c r="T1131" s="223"/>
      <c r="U1131" s="9"/>
      <c r="V1131" s="9"/>
      <c r="W1131" s="971"/>
      <c r="X1131" s="9"/>
      <c r="Y1131" s="9"/>
      <c r="Z1131" s="204"/>
      <c r="AA1131" s="9"/>
      <c r="AB1131" s="9"/>
      <c r="AC1131" s="9"/>
      <c r="AD1131" s="9"/>
    </row>
    <row r="1132" ht="15.75" customHeight="1">
      <c r="A1132" s="9"/>
      <c r="B1132" s="223"/>
      <c r="C1132" s="9"/>
      <c r="D1132" s="9"/>
      <c r="E1132" s="223"/>
      <c r="F1132" s="9"/>
      <c r="G1132" s="9"/>
      <c r="H1132" s="9"/>
      <c r="I1132" s="9"/>
      <c r="J1132" s="9"/>
      <c r="K1132" s="9"/>
      <c r="L1132" s="9"/>
      <c r="M1132" s="9"/>
      <c r="N1132" s="9"/>
      <c r="O1132" s="9"/>
      <c r="P1132" s="9"/>
      <c r="Q1132" s="9"/>
      <c r="R1132" s="9"/>
      <c r="S1132" s="9"/>
      <c r="T1132" s="223"/>
      <c r="U1132" s="9"/>
      <c r="V1132" s="9"/>
      <c r="W1132" s="971"/>
      <c r="X1132" s="9"/>
      <c r="Y1132" s="9"/>
      <c r="Z1132" s="204"/>
      <c r="AA1132" s="9"/>
      <c r="AB1132" s="9"/>
      <c r="AC1132" s="9"/>
      <c r="AD1132" s="9"/>
    </row>
    <row r="1133" ht="15.75" customHeight="1">
      <c r="A1133" s="9"/>
      <c r="B1133" s="223"/>
      <c r="C1133" s="9"/>
      <c r="D1133" s="9"/>
      <c r="E1133" s="223"/>
      <c r="F1133" s="9"/>
      <c r="G1133" s="9"/>
      <c r="H1133" s="9"/>
      <c r="I1133" s="9"/>
      <c r="J1133" s="9"/>
      <c r="K1133" s="9"/>
      <c r="L1133" s="9"/>
      <c r="M1133" s="9"/>
      <c r="N1133" s="9"/>
      <c r="O1133" s="9"/>
      <c r="P1133" s="9"/>
      <c r="Q1133" s="9"/>
      <c r="R1133" s="9"/>
      <c r="S1133" s="9"/>
      <c r="T1133" s="223"/>
      <c r="U1133" s="9"/>
      <c r="V1133" s="9"/>
      <c r="W1133" s="971"/>
      <c r="X1133" s="9"/>
      <c r="Y1133" s="9"/>
      <c r="Z1133" s="204"/>
      <c r="AA1133" s="9"/>
      <c r="AB1133" s="9"/>
      <c r="AC1133" s="9"/>
      <c r="AD1133" s="9"/>
    </row>
    <row r="1134" ht="15.75" customHeight="1">
      <c r="A1134" s="9"/>
      <c r="B1134" s="223"/>
      <c r="C1134" s="9"/>
      <c r="D1134" s="9"/>
      <c r="E1134" s="223"/>
      <c r="F1134" s="9"/>
      <c r="G1134" s="9"/>
      <c r="H1134" s="9"/>
      <c r="I1134" s="9"/>
      <c r="J1134" s="9"/>
      <c r="K1134" s="9"/>
      <c r="L1134" s="9"/>
      <c r="M1134" s="9"/>
      <c r="N1134" s="9"/>
      <c r="O1134" s="9"/>
      <c r="P1134" s="9"/>
      <c r="Q1134" s="9"/>
      <c r="R1134" s="9"/>
      <c r="S1134" s="9"/>
      <c r="T1134" s="223"/>
      <c r="U1134" s="9"/>
      <c r="V1134" s="9"/>
      <c r="W1134" s="971"/>
      <c r="X1134" s="9"/>
      <c r="Y1134" s="9"/>
      <c r="Z1134" s="204"/>
      <c r="AA1134" s="9"/>
      <c r="AB1134" s="9"/>
      <c r="AC1134" s="9"/>
      <c r="AD1134" s="9"/>
    </row>
    <row r="1135" ht="15.75" customHeight="1">
      <c r="A1135" s="9"/>
      <c r="B1135" s="223"/>
      <c r="C1135" s="9"/>
      <c r="D1135" s="9"/>
      <c r="E1135" s="223"/>
      <c r="F1135" s="9"/>
      <c r="G1135" s="9"/>
      <c r="H1135" s="9"/>
      <c r="I1135" s="9"/>
      <c r="J1135" s="9"/>
      <c r="K1135" s="9"/>
      <c r="L1135" s="9"/>
      <c r="M1135" s="9"/>
      <c r="N1135" s="9"/>
      <c r="O1135" s="9"/>
      <c r="P1135" s="9"/>
      <c r="Q1135" s="9"/>
      <c r="R1135" s="9"/>
      <c r="S1135" s="9"/>
      <c r="T1135" s="223"/>
      <c r="U1135" s="9"/>
      <c r="V1135" s="9"/>
      <c r="W1135" s="971"/>
      <c r="X1135" s="9"/>
      <c r="Y1135" s="9"/>
      <c r="Z1135" s="204"/>
      <c r="AA1135" s="9"/>
      <c r="AB1135" s="9"/>
      <c r="AC1135" s="9"/>
      <c r="AD1135" s="9"/>
    </row>
    <row r="1136" ht="15.75" customHeight="1">
      <c r="A1136" s="9"/>
      <c r="B1136" s="223"/>
      <c r="C1136" s="9"/>
      <c r="D1136" s="9"/>
      <c r="E1136" s="223"/>
      <c r="F1136" s="9"/>
      <c r="G1136" s="9"/>
      <c r="H1136" s="9"/>
      <c r="I1136" s="9"/>
      <c r="J1136" s="9"/>
      <c r="K1136" s="9"/>
      <c r="L1136" s="9"/>
      <c r="M1136" s="9"/>
      <c r="N1136" s="9"/>
      <c r="O1136" s="9"/>
      <c r="P1136" s="9"/>
      <c r="Q1136" s="9"/>
      <c r="R1136" s="9"/>
      <c r="S1136" s="9"/>
      <c r="T1136" s="223"/>
      <c r="U1136" s="9"/>
      <c r="V1136" s="9"/>
      <c r="W1136" s="971"/>
      <c r="X1136" s="9"/>
      <c r="Y1136" s="9"/>
      <c r="Z1136" s="204"/>
      <c r="AA1136" s="9"/>
      <c r="AB1136" s="9"/>
      <c r="AC1136" s="9"/>
      <c r="AD1136" s="9"/>
    </row>
    <row r="1137" ht="15.75" customHeight="1">
      <c r="A1137" s="9"/>
      <c r="B1137" s="223"/>
      <c r="C1137" s="9"/>
      <c r="D1137" s="9"/>
      <c r="E1137" s="223"/>
      <c r="F1137" s="9"/>
      <c r="G1137" s="9"/>
      <c r="H1137" s="9"/>
      <c r="I1137" s="9"/>
      <c r="J1137" s="9"/>
      <c r="K1137" s="9"/>
      <c r="L1137" s="9"/>
      <c r="M1137" s="9"/>
      <c r="N1137" s="9"/>
      <c r="O1137" s="9"/>
      <c r="P1137" s="9"/>
      <c r="Q1137" s="9"/>
      <c r="R1137" s="9"/>
      <c r="S1137" s="9"/>
      <c r="T1137" s="223"/>
      <c r="U1137" s="9"/>
      <c r="V1137" s="9"/>
      <c r="W1137" s="971"/>
      <c r="X1137" s="9"/>
      <c r="Y1137" s="9"/>
      <c r="Z1137" s="204"/>
      <c r="AA1137" s="9"/>
      <c r="AB1137" s="9"/>
      <c r="AC1137" s="9"/>
      <c r="AD1137" s="9"/>
    </row>
    <row r="1138" ht="15.75" customHeight="1">
      <c r="A1138" s="9"/>
      <c r="B1138" s="223"/>
      <c r="C1138" s="9"/>
      <c r="D1138" s="9"/>
      <c r="E1138" s="223"/>
      <c r="F1138" s="9"/>
      <c r="G1138" s="9"/>
      <c r="H1138" s="9"/>
      <c r="I1138" s="9"/>
      <c r="J1138" s="9"/>
      <c r="K1138" s="9"/>
      <c r="L1138" s="9"/>
      <c r="M1138" s="9"/>
      <c r="N1138" s="9"/>
      <c r="O1138" s="9"/>
      <c r="P1138" s="9"/>
      <c r="Q1138" s="9"/>
      <c r="R1138" s="9"/>
      <c r="S1138" s="9"/>
      <c r="T1138" s="223"/>
      <c r="U1138" s="9"/>
      <c r="V1138" s="9"/>
      <c r="W1138" s="971"/>
      <c r="X1138" s="9"/>
      <c r="Y1138" s="9"/>
      <c r="Z1138" s="204"/>
      <c r="AA1138" s="9"/>
      <c r="AB1138" s="9"/>
      <c r="AC1138" s="9"/>
      <c r="AD1138" s="9"/>
    </row>
    <row r="1139" ht="15.75" customHeight="1">
      <c r="A1139" s="9"/>
      <c r="B1139" s="223"/>
      <c r="C1139" s="9"/>
      <c r="D1139" s="9"/>
      <c r="E1139" s="223"/>
      <c r="F1139" s="9"/>
      <c r="G1139" s="9"/>
      <c r="H1139" s="9"/>
      <c r="I1139" s="9"/>
      <c r="J1139" s="9"/>
      <c r="K1139" s="9"/>
      <c r="L1139" s="9"/>
      <c r="M1139" s="9"/>
      <c r="N1139" s="9"/>
      <c r="O1139" s="9"/>
      <c r="P1139" s="9"/>
      <c r="Q1139" s="9"/>
      <c r="R1139" s="9"/>
      <c r="S1139" s="9"/>
      <c r="T1139" s="223"/>
      <c r="U1139" s="9"/>
      <c r="V1139" s="9"/>
      <c r="W1139" s="971"/>
      <c r="X1139" s="9"/>
      <c r="Y1139" s="9"/>
      <c r="Z1139" s="204"/>
      <c r="AA1139" s="9"/>
      <c r="AB1139" s="9"/>
      <c r="AC1139" s="9"/>
      <c r="AD1139" s="9"/>
    </row>
    <row r="1140" ht="15.75" customHeight="1">
      <c r="A1140" s="9"/>
      <c r="B1140" s="223"/>
      <c r="C1140" s="9"/>
      <c r="D1140" s="9"/>
      <c r="E1140" s="223"/>
      <c r="F1140" s="9"/>
      <c r="G1140" s="9"/>
      <c r="H1140" s="9"/>
      <c r="I1140" s="9"/>
      <c r="J1140" s="9"/>
      <c r="K1140" s="9"/>
      <c r="L1140" s="9"/>
      <c r="M1140" s="9"/>
      <c r="N1140" s="9"/>
      <c r="O1140" s="9"/>
      <c r="P1140" s="9"/>
      <c r="Q1140" s="9"/>
      <c r="R1140" s="9"/>
      <c r="S1140" s="9"/>
      <c r="T1140" s="223"/>
      <c r="U1140" s="9"/>
      <c r="V1140" s="9"/>
      <c r="W1140" s="971"/>
      <c r="X1140" s="9"/>
      <c r="Y1140" s="9"/>
      <c r="Z1140" s="204"/>
      <c r="AA1140" s="9"/>
      <c r="AB1140" s="9"/>
      <c r="AC1140" s="9"/>
      <c r="AD1140" s="9"/>
    </row>
    <row r="1141" ht="15.75" customHeight="1">
      <c r="A1141" s="9"/>
      <c r="B1141" s="223"/>
      <c r="C1141" s="9"/>
      <c r="D1141" s="9"/>
      <c r="E1141" s="223"/>
      <c r="F1141" s="9"/>
      <c r="G1141" s="9"/>
      <c r="H1141" s="9"/>
      <c r="I1141" s="9"/>
      <c r="J1141" s="9"/>
      <c r="K1141" s="9"/>
      <c r="L1141" s="9"/>
      <c r="M1141" s="9"/>
      <c r="N1141" s="9"/>
      <c r="O1141" s="9"/>
      <c r="P1141" s="9"/>
      <c r="Q1141" s="9"/>
      <c r="R1141" s="9"/>
      <c r="S1141" s="9"/>
      <c r="T1141" s="223"/>
      <c r="U1141" s="9"/>
      <c r="V1141" s="9"/>
      <c r="W1141" s="971"/>
      <c r="X1141" s="9"/>
      <c r="Y1141" s="9"/>
      <c r="Z1141" s="204"/>
      <c r="AA1141" s="9"/>
      <c r="AB1141" s="9"/>
      <c r="AC1141" s="9"/>
      <c r="AD1141" s="9"/>
    </row>
    <row r="1142" ht="15.75" customHeight="1">
      <c r="A1142" s="9"/>
      <c r="B1142" s="223"/>
      <c r="C1142" s="9"/>
      <c r="D1142" s="9"/>
      <c r="E1142" s="223"/>
      <c r="F1142" s="9"/>
      <c r="G1142" s="9"/>
      <c r="H1142" s="9"/>
      <c r="I1142" s="9"/>
      <c r="J1142" s="9"/>
      <c r="K1142" s="9"/>
      <c r="L1142" s="9"/>
      <c r="M1142" s="9"/>
      <c r="N1142" s="9"/>
      <c r="O1142" s="9"/>
      <c r="P1142" s="9"/>
      <c r="Q1142" s="9"/>
      <c r="R1142" s="9"/>
      <c r="S1142" s="9"/>
      <c r="T1142" s="223"/>
      <c r="U1142" s="9"/>
      <c r="V1142" s="9"/>
      <c r="W1142" s="971"/>
      <c r="X1142" s="9"/>
      <c r="Y1142" s="9"/>
      <c r="Z1142" s="204"/>
      <c r="AA1142" s="9"/>
      <c r="AB1142" s="9"/>
      <c r="AC1142" s="9"/>
      <c r="AD1142" s="9"/>
    </row>
    <row r="1143" ht="15.75" customHeight="1">
      <c r="A1143" s="9"/>
      <c r="B1143" s="223"/>
      <c r="C1143" s="9"/>
      <c r="D1143" s="9"/>
      <c r="E1143" s="223"/>
      <c r="F1143" s="9"/>
      <c r="G1143" s="9"/>
      <c r="H1143" s="9"/>
      <c r="I1143" s="9"/>
      <c r="J1143" s="9"/>
      <c r="K1143" s="9"/>
      <c r="L1143" s="9"/>
      <c r="M1143" s="9"/>
      <c r="N1143" s="9"/>
      <c r="O1143" s="9"/>
      <c r="P1143" s="9"/>
      <c r="Q1143" s="9"/>
      <c r="R1143" s="9"/>
      <c r="S1143" s="9"/>
      <c r="T1143" s="223"/>
      <c r="U1143" s="9"/>
      <c r="V1143" s="9"/>
      <c r="W1143" s="971"/>
      <c r="X1143" s="9"/>
      <c r="Y1143" s="9"/>
      <c r="Z1143" s="204"/>
      <c r="AA1143" s="9"/>
      <c r="AB1143" s="9"/>
      <c r="AC1143" s="9"/>
      <c r="AD1143" s="9"/>
    </row>
    <row r="1144" ht="15.75" customHeight="1">
      <c r="A1144" s="9"/>
      <c r="B1144" s="223"/>
      <c r="C1144" s="9"/>
      <c r="D1144" s="9"/>
      <c r="E1144" s="223"/>
      <c r="F1144" s="9"/>
      <c r="G1144" s="9"/>
      <c r="H1144" s="9"/>
      <c r="I1144" s="9"/>
      <c r="J1144" s="9"/>
      <c r="K1144" s="9"/>
      <c r="L1144" s="9"/>
      <c r="M1144" s="9"/>
      <c r="N1144" s="9"/>
      <c r="O1144" s="9"/>
      <c r="P1144" s="9"/>
      <c r="Q1144" s="9"/>
      <c r="R1144" s="9"/>
      <c r="S1144" s="9"/>
      <c r="T1144" s="223"/>
      <c r="U1144" s="9"/>
      <c r="V1144" s="9"/>
      <c r="W1144" s="971"/>
      <c r="X1144" s="9"/>
      <c r="Y1144" s="9"/>
      <c r="Z1144" s="204"/>
      <c r="AA1144" s="9"/>
      <c r="AB1144" s="9"/>
      <c r="AC1144" s="9"/>
      <c r="AD1144" s="9"/>
    </row>
    <row r="1145" ht="15.75" customHeight="1">
      <c r="A1145" s="9"/>
      <c r="B1145" s="223"/>
      <c r="C1145" s="9"/>
      <c r="D1145" s="9"/>
      <c r="E1145" s="223"/>
      <c r="F1145" s="9"/>
      <c r="G1145" s="9"/>
      <c r="H1145" s="9"/>
      <c r="I1145" s="9"/>
      <c r="J1145" s="9"/>
      <c r="K1145" s="9"/>
      <c r="L1145" s="9"/>
      <c r="M1145" s="9"/>
      <c r="N1145" s="9"/>
      <c r="O1145" s="9"/>
      <c r="P1145" s="9"/>
      <c r="Q1145" s="9"/>
      <c r="R1145" s="9"/>
      <c r="S1145" s="9"/>
      <c r="T1145" s="223"/>
      <c r="U1145" s="9"/>
      <c r="V1145" s="9"/>
      <c r="W1145" s="971"/>
      <c r="X1145" s="9"/>
      <c r="Y1145" s="9"/>
      <c r="Z1145" s="204"/>
      <c r="AA1145" s="9"/>
      <c r="AB1145" s="9"/>
      <c r="AC1145" s="9"/>
      <c r="AD1145" s="9"/>
    </row>
    <row r="1146" ht="15.75" customHeight="1">
      <c r="A1146" s="9"/>
      <c r="B1146" s="223"/>
      <c r="C1146" s="9"/>
      <c r="D1146" s="9"/>
      <c r="E1146" s="223"/>
      <c r="F1146" s="9"/>
      <c r="G1146" s="9"/>
      <c r="H1146" s="9"/>
      <c r="I1146" s="9"/>
      <c r="J1146" s="9"/>
      <c r="K1146" s="9"/>
      <c r="L1146" s="9"/>
      <c r="M1146" s="9"/>
      <c r="N1146" s="9"/>
      <c r="O1146" s="9"/>
      <c r="P1146" s="9"/>
      <c r="Q1146" s="9"/>
      <c r="R1146" s="9"/>
      <c r="S1146" s="9"/>
      <c r="T1146" s="223"/>
      <c r="U1146" s="9"/>
      <c r="V1146" s="9"/>
      <c r="W1146" s="971"/>
      <c r="X1146" s="9"/>
      <c r="Y1146" s="9"/>
      <c r="Z1146" s="204"/>
      <c r="AA1146" s="9"/>
      <c r="AB1146" s="9"/>
      <c r="AC1146" s="9"/>
      <c r="AD1146" s="9"/>
    </row>
    <row r="1147" ht="15.75" customHeight="1">
      <c r="A1147" s="9"/>
      <c r="B1147" s="223"/>
      <c r="C1147" s="9"/>
      <c r="D1147" s="9"/>
      <c r="E1147" s="223"/>
      <c r="F1147" s="9"/>
      <c r="G1147" s="9"/>
      <c r="H1147" s="9"/>
      <c r="I1147" s="9"/>
      <c r="J1147" s="9"/>
      <c r="K1147" s="9"/>
      <c r="L1147" s="9"/>
      <c r="M1147" s="9"/>
      <c r="N1147" s="9"/>
      <c r="O1147" s="9"/>
      <c r="P1147" s="9"/>
      <c r="Q1147" s="9"/>
      <c r="R1147" s="9"/>
      <c r="S1147" s="9"/>
      <c r="T1147" s="223"/>
      <c r="U1147" s="9"/>
      <c r="V1147" s="9"/>
      <c r="W1147" s="971"/>
      <c r="X1147" s="9"/>
      <c r="Y1147" s="9"/>
      <c r="Z1147" s="204"/>
      <c r="AA1147" s="9"/>
      <c r="AB1147" s="9"/>
      <c r="AC1147" s="9"/>
      <c r="AD1147" s="9"/>
    </row>
    <row r="1148" ht="15.75" customHeight="1">
      <c r="A1148" s="9"/>
      <c r="B1148" s="223"/>
      <c r="C1148" s="9"/>
      <c r="D1148" s="9"/>
      <c r="E1148" s="223"/>
      <c r="F1148" s="9"/>
      <c r="G1148" s="9"/>
      <c r="H1148" s="9"/>
      <c r="I1148" s="9"/>
      <c r="J1148" s="9"/>
      <c r="K1148" s="9"/>
      <c r="L1148" s="9"/>
      <c r="M1148" s="9"/>
      <c r="N1148" s="9"/>
      <c r="O1148" s="9"/>
      <c r="P1148" s="9"/>
      <c r="Q1148" s="9"/>
      <c r="R1148" s="9"/>
      <c r="S1148" s="9"/>
      <c r="T1148" s="223"/>
      <c r="U1148" s="9"/>
      <c r="V1148" s="9"/>
      <c r="W1148" s="971"/>
      <c r="X1148" s="9"/>
      <c r="Y1148" s="9"/>
      <c r="Z1148" s="204"/>
      <c r="AA1148" s="9"/>
      <c r="AB1148" s="9"/>
      <c r="AC1148" s="9"/>
      <c r="AD1148" s="9"/>
    </row>
    <row r="1149" ht="15.75" customHeight="1">
      <c r="A1149" s="9"/>
      <c r="B1149" s="223"/>
      <c r="C1149" s="9"/>
      <c r="D1149" s="9"/>
      <c r="E1149" s="223"/>
      <c r="F1149" s="9"/>
      <c r="G1149" s="9"/>
      <c r="H1149" s="9"/>
      <c r="I1149" s="9"/>
      <c r="J1149" s="9"/>
      <c r="K1149" s="9"/>
      <c r="L1149" s="9"/>
      <c r="M1149" s="9"/>
      <c r="N1149" s="9"/>
      <c r="O1149" s="9"/>
      <c r="P1149" s="9"/>
      <c r="Q1149" s="9"/>
      <c r="R1149" s="9"/>
      <c r="S1149" s="9"/>
      <c r="T1149" s="223"/>
      <c r="U1149" s="9"/>
      <c r="V1149" s="9"/>
      <c r="W1149" s="971"/>
      <c r="X1149" s="9"/>
      <c r="Y1149" s="9"/>
      <c r="Z1149" s="204"/>
      <c r="AA1149" s="9"/>
      <c r="AB1149" s="9"/>
      <c r="AC1149" s="9"/>
      <c r="AD1149" s="9"/>
    </row>
    <row r="1150" ht="15.75" customHeight="1">
      <c r="A1150" s="9"/>
      <c r="B1150" s="223"/>
      <c r="C1150" s="9"/>
      <c r="D1150" s="9"/>
      <c r="E1150" s="223"/>
      <c r="F1150" s="9"/>
      <c r="G1150" s="9"/>
      <c r="H1150" s="9"/>
      <c r="I1150" s="9"/>
      <c r="J1150" s="9"/>
      <c r="K1150" s="9"/>
      <c r="L1150" s="9"/>
      <c r="M1150" s="9"/>
      <c r="N1150" s="9"/>
      <c r="O1150" s="9"/>
      <c r="P1150" s="9"/>
      <c r="Q1150" s="9"/>
      <c r="R1150" s="9"/>
      <c r="S1150" s="9"/>
      <c r="T1150" s="223"/>
      <c r="U1150" s="9"/>
      <c r="V1150" s="9"/>
      <c r="W1150" s="971"/>
      <c r="X1150" s="9"/>
      <c r="Y1150" s="9"/>
      <c r="Z1150" s="204"/>
      <c r="AA1150" s="9"/>
      <c r="AB1150" s="9"/>
      <c r="AC1150" s="9"/>
      <c r="AD1150" s="9"/>
    </row>
    <row r="1151" ht="15.75" customHeight="1">
      <c r="A1151" s="9"/>
      <c r="B1151" s="223"/>
      <c r="C1151" s="9"/>
      <c r="D1151" s="9"/>
      <c r="E1151" s="223"/>
      <c r="F1151" s="9"/>
      <c r="G1151" s="9"/>
      <c r="H1151" s="9"/>
      <c r="I1151" s="9"/>
      <c r="J1151" s="9"/>
      <c r="K1151" s="9"/>
      <c r="L1151" s="9"/>
      <c r="M1151" s="9"/>
      <c r="N1151" s="9"/>
      <c r="O1151" s="9"/>
      <c r="P1151" s="9"/>
      <c r="Q1151" s="9"/>
      <c r="R1151" s="9"/>
      <c r="S1151" s="9"/>
      <c r="T1151" s="223"/>
      <c r="U1151" s="9"/>
      <c r="V1151" s="9"/>
      <c r="W1151" s="971"/>
      <c r="X1151" s="9"/>
      <c r="Y1151" s="9"/>
      <c r="Z1151" s="204"/>
      <c r="AA1151" s="9"/>
      <c r="AB1151" s="9"/>
      <c r="AC1151" s="9"/>
      <c r="AD1151" s="9"/>
    </row>
    <row r="1152" ht="15.75" customHeight="1">
      <c r="A1152" s="9"/>
      <c r="B1152" s="223"/>
      <c r="C1152" s="9"/>
      <c r="D1152" s="9"/>
      <c r="E1152" s="223"/>
      <c r="F1152" s="9"/>
      <c r="G1152" s="9"/>
      <c r="H1152" s="9"/>
      <c r="I1152" s="9"/>
      <c r="J1152" s="9"/>
      <c r="K1152" s="9"/>
      <c r="L1152" s="9"/>
      <c r="M1152" s="9"/>
      <c r="N1152" s="9"/>
      <c r="O1152" s="9"/>
      <c r="P1152" s="9"/>
      <c r="Q1152" s="9"/>
      <c r="R1152" s="9"/>
      <c r="S1152" s="9"/>
      <c r="T1152" s="223"/>
      <c r="U1152" s="9"/>
      <c r="V1152" s="9"/>
      <c r="W1152" s="971"/>
      <c r="X1152" s="9"/>
      <c r="Y1152" s="9"/>
      <c r="Z1152" s="204"/>
      <c r="AA1152" s="9"/>
      <c r="AB1152" s="9"/>
      <c r="AC1152" s="9"/>
      <c r="AD1152" s="9"/>
    </row>
    <row r="1153" ht="15.75" customHeight="1">
      <c r="A1153" s="9"/>
      <c r="B1153" s="223"/>
      <c r="C1153" s="9"/>
      <c r="D1153" s="9"/>
      <c r="E1153" s="223"/>
      <c r="F1153" s="9"/>
      <c r="G1153" s="9"/>
      <c r="H1153" s="9"/>
      <c r="I1153" s="9"/>
      <c r="J1153" s="9"/>
      <c r="K1153" s="9"/>
      <c r="L1153" s="9"/>
      <c r="M1153" s="9"/>
      <c r="N1153" s="9"/>
      <c r="O1153" s="9"/>
      <c r="P1153" s="9"/>
      <c r="Q1153" s="9"/>
      <c r="R1153" s="9"/>
      <c r="S1153" s="9"/>
      <c r="T1153" s="223"/>
      <c r="U1153" s="9"/>
      <c r="V1153" s="9"/>
      <c r="W1153" s="971"/>
      <c r="X1153" s="9"/>
      <c r="Y1153" s="9"/>
      <c r="Z1153" s="204"/>
      <c r="AA1153" s="9"/>
      <c r="AB1153" s="9"/>
      <c r="AC1153" s="9"/>
      <c r="AD1153" s="9"/>
    </row>
    <row r="1154" ht="15.75" customHeight="1">
      <c r="A1154" s="9"/>
      <c r="B1154" s="223"/>
      <c r="C1154" s="9"/>
      <c r="D1154" s="9"/>
      <c r="E1154" s="223"/>
      <c r="F1154" s="9"/>
      <c r="G1154" s="9"/>
      <c r="H1154" s="9"/>
      <c r="I1154" s="9"/>
      <c r="J1154" s="9"/>
      <c r="K1154" s="9"/>
      <c r="L1154" s="9"/>
      <c r="M1154" s="9"/>
      <c r="N1154" s="9"/>
      <c r="O1154" s="9"/>
      <c r="P1154" s="9"/>
      <c r="Q1154" s="9"/>
      <c r="R1154" s="9"/>
      <c r="S1154" s="9"/>
      <c r="T1154" s="223"/>
      <c r="U1154" s="9"/>
      <c r="V1154" s="9"/>
      <c r="W1154" s="971"/>
      <c r="X1154" s="9"/>
      <c r="Y1154" s="9"/>
      <c r="Z1154" s="204"/>
      <c r="AA1154" s="9"/>
      <c r="AB1154" s="9"/>
      <c r="AC1154" s="9"/>
      <c r="AD1154" s="9"/>
    </row>
    <row r="1155" ht="15.75" customHeight="1">
      <c r="A1155" s="9"/>
      <c r="B1155" s="223"/>
      <c r="C1155" s="9"/>
      <c r="D1155" s="9"/>
      <c r="E1155" s="223"/>
      <c r="F1155" s="9"/>
      <c r="G1155" s="9"/>
      <c r="H1155" s="9"/>
      <c r="I1155" s="9"/>
      <c r="J1155" s="9"/>
      <c r="K1155" s="9"/>
      <c r="L1155" s="9"/>
      <c r="M1155" s="9"/>
      <c r="N1155" s="9"/>
      <c r="O1155" s="9"/>
      <c r="P1155" s="9"/>
      <c r="Q1155" s="9"/>
      <c r="R1155" s="9"/>
      <c r="S1155" s="9"/>
      <c r="T1155" s="223"/>
      <c r="U1155" s="9"/>
      <c r="V1155" s="9"/>
      <c r="W1155" s="971"/>
      <c r="X1155" s="9"/>
      <c r="Y1155" s="9"/>
      <c r="Z1155" s="204"/>
      <c r="AA1155" s="9"/>
      <c r="AB1155" s="9"/>
      <c r="AC1155" s="9"/>
      <c r="AD1155" s="9"/>
    </row>
    <row r="1156" ht="15.75" customHeight="1">
      <c r="A1156" s="9"/>
      <c r="B1156" s="223"/>
      <c r="C1156" s="9"/>
      <c r="D1156" s="9"/>
      <c r="E1156" s="223"/>
      <c r="F1156" s="9"/>
      <c r="G1156" s="9"/>
      <c r="H1156" s="9"/>
      <c r="I1156" s="9"/>
      <c r="J1156" s="9"/>
      <c r="K1156" s="9"/>
      <c r="L1156" s="9"/>
      <c r="M1156" s="9"/>
      <c r="N1156" s="9"/>
      <c r="O1156" s="9"/>
      <c r="P1156" s="9"/>
      <c r="Q1156" s="9"/>
      <c r="R1156" s="9"/>
      <c r="S1156" s="9"/>
      <c r="T1156" s="223"/>
      <c r="U1156" s="9"/>
      <c r="V1156" s="9"/>
      <c r="W1156" s="971"/>
      <c r="X1156" s="9"/>
      <c r="Y1156" s="9"/>
      <c r="Z1156" s="204"/>
      <c r="AA1156" s="9"/>
      <c r="AB1156" s="9"/>
      <c r="AC1156" s="9"/>
      <c r="AD1156" s="9"/>
    </row>
    <row r="1157" ht="15.75" customHeight="1">
      <c r="A1157" s="9"/>
      <c r="B1157" s="223"/>
      <c r="C1157" s="9"/>
      <c r="D1157" s="9"/>
      <c r="E1157" s="223"/>
      <c r="F1157" s="9"/>
      <c r="G1157" s="9"/>
      <c r="H1157" s="9"/>
      <c r="I1157" s="9"/>
      <c r="J1157" s="9"/>
      <c r="K1157" s="9"/>
      <c r="L1157" s="9"/>
      <c r="M1157" s="9"/>
      <c r="N1157" s="9"/>
      <c r="O1157" s="9"/>
      <c r="P1157" s="9"/>
      <c r="Q1157" s="9"/>
      <c r="R1157" s="9"/>
      <c r="S1157" s="9"/>
      <c r="T1157" s="223"/>
      <c r="U1157" s="9"/>
      <c r="V1157" s="9"/>
      <c r="W1157" s="971"/>
      <c r="X1157" s="9"/>
      <c r="Y1157" s="9"/>
      <c r="Z1157" s="204"/>
      <c r="AA1157" s="9"/>
      <c r="AB1157" s="9"/>
      <c r="AC1157" s="9"/>
      <c r="AD1157" s="9"/>
    </row>
    <row r="1158" ht="15.75" customHeight="1">
      <c r="A1158" s="9"/>
      <c r="B1158" s="223"/>
      <c r="C1158" s="9"/>
      <c r="D1158" s="9"/>
      <c r="E1158" s="223"/>
      <c r="F1158" s="9"/>
      <c r="G1158" s="9"/>
      <c r="H1158" s="9"/>
      <c r="I1158" s="9"/>
      <c r="J1158" s="9"/>
      <c r="K1158" s="9"/>
      <c r="L1158" s="9"/>
      <c r="M1158" s="9"/>
      <c r="N1158" s="9"/>
      <c r="O1158" s="9"/>
      <c r="P1158" s="9"/>
      <c r="Q1158" s="9"/>
      <c r="R1158" s="9"/>
      <c r="S1158" s="9"/>
      <c r="T1158" s="223"/>
      <c r="U1158" s="9"/>
      <c r="V1158" s="9"/>
      <c r="W1158" s="971"/>
      <c r="X1158" s="9"/>
      <c r="Y1158" s="9"/>
      <c r="Z1158" s="204"/>
      <c r="AA1158" s="9"/>
      <c r="AB1158" s="9"/>
      <c r="AC1158" s="9"/>
      <c r="AD1158" s="9"/>
    </row>
    <row r="1159" ht="15.75" customHeight="1">
      <c r="A1159" s="9"/>
      <c r="B1159" s="223"/>
      <c r="C1159" s="9"/>
      <c r="D1159" s="9"/>
      <c r="E1159" s="223"/>
      <c r="F1159" s="9"/>
      <c r="G1159" s="9"/>
      <c r="H1159" s="9"/>
      <c r="I1159" s="9"/>
      <c r="J1159" s="9"/>
      <c r="K1159" s="9"/>
      <c r="L1159" s="9"/>
      <c r="M1159" s="9"/>
      <c r="N1159" s="9"/>
      <c r="O1159" s="9"/>
      <c r="P1159" s="9"/>
      <c r="Q1159" s="9"/>
      <c r="R1159" s="9"/>
      <c r="S1159" s="9"/>
      <c r="T1159" s="223"/>
      <c r="U1159" s="9"/>
      <c r="V1159" s="9"/>
      <c r="W1159" s="971"/>
      <c r="X1159" s="9"/>
      <c r="Y1159" s="9"/>
      <c r="Z1159" s="204"/>
      <c r="AA1159" s="9"/>
      <c r="AB1159" s="9"/>
      <c r="AC1159" s="9"/>
      <c r="AD1159" s="9"/>
    </row>
  </sheetData>
  <mergeCells count="572">
    <mergeCell ref="R46:R47"/>
    <mergeCell ref="S46:S47"/>
    <mergeCell ref="T46:T47"/>
    <mergeCell ref="U46:U47"/>
    <mergeCell ref="V46:V47"/>
    <mergeCell ref="W46:W47"/>
    <mergeCell ref="A46:A47"/>
    <mergeCell ref="B46:B47"/>
    <mergeCell ref="C46:C47"/>
    <mergeCell ref="D46:D47"/>
    <mergeCell ref="E46:E47"/>
    <mergeCell ref="F46:F47"/>
    <mergeCell ref="P46:P47"/>
    <mergeCell ref="O28:O29"/>
    <mergeCell ref="P28:P29"/>
    <mergeCell ref="H28:H29"/>
    <mergeCell ref="I28:I29"/>
    <mergeCell ref="J28:J29"/>
    <mergeCell ref="K28:K29"/>
    <mergeCell ref="L28:L29"/>
    <mergeCell ref="M28:M29"/>
    <mergeCell ref="N28:N29"/>
    <mergeCell ref="O30:O32"/>
    <mergeCell ref="P30:P32"/>
    <mergeCell ref="Q30:Q32"/>
    <mergeCell ref="R30:R32"/>
    <mergeCell ref="S30:S32"/>
    <mergeCell ref="T30:T32"/>
    <mergeCell ref="W30:W32"/>
    <mergeCell ref="H30:H32"/>
    <mergeCell ref="I30:I32"/>
    <mergeCell ref="J30:J32"/>
    <mergeCell ref="K30:K32"/>
    <mergeCell ref="L30:L32"/>
    <mergeCell ref="M30:M32"/>
    <mergeCell ref="N30:N32"/>
    <mergeCell ref="A30:A32"/>
    <mergeCell ref="B30:B32"/>
    <mergeCell ref="C30:C32"/>
    <mergeCell ref="D30:D32"/>
    <mergeCell ref="E30:E32"/>
    <mergeCell ref="F30:F32"/>
    <mergeCell ref="G30:G32"/>
    <mergeCell ref="O38:O40"/>
    <mergeCell ref="P38:P40"/>
    <mergeCell ref="Q38:Q40"/>
    <mergeCell ref="R38:R40"/>
    <mergeCell ref="S38:S40"/>
    <mergeCell ref="T38:T40"/>
    <mergeCell ref="W38:W40"/>
    <mergeCell ref="U49:U53"/>
    <mergeCell ref="V49:V53"/>
    <mergeCell ref="W49:W53"/>
    <mergeCell ref="A49:A53"/>
    <mergeCell ref="B49:B53"/>
    <mergeCell ref="C49:C53"/>
    <mergeCell ref="D49:D53"/>
    <mergeCell ref="E49:E53"/>
    <mergeCell ref="F49:F53"/>
    <mergeCell ref="K49:K53"/>
    <mergeCell ref="L64:L65"/>
    <mergeCell ref="M64:M65"/>
    <mergeCell ref="N64:N65"/>
    <mergeCell ref="O64:O65"/>
    <mergeCell ref="P64:P65"/>
    <mergeCell ref="Q64:Q65"/>
    <mergeCell ref="R64:R65"/>
    <mergeCell ref="A64:A65"/>
    <mergeCell ref="B64:B65"/>
    <mergeCell ref="C64:C65"/>
    <mergeCell ref="D64:D65"/>
    <mergeCell ref="E64:E65"/>
    <mergeCell ref="F64:F65"/>
    <mergeCell ref="K64:K65"/>
    <mergeCell ref="S49:S53"/>
    <mergeCell ref="T49:T53"/>
    <mergeCell ref="L49:L53"/>
    <mergeCell ref="M49:M53"/>
    <mergeCell ref="N49:N53"/>
    <mergeCell ref="O49:O53"/>
    <mergeCell ref="P49:P53"/>
    <mergeCell ref="Q49:Q53"/>
    <mergeCell ref="R49:R53"/>
    <mergeCell ref="S57:S58"/>
    <mergeCell ref="T57:T58"/>
    <mergeCell ref="U57:U58"/>
    <mergeCell ref="V57:V58"/>
    <mergeCell ref="W57:W58"/>
    <mergeCell ref="L57:L58"/>
    <mergeCell ref="M57:M58"/>
    <mergeCell ref="N57:N58"/>
    <mergeCell ref="O57:O58"/>
    <mergeCell ref="P57:P58"/>
    <mergeCell ref="Q57:Q58"/>
    <mergeCell ref="R57:R58"/>
    <mergeCell ref="A57:A58"/>
    <mergeCell ref="B57:B58"/>
    <mergeCell ref="C57:C58"/>
    <mergeCell ref="D57:D58"/>
    <mergeCell ref="E57:E58"/>
    <mergeCell ref="F57:F58"/>
    <mergeCell ref="K57:K58"/>
    <mergeCell ref="S64:S65"/>
    <mergeCell ref="T64:T65"/>
    <mergeCell ref="U64:U65"/>
    <mergeCell ref="V64:V65"/>
    <mergeCell ref="W64:W65"/>
    <mergeCell ref="U72:U74"/>
    <mergeCell ref="V72:V74"/>
    <mergeCell ref="W72:W74"/>
    <mergeCell ref="A72:A74"/>
    <mergeCell ref="B72:B74"/>
    <mergeCell ref="C72:C74"/>
    <mergeCell ref="D72:D74"/>
    <mergeCell ref="E72:E74"/>
    <mergeCell ref="F72:F74"/>
    <mergeCell ref="K72:K74"/>
    <mergeCell ref="S85:S88"/>
    <mergeCell ref="T85:T88"/>
    <mergeCell ref="L85:L88"/>
    <mergeCell ref="M85:M88"/>
    <mergeCell ref="N85:N88"/>
    <mergeCell ref="O85:O88"/>
    <mergeCell ref="P85:P88"/>
    <mergeCell ref="Q85:Q88"/>
    <mergeCell ref="R85:R88"/>
    <mergeCell ref="S72:S74"/>
    <mergeCell ref="T72:T74"/>
    <mergeCell ref="L72:L74"/>
    <mergeCell ref="M72:M74"/>
    <mergeCell ref="N72:N74"/>
    <mergeCell ref="O72:O74"/>
    <mergeCell ref="P72:P74"/>
    <mergeCell ref="Q72:Q74"/>
    <mergeCell ref="R72:R74"/>
    <mergeCell ref="O78:O80"/>
    <mergeCell ref="P78:P80"/>
    <mergeCell ref="Q78:Q80"/>
    <mergeCell ref="R78:R80"/>
    <mergeCell ref="S78:S80"/>
    <mergeCell ref="T78:T80"/>
    <mergeCell ref="W78:W80"/>
    <mergeCell ref="H78:H80"/>
    <mergeCell ref="I78:I80"/>
    <mergeCell ref="J78:J80"/>
    <mergeCell ref="K78:K80"/>
    <mergeCell ref="L78:L80"/>
    <mergeCell ref="M78:M80"/>
    <mergeCell ref="N78:N80"/>
    <mergeCell ref="A78:A80"/>
    <mergeCell ref="B78:B80"/>
    <mergeCell ref="C78:C80"/>
    <mergeCell ref="D78:D80"/>
    <mergeCell ref="E78:E80"/>
    <mergeCell ref="F78:F80"/>
    <mergeCell ref="G78:G80"/>
    <mergeCell ref="S82:S83"/>
    <mergeCell ref="T82:T83"/>
    <mergeCell ref="U82:U83"/>
    <mergeCell ref="V82:V83"/>
    <mergeCell ref="W82:W83"/>
    <mergeCell ref="U85:U88"/>
    <mergeCell ref="V85:V88"/>
    <mergeCell ref="W85:W88"/>
    <mergeCell ref="A85:A88"/>
    <mergeCell ref="B85:B88"/>
    <mergeCell ref="C85:C88"/>
    <mergeCell ref="D85:D88"/>
    <mergeCell ref="E85:E88"/>
    <mergeCell ref="F85:F88"/>
    <mergeCell ref="K85:K88"/>
    <mergeCell ref="S94:S97"/>
    <mergeCell ref="T94:T97"/>
    <mergeCell ref="U94:U97"/>
    <mergeCell ref="V94:V97"/>
    <mergeCell ref="W94:W97"/>
    <mergeCell ref="L94:L97"/>
    <mergeCell ref="M94:M97"/>
    <mergeCell ref="N94:N97"/>
    <mergeCell ref="O94:O97"/>
    <mergeCell ref="P94:P97"/>
    <mergeCell ref="Q94:Q97"/>
    <mergeCell ref="R94:R97"/>
    <mergeCell ref="A94:A97"/>
    <mergeCell ref="B94:B97"/>
    <mergeCell ref="C94:C97"/>
    <mergeCell ref="D94:D97"/>
    <mergeCell ref="E94:E97"/>
    <mergeCell ref="F94:F97"/>
    <mergeCell ref="K94:K97"/>
    <mergeCell ref="S119:S120"/>
    <mergeCell ref="T119:T120"/>
    <mergeCell ref="U119:U120"/>
    <mergeCell ref="V119:V120"/>
    <mergeCell ref="W119:W120"/>
    <mergeCell ref="U122:U124"/>
    <mergeCell ref="V122:V124"/>
    <mergeCell ref="W122:W124"/>
    <mergeCell ref="L119:L120"/>
    <mergeCell ref="M119:M120"/>
    <mergeCell ref="N119:N120"/>
    <mergeCell ref="O119:O120"/>
    <mergeCell ref="P119:P120"/>
    <mergeCell ref="Q119:Q120"/>
    <mergeCell ref="R119:R120"/>
    <mergeCell ref="A119:A120"/>
    <mergeCell ref="B119:B120"/>
    <mergeCell ref="C119:C120"/>
    <mergeCell ref="D119:D120"/>
    <mergeCell ref="E119:E120"/>
    <mergeCell ref="F119:F120"/>
    <mergeCell ref="K119:K120"/>
    <mergeCell ref="A122:A124"/>
    <mergeCell ref="B122:B124"/>
    <mergeCell ref="C122:C124"/>
    <mergeCell ref="D122:D124"/>
    <mergeCell ref="E122:E124"/>
    <mergeCell ref="F122:F124"/>
    <mergeCell ref="K122:K124"/>
    <mergeCell ref="S163:S164"/>
    <mergeCell ref="T163:T164"/>
    <mergeCell ref="L163:L164"/>
    <mergeCell ref="M163:M164"/>
    <mergeCell ref="N163:N164"/>
    <mergeCell ref="O163:O164"/>
    <mergeCell ref="P163:P164"/>
    <mergeCell ref="Q163:Q164"/>
    <mergeCell ref="R163:R164"/>
    <mergeCell ref="S122:S124"/>
    <mergeCell ref="T122:T124"/>
    <mergeCell ref="L122:L124"/>
    <mergeCell ref="M122:M124"/>
    <mergeCell ref="N122:N124"/>
    <mergeCell ref="O122:O124"/>
    <mergeCell ref="P122:P124"/>
    <mergeCell ref="Q122:Q124"/>
    <mergeCell ref="R122:R124"/>
    <mergeCell ref="S144:S147"/>
    <mergeCell ref="T144:T147"/>
    <mergeCell ref="U144:U147"/>
    <mergeCell ref="V144:V147"/>
    <mergeCell ref="W144:W147"/>
    <mergeCell ref="L144:L147"/>
    <mergeCell ref="M144:M147"/>
    <mergeCell ref="N144:N147"/>
    <mergeCell ref="O144:O147"/>
    <mergeCell ref="P144:P147"/>
    <mergeCell ref="Q144:Q147"/>
    <mergeCell ref="R144:R147"/>
    <mergeCell ref="A144:A147"/>
    <mergeCell ref="B144:B147"/>
    <mergeCell ref="C144:C147"/>
    <mergeCell ref="D144:D147"/>
    <mergeCell ref="E144:E147"/>
    <mergeCell ref="F144:F147"/>
    <mergeCell ref="K144:K147"/>
    <mergeCell ref="S160:S162"/>
    <mergeCell ref="T160:T162"/>
    <mergeCell ref="U160:U162"/>
    <mergeCell ref="V160:V162"/>
    <mergeCell ref="W160:W162"/>
    <mergeCell ref="U163:U164"/>
    <mergeCell ref="V163:V164"/>
    <mergeCell ref="W163:W164"/>
    <mergeCell ref="A163:A164"/>
    <mergeCell ref="B163:B164"/>
    <mergeCell ref="C163:C164"/>
    <mergeCell ref="D163:D164"/>
    <mergeCell ref="E163:E164"/>
    <mergeCell ref="F163:F164"/>
    <mergeCell ref="K163:K164"/>
    <mergeCell ref="L200:L202"/>
    <mergeCell ref="M200:M202"/>
    <mergeCell ref="N200:N202"/>
    <mergeCell ref="O200:O202"/>
    <mergeCell ref="P200:P202"/>
    <mergeCell ref="Q200:Q202"/>
    <mergeCell ref="R200:R202"/>
    <mergeCell ref="A200:A202"/>
    <mergeCell ref="B200:B202"/>
    <mergeCell ref="C200:C202"/>
    <mergeCell ref="D200:D202"/>
    <mergeCell ref="E200:E202"/>
    <mergeCell ref="F200:F202"/>
    <mergeCell ref="K200:K202"/>
    <mergeCell ref="B215:D215"/>
    <mergeCell ref="B217:B232"/>
    <mergeCell ref="B233:B254"/>
    <mergeCell ref="B256:H256"/>
    <mergeCell ref="B257:H257"/>
    <mergeCell ref="B258:D258"/>
    <mergeCell ref="K258:M258"/>
    <mergeCell ref="E258:H258"/>
    <mergeCell ref="B259:H259"/>
    <mergeCell ref="B260:D260"/>
    <mergeCell ref="E260:H260"/>
    <mergeCell ref="B261:H261"/>
    <mergeCell ref="B262:H262"/>
    <mergeCell ref="B263:H263"/>
    <mergeCell ref="E270:E271"/>
    <mergeCell ref="F270:F271"/>
    <mergeCell ref="B272:B273"/>
    <mergeCell ref="C272:C273"/>
    <mergeCell ref="D272:D273"/>
    <mergeCell ref="E272:E273"/>
    <mergeCell ref="F272:F273"/>
    <mergeCell ref="G272:G273"/>
    <mergeCell ref="G270:G271"/>
    <mergeCell ref="L270:L271"/>
    <mergeCell ref="B264:H264"/>
    <mergeCell ref="B265:H265"/>
    <mergeCell ref="A267:D267"/>
    <mergeCell ref="O269:P269"/>
    <mergeCell ref="B270:B271"/>
    <mergeCell ref="C270:C271"/>
    <mergeCell ref="D270:D271"/>
    <mergeCell ref="O270:P271"/>
    <mergeCell ref="O277:P277"/>
    <mergeCell ref="O278:P278"/>
    <mergeCell ref="B279:J279"/>
    <mergeCell ref="O279:P279"/>
    <mergeCell ref="B283:D283"/>
    <mergeCell ref="B288:D288"/>
    <mergeCell ref="B294:D294"/>
    <mergeCell ref="M270:M271"/>
    <mergeCell ref="N270:N271"/>
    <mergeCell ref="O272:P272"/>
    <mergeCell ref="O273:P273"/>
    <mergeCell ref="O274:P274"/>
    <mergeCell ref="O275:P275"/>
    <mergeCell ref="O276:P276"/>
    <mergeCell ref="L160:L162"/>
    <mergeCell ref="M160:M162"/>
    <mergeCell ref="N160:N162"/>
    <mergeCell ref="O160:O162"/>
    <mergeCell ref="P160:P162"/>
    <mergeCell ref="Q160:Q162"/>
    <mergeCell ref="R160:R162"/>
    <mergeCell ref="A160:A162"/>
    <mergeCell ref="B160:B162"/>
    <mergeCell ref="C160:C162"/>
    <mergeCell ref="D160:D162"/>
    <mergeCell ref="E160:E162"/>
    <mergeCell ref="F160:F162"/>
    <mergeCell ref="K160:K162"/>
    <mergeCell ref="S189:S191"/>
    <mergeCell ref="T189:T191"/>
    <mergeCell ref="U189:U191"/>
    <mergeCell ref="V189:V191"/>
    <mergeCell ref="W189:W191"/>
    <mergeCell ref="L189:L191"/>
    <mergeCell ref="M189:M191"/>
    <mergeCell ref="N189:N191"/>
    <mergeCell ref="O189:O191"/>
    <mergeCell ref="P189:P191"/>
    <mergeCell ref="Q189:Q191"/>
    <mergeCell ref="R189:R191"/>
    <mergeCell ref="A189:A191"/>
    <mergeCell ref="B189:B191"/>
    <mergeCell ref="C189:C191"/>
    <mergeCell ref="D189:D191"/>
    <mergeCell ref="E189:E191"/>
    <mergeCell ref="F189:F191"/>
    <mergeCell ref="K189:K191"/>
    <mergeCell ref="S200:S202"/>
    <mergeCell ref="T200:T202"/>
    <mergeCell ref="U200:U202"/>
    <mergeCell ref="V200:V202"/>
    <mergeCell ref="W200:W202"/>
    <mergeCell ref="B208:I208"/>
    <mergeCell ref="B209:I209"/>
    <mergeCell ref="B210:I210"/>
    <mergeCell ref="B211:I211"/>
    <mergeCell ref="B212:I212"/>
    <mergeCell ref="E215:J215"/>
    <mergeCell ref="N215:T215"/>
    <mergeCell ref="H8:H10"/>
    <mergeCell ref="I8:I10"/>
    <mergeCell ref="J8:J10"/>
    <mergeCell ref="K8:K10"/>
    <mergeCell ref="L8:L10"/>
    <mergeCell ref="M8:M10"/>
    <mergeCell ref="N8:N10"/>
    <mergeCell ref="A8:A10"/>
    <mergeCell ref="B8:B10"/>
    <mergeCell ref="C8:C10"/>
    <mergeCell ref="D8:D10"/>
    <mergeCell ref="E8:E10"/>
    <mergeCell ref="F8:F10"/>
    <mergeCell ref="G8:G10"/>
    <mergeCell ref="O11:O13"/>
    <mergeCell ref="P11:P13"/>
    <mergeCell ref="H11:H13"/>
    <mergeCell ref="I11:I13"/>
    <mergeCell ref="J11:J13"/>
    <mergeCell ref="K11:K13"/>
    <mergeCell ref="L11:L13"/>
    <mergeCell ref="M11:M13"/>
    <mergeCell ref="N11:N13"/>
    <mergeCell ref="G2:J2"/>
    <mergeCell ref="K2:Q2"/>
    <mergeCell ref="R2:T2"/>
    <mergeCell ref="U2:V2"/>
    <mergeCell ref="W2:W3"/>
    <mergeCell ref="P3:Q3"/>
    <mergeCell ref="A1:G1"/>
    <mergeCell ref="A2:A3"/>
    <mergeCell ref="B2:B3"/>
    <mergeCell ref="C2:C3"/>
    <mergeCell ref="D2:D3"/>
    <mergeCell ref="E2:E3"/>
    <mergeCell ref="F2:F3"/>
    <mergeCell ref="O5:O7"/>
    <mergeCell ref="P5:P7"/>
    <mergeCell ref="Q5:Q7"/>
    <mergeCell ref="R5:R7"/>
    <mergeCell ref="S5:S7"/>
    <mergeCell ref="T5:T7"/>
    <mergeCell ref="W5:W7"/>
    <mergeCell ref="H5:H7"/>
    <mergeCell ref="I5:I7"/>
    <mergeCell ref="J5:J7"/>
    <mergeCell ref="K5:K7"/>
    <mergeCell ref="L5:L7"/>
    <mergeCell ref="M5:M7"/>
    <mergeCell ref="N5:N7"/>
    <mergeCell ref="A5:A7"/>
    <mergeCell ref="B5:B7"/>
    <mergeCell ref="C5:C7"/>
    <mergeCell ref="D5:D7"/>
    <mergeCell ref="E5:E7"/>
    <mergeCell ref="F5:F7"/>
    <mergeCell ref="G5:G7"/>
    <mergeCell ref="Q11:Q13"/>
    <mergeCell ref="R11:R13"/>
    <mergeCell ref="S11:S13"/>
    <mergeCell ref="T11:T13"/>
    <mergeCell ref="W11:W13"/>
    <mergeCell ref="O8:O10"/>
    <mergeCell ref="P8:P10"/>
    <mergeCell ref="Q8:Q10"/>
    <mergeCell ref="R8:R10"/>
    <mergeCell ref="S8:S10"/>
    <mergeCell ref="T8:T10"/>
    <mergeCell ref="W8:W10"/>
    <mergeCell ref="A11:A13"/>
    <mergeCell ref="B11:B13"/>
    <mergeCell ref="C11:C13"/>
    <mergeCell ref="D11:D13"/>
    <mergeCell ref="E11:E13"/>
    <mergeCell ref="F11:F13"/>
    <mergeCell ref="G11:G13"/>
    <mergeCell ref="O14:O16"/>
    <mergeCell ref="P14:P16"/>
    <mergeCell ref="Q14:Q16"/>
    <mergeCell ref="R14:R16"/>
    <mergeCell ref="S14:S16"/>
    <mergeCell ref="T14:T16"/>
    <mergeCell ref="W14:W16"/>
    <mergeCell ref="H14:H16"/>
    <mergeCell ref="I14:I16"/>
    <mergeCell ref="J14:J16"/>
    <mergeCell ref="K14:K16"/>
    <mergeCell ref="L14:L16"/>
    <mergeCell ref="M14:M16"/>
    <mergeCell ref="N14:N16"/>
    <mergeCell ref="A14:A16"/>
    <mergeCell ref="B14:B16"/>
    <mergeCell ref="C14:C16"/>
    <mergeCell ref="D14:D16"/>
    <mergeCell ref="E14:E16"/>
    <mergeCell ref="F14:F16"/>
    <mergeCell ref="G14:G16"/>
    <mergeCell ref="O17:O19"/>
    <mergeCell ref="P17:P19"/>
    <mergeCell ref="Q17:Q19"/>
    <mergeCell ref="R17:R19"/>
    <mergeCell ref="S17:S19"/>
    <mergeCell ref="T17:T19"/>
    <mergeCell ref="W17:W19"/>
    <mergeCell ref="H17:H19"/>
    <mergeCell ref="I17:I19"/>
    <mergeCell ref="J17:J19"/>
    <mergeCell ref="K17:K19"/>
    <mergeCell ref="L17:L19"/>
    <mergeCell ref="M17:M19"/>
    <mergeCell ref="N17:N19"/>
    <mergeCell ref="A17:A19"/>
    <mergeCell ref="B17:B19"/>
    <mergeCell ref="C17:C19"/>
    <mergeCell ref="D17:D19"/>
    <mergeCell ref="E17:E19"/>
    <mergeCell ref="F17:F19"/>
    <mergeCell ref="G17:G19"/>
    <mergeCell ref="S20:S21"/>
    <mergeCell ref="T20:T21"/>
    <mergeCell ref="U20:U21"/>
    <mergeCell ref="V20:V21"/>
    <mergeCell ref="W20:W21"/>
    <mergeCell ref="L20:L21"/>
    <mergeCell ref="M20:M21"/>
    <mergeCell ref="N20:N21"/>
    <mergeCell ref="O20:O21"/>
    <mergeCell ref="P20:P21"/>
    <mergeCell ref="Q20:Q21"/>
    <mergeCell ref="R20:R21"/>
    <mergeCell ref="A20:A21"/>
    <mergeCell ref="B20:B21"/>
    <mergeCell ref="C20:C21"/>
    <mergeCell ref="D20:D21"/>
    <mergeCell ref="E20:E21"/>
    <mergeCell ref="F20:F21"/>
    <mergeCell ref="K20:K21"/>
    <mergeCell ref="S22:S27"/>
    <mergeCell ref="T22:T27"/>
    <mergeCell ref="U22:U27"/>
    <mergeCell ref="V22:V27"/>
    <mergeCell ref="W22:W27"/>
    <mergeCell ref="A22:A27"/>
    <mergeCell ref="B22:B27"/>
    <mergeCell ref="C22:C27"/>
    <mergeCell ref="D22:D27"/>
    <mergeCell ref="E22:E27"/>
    <mergeCell ref="F22:F27"/>
    <mergeCell ref="K22:K27"/>
    <mergeCell ref="A28:A29"/>
    <mergeCell ref="B28:B29"/>
    <mergeCell ref="C28:C29"/>
    <mergeCell ref="D28:D29"/>
    <mergeCell ref="E28:E29"/>
    <mergeCell ref="F28:F29"/>
    <mergeCell ref="G28:G29"/>
    <mergeCell ref="Q28:Q29"/>
    <mergeCell ref="R28:R29"/>
    <mergeCell ref="S28:S29"/>
    <mergeCell ref="T28:T29"/>
    <mergeCell ref="W28:W29"/>
    <mergeCell ref="L22:L27"/>
    <mergeCell ref="M22:M27"/>
    <mergeCell ref="N22:N27"/>
    <mergeCell ref="O22:O27"/>
    <mergeCell ref="P22:P27"/>
    <mergeCell ref="Q22:Q27"/>
    <mergeCell ref="R22:R27"/>
    <mergeCell ref="H38:H40"/>
    <mergeCell ref="I38:I40"/>
    <mergeCell ref="J38:J40"/>
    <mergeCell ref="K38:K40"/>
    <mergeCell ref="L38:L40"/>
    <mergeCell ref="M38:M40"/>
    <mergeCell ref="N38:N40"/>
    <mergeCell ref="A38:A40"/>
    <mergeCell ref="B38:B40"/>
    <mergeCell ref="C38:C40"/>
    <mergeCell ref="D38:D40"/>
    <mergeCell ref="E38:E40"/>
    <mergeCell ref="F38:F40"/>
    <mergeCell ref="G38:G40"/>
    <mergeCell ref="L82:L83"/>
    <mergeCell ref="M82:M83"/>
    <mergeCell ref="N82:N83"/>
    <mergeCell ref="O82:O83"/>
    <mergeCell ref="P82:P83"/>
    <mergeCell ref="Q82:Q83"/>
    <mergeCell ref="R82:R83"/>
    <mergeCell ref="A82:A83"/>
    <mergeCell ref="B82:B83"/>
    <mergeCell ref="C82:C83"/>
    <mergeCell ref="D82:D83"/>
    <mergeCell ref="E82:E83"/>
    <mergeCell ref="F82:F83"/>
    <mergeCell ref="K82:K83"/>
  </mergeCells>
  <dataValidations>
    <dataValidation type="list" allowBlank="1" showErrorMessage="1" sqref="S4:S5 S8 S11 S14 S17 S20 S22 S28 S30 S33:S37 S41:S46 S48:S49 S54:S57 S59:S64 S66:S72 S75:S78 S81:S82 S84:S85 S89:S94 S98:S119 S121:S122 S125:S144 S148:S160 S163 S165:S189 S192:S200 S203:S206">
      <formula1>"Cty trả ship"</formula1>
    </dataValidation>
    <dataValidation type="list" allowBlank="1" showErrorMessage="1" sqref="Q4:Q5 Q8 Q11 Q14 Q20 Q22 Q28 Q30 Q33:Q38 Q41:Q49 Q54:Q57 Q59:Q64 Q66:Q72 Q75:Q78 Q81:Q82 Q84:Q85 Q89:Q94 Q98:Q119 Q121:Q122 Q125:Q144 Q148:Q160 Q163 Q165:Q189 Q192:Q200 Q203:Q206">
      <formula1>"Chưa thu,Đã thu"</formula1>
    </dataValidation>
    <dataValidation type="list" allowBlank="1" showErrorMessage="1" sqref="P4:P5 P8 P11 P14 P17:Q17 P20 P22 P28 P30 P33:P38 P41:P46 P48:P49 P54:P57 P59:P64 P66:P72 P75:P77 P81:P82 P84:P85 P89:P94 P98:P119 P121:P122 P125:P144 P148:P160 P163 P165:P189 P192:P200 P203:P206">
      <formula1>"Chưa giao,Đã giao"</formula1>
    </dataValidation>
  </dataValidation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4.0" ySplit="3.0" topLeftCell="E4" activePane="bottomRight" state="frozen"/>
      <selection activeCell="E1" sqref="E1" pane="topRight"/>
      <selection activeCell="A4" sqref="A4" pane="bottomLeft"/>
      <selection activeCell="E4" sqref="E4" pane="bottomRight"/>
    </sheetView>
  </sheetViews>
  <sheetFormatPr customHeight="1" defaultColWidth="12.63" defaultRowHeight="15.0"/>
  <cols>
    <col customWidth="1" min="1" max="1" width="8.75"/>
    <col customWidth="1" min="2" max="2" width="14.75"/>
    <col customWidth="1" min="3" max="3" width="18.0"/>
    <col customWidth="1" min="4" max="4" width="30.63"/>
    <col customWidth="1" min="5" max="5" width="19.13"/>
    <col customWidth="1" min="6" max="6" width="55.38"/>
    <col customWidth="1" min="7" max="7" width="20.38"/>
    <col customWidth="1" min="8" max="8" width="15.13"/>
    <col customWidth="1" min="9" max="9" width="17.38"/>
    <col customWidth="1" min="10" max="10" width="16.88"/>
    <col customWidth="1" min="11" max="11" width="16.13"/>
    <col customWidth="1" min="12" max="14" width="18.75"/>
    <col customWidth="1" min="15" max="15" width="20.38"/>
    <col customWidth="1" min="16" max="16" width="19.38"/>
    <col customWidth="1" min="17" max="17" width="19.13"/>
    <col customWidth="1" min="18" max="18" width="17.88"/>
    <col customWidth="1" min="19" max="19" width="17.25"/>
    <col customWidth="1" min="20" max="20" width="24.0"/>
    <col customWidth="1" min="21" max="21" width="20.38"/>
    <col customWidth="1" min="22" max="22" width="15.63"/>
    <col customWidth="1" min="23" max="23" width="32.75"/>
    <col customWidth="1" min="24" max="24" width="16.75"/>
    <col customWidth="1" min="25" max="25" width="21.13"/>
    <col customWidth="1" min="26" max="26" width="16.63"/>
    <col customWidth="1" min="27" max="30" width="12.63"/>
  </cols>
  <sheetData>
    <row r="1" ht="25.5" customHeight="1">
      <c r="A1" s="1" t="s">
        <v>1547</v>
      </c>
      <c r="B1" s="2"/>
      <c r="C1" s="2"/>
      <c r="D1" s="2"/>
      <c r="E1" s="2"/>
      <c r="F1" s="2"/>
      <c r="G1" s="3"/>
      <c r="H1" s="4"/>
      <c r="I1" s="4"/>
      <c r="J1" s="4"/>
      <c r="K1" s="4"/>
      <c r="L1" s="4"/>
      <c r="M1" s="4"/>
      <c r="N1" s="4"/>
      <c r="O1" s="4"/>
      <c r="P1" s="4"/>
      <c r="Q1" s="4"/>
      <c r="R1" s="4"/>
      <c r="S1" s="4"/>
      <c r="T1" s="4"/>
      <c r="U1" s="4"/>
      <c r="V1" s="4"/>
      <c r="W1" s="4"/>
      <c r="X1" s="426"/>
      <c r="Y1" s="6"/>
      <c r="Z1" s="7"/>
      <c r="AA1" s="8"/>
      <c r="AB1" s="8"/>
      <c r="AC1" s="8"/>
      <c r="AD1" s="9"/>
    </row>
    <row r="2" ht="40.5" customHeight="1">
      <c r="A2" s="10" t="s">
        <v>1</v>
      </c>
      <c r="B2" s="11" t="s">
        <v>2</v>
      </c>
      <c r="C2" s="12" t="s">
        <v>3</v>
      </c>
      <c r="D2" s="13" t="s">
        <v>4</v>
      </c>
      <c r="E2" s="14" t="s">
        <v>5</v>
      </c>
      <c r="F2" s="13" t="s">
        <v>6</v>
      </c>
      <c r="G2" s="15" t="s">
        <v>7</v>
      </c>
      <c r="H2" s="16"/>
      <c r="I2" s="16"/>
      <c r="J2" s="17"/>
      <c r="K2" s="18" t="s">
        <v>8</v>
      </c>
      <c r="L2" s="16"/>
      <c r="M2" s="16"/>
      <c r="N2" s="16"/>
      <c r="O2" s="16"/>
      <c r="P2" s="16"/>
      <c r="Q2" s="17"/>
      <c r="R2" s="19" t="s">
        <v>9</v>
      </c>
      <c r="S2" s="16"/>
      <c r="T2" s="17"/>
      <c r="U2" s="20" t="s">
        <v>10</v>
      </c>
      <c r="V2" s="17"/>
      <c r="W2" s="21" t="s">
        <v>11</v>
      </c>
      <c r="X2" s="973" t="s">
        <v>1548</v>
      </c>
      <c r="Y2" s="23"/>
      <c r="Z2" s="24"/>
      <c r="AA2" s="25"/>
      <c r="AB2" s="25"/>
      <c r="AC2" s="25"/>
      <c r="AD2" s="22"/>
    </row>
    <row r="3" ht="36.75" customHeight="1">
      <c r="A3" s="26"/>
      <c r="B3" s="26"/>
      <c r="C3" s="26"/>
      <c r="D3" s="26"/>
      <c r="E3" s="26"/>
      <c r="F3" s="26"/>
      <c r="G3" s="27" t="s">
        <v>12</v>
      </c>
      <c r="H3" s="27" t="s">
        <v>13</v>
      </c>
      <c r="I3" s="28" t="s">
        <v>14</v>
      </c>
      <c r="J3" s="29" t="s">
        <v>15</v>
      </c>
      <c r="K3" s="30" t="s">
        <v>16</v>
      </c>
      <c r="L3" s="31" t="s">
        <v>17</v>
      </c>
      <c r="M3" s="32" t="s">
        <v>1310</v>
      </c>
      <c r="N3" s="33" t="s">
        <v>19</v>
      </c>
      <c r="O3" s="34" t="s">
        <v>20</v>
      </c>
      <c r="P3" s="558" t="s">
        <v>21</v>
      </c>
      <c r="Q3" s="408"/>
      <c r="R3" s="36" t="s">
        <v>22</v>
      </c>
      <c r="S3" s="37" t="s">
        <v>23</v>
      </c>
      <c r="T3" s="37" t="s">
        <v>1549</v>
      </c>
      <c r="U3" s="38" t="s">
        <v>25</v>
      </c>
      <c r="V3" s="38" t="s">
        <v>26</v>
      </c>
      <c r="W3" s="26"/>
      <c r="X3" s="67"/>
      <c r="Y3" s="23"/>
      <c r="Z3" s="24"/>
      <c r="AA3" s="25"/>
      <c r="AB3" s="25"/>
      <c r="AC3" s="25"/>
      <c r="AD3" s="22"/>
    </row>
    <row r="4" ht="23.25" customHeight="1">
      <c r="A4" s="39">
        <v>1.0</v>
      </c>
      <c r="B4" s="40">
        <v>45103.0</v>
      </c>
      <c r="C4" s="41">
        <v>1.694681475501E12</v>
      </c>
      <c r="D4" s="42" t="s">
        <v>1550</v>
      </c>
      <c r="E4" s="43" t="s">
        <v>1551</v>
      </c>
      <c r="F4" s="451" t="s">
        <v>1552</v>
      </c>
      <c r="G4" s="45" t="s">
        <v>30</v>
      </c>
      <c r="H4" s="46">
        <v>10.0</v>
      </c>
      <c r="I4" s="47">
        <v>220000.0</v>
      </c>
      <c r="J4" s="48">
        <f t="shared" ref="J4:J28" si="1">I4*H4</f>
        <v>2200000</v>
      </c>
      <c r="K4" s="49">
        <f>sum(J4:J6)</f>
        <v>5800000</v>
      </c>
      <c r="L4" s="560"/>
      <c r="M4" s="561"/>
      <c r="N4" s="562"/>
      <c r="O4" s="53">
        <f>K4+L4-N4</f>
        <v>5800000</v>
      </c>
      <c r="P4" s="99" t="s">
        <v>449</v>
      </c>
      <c r="Q4" s="99" t="s">
        <v>31</v>
      </c>
      <c r="R4" s="55">
        <v>169004.0</v>
      </c>
      <c r="S4" s="56" t="s">
        <v>32</v>
      </c>
      <c r="T4" s="57" t="s">
        <v>33</v>
      </c>
      <c r="U4" s="59"/>
      <c r="V4" s="59"/>
      <c r="W4" s="59"/>
      <c r="X4" s="974"/>
      <c r="Y4" s="60" t="s">
        <v>34</v>
      </c>
      <c r="Z4" s="61">
        <v>65000.0</v>
      </c>
      <c r="AA4" s="25"/>
      <c r="AB4" s="25"/>
      <c r="AC4" s="25"/>
      <c r="AD4" s="22"/>
    </row>
    <row r="5" ht="23.25" customHeight="1">
      <c r="A5" s="62"/>
      <c r="B5" s="62"/>
      <c r="C5" s="62"/>
      <c r="D5" s="62"/>
      <c r="E5" s="62"/>
      <c r="F5" s="423"/>
      <c r="G5" s="63" t="s">
        <v>37</v>
      </c>
      <c r="H5" s="64">
        <v>12.0</v>
      </c>
      <c r="I5" s="47">
        <v>220000.0</v>
      </c>
      <c r="J5" s="48">
        <f t="shared" si="1"/>
        <v>2640000</v>
      </c>
      <c r="K5" s="62"/>
      <c r="L5" s="62"/>
      <c r="M5" s="62"/>
      <c r="N5" s="62"/>
      <c r="O5" s="62"/>
      <c r="P5" s="62"/>
      <c r="Q5" s="62"/>
      <c r="R5" s="62"/>
      <c r="S5" s="62"/>
      <c r="T5" s="62"/>
      <c r="U5" s="62"/>
      <c r="V5" s="62"/>
      <c r="W5" s="62"/>
      <c r="X5" s="62"/>
      <c r="Y5" s="65" t="s">
        <v>36</v>
      </c>
      <c r="Z5" s="66">
        <v>180000.0</v>
      </c>
      <c r="AA5" s="25"/>
      <c r="AB5" s="25"/>
      <c r="AC5" s="25"/>
      <c r="AD5" s="22"/>
    </row>
    <row r="6" ht="23.25" customHeight="1">
      <c r="A6" s="67"/>
      <c r="B6" s="67"/>
      <c r="C6" s="67"/>
      <c r="D6" s="67"/>
      <c r="E6" s="67"/>
      <c r="F6" s="102"/>
      <c r="G6" s="68" t="s">
        <v>147</v>
      </c>
      <c r="H6" s="69">
        <v>12.0</v>
      </c>
      <c r="I6" s="975">
        <v>80000.0</v>
      </c>
      <c r="J6" s="48">
        <f t="shared" si="1"/>
        <v>960000</v>
      </c>
      <c r="K6" s="67"/>
      <c r="L6" s="67"/>
      <c r="M6" s="67"/>
      <c r="N6" s="67"/>
      <c r="O6" s="67"/>
      <c r="P6" s="67"/>
      <c r="Q6" s="67"/>
      <c r="R6" s="67"/>
      <c r="S6" s="67"/>
      <c r="T6" s="67"/>
      <c r="U6" s="67"/>
      <c r="V6" s="67"/>
      <c r="W6" s="67"/>
      <c r="X6" s="67"/>
      <c r="Y6" s="65" t="s">
        <v>38</v>
      </c>
      <c r="Z6" s="66">
        <v>160000.0</v>
      </c>
      <c r="AA6" s="25"/>
      <c r="AB6" s="25"/>
      <c r="AC6" s="25"/>
      <c r="AD6" s="22"/>
    </row>
    <row r="7" ht="36.75" customHeight="1">
      <c r="A7" s="69">
        <v>2.0</v>
      </c>
      <c r="B7" s="413">
        <v>45104.0</v>
      </c>
      <c r="C7" s="69">
        <v>1.697593215919E12</v>
      </c>
      <c r="D7" s="68" t="s">
        <v>216</v>
      </c>
      <c r="E7" s="71" t="s">
        <v>217</v>
      </c>
      <c r="F7" s="68" t="s">
        <v>218</v>
      </c>
      <c r="G7" s="68" t="s">
        <v>30</v>
      </c>
      <c r="H7" s="69">
        <v>10.0</v>
      </c>
      <c r="I7" s="975">
        <v>220000.0</v>
      </c>
      <c r="J7" s="48">
        <f t="shared" si="1"/>
        <v>2200000</v>
      </c>
      <c r="K7" s="76">
        <f t="shared" ref="K7:K8" si="2">SUM(J7)</f>
        <v>2200000</v>
      </c>
      <c r="L7" s="77"/>
      <c r="M7" s="575"/>
      <c r="N7" s="136"/>
      <c r="O7" s="80">
        <f t="shared" ref="O7:O9" si="3">K7+L7-N7</f>
        <v>2200000</v>
      </c>
      <c r="P7" s="81" t="s">
        <v>449</v>
      </c>
      <c r="Q7" s="81" t="s">
        <v>31</v>
      </c>
      <c r="R7" s="82">
        <v>84999.0</v>
      </c>
      <c r="S7" s="83" t="s">
        <v>32</v>
      </c>
      <c r="T7" s="84" t="s">
        <v>33</v>
      </c>
      <c r="U7" s="85"/>
      <c r="V7" s="414"/>
      <c r="W7" s="86"/>
      <c r="X7" s="687"/>
      <c r="Y7" s="65" t="s">
        <v>43</v>
      </c>
      <c r="Z7" s="87">
        <v>65000.0</v>
      </c>
      <c r="AA7" s="25"/>
      <c r="AB7" s="25"/>
      <c r="AC7" s="25"/>
      <c r="AD7" s="22"/>
    </row>
    <row r="8" ht="23.25" customHeight="1">
      <c r="A8" s="69">
        <v>3.0</v>
      </c>
      <c r="B8" s="413">
        <v>45104.0</v>
      </c>
      <c r="C8" s="69">
        <v>1.700173560834E12</v>
      </c>
      <c r="D8" s="68" t="s">
        <v>1553</v>
      </c>
      <c r="E8" s="71" t="s">
        <v>87</v>
      </c>
      <c r="F8" s="68" t="s">
        <v>1554</v>
      </c>
      <c r="G8" s="68" t="s">
        <v>30</v>
      </c>
      <c r="H8" s="69">
        <v>1.0</v>
      </c>
      <c r="I8" s="459"/>
      <c r="J8" s="48">
        <f t="shared" si="1"/>
        <v>0</v>
      </c>
      <c r="K8" s="76">
        <f t="shared" si="2"/>
        <v>0</v>
      </c>
      <c r="L8" s="77"/>
      <c r="M8" s="575"/>
      <c r="N8" s="136"/>
      <c r="O8" s="80">
        <f t="shared" si="3"/>
        <v>0</v>
      </c>
      <c r="P8" s="81" t="s">
        <v>449</v>
      </c>
      <c r="Q8" s="81" t="s">
        <v>31</v>
      </c>
      <c r="R8" s="82">
        <v>27001.0</v>
      </c>
      <c r="S8" s="83" t="s">
        <v>32</v>
      </c>
      <c r="T8" s="84" t="s">
        <v>33</v>
      </c>
      <c r="U8" s="85"/>
      <c r="V8" s="414"/>
      <c r="W8" s="323" t="s">
        <v>1555</v>
      </c>
      <c r="X8" s="687"/>
      <c r="Y8" s="65" t="s">
        <v>48</v>
      </c>
      <c r="Z8" s="66">
        <v>55000.0</v>
      </c>
      <c r="AA8" s="25"/>
      <c r="AB8" s="25"/>
      <c r="AC8" s="25"/>
      <c r="AD8" s="22"/>
    </row>
    <row r="9" ht="23.25" customHeight="1">
      <c r="A9" s="94">
        <v>4.0</v>
      </c>
      <c r="B9" s="416">
        <v>45104.0</v>
      </c>
      <c r="C9" s="94">
        <v>1.70142110922E12</v>
      </c>
      <c r="D9" s="96" t="s">
        <v>1556</v>
      </c>
      <c r="E9" s="97" t="s">
        <v>1557</v>
      </c>
      <c r="F9" s="96" t="s">
        <v>1558</v>
      </c>
      <c r="G9" s="68" t="s">
        <v>37</v>
      </c>
      <c r="H9" s="69">
        <v>1.0</v>
      </c>
      <c r="I9" s="975">
        <v>220000.0</v>
      </c>
      <c r="J9" s="48">
        <f t="shared" si="1"/>
        <v>220000</v>
      </c>
      <c r="K9" s="49">
        <f>sum(J9:J11)</f>
        <v>520000</v>
      </c>
      <c r="L9" s="976">
        <v>43000.0</v>
      </c>
      <c r="M9" s="561"/>
      <c r="N9" s="117">
        <v>13000.0</v>
      </c>
      <c r="O9" s="53">
        <f t="shared" si="3"/>
        <v>550000</v>
      </c>
      <c r="P9" s="99" t="s">
        <v>449</v>
      </c>
      <c r="Q9" s="99" t="s">
        <v>31</v>
      </c>
      <c r="R9" s="118"/>
      <c r="S9" s="56" t="s">
        <v>32</v>
      </c>
      <c r="T9" s="57" t="s">
        <v>33</v>
      </c>
      <c r="U9" s="113"/>
      <c r="V9" s="113"/>
      <c r="W9" s="59"/>
      <c r="X9" s="974"/>
      <c r="Y9" s="65" t="s">
        <v>60</v>
      </c>
      <c r="Z9" s="66">
        <v>45000.0</v>
      </c>
      <c r="AA9" s="25"/>
      <c r="AB9" s="25"/>
      <c r="AC9" s="25"/>
      <c r="AD9" s="22"/>
    </row>
    <row r="10" ht="23.25" customHeight="1">
      <c r="A10" s="62"/>
      <c r="B10" s="62"/>
      <c r="C10" s="62"/>
      <c r="D10" s="62"/>
      <c r="E10" s="62"/>
      <c r="F10" s="62"/>
      <c r="G10" s="68" t="s">
        <v>1559</v>
      </c>
      <c r="H10" s="69">
        <v>1.0</v>
      </c>
      <c r="I10" s="975">
        <v>220000.0</v>
      </c>
      <c r="J10" s="48">
        <f t="shared" si="1"/>
        <v>220000</v>
      </c>
      <c r="K10" s="62"/>
      <c r="L10" s="62"/>
      <c r="M10" s="62"/>
      <c r="N10" s="62"/>
      <c r="O10" s="62"/>
      <c r="P10" s="62"/>
      <c r="Q10" s="62"/>
      <c r="R10" s="62"/>
      <c r="S10" s="62"/>
      <c r="T10" s="62"/>
      <c r="U10" s="62"/>
      <c r="V10" s="62"/>
      <c r="W10" s="62"/>
      <c r="X10" s="62"/>
      <c r="Y10" s="65" t="s">
        <v>679</v>
      </c>
      <c r="Z10" s="66">
        <v>110000.0</v>
      </c>
      <c r="AA10" s="25"/>
      <c r="AB10" s="25"/>
      <c r="AC10" s="25"/>
      <c r="AD10" s="22"/>
    </row>
    <row r="11" ht="23.25" customHeight="1">
      <c r="A11" s="67"/>
      <c r="B11" s="67"/>
      <c r="C11" s="67"/>
      <c r="D11" s="67"/>
      <c r="E11" s="67"/>
      <c r="F11" s="67"/>
      <c r="G11" s="63" t="s">
        <v>147</v>
      </c>
      <c r="H11" s="64">
        <v>1.0</v>
      </c>
      <c r="I11" s="975">
        <v>80000.0</v>
      </c>
      <c r="J11" s="48">
        <f t="shared" si="1"/>
        <v>80000</v>
      </c>
      <c r="K11" s="67"/>
      <c r="L11" s="67"/>
      <c r="M11" s="67"/>
      <c r="N11" s="67"/>
      <c r="O11" s="67"/>
      <c r="P11" s="67"/>
      <c r="Q11" s="67"/>
      <c r="R11" s="67"/>
      <c r="S11" s="67"/>
      <c r="T11" s="67"/>
      <c r="U11" s="67"/>
      <c r="V11" s="67"/>
      <c r="W11" s="67"/>
      <c r="X11" s="67"/>
      <c r="Y11" s="65" t="s">
        <v>66</v>
      </c>
      <c r="Z11" s="66">
        <v>205000.0</v>
      </c>
      <c r="AA11" s="25"/>
      <c r="AB11" s="25"/>
      <c r="AC11" s="25"/>
      <c r="AD11" s="22"/>
    </row>
    <row r="12" ht="23.25" customHeight="1">
      <c r="A12" s="94">
        <v>5.0</v>
      </c>
      <c r="B12" s="416">
        <v>45105.0</v>
      </c>
      <c r="C12" s="94">
        <v>1.70025057473E12</v>
      </c>
      <c r="D12" s="417" t="s">
        <v>1560</v>
      </c>
      <c r="E12" s="97" t="s">
        <v>974</v>
      </c>
      <c r="F12" s="417" t="s">
        <v>1561</v>
      </c>
      <c r="G12" s="68" t="s">
        <v>30</v>
      </c>
      <c r="H12" s="69">
        <v>1.0</v>
      </c>
      <c r="I12" s="975">
        <v>220000.0</v>
      </c>
      <c r="J12" s="48">
        <f t="shared" si="1"/>
        <v>220000</v>
      </c>
      <c r="K12" s="49">
        <f>SUM(J12:J15)</f>
        <v>970000</v>
      </c>
      <c r="L12" s="127"/>
      <c r="M12" s="561"/>
      <c r="N12" s="562"/>
      <c r="O12" s="53">
        <f>K12+L12-N12</f>
        <v>970000</v>
      </c>
      <c r="P12" s="99" t="s">
        <v>449</v>
      </c>
      <c r="Q12" s="99" t="s">
        <v>31</v>
      </c>
      <c r="R12" s="55">
        <v>54999.0</v>
      </c>
      <c r="S12" s="56" t="s">
        <v>32</v>
      </c>
      <c r="T12" s="57" t="s">
        <v>33</v>
      </c>
      <c r="U12" s="100"/>
      <c r="V12" s="977"/>
      <c r="W12" s="978"/>
      <c r="X12" s="974"/>
      <c r="Y12" s="65" t="s">
        <v>48</v>
      </c>
      <c r="Z12" s="66">
        <v>55000.0</v>
      </c>
      <c r="AA12" s="25"/>
      <c r="AB12" s="25"/>
      <c r="AC12" s="25"/>
      <c r="AD12" s="22"/>
    </row>
    <row r="13" ht="23.25" customHeight="1">
      <c r="A13" s="62"/>
      <c r="B13" s="62"/>
      <c r="C13" s="62"/>
      <c r="D13" s="62"/>
      <c r="E13" s="62"/>
      <c r="F13" s="62"/>
      <c r="G13" s="68" t="s">
        <v>35</v>
      </c>
      <c r="H13" s="69">
        <v>2.0</v>
      </c>
      <c r="I13" s="975">
        <v>220000.0</v>
      </c>
      <c r="J13" s="48">
        <f t="shared" si="1"/>
        <v>440000</v>
      </c>
      <c r="K13" s="62"/>
      <c r="L13" s="62"/>
      <c r="M13" s="62"/>
      <c r="N13" s="62"/>
      <c r="O13" s="62"/>
      <c r="P13" s="62"/>
      <c r="Q13" s="62"/>
      <c r="R13" s="62"/>
      <c r="S13" s="62"/>
      <c r="T13" s="62"/>
      <c r="U13" s="62"/>
      <c r="V13" s="62"/>
      <c r="W13" s="62"/>
      <c r="X13" s="62"/>
      <c r="Y13" s="93" t="s">
        <v>62</v>
      </c>
      <c r="Z13" s="66">
        <v>55000.0</v>
      </c>
      <c r="AA13" s="25"/>
      <c r="AB13" s="25"/>
      <c r="AC13" s="25"/>
      <c r="AD13" s="22"/>
    </row>
    <row r="14" ht="23.25" customHeight="1">
      <c r="A14" s="62"/>
      <c r="B14" s="62"/>
      <c r="C14" s="62"/>
      <c r="D14" s="62"/>
      <c r="E14" s="62"/>
      <c r="F14" s="62"/>
      <c r="G14" s="68" t="s">
        <v>1562</v>
      </c>
      <c r="H14" s="69">
        <v>1.0</v>
      </c>
      <c r="I14" s="975">
        <v>220000.0</v>
      </c>
      <c r="J14" s="48">
        <f t="shared" si="1"/>
        <v>220000</v>
      </c>
      <c r="K14" s="62"/>
      <c r="L14" s="62"/>
      <c r="M14" s="62"/>
      <c r="N14" s="62"/>
      <c r="O14" s="62"/>
      <c r="P14" s="62"/>
      <c r="Q14" s="62"/>
      <c r="R14" s="62"/>
      <c r="S14" s="62"/>
      <c r="T14" s="62"/>
      <c r="U14" s="62"/>
      <c r="V14" s="62"/>
      <c r="W14" s="62"/>
      <c r="X14" s="62"/>
      <c r="Y14" s="65" t="s">
        <v>48</v>
      </c>
      <c r="Z14" s="66">
        <v>55000.0</v>
      </c>
      <c r="AA14" s="25"/>
      <c r="AB14" s="25"/>
      <c r="AC14" s="25"/>
      <c r="AD14" s="22"/>
    </row>
    <row r="15" ht="23.25" customHeight="1">
      <c r="A15" s="67"/>
      <c r="B15" s="67"/>
      <c r="C15" s="67"/>
      <c r="D15" s="67"/>
      <c r="E15" s="67"/>
      <c r="F15" s="67"/>
      <c r="G15" s="72" t="s">
        <v>76</v>
      </c>
      <c r="H15" s="73">
        <v>1.0</v>
      </c>
      <c r="I15" s="979">
        <v>90000.0</v>
      </c>
      <c r="J15" s="75">
        <f t="shared" si="1"/>
        <v>90000</v>
      </c>
      <c r="K15" s="67"/>
      <c r="L15" s="67"/>
      <c r="M15" s="67"/>
      <c r="N15" s="67"/>
      <c r="O15" s="67"/>
      <c r="P15" s="67"/>
      <c r="Q15" s="67"/>
      <c r="R15" s="67"/>
      <c r="S15" s="67"/>
      <c r="T15" s="67"/>
      <c r="U15" s="67"/>
      <c r="V15" s="67"/>
      <c r="W15" s="67"/>
      <c r="X15" s="67"/>
      <c r="Y15" s="65" t="s">
        <v>48</v>
      </c>
      <c r="Z15" s="66">
        <v>55000.0</v>
      </c>
      <c r="AA15" s="25"/>
      <c r="AB15" s="25"/>
      <c r="AC15" s="25"/>
      <c r="AD15" s="22"/>
    </row>
    <row r="16" ht="23.25" customHeight="1">
      <c r="A16" s="69">
        <v>6.0</v>
      </c>
      <c r="B16" s="413">
        <v>45105.0</v>
      </c>
      <c r="C16" s="69">
        <v>7999.0</v>
      </c>
      <c r="D16" s="68" t="s">
        <v>50</v>
      </c>
      <c r="E16" s="71" t="s">
        <v>1563</v>
      </c>
      <c r="F16" s="68" t="s">
        <v>461</v>
      </c>
      <c r="G16" s="68" t="s">
        <v>30</v>
      </c>
      <c r="H16" s="69">
        <v>1.0</v>
      </c>
      <c r="I16" s="975">
        <v>220000.0</v>
      </c>
      <c r="J16" s="48">
        <f t="shared" si="1"/>
        <v>220000</v>
      </c>
      <c r="K16" s="76">
        <f t="shared" ref="K16:K20" si="4">SUM(J16)</f>
        <v>220000</v>
      </c>
      <c r="L16" s="77"/>
      <c r="M16" s="157">
        <v>7257.0</v>
      </c>
      <c r="N16" s="136"/>
      <c r="O16" s="80">
        <f t="shared" ref="O16:O20" si="5">K16+L16-M16-N16</f>
        <v>212743</v>
      </c>
      <c r="P16" s="81" t="s">
        <v>449</v>
      </c>
      <c r="Q16" s="81" t="s">
        <v>31</v>
      </c>
      <c r="R16" s="82"/>
      <c r="S16" s="83" t="s">
        <v>32</v>
      </c>
      <c r="T16" s="84" t="s">
        <v>33</v>
      </c>
      <c r="U16" s="85"/>
      <c r="V16" s="414"/>
      <c r="W16" s="323" t="s">
        <v>1564</v>
      </c>
      <c r="X16" s="687"/>
      <c r="Y16" s="93" t="s">
        <v>76</v>
      </c>
      <c r="Z16" s="87">
        <v>90000.0</v>
      </c>
      <c r="AA16" s="25"/>
      <c r="AB16" s="25"/>
      <c r="AC16" s="25"/>
      <c r="AD16" s="22"/>
    </row>
    <row r="17" ht="23.25" customHeight="1">
      <c r="A17" s="69">
        <v>7.0</v>
      </c>
      <c r="B17" s="413">
        <v>45105.0</v>
      </c>
      <c r="C17" s="69">
        <v>6994.0</v>
      </c>
      <c r="D17" s="68" t="s">
        <v>50</v>
      </c>
      <c r="E17" s="71" t="s">
        <v>1565</v>
      </c>
      <c r="F17" s="68" t="s">
        <v>802</v>
      </c>
      <c r="G17" s="68" t="s">
        <v>30</v>
      </c>
      <c r="H17" s="69">
        <v>1.0</v>
      </c>
      <c r="I17" s="975">
        <v>220000.0</v>
      </c>
      <c r="J17" s="48">
        <f t="shared" si="1"/>
        <v>220000</v>
      </c>
      <c r="K17" s="76">
        <f t="shared" si="4"/>
        <v>220000</v>
      </c>
      <c r="L17" s="77"/>
      <c r="M17" s="157">
        <v>7077.0</v>
      </c>
      <c r="N17" s="136"/>
      <c r="O17" s="80">
        <f t="shared" si="5"/>
        <v>212923</v>
      </c>
      <c r="P17" s="81" t="s">
        <v>449</v>
      </c>
      <c r="Q17" s="81" t="s">
        <v>31</v>
      </c>
      <c r="R17" s="82"/>
      <c r="S17" s="83" t="s">
        <v>32</v>
      </c>
      <c r="T17" s="84" t="s">
        <v>33</v>
      </c>
      <c r="U17" s="85"/>
      <c r="V17" s="414"/>
      <c r="W17" s="323" t="s">
        <v>1564</v>
      </c>
      <c r="X17" s="687"/>
      <c r="Y17" s="93" t="s">
        <v>479</v>
      </c>
      <c r="Z17" s="87">
        <v>35000.0</v>
      </c>
      <c r="AA17" s="25"/>
      <c r="AB17" s="25"/>
      <c r="AC17" s="25"/>
      <c r="AD17" s="22"/>
    </row>
    <row r="18" ht="23.25" customHeight="1">
      <c r="A18" s="69">
        <v>8.0</v>
      </c>
      <c r="B18" s="413">
        <v>45105.0</v>
      </c>
      <c r="C18" s="69">
        <v>6090.0</v>
      </c>
      <c r="D18" s="68" t="s">
        <v>50</v>
      </c>
      <c r="E18" s="71" t="s">
        <v>1566</v>
      </c>
      <c r="F18" s="68" t="s">
        <v>841</v>
      </c>
      <c r="G18" s="63" t="s">
        <v>30</v>
      </c>
      <c r="H18" s="64">
        <v>2.0</v>
      </c>
      <c r="I18" s="975">
        <v>220000.0</v>
      </c>
      <c r="J18" s="48">
        <f t="shared" si="1"/>
        <v>440000</v>
      </c>
      <c r="K18" s="980">
        <f t="shared" si="4"/>
        <v>440000</v>
      </c>
      <c r="L18" s="89"/>
      <c r="M18" s="157">
        <v>12450.0</v>
      </c>
      <c r="N18" s="79"/>
      <c r="O18" s="80">
        <f t="shared" si="5"/>
        <v>427550</v>
      </c>
      <c r="P18" s="981" t="s">
        <v>449</v>
      </c>
      <c r="Q18" s="981" t="s">
        <v>31</v>
      </c>
      <c r="R18" s="90"/>
      <c r="S18" s="183"/>
      <c r="T18" s="84" t="s">
        <v>33</v>
      </c>
      <c r="U18" s="85"/>
      <c r="V18" s="85"/>
      <c r="W18" s="323" t="s">
        <v>1564</v>
      </c>
      <c r="X18" s="687"/>
      <c r="Y18" s="65" t="s">
        <v>89</v>
      </c>
      <c r="Z18" s="66">
        <v>35000.0</v>
      </c>
      <c r="AA18" s="25"/>
      <c r="AB18" s="25"/>
      <c r="AC18" s="25"/>
      <c r="AD18" s="22"/>
    </row>
    <row r="19" ht="23.25" customHeight="1">
      <c r="A19" s="69">
        <v>9.0</v>
      </c>
      <c r="B19" s="413">
        <v>45106.0</v>
      </c>
      <c r="C19" s="69">
        <v>5490.0</v>
      </c>
      <c r="D19" s="68" t="s">
        <v>50</v>
      </c>
      <c r="E19" s="71" t="s">
        <v>1567</v>
      </c>
      <c r="F19" s="88" t="s">
        <v>180</v>
      </c>
      <c r="G19" s="682" t="s">
        <v>30</v>
      </c>
      <c r="H19" s="64">
        <v>2.0</v>
      </c>
      <c r="I19" s="975">
        <v>220000.0</v>
      </c>
      <c r="J19" s="48">
        <f t="shared" si="1"/>
        <v>440000</v>
      </c>
      <c r="K19" s="980">
        <f t="shared" si="4"/>
        <v>440000</v>
      </c>
      <c r="L19" s="89"/>
      <c r="M19" s="78">
        <f>K19*3%</f>
        <v>13200</v>
      </c>
      <c r="N19" s="79"/>
      <c r="O19" s="80">
        <f t="shared" si="5"/>
        <v>426800</v>
      </c>
      <c r="P19" s="981" t="s">
        <v>449</v>
      </c>
      <c r="Q19" s="981" t="s">
        <v>31</v>
      </c>
      <c r="R19" s="90"/>
      <c r="S19" s="183"/>
      <c r="T19" s="84" t="s">
        <v>33</v>
      </c>
      <c r="U19" s="85"/>
      <c r="V19" s="85"/>
      <c r="W19" s="323" t="s">
        <v>1564</v>
      </c>
      <c r="X19" s="687"/>
      <c r="Y19" s="65" t="s">
        <v>93</v>
      </c>
      <c r="Z19" s="66">
        <v>90000.0</v>
      </c>
      <c r="AA19" s="25"/>
      <c r="AB19" s="25"/>
      <c r="AC19" s="25"/>
      <c r="AD19" s="22"/>
    </row>
    <row r="20" ht="23.25" customHeight="1">
      <c r="A20" s="93">
        <v>10.0</v>
      </c>
      <c r="B20" s="120">
        <v>45106.0</v>
      </c>
      <c r="C20" s="93">
        <v>7591.0</v>
      </c>
      <c r="D20" s="68" t="s">
        <v>50</v>
      </c>
      <c r="E20" s="105" t="s">
        <v>1568</v>
      </c>
      <c r="F20" s="92" t="s">
        <v>156</v>
      </c>
      <c r="G20" s="63" t="s">
        <v>30</v>
      </c>
      <c r="H20" s="64">
        <v>1.0</v>
      </c>
      <c r="I20" s="975">
        <v>220000.0</v>
      </c>
      <c r="J20" s="48">
        <f t="shared" si="1"/>
        <v>220000</v>
      </c>
      <c r="K20" s="980">
        <f t="shared" si="4"/>
        <v>220000</v>
      </c>
      <c r="L20" s="65"/>
      <c r="M20" s="157">
        <v>6207.0</v>
      </c>
      <c r="N20" s="79"/>
      <c r="O20" s="80">
        <f t="shared" si="5"/>
        <v>213793</v>
      </c>
      <c r="P20" s="981" t="s">
        <v>449</v>
      </c>
      <c r="Q20" s="981" t="s">
        <v>31</v>
      </c>
      <c r="R20" s="65"/>
      <c r="S20" s="183"/>
      <c r="T20" s="84" t="s">
        <v>33</v>
      </c>
      <c r="U20" s="65"/>
      <c r="V20" s="65"/>
      <c r="W20" s="323" t="s">
        <v>1564</v>
      </c>
      <c r="X20" s="687"/>
      <c r="Y20" s="65" t="s">
        <v>94</v>
      </c>
      <c r="Z20" s="66">
        <v>140000.0</v>
      </c>
      <c r="AA20" s="107"/>
      <c r="AB20" s="107"/>
      <c r="AC20" s="107"/>
      <c r="AD20" s="106"/>
    </row>
    <row r="21" ht="23.25" customHeight="1">
      <c r="A21" s="111">
        <v>11.0</v>
      </c>
      <c r="B21" s="40">
        <v>45106.0</v>
      </c>
      <c r="C21" s="111">
        <v>1.710627909886E12</v>
      </c>
      <c r="D21" s="142" t="s">
        <v>1569</v>
      </c>
      <c r="E21" s="143" t="s">
        <v>1570</v>
      </c>
      <c r="F21" s="142" t="s">
        <v>1571</v>
      </c>
      <c r="G21" s="63" t="s">
        <v>75</v>
      </c>
      <c r="H21" s="64">
        <v>2.0</v>
      </c>
      <c r="I21" s="975">
        <v>45000.0</v>
      </c>
      <c r="J21" s="48">
        <f t="shared" si="1"/>
        <v>90000</v>
      </c>
      <c r="K21" s="982">
        <f>SUM(J21:J23)</f>
        <v>400000</v>
      </c>
      <c r="L21" s="145">
        <v>36000.0</v>
      </c>
      <c r="M21" s="51"/>
      <c r="N21" s="117">
        <v>16000.0</v>
      </c>
      <c r="O21" s="53">
        <f>K21+L21-N21</f>
        <v>420000</v>
      </c>
      <c r="P21" s="983" t="s">
        <v>449</v>
      </c>
      <c r="Q21" s="983" t="s">
        <v>31</v>
      </c>
      <c r="R21" s="146"/>
      <c r="S21" s="197"/>
      <c r="T21" s="57" t="s">
        <v>33</v>
      </c>
      <c r="U21" s="146"/>
      <c r="V21" s="146"/>
      <c r="W21" s="147"/>
      <c r="X21" s="974"/>
      <c r="Y21" s="65" t="s">
        <v>97</v>
      </c>
      <c r="Z21" s="66">
        <v>95000.0</v>
      </c>
      <c r="AA21" s="107"/>
      <c r="AB21" s="107"/>
      <c r="AC21" s="107"/>
      <c r="AD21" s="106"/>
    </row>
    <row r="22" ht="23.25" customHeight="1">
      <c r="A22" s="62"/>
      <c r="B22" s="62"/>
      <c r="C22" s="62"/>
      <c r="D22" s="62"/>
      <c r="E22" s="62"/>
      <c r="F22" s="62"/>
      <c r="G22" s="63" t="s">
        <v>456</v>
      </c>
      <c r="H22" s="64">
        <v>2.0</v>
      </c>
      <c r="I22" s="975">
        <v>45000.0</v>
      </c>
      <c r="J22" s="48">
        <f t="shared" si="1"/>
        <v>90000</v>
      </c>
      <c r="K22" s="62"/>
      <c r="L22" s="62"/>
      <c r="M22" s="62"/>
      <c r="N22" s="62"/>
      <c r="O22" s="62"/>
      <c r="P22" s="62"/>
      <c r="Q22" s="62"/>
      <c r="R22" s="62"/>
      <c r="S22" s="62"/>
      <c r="T22" s="62"/>
      <c r="U22" s="62"/>
      <c r="V22" s="62"/>
      <c r="W22" s="62"/>
      <c r="X22" s="62"/>
      <c r="Y22" s="65" t="s">
        <v>99</v>
      </c>
      <c r="Z22" s="66">
        <v>140000.0</v>
      </c>
      <c r="AA22" s="107"/>
      <c r="AB22" s="107"/>
      <c r="AC22" s="107"/>
      <c r="AD22" s="106"/>
    </row>
    <row r="23" ht="23.25" customHeight="1">
      <c r="A23" s="67"/>
      <c r="B23" s="67"/>
      <c r="C23" s="67"/>
      <c r="D23" s="67"/>
      <c r="E23" s="67"/>
      <c r="F23" s="67"/>
      <c r="G23" s="63" t="s">
        <v>47</v>
      </c>
      <c r="H23" s="64">
        <v>1.0</v>
      </c>
      <c r="I23" s="975">
        <v>220000.0</v>
      </c>
      <c r="J23" s="48">
        <f t="shared" si="1"/>
        <v>220000</v>
      </c>
      <c r="K23" s="67"/>
      <c r="L23" s="67"/>
      <c r="M23" s="67"/>
      <c r="N23" s="67"/>
      <c r="O23" s="67"/>
      <c r="P23" s="67"/>
      <c r="Q23" s="67"/>
      <c r="R23" s="67"/>
      <c r="S23" s="67"/>
      <c r="T23" s="67"/>
      <c r="U23" s="67"/>
      <c r="V23" s="67"/>
      <c r="W23" s="67"/>
      <c r="X23" s="67"/>
      <c r="Y23" s="65" t="s">
        <v>101</v>
      </c>
      <c r="Z23" s="66">
        <v>150000.0</v>
      </c>
      <c r="AA23" s="107"/>
      <c r="AB23" s="107"/>
      <c r="AC23" s="107"/>
      <c r="AD23" s="106"/>
    </row>
    <row r="24" ht="23.25" customHeight="1">
      <c r="A24" s="111">
        <v>12.0</v>
      </c>
      <c r="B24" s="40">
        <v>45106.0</v>
      </c>
      <c r="C24" s="111">
        <v>1.71043598946E12</v>
      </c>
      <c r="D24" s="142" t="s">
        <v>1572</v>
      </c>
      <c r="E24" s="143" t="s">
        <v>1174</v>
      </c>
      <c r="F24" s="44" t="s">
        <v>1573</v>
      </c>
      <c r="G24" s="68" t="s">
        <v>58</v>
      </c>
      <c r="H24" s="69">
        <v>1.0</v>
      </c>
      <c r="I24" s="975">
        <v>220000.0</v>
      </c>
      <c r="J24" s="48">
        <f t="shared" si="1"/>
        <v>220000</v>
      </c>
      <c r="K24" s="982">
        <f>SUM(J24:J26)</f>
        <v>660000</v>
      </c>
      <c r="L24" s="146"/>
      <c r="M24" s="51"/>
      <c r="N24" s="52"/>
      <c r="O24" s="53">
        <f>K24+L24-N24</f>
        <v>660000</v>
      </c>
      <c r="P24" s="983" t="s">
        <v>449</v>
      </c>
      <c r="Q24" s="983" t="s">
        <v>31</v>
      </c>
      <c r="R24" s="145">
        <v>49000.0</v>
      </c>
      <c r="S24" s="57" t="s">
        <v>32</v>
      </c>
      <c r="T24" s="57" t="s">
        <v>33</v>
      </c>
      <c r="U24" s="146"/>
      <c r="V24" s="146"/>
      <c r="W24" s="147"/>
      <c r="X24" s="536">
        <v>1.0</v>
      </c>
      <c r="Y24" s="65" t="s">
        <v>109</v>
      </c>
      <c r="Z24" s="66">
        <v>125000.0</v>
      </c>
      <c r="AA24" s="107"/>
      <c r="AB24" s="107"/>
      <c r="AC24" s="107"/>
      <c r="AD24" s="106"/>
    </row>
    <row r="25" ht="23.25" customHeight="1">
      <c r="A25" s="62"/>
      <c r="B25" s="62"/>
      <c r="C25" s="62"/>
      <c r="D25" s="62"/>
      <c r="E25" s="62"/>
      <c r="F25" s="62"/>
      <c r="G25" s="68" t="s">
        <v>144</v>
      </c>
      <c r="H25" s="69">
        <v>1.0</v>
      </c>
      <c r="I25" s="975">
        <v>220000.0</v>
      </c>
      <c r="J25" s="48">
        <f t="shared" si="1"/>
        <v>220000</v>
      </c>
      <c r="K25" s="62"/>
      <c r="L25" s="62"/>
      <c r="M25" s="62"/>
      <c r="N25" s="62"/>
      <c r="O25" s="62"/>
      <c r="P25" s="62"/>
      <c r="Q25" s="62"/>
      <c r="R25" s="62"/>
      <c r="S25" s="62"/>
      <c r="T25" s="62"/>
      <c r="U25" s="62"/>
      <c r="V25" s="62"/>
      <c r="W25" s="62"/>
      <c r="X25" s="62"/>
      <c r="Y25" s="65" t="s">
        <v>113</v>
      </c>
      <c r="Z25" s="66">
        <v>75000.0</v>
      </c>
      <c r="AA25" s="107"/>
      <c r="AB25" s="107"/>
      <c r="AC25" s="107"/>
      <c r="AD25" s="106"/>
    </row>
    <row r="26" ht="23.25" customHeight="1">
      <c r="A26" s="67"/>
      <c r="B26" s="67"/>
      <c r="C26" s="67"/>
      <c r="D26" s="67"/>
      <c r="E26" s="67"/>
      <c r="F26" s="67"/>
      <c r="G26" s="68" t="s">
        <v>122</v>
      </c>
      <c r="H26" s="69">
        <v>1.0</v>
      </c>
      <c r="I26" s="975">
        <v>220000.0</v>
      </c>
      <c r="J26" s="48">
        <f t="shared" si="1"/>
        <v>220000</v>
      </c>
      <c r="K26" s="67"/>
      <c r="L26" s="67"/>
      <c r="M26" s="67"/>
      <c r="N26" s="67"/>
      <c r="O26" s="67"/>
      <c r="P26" s="67"/>
      <c r="Q26" s="67"/>
      <c r="R26" s="67"/>
      <c r="S26" s="67"/>
      <c r="T26" s="67"/>
      <c r="U26" s="67"/>
      <c r="V26" s="67"/>
      <c r="W26" s="67"/>
      <c r="X26" s="67"/>
      <c r="Y26" s="65" t="s">
        <v>116</v>
      </c>
      <c r="Z26" s="66">
        <v>475000.0</v>
      </c>
      <c r="AA26" s="107"/>
      <c r="AB26" s="107"/>
      <c r="AC26" s="107"/>
      <c r="AD26" s="106"/>
    </row>
    <row r="27" ht="36.75" customHeight="1">
      <c r="A27" s="64">
        <v>13.0</v>
      </c>
      <c r="B27" s="132">
        <v>45106.0</v>
      </c>
      <c r="C27" s="64">
        <v>1.710350727226E12</v>
      </c>
      <c r="D27" s="63" t="s">
        <v>1121</v>
      </c>
      <c r="E27" s="131" t="s">
        <v>1122</v>
      </c>
      <c r="F27" s="63" t="s">
        <v>1123</v>
      </c>
      <c r="G27" s="63" t="s">
        <v>290</v>
      </c>
      <c r="H27" s="64">
        <v>15.0</v>
      </c>
      <c r="I27" s="975">
        <v>220000.0</v>
      </c>
      <c r="J27" s="48">
        <f t="shared" si="1"/>
        <v>3300000</v>
      </c>
      <c r="K27" s="980">
        <f t="shared" ref="K27:K38" si="6">SUM(J27)</f>
        <v>3300000</v>
      </c>
      <c r="L27" s="77"/>
      <c r="M27" s="78"/>
      <c r="N27" s="79"/>
      <c r="O27" s="80">
        <f t="shared" ref="O27:O28" si="7">K27+L27-N27</f>
        <v>3300000</v>
      </c>
      <c r="P27" s="981" t="s">
        <v>449</v>
      </c>
      <c r="Q27" s="981" t="s">
        <v>31</v>
      </c>
      <c r="R27" s="82">
        <v>106000.0</v>
      </c>
      <c r="S27" s="84" t="s">
        <v>32</v>
      </c>
      <c r="T27" s="84" t="s">
        <v>33</v>
      </c>
      <c r="U27" s="85"/>
      <c r="V27" s="85"/>
      <c r="W27" s="86"/>
      <c r="X27" s="687"/>
      <c r="Y27" s="85" t="s">
        <v>121</v>
      </c>
      <c r="Z27" s="128">
        <v>220000.0</v>
      </c>
      <c r="AA27" s="25"/>
      <c r="AB27" s="25"/>
      <c r="AC27" s="25"/>
      <c r="AD27" s="22"/>
    </row>
    <row r="28" ht="23.25" customHeight="1">
      <c r="A28" s="64">
        <v>14.0</v>
      </c>
      <c r="B28" s="132">
        <v>45106.0</v>
      </c>
      <c r="C28" s="64">
        <v>1.709812218371E12</v>
      </c>
      <c r="D28" s="63" t="s">
        <v>644</v>
      </c>
      <c r="E28" s="131" t="s">
        <v>45</v>
      </c>
      <c r="F28" s="63" t="s">
        <v>324</v>
      </c>
      <c r="G28" s="63" t="s">
        <v>30</v>
      </c>
      <c r="H28" s="64">
        <v>10.0</v>
      </c>
      <c r="I28" s="975">
        <v>220000.0</v>
      </c>
      <c r="J28" s="48">
        <f t="shared" si="1"/>
        <v>2200000</v>
      </c>
      <c r="K28" s="980">
        <f t="shared" si="6"/>
        <v>2200000</v>
      </c>
      <c r="L28" s="77"/>
      <c r="M28" s="78"/>
      <c r="N28" s="79"/>
      <c r="O28" s="80">
        <f t="shared" si="7"/>
        <v>2200000</v>
      </c>
      <c r="P28" s="981" t="s">
        <v>449</v>
      </c>
      <c r="Q28" s="981" t="s">
        <v>31</v>
      </c>
      <c r="R28" s="82">
        <v>81499.0</v>
      </c>
      <c r="S28" s="84" t="s">
        <v>32</v>
      </c>
      <c r="T28" s="84" t="s">
        <v>33</v>
      </c>
      <c r="U28" s="85"/>
      <c r="V28" s="85"/>
      <c r="W28" s="86"/>
      <c r="X28" s="687"/>
      <c r="Y28" s="85" t="s">
        <v>123</v>
      </c>
      <c r="Z28" s="128">
        <v>220000.0</v>
      </c>
      <c r="AA28" s="25"/>
      <c r="AB28" s="25"/>
      <c r="AC28" s="25"/>
      <c r="AD28" s="22"/>
    </row>
    <row r="29" ht="23.25" customHeight="1">
      <c r="A29" s="158">
        <v>15.0</v>
      </c>
      <c r="B29" s="984">
        <v>45107.0</v>
      </c>
      <c r="C29" s="158">
        <v>5906.0</v>
      </c>
      <c r="D29" s="164" t="s">
        <v>50</v>
      </c>
      <c r="E29" s="985" t="s">
        <v>906</v>
      </c>
      <c r="F29" s="164" t="s">
        <v>70</v>
      </c>
      <c r="G29" s="164" t="s">
        <v>30</v>
      </c>
      <c r="H29" s="158">
        <v>1.0</v>
      </c>
      <c r="I29" s="986"/>
      <c r="J29" s="166"/>
      <c r="K29" s="987">
        <f t="shared" si="6"/>
        <v>0</v>
      </c>
      <c r="L29" s="987"/>
      <c r="M29" s="168"/>
      <c r="N29" s="168"/>
      <c r="O29" s="169">
        <f t="shared" ref="O29:O38" si="8">K29+L29-M29-N29</f>
        <v>0</v>
      </c>
      <c r="P29" s="988"/>
      <c r="Q29" s="988"/>
      <c r="R29" s="989"/>
      <c r="S29" s="171"/>
      <c r="T29" s="171"/>
      <c r="U29" s="990"/>
      <c r="V29" s="990"/>
      <c r="W29" s="187" t="s">
        <v>201</v>
      </c>
      <c r="X29" s="439"/>
      <c r="Y29" s="85" t="s">
        <v>124</v>
      </c>
      <c r="Z29" s="128">
        <v>220000.0</v>
      </c>
      <c r="AA29" s="25"/>
      <c r="AB29" s="25"/>
      <c r="AC29" s="25"/>
      <c r="AD29" s="22"/>
    </row>
    <row r="30" ht="23.25" customHeight="1">
      <c r="A30" s="64">
        <v>16.0</v>
      </c>
      <c r="B30" s="132">
        <v>45108.0</v>
      </c>
      <c r="C30" s="69">
        <v>9501.0</v>
      </c>
      <c r="D30" s="63" t="s">
        <v>50</v>
      </c>
      <c r="E30" s="991" t="s">
        <v>1574</v>
      </c>
      <c r="F30" s="992" t="s">
        <v>180</v>
      </c>
      <c r="G30" s="63" t="s">
        <v>30</v>
      </c>
      <c r="H30" s="85">
        <v>1.0</v>
      </c>
      <c r="I30" s="975">
        <v>220000.0</v>
      </c>
      <c r="J30" s="48">
        <f t="shared" ref="J30:J90" si="9">I30*H30</f>
        <v>220000</v>
      </c>
      <c r="K30" s="980">
        <f t="shared" si="6"/>
        <v>220000</v>
      </c>
      <c r="L30" s="77"/>
      <c r="M30" s="157">
        <v>7257.0</v>
      </c>
      <c r="N30" s="79"/>
      <c r="O30" s="80">
        <f t="shared" si="8"/>
        <v>212743</v>
      </c>
      <c r="P30" s="981" t="s">
        <v>449</v>
      </c>
      <c r="Q30" s="981" t="s">
        <v>31</v>
      </c>
      <c r="R30" s="90"/>
      <c r="S30" s="183"/>
      <c r="T30" s="84" t="s">
        <v>33</v>
      </c>
      <c r="U30" s="85"/>
      <c r="V30" s="85"/>
      <c r="W30" s="323" t="s">
        <v>1564</v>
      </c>
      <c r="X30" s="687"/>
      <c r="Y30" s="129" t="s">
        <v>125</v>
      </c>
      <c r="Z30" s="80">
        <v>220000.0</v>
      </c>
      <c r="AA30" s="25"/>
      <c r="AB30" s="25"/>
      <c r="AC30" s="25"/>
      <c r="AD30" s="22"/>
    </row>
    <row r="31" ht="23.25" customHeight="1">
      <c r="A31" s="64">
        <v>17.0</v>
      </c>
      <c r="B31" s="132">
        <v>45108.0</v>
      </c>
      <c r="C31" s="104">
        <v>5610.0</v>
      </c>
      <c r="D31" s="63" t="s">
        <v>50</v>
      </c>
      <c r="E31" s="993" t="s">
        <v>1575</v>
      </c>
      <c r="F31" s="994" t="s">
        <v>119</v>
      </c>
      <c r="G31" s="63" t="s">
        <v>30</v>
      </c>
      <c r="H31" s="85">
        <v>5.0</v>
      </c>
      <c r="I31" s="975">
        <v>220000.0</v>
      </c>
      <c r="J31" s="48">
        <f t="shared" si="9"/>
        <v>1100000</v>
      </c>
      <c r="K31" s="980">
        <f t="shared" si="6"/>
        <v>1100000</v>
      </c>
      <c r="L31" s="995"/>
      <c r="M31" s="157">
        <v>33051.0</v>
      </c>
      <c r="N31" s="79"/>
      <c r="O31" s="80">
        <f t="shared" si="8"/>
        <v>1066949</v>
      </c>
      <c r="P31" s="981" t="s">
        <v>449</v>
      </c>
      <c r="Q31" s="981" t="s">
        <v>31</v>
      </c>
      <c r="R31" s="996"/>
      <c r="S31" s="183"/>
      <c r="T31" s="84" t="s">
        <v>33</v>
      </c>
      <c r="U31" s="996"/>
      <c r="V31" s="996"/>
      <c r="W31" s="323" t="s">
        <v>1564</v>
      </c>
      <c r="X31" s="694">
        <v>1.0</v>
      </c>
      <c r="Y31" s="129" t="s">
        <v>129</v>
      </c>
      <c r="Z31" s="80">
        <v>220000.0</v>
      </c>
      <c r="AA31" s="25"/>
      <c r="AB31" s="25"/>
      <c r="AC31" s="25"/>
      <c r="AD31" s="22"/>
    </row>
    <row r="32" ht="23.25" customHeight="1">
      <c r="A32" s="64">
        <v>18.0</v>
      </c>
      <c r="B32" s="132">
        <v>45108.0</v>
      </c>
      <c r="C32" s="69">
        <v>5010.0</v>
      </c>
      <c r="D32" s="63" t="s">
        <v>50</v>
      </c>
      <c r="E32" s="993" t="s">
        <v>1576</v>
      </c>
      <c r="F32" s="994" t="s">
        <v>119</v>
      </c>
      <c r="G32" s="63" t="s">
        <v>30</v>
      </c>
      <c r="H32" s="85">
        <v>3.0</v>
      </c>
      <c r="I32" s="975">
        <v>220000.0</v>
      </c>
      <c r="J32" s="48">
        <f t="shared" si="9"/>
        <v>660000</v>
      </c>
      <c r="K32" s="76">
        <f t="shared" si="6"/>
        <v>660000</v>
      </c>
      <c r="L32" s="77"/>
      <c r="M32" s="157">
        <v>21303.0</v>
      </c>
      <c r="N32" s="79"/>
      <c r="O32" s="80">
        <f t="shared" si="8"/>
        <v>638697</v>
      </c>
      <c r="P32" s="981" t="s">
        <v>449</v>
      </c>
      <c r="Q32" s="981" t="s">
        <v>31</v>
      </c>
      <c r="R32" s="90"/>
      <c r="S32" s="91"/>
      <c r="T32" s="84" t="s">
        <v>33</v>
      </c>
      <c r="U32" s="85"/>
      <c r="V32" s="414"/>
      <c r="W32" s="323" t="s">
        <v>1564</v>
      </c>
      <c r="X32" s="687"/>
      <c r="Y32" s="85" t="s">
        <v>133</v>
      </c>
      <c r="Z32" s="128">
        <v>220000.0</v>
      </c>
      <c r="AA32" s="25"/>
      <c r="AB32" s="25"/>
      <c r="AC32" s="25"/>
      <c r="AD32" s="22"/>
    </row>
    <row r="33" ht="23.25" customHeight="1">
      <c r="A33" s="64">
        <v>19.0</v>
      </c>
      <c r="B33" s="132">
        <v>45108.0</v>
      </c>
      <c r="C33" s="71" t="s">
        <v>1577</v>
      </c>
      <c r="D33" s="63" t="s">
        <v>50</v>
      </c>
      <c r="E33" s="993" t="s">
        <v>1578</v>
      </c>
      <c r="F33" s="994" t="s">
        <v>281</v>
      </c>
      <c r="G33" s="63" t="s">
        <v>30</v>
      </c>
      <c r="H33" s="85">
        <v>1.0</v>
      </c>
      <c r="I33" s="975">
        <v>220000.0</v>
      </c>
      <c r="J33" s="48">
        <f t="shared" si="9"/>
        <v>220000</v>
      </c>
      <c r="K33" s="76">
        <f t="shared" si="6"/>
        <v>220000</v>
      </c>
      <c r="L33" s="77"/>
      <c r="M33" s="157">
        <v>7737.0</v>
      </c>
      <c r="N33" s="79"/>
      <c r="O33" s="80">
        <f t="shared" si="8"/>
        <v>212263</v>
      </c>
      <c r="P33" s="981" t="s">
        <v>449</v>
      </c>
      <c r="Q33" s="981" t="s">
        <v>31</v>
      </c>
      <c r="R33" s="90"/>
      <c r="S33" s="91"/>
      <c r="T33" s="84" t="s">
        <v>33</v>
      </c>
      <c r="U33" s="85"/>
      <c r="V33" s="414"/>
      <c r="W33" s="323" t="s">
        <v>1564</v>
      </c>
      <c r="X33" s="687"/>
      <c r="Y33" s="85" t="s">
        <v>135</v>
      </c>
      <c r="Z33" s="128">
        <v>220000.0</v>
      </c>
      <c r="AA33" s="25"/>
      <c r="AB33" s="25"/>
      <c r="AC33" s="25"/>
      <c r="AD33" s="22"/>
    </row>
    <row r="34" ht="23.25" customHeight="1">
      <c r="A34" s="64">
        <v>20.0</v>
      </c>
      <c r="B34" s="132">
        <v>45108.0</v>
      </c>
      <c r="C34" s="69">
        <v>5418.0</v>
      </c>
      <c r="D34" s="63" t="s">
        <v>50</v>
      </c>
      <c r="E34" s="993" t="s">
        <v>1579</v>
      </c>
      <c r="F34" s="994" t="s">
        <v>1580</v>
      </c>
      <c r="G34" s="63" t="s">
        <v>30</v>
      </c>
      <c r="H34" s="85">
        <v>2.0</v>
      </c>
      <c r="I34" s="975">
        <v>220000.0</v>
      </c>
      <c r="J34" s="48">
        <f t="shared" si="9"/>
        <v>440000</v>
      </c>
      <c r="K34" s="76">
        <f t="shared" si="6"/>
        <v>440000</v>
      </c>
      <c r="L34" s="77"/>
      <c r="M34" s="78">
        <f>K34*3%</f>
        <v>13200</v>
      </c>
      <c r="N34" s="79"/>
      <c r="O34" s="80">
        <f t="shared" si="8"/>
        <v>426800</v>
      </c>
      <c r="P34" s="981" t="s">
        <v>449</v>
      </c>
      <c r="Q34" s="981" t="s">
        <v>31</v>
      </c>
      <c r="R34" s="90"/>
      <c r="S34" s="91"/>
      <c r="T34" s="84" t="s">
        <v>33</v>
      </c>
      <c r="U34" s="85"/>
      <c r="V34" s="414"/>
      <c r="W34" s="323" t="s">
        <v>1564</v>
      </c>
      <c r="X34" s="687"/>
      <c r="Y34" s="85" t="s">
        <v>139</v>
      </c>
      <c r="Z34" s="128">
        <v>80000.0</v>
      </c>
      <c r="AA34" s="25"/>
      <c r="AB34" s="25"/>
      <c r="AC34" s="25"/>
      <c r="AD34" s="22"/>
    </row>
    <row r="35" ht="23.25" customHeight="1">
      <c r="A35" s="64">
        <v>21.0</v>
      </c>
      <c r="B35" s="132">
        <v>45108.0</v>
      </c>
      <c r="C35" s="69">
        <v>1519.0</v>
      </c>
      <c r="D35" s="63" t="s">
        <v>50</v>
      </c>
      <c r="E35" s="993" t="s">
        <v>1581</v>
      </c>
      <c r="F35" s="994" t="s">
        <v>281</v>
      </c>
      <c r="G35" s="63" t="s">
        <v>30</v>
      </c>
      <c r="H35" s="85">
        <v>1.0</v>
      </c>
      <c r="I35" s="975">
        <v>220000.0</v>
      </c>
      <c r="J35" s="48">
        <f t="shared" si="9"/>
        <v>220000</v>
      </c>
      <c r="K35" s="76">
        <f t="shared" si="6"/>
        <v>220000</v>
      </c>
      <c r="L35" s="138"/>
      <c r="M35" s="157">
        <v>7737.0</v>
      </c>
      <c r="N35" s="79"/>
      <c r="O35" s="80">
        <f t="shared" si="8"/>
        <v>212263</v>
      </c>
      <c r="P35" s="981" t="s">
        <v>449</v>
      </c>
      <c r="Q35" s="981" t="s">
        <v>31</v>
      </c>
      <c r="R35" s="90"/>
      <c r="S35" s="91"/>
      <c r="T35" s="84" t="s">
        <v>33</v>
      </c>
      <c r="U35" s="419"/>
      <c r="V35" s="419"/>
      <c r="W35" s="323" t="s">
        <v>1564</v>
      </c>
      <c r="X35" s="687"/>
      <c r="Y35" s="85" t="s">
        <v>142</v>
      </c>
      <c r="Z35" s="128">
        <v>220000.0</v>
      </c>
      <c r="AA35" s="25"/>
      <c r="AB35" s="25"/>
      <c r="AC35" s="25"/>
      <c r="AD35" s="22"/>
    </row>
    <row r="36" ht="23.25" customHeight="1">
      <c r="A36" s="93">
        <v>22.0</v>
      </c>
      <c r="B36" s="132">
        <v>45108.0</v>
      </c>
      <c r="C36" s="104">
        <v>2610.0</v>
      </c>
      <c r="D36" s="63" t="s">
        <v>50</v>
      </c>
      <c r="E36" s="997" t="s">
        <v>1582</v>
      </c>
      <c r="F36" s="92" t="s">
        <v>156</v>
      </c>
      <c r="G36" s="63" t="s">
        <v>30</v>
      </c>
      <c r="H36" s="64">
        <v>1.0</v>
      </c>
      <c r="I36" s="975">
        <v>220000.0</v>
      </c>
      <c r="J36" s="48">
        <f t="shared" si="9"/>
        <v>220000</v>
      </c>
      <c r="K36" s="76">
        <f t="shared" si="6"/>
        <v>220000</v>
      </c>
      <c r="L36" s="122"/>
      <c r="M36" s="157">
        <v>7257.0</v>
      </c>
      <c r="N36" s="136"/>
      <c r="O36" s="80">
        <f t="shared" si="8"/>
        <v>212743</v>
      </c>
      <c r="P36" s="981" t="s">
        <v>449</v>
      </c>
      <c r="Q36" s="981" t="s">
        <v>31</v>
      </c>
      <c r="R36" s="65"/>
      <c r="S36" s="91"/>
      <c r="T36" s="84" t="s">
        <v>33</v>
      </c>
      <c r="U36" s="122"/>
      <c r="V36" s="122"/>
      <c r="W36" s="323" t="s">
        <v>1564</v>
      </c>
      <c r="X36" s="687"/>
      <c r="Y36" s="85" t="s">
        <v>145</v>
      </c>
      <c r="Z36" s="128">
        <v>220000.0</v>
      </c>
      <c r="AA36" s="107"/>
      <c r="AB36" s="107"/>
      <c r="AC36" s="107"/>
      <c r="AD36" s="106"/>
    </row>
    <row r="37" ht="23.25" customHeight="1">
      <c r="A37" s="64">
        <v>23.0</v>
      </c>
      <c r="B37" s="132">
        <v>45108.0</v>
      </c>
      <c r="C37" s="104">
        <v>6118.0</v>
      </c>
      <c r="D37" s="63" t="s">
        <v>50</v>
      </c>
      <c r="E37" s="105" t="s">
        <v>1583</v>
      </c>
      <c r="F37" s="92" t="s">
        <v>464</v>
      </c>
      <c r="G37" s="63" t="s">
        <v>30</v>
      </c>
      <c r="H37" s="64">
        <v>1.0</v>
      </c>
      <c r="I37" s="975">
        <v>220000.0</v>
      </c>
      <c r="J37" s="48">
        <f t="shared" si="9"/>
        <v>220000</v>
      </c>
      <c r="K37" s="76">
        <f t="shared" si="6"/>
        <v>220000</v>
      </c>
      <c r="L37" s="122"/>
      <c r="M37" s="157">
        <v>7107.0</v>
      </c>
      <c r="N37" s="136"/>
      <c r="O37" s="80">
        <f t="shared" si="8"/>
        <v>212893</v>
      </c>
      <c r="P37" s="981" t="s">
        <v>449</v>
      </c>
      <c r="Q37" s="981" t="s">
        <v>31</v>
      </c>
      <c r="R37" s="65"/>
      <c r="S37" s="91"/>
      <c r="T37" s="84" t="s">
        <v>33</v>
      </c>
      <c r="U37" s="122"/>
      <c r="V37" s="122"/>
      <c r="W37" s="323" t="s">
        <v>1564</v>
      </c>
      <c r="X37" s="687"/>
      <c r="Y37" s="85" t="s">
        <v>153</v>
      </c>
      <c r="Z37" s="128">
        <v>45000.0</v>
      </c>
      <c r="AA37" s="107"/>
      <c r="AB37" s="107"/>
      <c r="AC37" s="107"/>
      <c r="AD37" s="106"/>
    </row>
    <row r="38" ht="23.25" customHeight="1">
      <c r="A38" s="64">
        <v>24.0</v>
      </c>
      <c r="B38" s="132">
        <v>45108.0</v>
      </c>
      <c r="C38" s="69">
        <v>7019.0</v>
      </c>
      <c r="D38" s="63" t="s">
        <v>50</v>
      </c>
      <c r="E38" s="998" t="s">
        <v>1432</v>
      </c>
      <c r="F38" s="999" t="s">
        <v>119</v>
      </c>
      <c r="G38" s="68" t="s">
        <v>30</v>
      </c>
      <c r="H38" s="69">
        <v>2.0</v>
      </c>
      <c r="I38" s="975">
        <v>220000.0</v>
      </c>
      <c r="J38" s="577">
        <f t="shared" si="9"/>
        <v>440000</v>
      </c>
      <c r="K38" s="76">
        <f t="shared" si="6"/>
        <v>440000</v>
      </c>
      <c r="L38" s="138"/>
      <c r="M38" s="78">
        <f>K38*3%</f>
        <v>13200</v>
      </c>
      <c r="N38" s="136"/>
      <c r="O38" s="80">
        <f t="shared" si="8"/>
        <v>426800</v>
      </c>
      <c r="P38" s="981" t="s">
        <v>449</v>
      </c>
      <c r="Q38" s="981" t="s">
        <v>31</v>
      </c>
      <c r="R38" s="82"/>
      <c r="S38" s="83"/>
      <c r="T38" s="84" t="s">
        <v>33</v>
      </c>
      <c r="U38" s="419"/>
      <c r="V38" s="419"/>
      <c r="W38" s="323" t="s">
        <v>1564</v>
      </c>
      <c r="X38" s="687"/>
      <c r="Y38" s="139" t="s">
        <v>151</v>
      </c>
      <c r="Z38" s="140">
        <v>220000.0</v>
      </c>
      <c r="AA38" s="25"/>
      <c r="AB38" s="25"/>
      <c r="AC38" s="25"/>
      <c r="AD38" s="22"/>
    </row>
    <row r="39" ht="23.25" customHeight="1">
      <c r="A39" s="39">
        <v>25.0</v>
      </c>
      <c r="B39" s="125">
        <v>45108.0</v>
      </c>
      <c r="C39" s="39">
        <v>1.702243558082E12</v>
      </c>
      <c r="D39" s="424" t="s">
        <v>357</v>
      </c>
      <c r="E39" s="1000" t="s">
        <v>358</v>
      </c>
      <c r="F39" s="1001" t="s">
        <v>853</v>
      </c>
      <c r="G39" s="72" t="s">
        <v>477</v>
      </c>
      <c r="H39" s="73">
        <v>4.0</v>
      </c>
      <c r="I39" s="979">
        <v>65000.0</v>
      </c>
      <c r="J39" s="716">
        <f t="shared" si="9"/>
        <v>260000</v>
      </c>
      <c r="K39" s="49">
        <f>SUM(J39:J42)</f>
        <v>855000</v>
      </c>
      <c r="L39" s="53"/>
      <c r="M39" s="561"/>
      <c r="N39" s="562"/>
      <c r="O39" s="53">
        <f>K39+L39-N39</f>
        <v>855000</v>
      </c>
      <c r="P39" s="983" t="s">
        <v>449</v>
      </c>
      <c r="Q39" s="983" t="s">
        <v>31</v>
      </c>
      <c r="R39" s="55">
        <v>40000.0</v>
      </c>
      <c r="S39" s="56" t="s">
        <v>32</v>
      </c>
      <c r="T39" s="57" t="s">
        <v>33</v>
      </c>
      <c r="U39" s="113"/>
      <c r="V39" s="113"/>
      <c r="W39" s="59"/>
      <c r="X39" s="974"/>
      <c r="Y39" s="65" t="s">
        <v>148</v>
      </c>
      <c r="Z39" s="66">
        <v>220000.0</v>
      </c>
      <c r="AA39" s="25"/>
      <c r="AB39" s="25"/>
      <c r="AC39" s="25"/>
      <c r="AD39" s="22"/>
    </row>
    <row r="40" ht="23.25" customHeight="1">
      <c r="A40" s="62"/>
      <c r="B40" s="62"/>
      <c r="C40" s="62"/>
      <c r="D40" s="62"/>
      <c r="F40" s="62"/>
      <c r="G40" s="72" t="s">
        <v>476</v>
      </c>
      <c r="H40" s="73">
        <v>2.0</v>
      </c>
      <c r="I40" s="979">
        <v>55000.0</v>
      </c>
      <c r="J40" s="716">
        <f t="shared" si="9"/>
        <v>110000</v>
      </c>
      <c r="K40" s="62"/>
      <c r="L40" s="62"/>
      <c r="M40" s="62"/>
      <c r="N40" s="62"/>
      <c r="O40" s="62"/>
      <c r="P40" s="62"/>
      <c r="Q40" s="62"/>
      <c r="R40" s="62"/>
      <c r="S40" s="62"/>
      <c r="T40" s="62"/>
      <c r="U40" s="62"/>
      <c r="V40" s="62"/>
      <c r="W40" s="62"/>
      <c r="X40" s="62"/>
      <c r="Y40" s="93" t="s">
        <v>488</v>
      </c>
      <c r="Z40" s="87">
        <v>45000.0</v>
      </c>
      <c r="AA40" s="25"/>
      <c r="AB40" s="25"/>
      <c r="AC40" s="25"/>
      <c r="AD40" s="22"/>
    </row>
    <row r="41" ht="23.25" customHeight="1">
      <c r="A41" s="62"/>
      <c r="B41" s="62"/>
      <c r="C41" s="62"/>
      <c r="D41" s="62"/>
      <c r="F41" s="62"/>
      <c r="G41" s="72" t="s">
        <v>478</v>
      </c>
      <c r="H41" s="73">
        <v>4.0</v>
      </c>
      <c r="I41" s="979">
        <v>80000.0</v>
      </c>
      <c r="J41" s="716">
        <f t="shared" si="9"/>
        <v>320000</v>
      </c>
      <c r="K41" s="62"/>
      <c r="L41" s="62"/>
      <c r="M41" s="62"/>
      <c r="N41" s="62"/>
      <c r="O41" s="62"/>
      <c r="P41" s="62"/>
      <c r="Q41" s="62"/>
      <c r="R41" s="62"/>
      <c r="S41" s="62"/>
      <c r="T41" s="62"/>
      <c r="U41" s="62"/>
      <c r="V41" s="62"/>
      <c r="W41" s="62"/>
      <c r="X41" s="62"/>
      <c r="Y41" s="93" t="s">
        <v>157</v>
      </c>
      <c r="Z41" s="87">
        <v>45000.0</v>
      </c>
      <c r="AA41" s="25"/>
      <c r="AB41" s="25"/>
      <c r="AC41" s="25"/>
      <c r="AD41" s="22"/>
    </row>
    <row r="42" ht="23.25" customHeight="1">
      <c r="A42" s="67"/>
      <c r="B42" s="67"/>
      <c r="C42" s="67"/>
      <c r="D42" s="67"/>
      <c r="F42" s="67"/>
      <c r="G42" s="72" t="s">
        <v>62</v>
      </c>
      <c r="H42" s="73">
        <v>3.0</v>
      </c>
      <c r="I42" s="979">
        <v>55000.0</v>
      </c>
      <c r="J42" s="75">
        <f t="shared" si="9"/>
        <v>165000</v>
      </c>
      <c r="K42" s="67"/>
      <c r="L42" s="67"/>
      <c r="M42" s="67"/>
      <c r="N42" s="67"/>
      <c r="O42" s="67"/>
      <c r="P42" s="67"/>
      <c r="Q42" s="67"/>
      <c r="R42" s="67"/>
      <c r="S42" s="67"/>
      <c r="T42" s="67"/>
      <c r="U42" s="67"/>
      <c r="V42" s="67"/>
      <c r="W42" s="67"/>
      <c r="X42" s="67"/>
      <c r="Y42" s="93" t="s">
        <v>161</v>
      </c>
      <c r="Z42" s="87">
        <v>220000.0</v>
      </c>
      <c r="AA42" s="107"/>
      <c r="AB42" s="107"/>
      <c r="AC42" s="107"/>
      <c r="AD42" s="106"/>
    </row>
    <row r="43" ht="23.25" customHeight="1">
      <c r="A43" s="93">
        <v>26.0</v>
      </c>
      <c r="B43" s="132">
        <v>45108.0</v>
      </c>
      <c r="C43" s="93">
        <v>1.705907467193E12</v>
      </c>
      <c r="D43" s="92" t="s">
        <v>1584</v>
      </c>
      <c r="E43" s="105" t="s">
        <v>1585</v>
      </c>
      <c r="F43" s="92" t="s">
        <v>1586</v>
      </c>
      <c r="G43" s="63" t="s">
        <v>30</v>
      </c>
      <c r="H43" s="64">
        <v>4.0</v>
      </c>
      <c r="I43" s="975">
        <v>220000.0</v>
      </c>
      <c r="J43" s="48">
        <f t="shared" si="9"/>
        <v>880000</v>
      </c>
      <c r="K43" s="76">
        <f t="shared" ref="K43:K45" si="10">SUM(J43)</f>
        <v>880000</v>
      </c>
      <c r="L43" s="693"/>
      <c r="M43" s="575"/>
      <c r="N43" s="136"/>
      <c r="O43" s="80">
        <f t="shared" ref="O43:O46" si="11">K43+L43-N43</f>
        <v>880000</v>
      </c>
      <c r="P43" s="981" t="s">
        <v>449</v>
      </c>
      <c r="Q43" s="981" t="s">
        <v>31</v>
      </c>
      <c r="R43" s="108">
        <v>47999.0</v>
      </c>
      <c r="S43" s="83" t="s">
        <v>32</v>
      </c>
      <c r="T43" s="84" t="s">
        <v>33</v>
      </c>
      <c r="U43" s="1002"/>
      <c r="V43" s="1002"/>
      <c r="W43" s="1002"/>
      <c r="X43" s="687"/>
      <c r="Y43" s="1003"/>
      <c r="Z43" s="1004"/>
      <c r="AA43" s="25"/>
      <c r="AB43" s="25"/>
      <c r="AC43" s="25"/>
      <c r="AD43" s="22"/>
    </row>
    <row r="44" ht="23.25" customHeight="1">
      <c r="A44" s="93">
        <v>27.0</v>
      </c>
      <c r="B44" s="132">
        <v>45110.0</v>
      </c>
      <c r="C44" s="93">
        <v>1.691366082142E12</v>
      </c>
      <c r="D44" s="92" t="s">
        <v>294</v>
      </c>
      <c r="E44" s="105" t="s">
        <v>295</v>
      </c>
      <c r="F44" s="1005" t="s">
        <v>1161</v>
      </c>
      <c r="G44" s="63" t="s">
        <v>144</v>
      </c>
      <c r="H44" s="64">
        <v>3.0</v>
      </c>
      <c r="I44" s="975">
        <v>220000.0</v>
      </c>
      <c r="J44" s="48">
        <f t="shared" si="9"/>
        <v>660000</v>
      </c>
      <c r="K44" s="76">
        <f t="shared" si="10"/>
        <v>660000</v>
      </c>
      <c r="L44" s="693"/>
      <c r="M44" s="575"/>
      <c r="N44" s="136"/>
      <c r="O44" s="80">
        <f t="shared" si="11"/>
        <v>660000</v>
      </c>
      <c r="P44" s="981" t="s">
        <v>449</v>
      </c>
      <c r="Q44" s="981" t="s">
        <v>31</v>
      </c>
      <c r="R44" s="108">
        <v>49000.0</v>
      </c>
      <c r="S44" s="83" t="s">
        <v>32</v>
      </c>
      <c r="T44" s="84" t="s">
        <v>33</v>
      </c>
      <c r="U44" s="1002"/>
      <c r="V44" s="1002"/>
      <c r="W44" s="1002"/>
      <c r="X44" s="694">
        <v>1.0</v>
      </c>
      <c r="Y44" s="9"/>
      <c r="Z44" s="204"/>
      <c r="AA44" s="25"/>
      <c r="AB44" s="25"/>
      <c r="AC44" s="25"/>
      <c r="AD44" s="22"/>
    </row>
    <row r="45" ht="33.0" customHeight="1">
      <c r="A45" s="93">
        <v>28.0</v>
      </c>
      <c r="B45" s="132">
        <v>45110.0</v>
      </c>
      <c r="C45" s="93">
        <v>1.691656057153E12</v>
      </c>
      <c r="D45" s="92" t="s">
        <v>1587</v>
      </c>
      <c r="E45" s="1006" t="s">
        <v>1588</v>
      </c>
      <c r="F45" s="121" t="s">
        <v>1589</v>
      </c>
      <c r="G45" s="63" t="s">
        <v>30</v>
      </c>
      <c r="H45" s="64">
        <v>2.0</v>
      </c>
      <c r="I45" s="975">
        <v>220000.0</v>
      </c>
      <c r="J45" s="48">
        <f t="shared" si="9"/>
        <v>440000</v>
      </c>
      <c r="K45" s="76">
        <f t="shared" si="10"/>
        <v>440000</v>
      </c>
      <c r="L45" s="806">
        <v>46000.0</v>
      </c>
      <c r="M45" s="78"/>
      <c r="N45" s="115">
        <v>16000.0</v>
      </c>
      <c r="O45" s="80">
        <f t="shared" si="11"/>
        <v>470000</v>
      </c>
      <c r="P45" s="981" t="s">
        <v>449</v>
      </c>
      <c r="Q45" s="981" t="s">
        <v>31</v>
      </c>
      <c r="R45" s="1007"/>
      <c r="S45" s="91"/>
      <c r="T45" s="84" t="s">
        <v>33</v>
      </c>
      <c r="U45" s="1002"/>
      <c r="V45" s="1002"/>
      <c r="W45" s="1002"/>
      <c r="X45" s="687"/>
      <c r="Y45" s="9"/>
      <c r="Z45" s="204"/>
      <c r="AA45" s="25"/>
      <c r="AB45" s="25"/>
      <c r="AC45" s="25"/>
      <c r="AD45" s="22"/>
    </row>
    <row r="46" ht="23.25" customHeight="1">
      <c r="A46" s="111">
        <v>29.0</v>
      </c>
      <c r="B46" s="125">
        <v>45110.0</v>
      </c>
      <c r="C46" s="111">
        <v>1.691714557493E12</v>
      </c>
      <c r="D46" s="142" t="s">
        <v>646</v>
      </c>
      <c r="E46" s="143" t="s">
        <v>647</v>
      </c>
      <c r="F46" s="44" t="s">
        <v>1590</v>
      </c>
      <c r="G46" s="63" t="s">
        <v>35</v>
      </c>
      <c r="H46" s="64">
        <v>1.0</v>
      </c>
      <c r="I46" s="975">
        <v>220000.0</v>
      </c>
      <c r="J46" s="48">
        <f t="shared" si="9"/>
        <v>220000</v>
      </c>
      <c r="K46" s="49">
        <f>SUM(J46:J48)</f>
        <v>660000</v>
      </c>
      <c r="L46" s="1008"/>
      <c r="M46" s="51"/>
      <c r="N46" s="52"/>
      <c r="O46" s="53">
        <f t="shared" si="11"/>
        <v>660000</v>
      </c>
      <c r="P46" s="983" t="s">
        <v>449</v>
      </c>
      <c r="Q46" s="983" t="s">
        <v>31</v>
      </c>
      <c r="R46" s="145">
        <v>49000.0</v>
      </c>
      <c r="S46" s="56" t="s">
        <v>32</v>
      </c>
      <c r="T46" s="57" t="s">
        <v>33</v>
      </c>
      <c r="U46" s="1009"/>
      <c r="V46" s="1009"/>
      <c r="W46" s="1009"/>
      <c r="X46" s="974"/>
      <c r="Y46" s="9"/>
      <c r="Z46" s="204"/>
      <c r="AA46" s="25"/>
      <c r="AB46" s="25"/>
      <c r="AC46" s="25"/>
      <c r="AD46" s="22"/>
    </row>
    <row r="47" ht="23.25" customHeight="1">
      <c r="A47" s="62"/>
      <c r="B47" s="62"/>
      <c r="C47" s="62"/>
      <c r="D47" s="62"/>
      <c r="E47" s="62"/>
      <c r="F47" s="62"/>
      <c r="G47" s="63" t="s">
        <v>290</v>
      </c>
      <c r="H47" s="64">
        <v>1.0</v>
      </c>
      <c r="I47" s="975">
        <v>220000.0</v>
      </c>
      <c r="J47" s="48">
        <f t="shared" si="9"/>
        <v>220000</v>
      </c>
      <c r="K47" s="62"/>
      <c r="L47" s="62"/>
      <c r="M47" s="62"/>
      <c r="N47" s="62"/>
      <c r="O47" s="62"/>
      <c r="P47" s="62"/>
      <c r="Q47" s="62"/>
      <c r="R47" s="62"/>
      <c r="S47" s="62"/>
      <c r="T47" s="62"/>
      <c r="U47" s="62"/>
      <c r="V47" s="62"/>
      <c r="W47" s="62"/>
      <c r="X47" s="62"/>
      <c r="Y47" s="9"/>
      <c r="Z47" s="204"/>
      <c r="AA47" s="25"/>
      <c r="AB47" s="25"/>
      <c r="AC47" s="25"/>
      <c r="AD47" s="22"/>
    </row>
    <row r="48" ht="23.25" customHeight="1">
      <c r="A48" s="67"/>
      <c r="B48" s="67"/>
      <c r="C48" s="67"/>
      <c r="D48" s="67"/>
      <c r="E48" s="67"/>
      <c r="F48" s="67"/>
      <c r="G48" s="63" t="s">
        <v>165</v>
      </c>
      <c r="H48" s="64">
        <v>1.0</v>
      </c>
      <c r="I48" s="975">
        <v>220000.0</v>
      </c>
      <c r="J48" s="48">
        <f t="shared" si="9"/>
        <v>220000</v>
      </c>
      <c r="K48" s="67"/>
      <c r="L48" s="67"/>
      <c r="M48" s="67"/>
      <c r="N48" s="67"/>
      <c r="O48" s="67"/>
      <c r="P48" s="67"/>
      <c r="Q48" s="67"/>
      <c r="R48" s="67"/>
      <c r="S48" s="67"/>
      <c r="T48" s="67"/>
      <c r="U48" s="67"/>
      <c r="V48" s="67"/>
      <c r="W48" s="67"/>
      <c r="X48" s="67"/>
      <c r="Y48" s="9"/>
      <c r="Z48" s="204"/>
      <c r="AA48" s="25"/>
      <c r="AB48" s="25"/>
      <c r="AC48" s="25"/>
      <c r="AD48" s="22"/>
    </row>
    <row r="49" ht="31.5" customHeight="1">
      <c r="A49" s="93">
        <v>30.0</v>
      </c>
      <c r="B49" s="132">
        <v>45110.0</v>
      </c>
      <c r="C49" s="93">
        <v>1.691793725717E12</v>
      </c>
      <c r="D49" s="92" t="s">
        <v>620</v>
      </c>
      <c r="E49" s="105" t="s">
        <v>621</v>
      </c>
      <c r="F49" s="121" t="s">
        <v>1591</v>
      </c>
      <c r="G49" s="63" t="s">
        <v>30</v>
      </c>
      <c r="H49" s="64">
        <v>1.0</v>
      </c>
      <c r="I49" s="975">
        <v>220000.0</v>
      </c>
      <c r="J49" s="48">
        <f t="shared" si="9"/>
        <v>220000</v>
      </c>
      <c r="K49" s="76">
        <f t="shared" ref="K49:K57" si="12">SUM(J49)</f>
        <v>220000</v>
      </c>
      <c r="L49" s="806">
        <v>33000.0</v>
      </c>
      <c r="M49" s="78"/>
      <c r="N49" s="115">
        <v>13000.0</v>
      </c>
      <c r="O49" s="80">
        <f t="shared" ref="O49:O51" si="13">K49+L49-N49</f>
        <v>240000</v>
      </c>
      <c r="P49" s="981" t="s">
        <v>449</v>
      </c>
      <c r="Q49" s="981" t="s">
        <v>31</v>
      </c>
      <c r="R49" s="1007"/>
      <c r="S49" s="91"/>
      <c r="T49" s="84" t="s">
        <v>33</v>
      </c>
      <c r="U49" s="1002"/>
      <c r="V49" s="1002"/>
      <c r="W49" s="1002"/>
      <c r="X49" s="687"/>
      <c r="Y49" s="9"/>
      <c r="Z49" s="204"/>
      <c r="AA49" s="25"/>
      <c r="AB49" s="25"/>
      <c r="AC49" s="25"/>
      <c r="AD49" s="22"/>
    </row>
    <row r="50" ht="23.25" customHeight="1">
      <c r="A50" s="93">
        <v>31.0</v>
      </c>
      <c r="B50" s="132">
        <v>45110.0</v>
      </c>
      <c r="C50" s="93">
        <v>1.696316358278E12</v>
      </c>
      <c r="D50" s="92" t="s">
        <v>1106</v>
      </c>
      <c r="E50" s="105" t="s">
        <v>1107</v>
      </c>
      <c r="F50" s="1005" t="s">
        <v>1108</v>
      </c>
      <c r="G50" s="63" t="s">
        <v>30</v>
      </c>
      <c r="H50" s="64">
        <v>1.0</v>
      </c>
      <c r="I50" s="975">
        <v>220000.0</v>
      </c>
      <c r="J50" s="48">
        <f t="shared" si="9"/>
        <v>220000</v>
      </c>
      <c r="K50" s="76">
        <f t="shared" si="12"/>
        <v>220000</v>
      </c>
      <c r="L50" s="806">
        <v>33000.0</v>
      </c>
      <c r="M50" s="78"/>
      <c r="N50" s="115">
        <v>13000.0</v>
      </c>
      <c r="O50" s="80">
        <f t="shared" si="13"/>
        <v>240000</v>
      </c>
      <c r="P50" s="981" t="s">
        <v>449</v>
      </c>
      <c r="Q50" s="981" t="s">
        <v>31</v>
      </c>
      <c r="R50" s="1007"/>
      <c r="S50" s="91"/>
      <c r="T50" s="84" t="s">
        <v>33</v>
      </c>
      <c r="U50" s="1002"/>
      <c r="V50" s="1002"/>
      <c r="W50" s="1002"/>
      <c r="X50" s="687"/>
      <c r="Y50" s="9"/>
      <c r="Z50" s="204"/>
      <c r="AA50" s="25"/>
      <c r="AB50" s="25"/>
      <c r="AC50" s="25"/>
      <c r="AD50" s="22"/>
    </row>
    <row r="51" ht="23.25" customHeight="1">
      <c r="A51" s="694">
        <v>32.0</v>
      </c>
      <c r="B51" s="132">
        <v>45110.0</v>
      </c>
      <c r="C51" s="694">
        <v>1.696408008527E12</v>
      </c>
      <c r="D51" s="429" t="s">
        <v>1592</v>
      </c>
      <c r="E51" s="684" t="s">
        <v>1515</v>
      </c>
      <c r="F51" s="1010" t="s">
        <v>1593</v>
      </c>
      <c r="G51" s="63" t="s">
        <v>30</v>
      </c>
      <c r="H51" s="64">
        <v>1.0</v>
      </c>
      <c r="I51" s="975">
        <v>220000.0</v>
      </c>
      <c r="J51" s="48">
        <f t="shared" si="9"/>
        <v>220000</v>
      </c>
      <c r="K51" s="76">
        <f t="shared" si="12"/>
        <v>220000</v>
      </c>
      <c r="L51" s="806">
        <v>40000.0</v>
      </c>
      <c r="M51" s="688"/>
      <c r="N51" s="1011">
        <v>20000.0</v>
      </c>
      <c r="O51" s="80">
        <f t="shared" si="13"/>
        <v>240000</v>
      </c>
      <c r="P51" s="1012" t="s">
        <v>449</v>
      </c>
      <c r="Q51" s="1012" t="s">
        <v>31</v>
      </c>
      <c r="R51" s="805"/>
      <c r="S51" s="1013"/>
      <c r="T51" s="692" t="s">
        <v>33</v>
      </c>
      <c r="U51" s="693"/>
      <c r="V51" s="693"/>
      <c r="W51" s="693"/>
      <c r="X51" s="687"/>
      <c r="Y51" s="9"/>
      <c r="Z51" s="204"/>
      <c r="AA51" s="25"/>
      <c r="AB51" s="25"/>
      <c r="AC51" s="25"/>
      <c r="AD51" s="22"/>
    </row>
    <row r="52" ht="23.25" customHeight="1">
      <c r="A52" s="93">
        <v>33.0</v>
      </c>
      <c r="B52" s="132">
        <v>45110.0</v>
      </c>
      <c r="C52" s="379" t="s">
        <v>1594</v>
      </c>
      <c r="D52" s="429" t="s">
        <v>50</v>
      </c>
      <c r="E52" s="1014" t="s">
        <v>1595</v>
      </c>
      <c r="F52" s="1015" t="s">
        <v>461</v>
      </c>
      <c r="G52" s="63" t="s">
        <v>30</v>
      </c>
      <c r="H52" s="64">
        <v>1.0</v>
      </c>
      <c r="I52" s="975">
        <v>220000.0</v>
      </c>
      <c r="J52" s="48">
        <f t="shared" si="9"/>
        <v>220000</v>
      </c>
      <c r="K52" s="76">
        <f t="shared" si="12"/>
        <v>220000</v>
      </c>
      <c r="L52" s="805"/>
      <c r="M52" s="1016">
        <v>5010.0</v>
      </c>
      <c r="N52" s="689"/>
      <c r="O52" s="80">
        <f t="shared" ref="O52:O57" si="14">K52+L52-M52-N52</f>
        <v>214990</v>
      </c>
      <c r="P52" s="1012" t="s">
        <v>449</v>
      </c>
      <c r="Q52" s="1012" t="s">
        <v>31</v>
      </c>
      <c r="R52" s="806"/>
      <c r="S52" s="1017"/>
      <c r="T52" s="692" t="s">
        <v>33</v>
      </c>
      <c r="U52" s="693"/>
      <c r="V52" s="693"/>
      <c r="W52" s="694" t="s">
        <v>53</v>
      </c>
      <c r="X52" s="687"/>
      <c r="Y52" s="9"/>
      <c r="Z52" s="204"/>
      <c r="AA52" s="25"/>
      <c r="AB52" s="25"/>
      <c r="AC52" s="25"/>
      <c r="AD52" s="22"/>
    </row>
    <row r="53" ht="23.25" customHeight="1">
      <c r="A53" s="694">
        <v>34.0</v>
      </c>
      <c r="B53" s="132">
        <v>45110.0</v>
      </c>
      <c r="C53" s="379" t="s">
        <v>1596</v>
      </c>
      <c r="D53" s="429" t="s">
        <v>50</v>
      </c>
      <c r="E53" s="1018" t="s">
        <v>1490</v>
      </c>
      <c r="F53" s="994" t="s">
        <v>193</v>
      </c>
      <c r="G53" s="63" t="s">
        <v>30</v>
      </c>
      <c r="H53" s="64">
        <v>1.0</v>
      </c>
      <c r="I53" s="975">
        <v>220000.0</v>
      </c>
      <c r="J53" s="48">
        <f t="shared" si="9"/>
        <v>220000</v>
      </c>
      <c r="K53" s="76">
        <f t="shared" si="12"/>
        <v>220000</v>
      </c>
      <c r="L53" s="805"/>
      <c r="M53" s="1016">
        <v>7257.0</v>
      </c>
      <c r="N53" s="689"/>
      <c r="O53" s="80">
        <f t="shared" si="14"/>
        <v>212743</v>
      </c>
      <c r="P53" s="1012" t="s">
        <v>449</v>
      </c>
      <c r="Q53" s="1012" t="s">
        <v>31</v>
      </c>
      <c r="R53" s="687"/>
      <c r="S53" s="1013"/>
      <c r="T53" s="692" t="s">
        <v>33</v>
      </c>
      <c r="U53" s="693"/>
      <c r="V53" s="693"/>
      <c r="W53" s="694" t="s">
        <v>53</v>
      </c>
      <c r="X53" s="687"/>
      <c r="Y53" s="9"/>
      <c r="Z53" s="204"/>
      <c r="AA53" s="25"/>
      <c r="AB53" s="25"/>
      <c r="AC53" s="25"/>
      <c r="AD53" s="22"/>
    </row>
    <row r="54" ht="23.25" customHeight="1">
      <c r="A54" s="93">
        <v>35.0</v>
      </c>
      <c r="B54" s="132">
        <v>45110.0</v>
      </c>
      <c r="C54" s="377">
        <v>1328.0</v>
      </c>
      <c r="D54" s="429" t="s">
        <v>50</v>
      </c>
      <c r="E54" s="1018" t="s">
        <v>1597</v>
      </c>
      <c r="F54" s="994" t="s">
        <v>193</v>
      </c>
      <c r="G54" s="63" t="s">
        <v>30</v>
      </c>
      <c r="H54" s="64">
        <v>1.0</v>
      </c>
      <c r="I54" s="975">
        <v>220000.0</v>
      </c>
      <c r="J54" s="48">
        <f t="shared" si="9"/>
        <v>220000</v>
      </c>
      <c r="K54" s="76">
        <f t="shared" si="12"/>
        <v>220000</v>
      </c>
      <c r="L54" s="805"/>
      <c r="M54" s="1016">
        <v>7257.0</v>
      </c>
      <c r="N54" s="689"/>
      <c r="O54" s="80">
        <f t="shared" si="14"/>
        <v>212743</v>
      </c>
      <c r="P54" s="1012" t="s">
        <v>449</v>
      </c>
      <c r="Q54" s="1012" t="s">
        <v>31</v>
      </c>
      <c r="R54" s="687"/>
      <c r="S54" s="1013"/>
      <c r="T54" s="692" t="s">
        <v>33</v>
      </c>
      <c r="U54" s="693"/>
      <c r="V54" s="693"/>
      <c r="W54" s="694" t="s">
        <v>53</v>
      </c>
      <c r="X54" s="687"/>
      <c r="Y54" s="9"/>
      <c r="Z54" s="204"/>
      <c r="AA54" s="25"/>
      <c r="AB54" s="25"/>
      <c r="AC54" s="25"/>
      <c r="AD54" s="22"/>
    </row>
    <row r="55" ht="23.25" customHeight="1">
      <c r="A55" s="694">
        <v>36.0</v>
      </c>
      <c r="B55" s="132">
        <v>45110.0</v>
      </c>
      <c r="C55" s="377">
        <v>3120.0</v>
      </c>
      <c r="D55" s="429" t="s">
        <v>50</v>
      </c>
      <c r="E55" s="1018" t="s">
        <v>1598</v>
      </c>
      <c r="F55" s="994" t="s">
        <v>548</v>
      </c>
      <c r="G55" s="63" t="s">
        <v>30</v>
      </c>
      <c r="H55" s="64">
        <v>1.0</v>
      </c>
      <c r="I55" s="975">
        <v>220000.0</v>
      </c>
      <c r="J55" s="48">
        <f t="shared" si="9"/>
        <v>220000</v>
      </c>
      <c r="K55" s="76">
        <f t="shared" si="12"/>
        <v>220000</v>
      </c>
      <c r="L55" s="805"/>
      <c r="M55" s="1016">
        <v>7737.0</v>
      </c>
      <c r="N55" s="689"/>
      <c r="O55" s="80">
        <f t="shared" si="14"/>
        <v>212263</v>
      </c>
      <c r="P55" s="1012" t="s">
        <v>449</v>
      </c>
      <c r="Q55" s="1012" t="s">
        <v>31</v>
      </c>
      <c r="R55" s="687"/>
      <c r="S55" s="1013"/>
      <c r="T55" s="692" t="s">
        <v>33</v>
      </c>
      <c r="U55" s="693"/>
      <c r="V55" s="693"/>
      <c r="W55" s="694" t="s">
        <v>53</v>
      </c>
      <c r="X55" s="687"/>
      <c r="Y55" s="9"/>
      <c r="Z55" s="204"/>
      <c r="AA55" s="25"/>
      <c r="AB55" s="25"/>
      <c r="AC55" s="25"/>
      <c r="AD55" s="22"/>
    </row>
    <row r="56" ht="23.25" customHeight="1">
      <c r="A56" s="160">
        <v>37.0</v>
      </c>
      <c r="B56" s="984">
        <v>45110.0</v>
      </c>
      <c r="C56" s="434">
        <v>9316.0</v>
      </c>
      <c r="D56" s="436" t="s">
        <v>50</v>
      </c>
      <c r="E56" s="1019" t="s">
        <v>1599</v>
      </c>
      <c r="F56" s="1020" t="s">
        <v>464</v>
      </c>
      <c r="G56" s="164" t="s">
        <v>30</v>
      </c>
      <c r="H56" s="158">
        <v>1.0</v>
      </c>
      <c r="I56" s="986"/>
      <c r="J56" s="166">
        <f t="shared" si="9"/>
        <v>0</v>
      </c>
      <c r="K56" s="167">
        <f t="shared" si="12"/>
        <v>0</v>
      </c>
      <c r="L56" s="440"/>
      <c r="M56" s="440"/>
      <c r="N56" s="440"/>
      <c r="O56" s="169">
        <f t="shared" si="14"/>
        <v>0</v>
      </c>
      <c r="P56" s="1021"/>
      <c r="Q56" s="1021"/>
      <c r="R56" s="439"/>
      <c r="S56" s="441"/>
      <c r="T56" s="443"/>
      <c r="U56" s="444"/>
      <c r="V56" s="444"/>
      <c r="W56" s="434" t="s">
        <v>201</v>
      </c>
      <c r="X56" s="439"/>
      <c r="Y56" s="9"/>
      <c r="Z56" s="204"/>
      <c r="AA56" s="25"/>
      <c r="AB56" s="25"/>
      <c r="AC56" s="25"/>
      <c r="AD56" s="22"/>
    </row>
    <row r="57" ht="23.25" customHeight="1">
      <c r="A57" s="694">
        <v>38.0</v>
      </c>
      <c r="B57" s="132">
        <v>45110.0</v>
      </c>
      <c r="C57" s="377">
        <v>5826.0</v>
      </c>
      <c r="D57" s="429" t="s">
        <v>50</v>
      </c>
      <c r="E57" s="1018" t="s">
        <v>301</v>
      </c>
      <c r="F57" s="994" t="s">
        <v>528</v>
      </c>
      <c r="G57" s="63" t="s">
        <v>30</v>
      </c>
      <c r="H57" s="64">
        <v>2.0</v>
      </c>
      <c r="I57" s="975">
        <v>220000.0</v>
      </c>
      <c r="J57" s="48">
        <f t="shared" si="9"/>
        <v>440000</v>
      </c>
      <c r="K57" s="76">
        <f t="shared" si="12"/>
        <v>440000</v>
      </c>
      <c r="L57" s="805"/>
      <c r="M57" s="688">
        <f>K57*3%</f>
        <v>13200</v>
      </c>
      <c r="N57" s="689"/>
      <c r="O57" s="80">
        <f t="shared" si="14"/>
        <v>426800</v>
      </c>
      <c r="P57" s="1012" t="s">
        <v>449</v>
      </c>
      <c r="Q57" s="1012" t="s">
        <v>31</v>
      </c>
      <c r="R57" s="687"/>
      <c r="S57" s="1013"/>
      <c r="T57" s="692" t="s">
        <v>33</v>
      </c>
      <c r="U57" s="693"/>
      <c r="V57" s="693"/>
      <c r="W57" s="694" t="s">
        <v>53</v>
      </c>
      <c r="X57" s="687"/>
      <c r="Y57" s="9"/>
      <c r="Z57" s="204"/>
      <c r="AA57" s="25"/>
      <c r="AB57" s="25"/>
      <c r="AC57" s="25"/>
      <c r="AD57" s="22"/>
    </row>
    <row r="58" ht="23.25" customHeight="1">
      <c r="A58" s="111">
        <v>39.0</v>
      </c>
      <c r="B58" s="1022">
        <v>45111.0</v>
      </c>
      <c r="C58" s="942">
        <v>1.699823046162E12</v>
      </c>
      <c r="D58" s="1023" t="s">
        <v>1496</v>
      </c>
      <c r="E58" s="944" t="s">
        <v>1497</v>
      </c>
      <c r="F58" s="1024" t="s">
        <v>1600</v>
      </c>
      <c r="G58" s="63" t="s">
        <v>30</v>
      </c>
      <c r="H58" s="64">
        <v>2.0</v>
      </c>
      <c r="I58" s="975">
        <v>220000.0</v>
      </c>
      <c r="J58" s="48">
        <f t="shared" si="9"/>
        <v>440000</v>
      </c>
      <c r="K58" s="49">
        <f>SUM(J58:J59)</f>
        <v>660000</v>
      </c>
      <c r="L58" s="1008"/>
      <c r="M58" s="1025"/>
      <c r="N58" s="1026"/>
      <c r="O58" s="53">
        <f>K58+L58-N58</f>
        <v>660000</v>
      </c>
      <c r="P58" s="1027" t="s">
        <v>449</v>
      </c>
      <c r="Q58" s="1027" t="s">
        <v>31</v>
      </c>
      <c r="R58" s="1028">
        <v>49000.0</v>
      </c>
      <c r="S58" s="1029" t="s">
        <v>32</v>
      </c>
      <c r="T58" s="1030" t="s">
        <v>33</v>
      </c>
      <c r="U58" s="1031"/>
      <c r="V58" s="1031"/>
      <c r="W58" s="1031"/>
      <c r="X58" s="942">
        <v>1.0</v>
      </c>
      <c r="Y58" s="9"/>
      <c r="Z58" s="204"/>
      <c r="AA58" s="25"/>
      <c r="AB58" s="25"/>
      <c r="AC58" s="25"/>
      <c r="AD58" s="22"/>
    </row>
    <row r="59" ht="23.25" customHeight="1">
      <c r="A59" s="67"/>
      <c r="B59" s="67"/>
      <c r="C59" s="67"/>
      <c r="D59" s="67"/>
      <c r="E59" s="67"/>
      <c r="F59" s="67"/>
      <c r="G59" s="63" t="s">
        <v>290</v>
      </c>
      <c r="H59" s="64">
        <v>1.0</v>
      </c>
      <c r="I59" s="975">
        <v>220000.0</v>
      </c>
      <c r="J59" s="48">
        <f t="shared" si="9"/>
        <v>220000</v>
      </c>
      <c r="K59" s="67"/>
      <c r="L59" s="67"/>
      <c r="M59" s="67"/>
      <c r="N59" s="67"/>
      <c r="O59" s="67"/>
      <c r="P59" s="67"/>
      <c r="Q59" s="67"/>
      <c r="R59" s="67"/>
      <c r="S59" s="67"/>
      <c r="T59" s="67"/>
      <c r="U59" s="67"/>
      <c r="V59" s="67"/>
      <c r="W59" s="67"/>
      <c r="X59" s="67"/>
      <c r="Y59" s="9"/>
      <c r="Z59" s="204"/>
      <c r="AA59" s="25"/>
      <c r="AB59" s="25"/>
      <c r="AC59" s="25"/>
      <c r="AD59" s="22"/>
    </row>
    <row r="60" ht="23.25" customHeight="1">
      <c r="A60" s="694">
        <v>40.0</v>
      </c>
      <c r="B60" s="1032">
        <v>45111.0</v>
      </c>
      <c r="C60" s="694">
        <v>1.699915169027E12</v>
      </c>
      <c r="D60" s="429" t="s">
        <v>771</v>
      </c>
      <c r="E60" s="1033" t="s">
        <v>772</v>
      </c>
      <c r="F60" s="1034" t="s">
        <v>773</v>
      </c>
      <c r="G60" s="63" t="s">
        <v>30</v>
      </c>
      <c r="H60" s="64">
        <v>1.0</v>
      </c>
      <c r="I60" s="975">
        <v>220000.0</v>
      </c>
      <c r="J60" s="48">
        <f t="shared" si="9"/>
        <v>220000</v>
      </c>
      <c r="K60" s="76">
        <f t="shared" ref="K60:K65" si="15">SUM(J60)</f>
        <v>220000</v>
      </c>
      <c r="L60" s="806">
        <v>40000.0</v>
      </c>
      <c r="M60" s="688"/>
      <c r="N60" s="1011">
        <v>20000.0</v>
      </c>
      <c r="O60" s="80">
        <f t="shared" ref="O60:O64" si="16">K60+L60-N60</f>
        <v>240000</v>
      </c>
      <c r="P60" s="1012" t="s">
        <v>449</v>
      </c>
      <c r="Q60" s="1012" t="s">
        <v>31</v>
      </c>
      <c r="R60" s="805"/>
      <c r="S60" s="1013"/>
      <c r="T60" s="692" t="s">
        <v>33</v>
      </c>
      <c r="U60" s="693"/>
      <c r="V60" s="693"/>
      <c r="W60" s="693"/>
      <c r="X60" s="687"/>
      <c r="Y60" s="9"/>
      <c r="Z60" s="204"/>
      <c r="AA60" s="25"/>
      <c r="AB60" s="25"/>
      <c r="AC60" s="25"/>
      <c r="AD60" s="22"/>
    </row>
    <row r="61" ht="36.75" customHeight="1">
      <c r="A61" s="694">
        <v>41.0</v>
      </c>
      <c r="B61" s="1032">
        <v>45111.0</v>
      </c>
      <c r="C61" s="694">
        <v>1.711947962001E12</v>
      </c>
      <c r="D61" s="429" t="s">
        <v>1601</v>
      </c>
      <c r="E61" s="131" t="s">
        <v>1602</v>
      </c>
      <c r="F61" s="1035" t="s">
        <v>1603</v>
      </c>
      <c r="G61" s="63" t="s">
        <v>30</v>
      </c>
      <c r="H61" s="64">
        <v>3.0</v>
      </c>
      <c r="I61" s="1036">
        <v>220000.0</v>
      </c>
      <c r="J61" s="48">
        <f t="shared" si="9"/>
        <v>660000</v>
      </c>
      <c r="K61" s="76">
        <f t="shared" si="15"/>
        <v>660000</v>
      </c>
      <c r="L61" s="805"/>
      <c r="M61" s="688"/>
      <c r="N61" s="689"/>
      <c r="O61" s="80">
        <f t="shared" si="16"/>
        <v>660000</v>
      </c>
      <c r="P61" s="1012" t="s">
        <v>449</v>
      </c>
      <c r="Q61" s="1012" t="s">
        <v>31</v>
      </c>
      <c r="R61" s="806">
        <v>49000.0</v>
      </c>
      <c r="S61" s="1017" t="s">
        <v>32</v>
      </c>
      <c r="T61" s="692" t="s">
        <v>33</v>
      </c>
      <c r="U61" s="693"/>
      <c r="V61" s="693"/>
      <c r="W61" s="693"/>
      <c r="X61" s="694">
        <v>1.0</v>
      </c>
      <c r="Y61" s="9"/>
      <c r="Z61" s="204"/>
      <c r="AA61" s="25"/>
      <c r="AB61" s="25"/>
      <c r="AC61" s="25"/>
      <c r="AD61" s="22"/>
    </row>
    <row r="62" ht="23.25" customHeight="1">
      <c r="A62" s="694">
        <v>42.0</v>
      </c>
      <c r="B62" s="1032">
        <v>45112.0</v>
      </c>
      <c r="C62" s="687"/>
      <c r="D62" s="429" t="s">
        <v>1312</v>
      </c>
      <c r="E62" s="684" t="s">
        <v>1604</v>
      </c>
      <c r="F62" s="1035" t="s">
        <v>1605</v>
      </c>
      <c r="G62" s="63" t="s">
        <v>30</v>
      </c>
      <c r="H62" s="64">
        <v>1.0</v>
      </c>
      <c r="I62" s="1036">
        <v>220000.0</v>
      </c>
      <c r="J62" s="48">
        <f t="shared" si="9"/>
        <v>220000</v>
      </c>
      <c r="K62" s="76">
        <f t="shared" si="15"/>
        <v>220000</v>
      </c>
      <c r="L62" s="805"/>
      <c r="M62" s="688"/>
      <c r="N62" s="689"/>
      <c r="O62" s="80">
        <f t="shared" si="16"/>
        <v>220000</v>
      </c>
      <c r="P62" s="1012" t="s">
        <v>449</v>
      </c>
      <c r="Q62" s="1012" t="s">
        <v>31</v>
      </c>
      <c r="R62" s="805"/>
      <c r="S62" s="1013"/>
      <c r="T62" s="692" t="s">
        <v>33</v>
      </c>
      <c r="U62" s="693"/>
      <c r="V62" s="693"/>
      <c r="W62" s="694" t="s">
        <v>1606</v>
      </c>
      <c r="X62" s="687"/>
      <c r="Y62" s="9"/>
      <c r="Z62" s="204"/>
      <c r="AA62" s="25"/>
      <c r="AB62" s="25"/>
      <c r="AC62" s="25"/>
      <c r="AD62" s="22"/>
    </row>
    <row r="63" ht="28.5" customHeight="1">
      <c r="A63" s="694">
        <v>43.0</v>
      </c>
      <c r="B63" s="1032">
        <v>45112.0</v>
      </c>
      <c r="C63" s="141">
        <v>1.69028061235E12</v>
      </c>
      <c r="D63" s="429" t="s">
        <v>44</v>
      </c>
      <c r="E63" s="684" t="s">
        <v>45</v>
      </c>
      <c r="F63" s="1037" t="s">
        <v>324</v>
      </c>
      <c r="G63" s="63" t="s">
        <v>30</v>
      </c>
      <c r="H63" s="64">
        <v>12.0</v>
      </c>
      <c r="I63" s="1036">
        <v>220000.0</v>
      </c>
      <c r="J63" s="48">
        <f t="shared" si="9"/>
        <v>2640000</v>
      </c>
      <c r="K63" s="76">
        <f t="shared" si="15"/>
        <v>2640000</v>
      </c>
      <c r="L63" s="805"/>
      <c r="M63" s="688"/>
      <c r="N63" s="689"/>
      <c r="O63" s="80">
        <f t="shared" si="16"/>
        <v>2640000</v>
      </c>
      <c r="P63" s="1012" t="s">
        <v>449</v>
      </c>
      <c r="Q63" s="1012" t="s">
        <v>31</v>
      </c>
      <c r="R63" s="806">
        <v>99000.0</v>
      </c>
      <c r="S63" s="1017" t="s">
        <v>32</v>
      </c>
      <c r="T63" s="692" t="s">
        <v>33</v>
      </c>
      <c r="U63" s="693"/>
      <c r="V63" s="693"/>
      <c r="W63" s="693"/>
      <c r="X63" s="687"/>
      <c r="Y63" s="9"/>
      <c r="Z63" s="204"/>
      <c r="AA63" s="25"/>
      <c r="AB63" s="25"/>
      <c r="AC63" s="25"/>
      <c r="AD63" s="22"/>
    </row>
    <row r="64" ht="28.5" customHeight="1">
      <c r="A64" s="694">
        <v>44.0</v>
      </c>
      <c r="B64" s="1032">
        <v>45112.0</v>
      </c>
      <c r="C64" s="694">
        <v>1.690369174302E12</v>
      </c>
      <c r="D64" s="429" t="s">
        <v>1607</v>
      </c>
      <c r="E64" s="684" t="s">
        <v>1608</v>
      </c>
      <c r="F64" s="1035" t="s">
        <v>1609</v>
      </c>
      <c r="G64" s="63" t="s">
        <v>30</v>
      </c>
      <c r="H64" s="64">
        <v>1.0</v>
      </c>
      <c r="I64" s="1036">
        <v>220000.0</v>
      </c>
      <c r="J64" s="48">
        <f t="shared" si="9"/>
        <v>220000</v>
      </c>
      <c r="K64" s="76">
        <f t="shared" si="15"/>
        <v>220000</v>
      </c>
      <c r="L64" s="806">
        <v>40000.0</v>
      </c>
      <c r="M64" s="688"/>
      <c r="N64" s="1011">
        <v>20000.0</v>
      </c>
      <c r="O64" s="80">
        <f t="shared" si="16"/>
        <v>240000</v>
      </c>
      <c r="P64" s="1012" t="s">
        <v>449</v>
      </c>
      <c r="Q64" s="1012" t="s">
        <v>31</v>
      </c>
      <c r="R64" s="805"/>
      <c r="S64" s="1013"/>
      <c r="T64" s="692" t="s">
        <v>33</v>
      </c>
      <c r="U64" s="693"/>
      <c r="V64" s="693"/>
      <c r="W64" s="693"/>
      <c r="X64" s="687"/>
      <c r="Y64" s="9"/>
      <c r="Z64" s="204"/>
      <c r="AA64" s="25"/>
      <c r="AB64" s="25"/>
      <c r="AC64" s="25"/>
      <c r="AD64" s="22"/>
    </row>
    <row r="65" ht="28.5" customHeight="1">
      <c r="A65" s="694">
        <v>45.0</v>
      </c>
      <c r="B65" s="1032">
        <v>45112.0</v>
      </c>
      <c r="C65" s="377">
        <v>2949.0</v>
      </c>
      <c r="D65" s="429" t="s">
        <v>50</v>
      </c>
      <c r="E65" s="684" t="s">
        <v>1610</v>
      </c>
      <c r="F65" s="1035" t="s">
        <v>119</v>
      </c>
      <c r="G65" s="63" t="s">
        <v>30</v>
      </c>
      <c r="H65" s="64">
        <v>1.0</v>
      </c>
      <c r="I65" s="1036">
        <v>220000.0</v>
      </c>
      <c r="J65" s="48">
        <f t="shared" si="9"/>
        <v>220000</v>
      </c>
      <c r="K65" s="76">
        <f t="shared" si="15"/>
        <v>220000</v>
      </c>
      <c r="L65" s="805"/>
      <c r="M65" s="1016">
        <v>7857.0</v>
      </c>
      <c r="N65" s="689"/>
      <c r="O65" s="80">
        <f>K65+L65-M65-N65</f>
        <v>212143</v>
      </c>
      <c r="P65" s="1012" t="s">
        <v>449</v>
      </c>
      <c r="Q65" s="1012" t="s">
        <v>31</v>
      </c>
      <c r="R65" s="805"/>
      <c r="S65" s="1013"/>
      <c r="T65" s="692" t="s">
        <v>33</v>
      </c>
      <c r="U65" s="693"/>
      <c r="V65" s="693"/>
      <c r="W65" s="694" t="s">
        <v>53</v>
      </c>
      <c r="X65" s="687"/>
      <c r="Y65" s="9"/>
      <c r="Z65" s="204"/>
      <c r="AA65" s="25"/>
      <c r="AB65" s="25"/>
      <c r="AC65" s="25"/>
      <c r="AD65" s="22"/>
    </row>
    <row r="66" ht="28.5" customHeight="1">
      <c r="A66" s="942">
        <v>46.0</v>
      </c>
      <c r="B66" s="1022">
        <v>45112.0</v>
      </c>
      <c r="C66" s="942">
        <v>1.696317867178E12</v>
      </c>
      <c r="D66" s="1038" t="s">
        <v>1611</v>
      </c>
      <c r="E66" s="1039" t="s">
        <v>1612</v>
      </c>
      <c r="F66" s="850" t="s">
        <v>1613</v>
      </c>
      <c r="G66" s="63" t="s">
        <v>30</v>
      </c>
      <c r="H66" s="64">
        <v>5.0</v>
      </c>
      <c r="I66" s="1036">
        <v>220000.0</v>
      </c>
      <c r="J66" s="48">
        <f t="shared" si="9"/>
        <v>1100000</v>
      </c>
      <c r="K66" s="49">
        <f>SUM(J66:J67)</f>
        <v>2200000</v>
      </c>
      <c r="L66" s="1008"/>
      <c r="M66" s="1025"/>
      <c r="N66" s="1026"/>
      <c r="O66" s="53">
        <f>K66+L66-N66</f>
        <v>2200000</v>
      </c>
      <c r="P66" s="1027" t="s">
        <v>449</v>
      </c>
      <c r="Q66" s="1027" t="s">
        <v>31</v>
      </c>
      <c r="R66" s="1028">
        <v>84999.0</v>
      </c>
      <c r="S66" s="1029" t="s">
        <v>32</v>
      </c>
      <c r="T66" s="1030" t="s">
        <v>33</v>
      </c>
      <c r="U66" s="1031"/>
      <c r="V66" s="1031"/>
      <c r="W66" s="1031"/>
      <c r="X66" s="942">
        <v>1.0</v>
      </c>
      <c r="Y66" s="9"/>
      <c r="Z66" s="204"/>
      <c r="AA66" s="25"/>
      <c r="AB66" s="25"/>
      <c r="AC66" s="25"/>
      <c r="AD66" s="22"/>
    </row>
    <row r="67" ht="28.5" customHeight="1">
      <c r="A67" s="67"/>
      <c r="B67" s="67"/>
      <c r="C67" s="67"/>
      <c r="D67" s="67"/>
      <c r="E67" s="67"/>
      <c r="F67" s="67"/>
      <c r="G67" s="63" t="s">
        <v>290</v>
      </c>
      <c r="H67" s="64">
        <v>5.0</v>
      </c>
      <c r="I67" s="1036">
        <v>220000.0</v>
      </c>
      <c r="J67" s="48">
        <f t="shared" si="9"/>
        <v>1100000</v>
      </c>
      <c r="K67" s="67"/>
      <c r="L67" s="67"/>
      <c r="M67" s="67"/>
      <c r="N67" s="67"/>
      <c r="O67" s="67"/>
      <c r="P67" s="67"/>
      <c r="Q67" s="67"/>
      <c r="R67" s="67"/>
      <c r="S67" s="67"/>
      <c r="T67" s="67"/>
      <c r="U67" s="67"/>
      <c r="V67" s="67"/>
      <c r="W67" s="67"/>
      <c r="X67" s="67"/>
      <c r="Y67" s="9"/>
      <c r="Z67" s="204"/>
      <c r="AA67" s="25"/>
      <c r="AB67" s="25"/>
      <c r="AC67" s="25"/>
      <c r="AD67" s="22"/>
    </row>
    <row r="68" ht="42.0" customHeight="1">
      <c r="A68" s="694">
        <v>47.0</v>
      </c>
      <c r="B68" s="1032">
        <v>45112.0</v>
      </c>
      <c r="C68" s="694">
        <v>1.710846595686E12</v>
      </c>
      <c r="D68" s="800" t="s">
        <v>209</v>
      </c>
      <c r="E68" s="684" t="s">
        <v>210</v>
      </c>
      <c r="F68" s="133" t="s">
        <v>1614</v>
      </c>
      <c r="G68" s="63" t="s">
        <v>30</v>
      </c>
      <c r="H68" s="64">
        <v>3.0</v>
      </c>
      <c r="I68" s="1036">
        <v>220000.0</v>
      </c>
      <c r="J68" s="685">
        <f t="shared" si="9"/>
        <v>660000</v>
      </c>
      <c r="K68" s="686">
        <f t="shared" ref="K68:K70" si="17">SUM(J68)</f>
        <v>660000</v>
      </c>
      <c r="L68" s="805"/>
      <c r="M68" s="688"/>
      <c r="N68" s="689"/>
      <c r="O68" s="80">
        <f t="shared" ref="O68:O71" si="18">K68+L68-N68</f>
        <v>660000</v>
      </c>
      <c r="P68" s="1012" t="s">
        <v>449</v>
      </c>
      <c r="Q68" s="1012" t="s">
        <v>31</v>
      </c>
      <c r="R68" s="806">
        <v>41999.0</v>
      </c>
      <c r="S68" s="1017" t="s">
        <v>32</v>
      </c>
      <c r="T68" s="692" t="s">
        <v>33</v>
      </c>
      <c r="U68" s="693"/>
      <c r="V68" s="693"/>
      <c r="W68" s="693"/>
      <c r="X68" s="694">
        <v>1.0</v>
      </c>
      <c r="Y68" s="106"/>
      <c r="Z68" s="427"/>
      <c r="AA68" s="106"/>
      <c r="AB68" s="106"/>
      <c r="AC68" s="106"/>
      <c r="AD68" s="106"/>
    </row>
    <row r="69" ht="28.5" customHeight="1">
      <c r="A69" s="694">
        <v>48.0</v>
      </c>
      <c r="B69" s="1032">
        <v>45112.0</v>
      </c>
      <c r="C69" s="694">
        <v>1.710667190745E12</v>
      </c>
      <c r="D69" s="800" t="s">
        <v>1615</v>
      </c>
      <c r="E69" s="684" t="s">
        <v>1616</v>
      </c>
      <c r="F69" s="429" t="s">
        <v>1617</v>
      </c>
      <c r="G69" s="63" t="s">
        <v>30</v>
      </c>
      <c r="H69" s="64">
        <v>3.0</v>
      </c>
      <c r="I69" s="1036">
        <v>220000.0</v>
      </c>
      <c r="J69" s="685">
        <f t="shared" si="9"/>
        <v>660000</v>
      </c>
      <c r="K69" s="686">
        <f t="shared" si="17"/>
        <v>660000</v>
      </c>
      <c r="L69" s="805"/>
      <c r="M69" s="688"/>
      <c r="N69" s="689"/>
      <c r="O69" s="80">
        <f t="shared" si="18"/>
        <v>660000</v>
      </c>
      <c r="P69" s="1012" t="s">
        <v>449</v>
      </c>
      <c r="Q69" s="1012" t="s">
        <v>31</v>
      </c>
      <c r="R69" s="806">
        <v>51998.0</v>
      </c>
      <c r="S69" s="1017" t="s">
        <v>32</v>
      </c>
      <c r="T69" s="692" t="s">
        <v>33</v>
      </c>
      <c r="U69" s="693"/>
      <c r="V69" s="693"/>
      <c r="W69" s="693"/>
      <c r="X69" s="687"/>
      <c r="Y69" s="106"/>
      <c r="Z69" s="427"/>
      <c r="AA69" s="106"/>
      <c r="AB69" s="106"/>
      <c r="AC69" s="106"/>
      <c r="AD69" s="106"/>
    </row>
    <row r="70" ht="28.5" customHeight="1">
      <c r="A70" s="694">
        <v>49.0</v>
      </c>
      <c r="B70" s="1032">
        <v>45113.0</v>
      </c>
      <c r="C70" s="694">
        <v>1.692770089324E12</v>
      </c>
      <c r="D70" s="800" t="s">
        <v>1365</v>
      </c>
      <c r="E70" s="1040" t="s">
        <v>1366</v>
      </c>
      <c r="F70" s="869" t="s">
        <v>1618</v>
      </c>
      <c r="G70" s="63" t="s">
        <v>30</v>
      </c>
      <c r="H70" s="64">
        <v>2.0</v>
      </c>
      <c r="I70" s="1036">
        <v>220000.0</v>
      </c>
      <c r="J70" s="685">
        <f t="shared" si="9"/>
        <v>440000</v>
      </c>
      <c r="K70" s="686">
        <f t="shared" si="17"/>
        <v>440000</v>
      </c>
      <c r="L70" s="806">
        <v>38999.0</v>
      </c>
      <c r="M70" s="1016"/>
      <c r="N70" s="1011">
        <v>8999.0</v>
      </c>
      <c r="O70" s="80">
        <f t="shared" si="18"/>
        <v>470000</v>
      </c>
      <c r="P70" s="1012" t="s">
        <v>449</v>
      </c>
      <c r="Q70" s="1012" t="s">
        <v>31</v>
      </c>
      <c r="R70" s="805"/>
      <c r="S70" s="1013"/>
      <c r="T70" s="692" t="s">
        <v>33</v>
      </c>
      <c r="U70" s="693"/>
      <c r="V70" s="693"/>
      <c r="W70" s="693"/>
      <c r="X70" s="687"/>
      <c r="Y70" s="106"/>
      <c r="Z70" s="427"/>
      <c r="AA70" s="106"/>
      <c r="AB70" s="106"/>
      <c r="AC70" s="106"/>
      <c r="AD70" s="106"/>
    </row>
    <row r="71" ht="28.5" customHeight="1">
      <c r="A71" s="942">
        <v>50.0</v>
      </c>
      <c r="B71" s="1022">
        <v>45113.0</v>
      </c>
      <c r="C71" s="683">
        <v>1.692824588823E12</v>
      </c>
      <c r="D71" s="1023" t="s">
        <v>1619</v>
      </c>
      <c r="E71" s="944" t="s">
        <v>954</v>
      </c>
      <c r="F71" s="1038" t="s">
        <v>955</v>
      </c>
      <c r="G71" s="63" t="s">
        <v>30</v>
      </c>
      <c r="H71" s="64">
        <v>1.0</v>
      </c>
      <c r="I71" s="1036">
        <v>220000.0</v>
      </c>
      <c r="J71" s="685">
        <f t="shared" si="9"/>
        <v>220000</v>
      </c>
      <c r="K71" s="1041">
        <f>SUM(J71:J72)</f>
        <v>300000</v>
      </c>
      <c r="L71" s="1028">
        <v>33000.0</v>
      </c>
      <c r="M71" s="1025"/>
      <c r="N71" s="1042">
        <v>13000.0</v>
      </c>
      <c r="O71" s="53">
        <f t="shared" si="18"/>
        <v>320000</v>
      </c>
      <c r="P71" s="1027" t="s">
        <v>449</v>
      </c>
      <c r="Q71" s="1027" t="s">
        <v>31</v>
      </c>
      <c r="R71" s="1008"/>
      <c r="S71" s="1029"/>
      <c r="T71" s="1030" t="s">
        <v>33</v>
      </c>
      <c r="U71" s="1031"/>
      <c r="V71" s="1031"/>
      <c r="W71" s="1031"/>
      <c r="X71" s="974"/>
      <c r="Y71" s="106"/>
      <c r="Z71" s="427"/>
      <c r="AA71" s="106"/>
      <c r="AB71" s="106"/>
      <c r="AC71" s="106"/>
      <c r="AD71" s="106"/>
    </row>
    <row r="72" ht="28.5" customHeight="1">
      <c r="A72" s="67"/>
      <c r="B72" s="67"/>
      <c r="C72" s="102"/>
      <c r="D72" s="67"/>
      <c r="E72" s="67"/>
      <c r="F72" s="67"/>
      <c r="G72" s="63" t="s">
        <v>147</v>
      </c>
      <c r="H72" s="64">
        <v>1.0</v>
      </c>
      <c r="I72" s="1036">
        <v>80000.0</v>
      </c>
      <c r="J72" s="685">
        <f t="shared" si="9"/>
        <v>80000</v>
      </c>
      <c r="K72" s="67"/>
      <c r="L72" s="67"/>
      <c r="M72" s="67"/>
      <c r="N72" s="67"/>
      <c r="O72" s="67"/>
      <c r="P72" s="67"/>
      <c r="Q72" s="67"/>
      <c r="R72" s="67"/>
      <c r="S72" s="67"/>
      <c r="T72" s="67"/>
      <c r="U72" s="67"/>
      <c r="V72" s="67"/>
      <c r="W72" s="67"/>
      <c r="X72" s="67"/>
      <c r="Y72" s="106"/>
      <c r="Z72" s="427"/>
      <c r="AA72" s="106"/>
      <c r="AB72" s="106"/>
      <c r="AC72" s="106"/>
      <c r="AD72" s="106"/>
    </row>
    <row r="73" ht="28.5" customHeight="1">
      <c r="A73" s="694">
        <v>51.0</v>
      </c>
      <c r="B73" s="1032">
        <v>45113.0</v>
      </c>
      <c r="C73" s="377">
        <v>2640.0</v>
      </c>
      <c r="D73" s="1043" t="s">
        <v>50</v>
      </c>
      <c r="E73" s="1044" t="s">
        <v>1620</v>
      </c>
      <c r="F73" s="1043" t="s">
        <v>897</v>
      </c>
      <c r="G73" s="63" t="s">
        <v>30</v>
      </c>
      <c r="H73" s="64">
        <v>1.0</v>
      </c>
      <c r="I73" s="1036">
        <v>220000.0</v>
      </c>
      <c r="J73" s="685">
        <f t="shared" si="9"/>
        <v>220000</v>
      </c>
      <c r="K73" s="686">
        <f t="shared" ref="K73:K80" si="19">SUM(J73)</f>
        <v>220000</v>
      </c>
      <c r="L73" s="805"/>
      <c r="M73" s="1045">
        <v>4800.0</v>
      </c>
      <c r="N73" s="689"/>
      <c r="O73" s="80">
        <f t="shared" ref="O73:O80" si="20">K73+L73-M73-N73</f>
        <v>215200</v>
      </c>
      <c r="P73" s="1012" t="s">
        <v>449</v>
      </c>
      <c r="Q73" s="1012" t="s">
        <v>31</v>
      </c>
      <c r="R73" s="805"/>
      <c r="S73" s="1013"/>
      <c r="T73" s="692" t="s">
        <v>33</v>
      </c>
      <c r="U73" s="693"/>
      <c r="V73" s="693"/>
      <c r="W73" s="694" t="s">
        <v>53</v>
      </c>
      <c r="X73" s="687"/>
      <c r="Y73" s="106"/>
      <c r="Z73" s="427"/>
      <c r="AA73" s="106"/>
      <c r="AB73" s="106"/>
      <c r="AC73" s="106"/>
      <c r="AD73" s="106"/>
    </row>
    <row r="74" ht="28.5" customHeight="1">
      <c r="A74" s="694">
        <v>52.0</v>
      </c>
      <c r="B74" s="1032">
        <v>45113.0</v>
      </c>
      <c r="C74" s="377">
        <v>2241.0</v>
      </c>
      <c r="D74" s="1046" t="s">
        <v>50</v>
      </c>
      <c r="E74" s="1047" t="s">
        <v>1621</v>
      </c>
      <c r="F74" s="1046" t="s">
        <v>156</v>
      </c>
      <c r="G74" s="63" t="s">
        <v>30</v>
      </c>
      <c r="H74" s="64">
        <v>1.0</v>
      </c>
      <c r="I74" s="1036">
        <v>220000.0</v>
      </c>
      <c r="J74" s="685">
        <f t="shared" si="9"/>
        <v>220000</v>
      </c>
      <c r="K74" s="686">
        <f t="shared" si="19"/>
        <v>220000</v>
      </c>
      <c r="L74" s="805"/>
      <c r="M74" s="1016">
        <v>7107.0</v>
      </c>
      <c r="N74" s="689"/>
      <c r="O74" s="80">
        <f t="shared" si="20"/>
        <v>212893</v>
      </c>
      <c r="P74" s="1012" t="s">
        <v>449</v>
      </c>
      <c r="Q74" s="1012" t="s">
        <v>31</v>
      </c>
      <c r="R74" s="805"/>
      <c r="S74" s="1013"/>
      <c r="T74" s="692" t="s">
        <v>33</v>
      </c>
      <c r="U74" s="693"/>
      <c r="V74" s="693"/>
      <c r="W74" s="694" t="s">
        <v>53</v>
      </c>
      <c r="X74" s="687"/>
      <c r="Y74" s="106"/>
      <c r="Z74" s="427"/>
      <c r="AA74" s="106"/>
      <c r="AB74" s="106"/>
      <c r="AC74" s="106"/>
      <c r="AD74" s="106"/>
    </row>
    <row r="75" ht="28.5" customHeight="1">
      <c r="A75" s="694">
        <v>53.0</v>
      </c>
      <c r="B75" s="1032">
        <v>45113.0</v>
      </c>
      <c r="C75" s="377">
        <v>2944.0</v>
      </c>
      <c r="D75" s="1046" t="s">
        <v>50</v>
      </c>
      <c r="E75" s="1047" t="s">
        <v>1622</v>
      </c>
      <c r="F75" s="1046" t="s">
        <v>104</v>
      </c>
      <c r="G75" s="63" t="s">
        <v>30</v>
      </c>
      <c r="H75" s="64">
        <v>1.0</v>
      </c>
      <c r="I75" s="1036">
        <v>220000.0</v>
      </c>
      <c r="J75" s="685">
        <f t="shared" si="9"/>
        <v>220000</v>
      </c>
      <c r="K75" s="686">
        <f t="shared" si="19"/>
        <v>220000</v>
      </c>
      <c r="L75" s="805"/>
      <c r="M75" s="1016">
        <v>4800.0</v>
      </c>
      <c r="N75" s="689"/>
      <c r="O75" s="80">
        <f t="shared" si="20"/>
        <v>215200</v>
      </c>
      <c r="P75" s="1012" t="s">
        <v>449</v>
      </c>
      <c r="Q75" s="1012" t="s">
        <v>31</v>
      </c>
      <c r="R75" s="805"/>
      <c r="S75" s="1013"/>
      <c r="T75" s="692" t="s">
        <v>33</v>
      </c>
      <c r="U75" s="693"/>
      <c r="V75" s="693"/>
      <c r="W75" s="694" t="s">
        <v>53</v>
      </c>
      <c r="X75" s="687"/>
      <c r="Y75" s="106"/>
      <c r="Z75" s="427"/>
      <c r="AA75" s="106"/>
      <c r="AB75" s="106"/>
      <c r="AC75" s="106"/>
      <c r="AD75" s="106"/>
    </row>
    <row r="76" ht="28.5" customHeight="1">
      <c r="A76" s="694">
        <v>54.0</v>
      </c>
      <c r="B76" s="1032">
        <v>45113.0</v>
      </c>
      <c r="C76" s="377">
        <v>3047.0</v>
      </c>
      <c r="D76" s="1046" t="s">
        <v>50</v>
      </c>
      <c r="E76" s="1047" t="s">
        <v>1623</v>
      </c>
      <c r="F76" s="1046" t="s">
        <v>65</v>
      </c>
      <c r="G76" s="63" t="s">
        <v>30</v>
      </c>
      <c r="H76" s="64">
        <v>1.0</v>
      </c>
      <c r="I76" s="1036">
        <v>220000.0</v>
      </c>
      <c r="J76" s="685">
        <f t="shared" si="9"/>
        <v>220000</v>
      </c>
      <c r="K76" s="686">
        <f t="shared" si="19"/>
        <v>220000</v>
      </c>
      <c r="L76" s="805"/>
      <c r="M76" s="688">
        <f>K76*3%</f>
        <v>6600</v>
      </c>
      <c r="N76" s="689"/>
      <c r="O76" s="80">
        <f t="shared" si="20"/>
        <v>213400</v>
      </c>
      <c r="P76" s="1012" t="s">
        <v>449</v>
      </c>
      <c r="Q76" s="1012" t="s">
        <v>31</v>
      </c>
      <c r="R76" s="805"/>
      <c r="S76" s="1013"/>
      <c r="T76" s="692" t="s">
        <v>33</v>
      </c>
      <c r="U76" s="693"/>
      <c r="V76" s="693"/>
      <c r="W76" s="694" t="s">
        <v>53</v>
      </c>
      <c r="X76" s="687"/>
      <c r="Y76" s="106"/>
      <c r="Z76" s="427"/>
      <c r="AA76" s="106"/>
      <c r="AB76" s="106"/>
      <c r="AC76" s="106"/>
      <c r="AD76" s="106"/>
    </row>
    <row r="77" ht="28.5" customHeight="1">
      <c r="A77" s="694">
        <v>55.0</v>
      </c>
      <c r="B77" s="1032">
        <v>45113.0</v>
      </c>
      <c r="C77" s="377">
        <v>3549.0</v>
      </c>
      <c r="D77" s="1046" t="s">
        <v>50</v>
      </c>
      <c r="E77" s="1047" t="s">
        <v>673</v>
      </c>
      <c r="F77" s="1046" t="s">
        <v>119</v>
      </c>
      <c r="G77" s="63" t="s">
        <v>30</v>
      </c>
      <c r="H77" s="64">
        <v>1.0</v>
      </c>
      <c r="I77" s="1036">
        <v>220000.0</v>
      </c>
      <c r="J77" s="685">
        <f t="shared" si="9"/>
        <v>220000</v>
      </c>
      <c r="K77" s="686">
        <f t="shared" si="19"/>
        <v>220000</v>
      </c>
      <c r="L77" s="805"/>
      <c r="M77" s="1016">
        <v>7257.0</v>
      </c>
      <c r="N77" s="689"/>
      <c r="O77" s="80">
        <f t="shared" si="20"/>
        <v>212743</v>
      </c>
      <c r="P77" s="1012" t="s">
        <v>449</v>
      </c>
      <c r="Q77" s="1012" t="s">
        <v>31</v>
      </c>
      <c r="R77" s="805"/>
      <c r="S77" s="1013"/>
      <c r="T77" s="692" t="s">
        <v>33</v>
      </c>
      <c r="U77" s="693"/>
      <c r="V77" s="693"/>
      <c r="W77" s="694" t="s">
        <v>53</v>
      </c>
      <c r="X77" s="687"/>
      <c r="Y77" s="106"/>
      <c r="Z77" s="427"/>
      <c r="AA77" s="106"/>
      <c r="AB77" s="106"/>
      <c r="AC77" s="106"/>
      <c r="AD77" s="106"/>
    </row>
    <row r="78" ht="28.5" customHeight="1">
      <c r="A78" s="694">
        <v>56.0</v>
      </c>
      <c r="B78" s="1032">
        <v>45113.0</v>
      </c>
      <c r="C78" s="377">
        <v>5748.0</v>
      </c>
      <c r="D78" s="1046" t="s">
        <v>50</v>
      </c>
      <c r="E78" s="1014" t="s">
        <v>906</v>
      </c>
      <c r="F78" s="1048" t="s">
        <v>70</v>
      </c>
      <c r="G78" s="63" t="s">
        <v>30</v>
      </c>
      <c r="H78" s="64">
        <v>1.0</v>
      </c>
      <c r="I78" s="1036">
        <v>220000.0</v>
      </c>
      <c r="J78" s="685">
        <f t="shared" si="9"/>
        <v>220000</v>
      </c>
      <c r="K78" s="686">
        <f t="shared" si="19"/>
        <v>220000</v>
      </c>
      <c r="L78" s="693"/>
      <c r="M78" s="688">
        <f t="shared" ref="M78:M80" si="21">K78*3%</f>
        <v>6600</v>
      </c>
      <c r="N78" s="1049"/>
      <c r="O78" s="80">
        <f t="shared" si="20"/>
        <v>213400</v>
      </c>
      <c r="P78" s="1012" t="s">
        <v>449</v>
      </c>
      <c r="Q78" s="1012" t="s">
        <v>31</v>
      </c>
      <c r="R78" s="805"/>
      <c r="S78" s="1013"/>
      <c r="T78" s="692" t="s">
        <v>33</v>
      </c>
      <c r="U78" s="693"/>
      <c r="V78" s="693"/>
      <c r="W78" s="694" t="s">
        <v>53</v>
      </c>
      <c r="X78" s="687"/>
      <c r="Y78" s="106"/>
      <c r="Z78" s="427"/>
      <c r="AA78" s="106"/>
      <c r="AB78" s="106"/>
      <c r="AC78" s="106"/>
      <c r="AD78" s="106"/>
    </row>
    <row r="79" ht="28.5" customHeight="1">
      <c r="A79" s="694">
        <v>57.0</v>
      </c>
      <c r="B79" s="1032">
        <v>45113.0</v>
      </c>
      <c r="C79" s="694">
        <v>6240.0</v>
      </c>
      <c r="D79" s="1046" t="s">
        <v>50</v>
      </c>
      <c r="E79" s="1050" t="s">
        <v>1624</v>
      </c>
      <c r="F79" s="1051" t="s">
        <v>70</v>
      </c>
      <c r="G79" s="63" t="s">
        <v>30</v>
      </c>
      <c r="H79" s="64">
        <v>2.0</v>
      </c>
      <c r="I79" s="1036">
        <v>220000.0</v>
      </c>
      <c r="J79" s="685">
        <f t="shared" si="9"/>
        <v>440000</v>
      </c>
      <c r="K79" s="686">
        <f t="shared" si="19"/>
        <v>440000</v>
      </c>
      <c r="L79" s="693"/>
      <c r="M79" s="688">
        <f t="shared" si="21"/>
        <v>13200</v>
      </c>
      <c r="N79" s="1049"/>
      <c r="O79" s="80">
        <f t="shared" si="20"/>
        <v>426800</v>
      </c>
      <c r="P79" s="1012" t="s">
        <v>449</v>
      </c>
      <c r="Q79" s="1012" t="s">
        <v>31</v>
      </c>
      <c r="R79" s="805"/>
      <c r="S79" s="1013"/>
      <c r="T79" s="692" t="s">
        <v>33</v>
      </c>
      <c r="U79" s="693"/>
      <c r="V79" s="693"/>
      <c r="W79" s="694" t="s">
        <v>53</v>
      </c>
      <c r="X79" s="687"/>
      <c r="Y79" s="106"/>
      <c r="Z79" s="427"/>
      <c r="AA79" s="106"/>
      <c r="AB79" s="106"/>
      <c r="AC79" s="106"/>
      <c r="AD79" s="106"/>
    </row>
    <row r="80" ht="28.5" customHeight="1">
      <c r="A80" s="694">
        <v>58.0</v>
      </c>
      <c r="B80" s="1032">
        <v>45113.0</v>
      </c>
      <c r="C80" s="694">
        <v>1759.0</v>
      </c>
      <c r="D80" s="1046" t="s">
        <v>50</v>
      </c>
      <c r="E80" s="1018" t="s">
        <v>184</v>
      </c>
      <c r="F80" s="693" t="s">
        <v>185</v>
      </c>
      <c r="G80" s="63" t="s">
        <v>30</v>
      </c>
      <c r="H80" s="64">
        <v>1.0</v>
      </c>
      <c r="I80" s="1036">
        <v>220000.0</v>
      </c>
      <c r="J80" s="685">
        <f t="shared" si="9"/>
        <v>220000</v>
      </c>
      <c r="K80" s="686">
        <f t="shared" si="19"/>
        <v>220000</v>
      </c>
      <c r="L80" s="693"/>
      <c r="M80" s="688">
        <f t="shared" si="21"/>
        <v>6600</v>
      </c>
      <c r="N80" s="1049"/>
      <c r="O80" s="80">
        <f t="shared" si="20"/>
        <v>213400</v>
      </c>
      <c r="P80" s="1012" t="s">
        <v>449</v>
      </c>
      <c r="Q80" s="1012" t="s">
        <v>31</v>
      </c>
      <c r="R80" s="805"/>
      <c r="S80" s="1013"/>
      <c r="T80" s="692" t="s">
        <v>33</v>
      </c>
      <c r="U80" s="693"/>
      <c r="V80" s="693"/>
      <c r="W80" s="694" t="s">
        <v>53</v>
      </c>
      <c r="X80" s="687"/>
      <c r="Y80" s="106"/>
      <c r="Z80" s="427"/>
      <c r="AA80" s="106"/>
      <c r="AB80" s="106"/>
      <c r="AC80" s="106"/>
      <c r="AD80" s="106"/>
    </row>
    <row r="81" ht="28.5" customHeight="1">
      <c r="A81" s="942">
        <v>59.0</v>
      </c>
      <c r="B81" s="1022">
        <v>45113.0</v>
      </c>
      <c r="C81" s="942">
        <v>1.712390899269E12</v>
      </c>
      <c r="D81" s="1038" t="s">
        <v>1625</v>
      </c>
      <c r="E81" s="944" t="s">
        <v>1626</v>
      </c>
      <c r="F81" s="769" t="s">
        <v>1627</v>
      </c>
      <c r="G81" s="63" t="s">
        <v>30</v>
      </c>
      <c r="H81" s="64">
        <v>1.0</v>
      </c>
      <c r="I81" s="1036">
        <v>220000.0</v>
      </c>
      <c r="J81" s="685">
        <f t="shared" si="9"/>
        <v>220000</v>
      </c>
      <c r="K81" s="1041">
        <f>sum(J81:J82)</f>
        <v>440000</v>
      </c>
      <c r="L81" s="1028">
        <v>38999.0</v>
      </c>
      <c r="M81" s="1052"/>
      <c r="N81" s="1042">
        <v>8999.0</v>
      </c>
      <c r="O81" s="53">
        <f>K81+L81-N81</f>
        <v>470000</v>
      </c>
      <c r="P81" s="1027" t="s">
        <v>449</v>
      </c>
      <c r="Q81" s="1027" t="s">
        <v>31</v>
      </c>
      <c r="R81" s="1008"/>
      <c r="S81" s="1053"/>
      <c r="T81" s="1030" t="s">
        <v>33</v>
      </c>
      <c r="U81" s="1031"/>
      <c r="V81" s="1031"/>
      <c r="W81" s="1031"/>
      <c r="X81" s="974"/>
      <c r="Y81" s="106"/>
      <c r="Z81" s="427"/>
      <c r="AA81" s="106"/>
      <c r="AB81" s="106"/>
      <c r="AC81" s="106"/>
      <c r="AD81" s="106"/>
    </row>
    <row r="82" ht="28.5" customHeight="1">
      <c r="A82" s="67"/>
      <c r="B82" s="67"/>
      <c r="C82" s="67"/>
      <c r="D82" s="67"/>
      <c r="E82" s="67"/>
      <c r="F82" s="102"/>
      <c r="G82" s="63" t="s">
        <v>122</v>
      </c>
      <c r="H82" s="64">
        <v>1.0</v>
      </c>
      <c r="I82" s="1036">
        <v>220000.0</v>
      </c>
      <c r="J82" s="685">
        <f t="shared" si="9"/>
        <v>220000</v>
      </c>
      <c r="K82" s="67"/>
      <c r="L82" s="67"/>
      <c r="M82" s="67"/>
      <c r="N82" s="67"/>
      <c r="O82" s="67"/>
      <c r="P82" s="67"/>
      <c r="Q82" s="67"/>
      <c r="R82" s="67"/>
      <c r="S82" s="67"/>
      <c r="T82" s="67"/>
      <c r="U82" s="67"/>
      <c r="V82" s="67"/>
      <c r="W82" s="67"/>
      <c r="X82" s="67"/>
      <c r="Y82" s="106"/>
      <c r="Z82" s="427"/>
      <c r="AA82" s="106"/>
      <c r="AB82" s="106"/>
      <c r="AC82" s="106"/>
      <c r="AD82" s="106"/>
    </row>
    <row r="83" ht="28.5" customHeight="1">
      <c r="A83" s="694">
        <v>60.0</v>
      </c>
      <c r="B83" s="1032">
        <v>45113.0</v>
      </c>
      <c r="C83" s="694">
        <v>1.713032072947E12</v>
      </c>
      <c r="D83" s="429" t="s">
        <v>1628</v>
      </c>
      <c r="E83" s="684" t="s">
        <v>1629</v>
      </c>
      <c r="F83" s="429" t="s">
        <v>1630</v>
      </c>
      <c r="G83" s="63" t="s">
        <v>30</v>
      </c>
      <c r="H83" s="64">
        <v>2.0</v>
      </c>
      <c r="I83" s="1036">
        <v>220000.0</v>
      </c>
      <c r="J83" s="685">
        <f t="shared" si="9"/>
        <v>440000</v>
      </c>
      <c r="K83" s="686">
        <f>SUM(J83)</f>
        <v>440000</v>
      </c>
      <c r="L83" s="806">
        <v>46000.0</v>
      </c>
      <c r="M83" s="1054"/>
      <c r="N83" s="1011">
        <v>16000.0</v>
      </c>
      <c r="O83" s="80">
        <f t="shared" ref="O83:O84" si="22">K83+L83-N83</f>
        <v>470000</v>
      </c>
      <c r="P83" s="1012" t="s">
        <v>449</v>
      </c>
      <c r="Q83" s="1012" t="s">
        <v>31</v>
      </c>
      <c r="R83" s="805"/>
      <c r="S83" s="1013"/>
      <c r="T83" s="692" t="s">
        <v>33</v>
      </c>
      <c r="U83" s="693"/>
      <c r="V83" s="693"/>
      <c r="W83" s="693"/>
      <c r="X83" s="687"/>
      <c r="Y83" s="106"/>
      <c r="Z83" s="427"/>
      <c r="AA83" s="106"/>
      <c r="AB83" s="106"/>
      <c r="AC83" s="106"/>
      <c r="AD83" s="106"/>
    </row>
    <row r="84" ht="28.5" customHeight="1">
      <c r="A84" s="942">
        <v>61.0</v>
      </c>
      <c r="B84" s="1022">
        <v>45114.0</v>
      </c>
      <c r="C84" s="942">
        <v>1.697653013266E12</v>
      </c>
      <c r="D84" s="1038" t="s">
        <v>114</v>
      </c>
      <c r="E84" s="944" t="s">
        <v>1631</v>
      </c>
      <c r="F84" s="451" t="s">
        <v>1632</v>
      </c>
      <c r="G84" s="63" t="s">
        <v>75</v>
      </c>
      <c r="H84" s="64">
        <v>1.0</v>
      </c>
      <c r="I84" s="1036">
        <v>45000.0</v>
      </c>
      <c r="J84" s="685">
        <f t="shared" si="9"/>
        <v>45000</v>
      </c>
      <c r="K84" s="1041">
        <f>SUM(J84:J86)</f>
        <v>135000</v>
      </c>
      <c r="L84" s="1031"/>
      <c r="M84" s="1052"/>
      <c r="N84" s="1055"/>
      <c r="O84" s="53">
        <f t="shared" si="22"/>
        <v>135000</v>
      </c>
      <c r="P84" s="1027" t="s">
        <v>449</v>
      </c>
      <c r="Q84" s="1027" t="s">
        <v>31</v>
      </c>
      <c r="R84" s="1008"/>
      <c r="S84" s="1053"/>
      <c r="T84" s="1030" t="s">
        <v>33</v>
      </c>
      <c r="U84" s="1031"/>
      <c r="V84" s="1031"/>
      <c r="W84" s="942" t="s">
        <v>1633</v>
      </c>
      <c r="X84" s="974"/>
      <c r="Y84" s="106"/>
      <c r="Z84" s="427"/>
      <c r="AA84" s="106"/>
      <c r="AB84" s="106"/>
      <c r="AC84" s="106"/>
      <c r="AD84" s="106"/>
    </row>
    <row r="85" ht="28.5" customHeight="1">
      <c r="A85" s="62"/>
      <c r="B85" s="62"/>
      <c r="C85" s="62"/>
      <c r="D85" s="62"/>
      <c r="E85" s="62"/>
      <c r="F85" s="423"/>
      <c r="G85" s="63" t="s">
        <v>457</v>
      </c>
      <c r="H85" s="64">
        <v>1.0</v>
      </c>
      <c r="I85" s="1036">
        <v>45000.0</v>
      </c>
      <c r="J85" s="685">
        <f t="shared" si="9"/>
        <v>45000</v>
      </c>
      <c r="K85" s="62"/>
      <c r="L85" s="62"/>
      <c r="M85" s="62"/>
      <c r="N85" s="62"/>
      <c r="O85" s="62"/>
      <c r="P85" s="62"/>
      <c r="Q85" s="62"/>
      <c r="R85" s="62"/>
      <c r="S85" s="62"/>
      <c r="T85" s="62"/>
      <c r="U85" s="62"/>
      <c r="V85" s="62"/>
      <c r="W85" s="62"/>
      <c r="X85" s="62"/>
      <c r="Y85" s="106"/>
      <c r="Z85" s="427"/>
      <c r="AA85" s="106"/>
      <c r="AB85" s="106"/>
      <c r="AC85" s="106"/>
      <c r="AD85" s="106"/>
    </row>
    <row r="86" ht="28.5" customHeight="1">
      <c r="A86" s="67"/>
      <c r="B86" s="67"/>
      <c r="C86" s="67"/>
      <c r="D86" s="67"/>
      <c r="E86" s="67"/>
      <c r="F86" s="102"/>
      <c r="G86" s="63" t="s">
        <v>456</v>
      </c>
      <c r="H86" s="64">
        <v>1.0</v>
      </c>
      <c r="I86" s="1036">
        <v>45000.0</v>
      </c>
      <c r="J86" s="685">
        <f t="shared" si="9"/>
        <v>45000</v>
      </c>
      <c r="K86" s="67"/>
      <c r="L86" s="67"/>
      <c r="M86" s="67"/>
      <c r="N86" s="67"/>
      <c r="O86" s="67"/>
      <c r="P86" s="67"/>
      <c r="Q86" s="67"/>
      <c r="R86" s="67"/>
      <c r="S86" s="67"/>
      <c r="T86" s="67"/>
      <c r="U86" s="67"/>
      <c r="V86" s="67"/>
      <c r="W86" s="67"/>
      <c r="X86" s="67"/>
      <c r="Y86" s="106"/>
      <c r="Z86" s="427"/>
      <c r="AA86" s="106"/>
      <c r="AB86" s="106"/>
      <c r="AC86" s="106"/>
      <c r="AD86" s="106"/>
    </row>
    <row r="87" ht="36.0" customHeight="1">
      <c r="A87" s="694">
        <v>62.0</v>
      </c>
      <c r="B87" s="1032">
        <v>45114.0</v>
      </c>
      <c r="C87" s="694">
        <v>1.697551009938E12</v>
      </c>
      <c r="D87" s="429" t="s">
        <v>1634</v>
      </c>
      <c r="E87" s="684" t="s">
        <v>1635</v>
      </c>
      <c r="F87" s="1005" t="s">
        <v>1636</v>
      </c>
      <c r="G87" s="63" t="s">
        <v>30</v>
      </c>
      <c r="H87" s="64">
        <v>1.0</v>
      </c>
      <c r="I87" s="1036">
        <v>220000.0</v>
      </c>
      <c r="J87" s="685">
        <f t="shared" si="9"/>
        <v>220000</v>
      </c>
      <c r="K87" s="686">
        <f t="shared" ref="K87:K103" si="23">SUM(J87)</f>
        <v>220000</v>
      </c>
      <c r="L87" s="806">
        <v>40000.0</v>
      </c>
      <c r="M87" s="1054"/>
      <c r="N87" s="1011">
        <v>20000.0</v>
      </c>
      <c r="O87" s="80">
        <f t="shared" ref="O87:O88" si="24">K87+L87-N87</f>
        <v>240000</v>
      </c>
      <c r="P87" s="1012" t="s">
        <v>449</v>
      </c>
      <c r="Q87" s="1012" t="s">
        <v>31</v>
      </c>
      <c r="R87" s="805"/>
      <c r="S87" s="1013"/>
      <c r="T87" s="692" t="s">
        <v>33</v>
      </c>
      <c r="U87" s="693"/>
      <c r="V87" s="693"/>
      <c r="W87" s="694" t="s">
        <v>1637</v>
      </c>
      <c r="X87" s="687"/>
      <c r="Y87" s="106"/>
      <c r="Z87" s="427"/>
      <c r="AA87" s="106"/>
      <c r="AB87" s="106"/>
      <c r="AC87" s="106"/>
      <c r="AD87" s="106"/>
    </row>
    <row r="88" ht="36.0" customHeight="1">
      <c r="A88" s="694">
        <v>63.0</v>
      </c>
      <c r="B88" s="1032">
        <v>45114.0</v>
      </c>
      <c r="C88" s="377">
        <v>1.697725340885E12</v>
      </c>
      <c r="D88" s="429" t="s">
        <v>110</v>
      </c>
      <c r="E88" s="684" t="s">
        <v>1638</v>
      </c>
      <c r="F88" s="133" t="s">
        <v>1639</v>
      </c>
      <c r="G88" s="63" t="s">
        <v>30</v>
      </c>
      <c r="H88" s="64">
        <v>1.0</v>
      </c>
      <c r="I88" s="1036">
        <v>220000.0</v>
      </c>
      <c r="J88" s="685">
        <f t="shared" si="9"/>
        <v>220000</v>
      </c>
      <c r="K88" s="686">
        <f t="shared" si="23"/>
        <v>220000</v>
      </c>
      <c r="L88" s="806">
        <v>40000.0</v>
      </c>
      <c r="M88" s="1054"/>
      <c r="N88" s="1011">
        <v>20000.0</v>
      </c>
      <c r="O88" s="80">
        <f t="shared" si="24"/>
        <v>240000</v>
      </c>
      <c r="P88" s="1012" t="s">
        <v>449</v>
      </c>
      <c r="Q88" s="1012" t="s">
        <v>31</v>
      </c>
      <c r="R88" s="805"/>
      <c r="S88" s="1013"/>
      <c r="T88" s="692" t="s">
        <v>33</v>
      </c>
      <c r="U88" s="693"/>
      <c r="V88" s="693"/>
      <c r="W88" s="687"/>
      <c r="X88" s="687"/>
      <c r="Y88" s="106"/>
      <c r="Z88" s="427"/>
      <c r="AA88" s="106"/>
      <c r="AB88" s="106"/>
      <c r="AC88" s="106"/>
      <c r="AD88" s="106"/>
    </row>
    <row r="89" ht="28.5" customHeight="1">
      <c r="A89" s="694">
        <v>64.0</v>
      </c>
      <c r="B89" s="1032">
        <v>45114.0</v>
      </c>
      <c r="C89" s="377">
        <v>2659.0</v>
      </c>
      <c r="D89" s="429" t="s">
        <v>50</v>
      </c>
      <c r="E89" s="684" t="s">
        <v>1640</v>
      </c>
      <c r="F89" s="429" t="s">
        <v>70</v>
      </c>
      <c r="G89" s="63" t="s">
        <v>30</v>
      </c>
      <c r="H89" s="64">
        <v>1.0</v>
      </c>
      <c r="I89" s="1036">
        <v>220000.0</v>
      </c>
      <c r="J89" s="685">
        <f t="shared" si="9"/>
        <v>220000</v>
      </c>
      <c r="K89" s="686">
        <f t="shared" si="23"/>
        <v>220000</v>
      </c>
      <c r="L89" s="693"/>
      <c r="M89" s="1016">
        <v>7857.0</v>
      </c>
      <c r="N89" s="689"/>
      <c r="O89" s="80">
        <f>K89+L89-M89-N89</f>
        <v>212143</v>
      </c>
      <c r="P89" s="1012" t="s">
        <v>449</v>
      </c>
      <c r="Q89" s="1012" t="s">
        <v>31</v>
      </c>
      <c r="R89" s="805"/>
      <c r="S89" s="1013"/>
      <c r="T89" s="692" t="s">
        <v>33</v>
      </c>
      <c r="U89" s="693"/>
      <c r="V89" s="693"/>
      <c r="W89" s="694" t="s">
        <v>53</v>
      </c>
      <c r="X89" s="687"/>
      <c r="Y89" s="106"/>
      <c r="Z89" s="427"/>
      <c r="AA89" s="106"/>
      <c r="AB89" s="106"/>
      <c r="AC89" s="106"/>
      <c r="AD89" s="106"/>
    </row>
    <row r="90" ht="28.5" customHeight="1">
      <c r="A90" s="694">
        <v>65.0</v>
      </c>
      <c r="B90" s="1032">
        <v>45114.0</v>
      </c>
      <c r="C90" s="377">
        <v>9748.0</v>
      </c>
      <c r="D90" s="429" t="s">
        <v>50</v>
      </c>
      <c r="E90" s="684" t="s">
        <v>1641</v>
      </c>
      <c r="F90" s="429" t="s">
        <v>841</v>
      </c>
      <c r="G90" s="63" t="s">
        <v>30</v>
      </c>
      <c r="H90" s="64">
        <v>1.0</v>
      </c>
      <c r="I90" s="1036">
        <v>220000.0</v>
      </c>
      <c r="J90" s="685">
        <f t="shared" si="9"/>
        <v>220000</v>
      </c>
      <c r="K90" s="686">
        <f t="shared" si="23"/>
        <v>220000</v>
      </c>
      <c r="L90" s="693"/>
      <c r="M90" s="1016">
        <v>6717.0</v>
      </c>
      <c r="N90" s="689"/>
      <c r="O90" s="80">
        <f>K90+L90-$M$90-N90</f>
        <v>213283</v>
      </c>
      <c r="P90" s="1012" t="s">
        <v>449</v>
      </c>
      <c r="Q90" s="1012" t="s">
        <v>31</v>
      </c>
      <c r="R90" s="805"/>
      <c r="S90" s="1013"/>
      <c r="T90" s="692" t="s">
        <v>33</v>
      </c>
      <c r="U90" s="693"/>
      <c r="V90" s="693"/>
      <c r="W90" s="694" t="s">
        <v>53</v>
      </c>
      <c r="X90" s="687"/>
      <c r="Y90" s="106"/>
      <c r="Z90" s="427"/>
      <c r="AA90" s="106"/>
      <c r="AB90" s="106"/>
      <c r="AC90" s="106"/>
      <c r="AD90" s="106"/>
    </row>
    <row r="91" ht="28.5" customHeight="1">
      <c r="A91" s="694">
        <v>66.0</v>
      </c>
      <c r="B91" s="1032">
        <v>45114.0</v>
      </c>
      <c r="C91" s="377">
        <v>1.711152828044E12</v>
      </c>
      <c r="D91" s="429" t="s">
        <v>1642</v>
      </c>
      <c r="E91" s="684" t="s">
        <v>1643</v>
      </c>
      <c r="F91" s="429" t="s">
        <v>1644</v>
      </c>
      <c r="G91" s="63" t="s">
        <v>30</v>
      </c>
      <c r="H91" s="64">
        <v>10.0</v>
      </c>
      <c r="I91" s="1036">
        <v>220000.0</v>
      </c>
      <c r="J91" s="685">
        <f>I91*$H$91</f>
        <v>2200000</v>
      </c>
      <c r="K91" s="686">
        <f t="shared" si="23"/>
        <v>2200000</v>
      </c>
      <c r="L91" s="693"/>
      <c r="M91" s="1054"/>
      <c r="N91" s="689"/>
      <c r="O91" s="80">
        <f t="shared" ref="O91:O92" si="25">K91+L91-N91</f>
        <v>2200000</v>
      </c>
      <c r="P91" s="1012" t="s">
        <v>449</v>
      </c>
      <c r="Q91" s="1012" t="s">
        <v>31</v>
      </c>
      <c r="R91" s="806">
        <v>84999.0</v>
      </c>
      <c r="S91" s="1017" t="s">
        <v>32</v>
      </c>
      <c r="T91" s="692" t="s">
        <v>33</v>
      </c>
      <c r="U91" s="693"/>
      <c r="V91" s="693"/>
      <c r="W91" s="687"/>
      <c r="X91" s="687"/>
      <c r="Y91" s="106"/>
      <c r="Z91" s="427"/>
      <c r="AA91" s="106"/>
      <c r="AB91" s="106"/>
      <c r="AC91" s="106"/>
      <c r="AD91" s="106"/>
    </row>
    <row r="92" ht="28.5" customHeight="1">
      <c r="A92" s="694">
        <v>67.0</v>
      </c>
      <c r="B92" s="1032">
        <v>45114.0</v>
      </c>
      <c r="C92" s="1056"/>
      <c r="D92" s="429" t="s">
        <v>1312</v>
      </c>
      <c r="E92" s="684" t="s">
        <v>1313</v>
      </c>
      <c r="F92" s="429" t="s">
        <v>1314</v>
      </c>
      <c r="G92" s="63" t="s">
        <v>30</v>
      </c>
      <c r="H92" s="64">
        <v>3.0</v>
      </c>
      <c r="I92" s="1036">
        <v>220000.0</v>
      </c>
      <c r="J92" s="685">
        <f t="shared" ref="J92:J178" si="26">I92*H92</f>
        <v>660000</v>
      </c>
      <c r="K92" s="686">
        <f t="shared" si="23"/>
        <v>660000</v>
      </c>
      <c r="L92" s="693"/>
      <c r="M92" s="1054"/>
      <c r="N92" s="689"/>
      <c r="O92" s="80">
        <f t="shared" si="25"/>
        <v>660000</v>
      </c>
      <c r="P92" s="1012" t="s">
        <v>449</v>
      </c>
      <c r="Q92" s="1012" t="s">
        <v>31</v>
      </c>
      <c r="R92" s="805"/>
      <c r="S92" s="1013"/>
      <c r="T92" s="692" t="s">
        <v>33</v>
      </c>
      <c r="U92" s="693"/>
      <c r="V92" s="693"/>
      <c r="W92" s="694" t="s">
        <v>1606</v>
      </c>
      <c r="X92" s="687"/>
      <c r="Y92" s="106"/>
      <c r="Z92" s="427"/>
      <c r="AA92" s="106"/>
      <c r="AB92" s="106"/>
      <c r="AC92" s="106"/>
      <c r="AD92" s="106"/>
    </row>
    <row r="93" ht="28.5" customHeight="1">
      <c r="A93" s="694">
        <v>68.0</v>
      </c>
      <c r="B93" s="1032">
        <v>45115.0</v>
      </c>
      <c r="C93" s="377">
        <v>6257.0</v>
      </c>
      <c r="D93" s="429" t="s">
        <v>50</v>
      </c>
      <c r="E93" s="1018" t="s">
        <v>1645</v>
      </c>
      <c r="F93" s="1043" t="s">
        <v>74</v>
      </c>
      <c r="G93" s="63" t="s">
        <v>30</v>
      </c>
      <c r="H93" s="64">
        <v>1.0</v>
      </c>
      <c r="I93" s="1036">
        <v>220000.0</v>
      </c>
      <c r="J93" s="685">
        <f t="shared" si="26"/>
        <v>220000</v>
      </c>
      <c r="K93" s="686">
        <f t="shared" si="23"/>
        <v>220000</v>
      </c>
      <c r="L93" s="693"/>
      <c r="M93" s="1016">
        <f>K93*3%</f>
        <v>6600</v>
      </c>
      <c r="N93" s="1049"/>
      <c r="O93" s="80">
        <f t="shared" ref="O93:O100" si="27">K93+L93-M93-N93</f>
        <v>213400</v>
      </c>
      <c r="P93" s="1012" t="s">
        <v>449</v>
      </c>
      <c r="Q93" s="1012" t="s">
        <v>31</v>
      </c>
      <c r="R93" s="805"/>
      <c r="S93" s="1013"/>
      <c r="T93" s="692" t="s">
        <v>33</v>
      </c>
      <c r="U93" s="693"/>
      <c r="V93" s="693"/>
      <c r="W93" s="694" t="s">
        <v>53</v>
      </c>
      <c r="X93" s="687"/>
      <c r="Y93" s="106"/>
      <c r="Z93" s="427"/>
      <c r="AA93" s="106"/>
      <c r="AB93" s="106"/>
      <c r="AC93" s="106"/>
      <c r="AD93" s="106"/>
    </row>
    <row r="94" ht="28.5" customHeight="1">
      <c r="A94" s="694">
        <v>69.0</v>
      </c>
      <c r="B94" s="1032">
        <v>45115.0</v>
      </c>
      <c r="C94" s="377">
        <v>1269.0</v>
      </c>
      <c r="D94" s="429" t="s">
        <v>50</v>
      </c>
      <c r="E94" s="1018" t="s">
        <v>1646</v>
      </c>
      <c r="F94" s="1046" t="s">
        <v>84</v>
      </c>
      <c r="G94" s="63" t="s">
        <v>30</v>
      </c>
      <c r="H94" s="64">
        <v>1.0</v>
      </c>
      <c r="I94" s="1036">
        <v>220000.0</v>
      </c>
      <c r="J94" s="685">
        <f t="shared" si="26"/>
        <v>220000</v>
      </c>
      <c r="K94" s="686">
        <f t="shared" si="23"/>
        <v>220000</v>
      </c>
      <c r="L94" s="693"/>
      <c r="M94" s="1016">
        <v>7197.0</v>
      </c>
      <c r="N94" s="1049"/>
      <c r="O94" s="80">
        <f t="shared" si="27"/>
        <v>212803</v>
      </c>
      <c r="P94" s="1012" t="s">
        <v>449</v>
      </c>
      <c r="Q94" s="1012" t="s">
        <v>31</v>
      </c>
      <c r="R94" s="805"/>
      <c r="S94" s="1013"/>
      <c r="T94" s="692" t="s">
        <v>33</v>
      </c>
      <c r="U94" s="693"/>
      <c r="V94" s="693"/>
      <c r="W94" s="694" t="s">
        <v>53</v>
      </c>
      <c r="X94" s="687"/>
      <c r="Y94" s="106"/>
      <c r="Z94" s="427"/>
      <c r="AA94" s="106"/>
      <c r="AB94" s="106"/>
      <c r="AC94" s="106"/>
      <c r="AD94" s="106"/>
    </row>
    <row r="95" ht="28.5" customHeight="1">
      <c r="A95" s="694">
        <v>70.0</v>
      </c>
      <c r="B95" s="1032">
        <v>45115.0</v>
      </c>
      <c r="C95" s="377">
        <v>3065.0</v>
      </c>
      <c r="D95" s="429" t="s">
        <v>50</v>
      </c>
      <c r="E95" s="1018" t="s">
        <v>1647</v>
      </c>
      <c r="F95" s="1046" t="s">
        <v>193</v>
      </c>
      <c r="G95" s="63" t="s">
        <v>30</v>
      </c>
      <c r="H95" s="64">
        <v>2.0</v>
      </c>
      <c r="I95" s="1036">
        <v>220000.0</v>
      </c>
      <c r="J95" s="685">
        <f t="shared" si="26"/>
        <v>440000</v>
      </c>
      <c r="K95" s="686">
        <f t="shared" si="23"/>
        <v>440000</v>
      </c>
      <c r="L95" s="693"/>
      <c r="M95" s="1016">
        <v>12450.0</v>
      </c>
      <c r="N95" s="1049"/>
      <c r="O95" s="80">
        <f t="shared" si="27"/>
        <v>427550</v>
      </c>
      <c r="P95" s="1012" t="s">
        <v>449</v>
      </c>
      <c r="Q95" s="1012" t="s">
        <v>31</v>
      </c>
      <c r="R95" s="805"/>
      <c r="S95" s="1013"/>
      <c r="T95" s="692" t="s">
        <v>33</v>
      </c>
      <c r="U95" s="693"/>
      <c r="V95" s="693"/>
      <c r="W95" s="694" t="s">
        <v>53</v>
      </c>
      <c r="X95" s="687"/>
      <c r="Y95" s="106"/>
      <c r="Z95" s="427"/>
      <c r="AA95" s="106"/>
      <c r="AB95" s="106"/>
      <c r="AC95" s="106"/>
      <c r="AD95" s="106"/>
    </row>
    <row r="96" ht="28.5" customHeight="1">
      <c r="A96" s="694">
        <v>71.0</v>
      </c>
      <c r="B96" s="1032">
        <v>45115.0</v>
      </c>
      <c r="C96" s="377">
        <v>4969.0</v>
      </c>
      <c r="D96" s="429" t="s">
        <v>50</v>
      </c>
      <c r="E96" s="1018" t="s">
        <v>1648</v>
      </c>
      <c r="F96" s="1046" t="s">
        <v>193</v>
      </c>
      <c r="G96" s="63" t="s">
        <v>30</v>
      </c>
      <c r="H96" s="64">
        <v>1.0</v>
      </c>
      <c r="I96" s="1036">
        <v>220000.0</v>
      </c>
      <c r="J96" s="685">
        <f t="shared" si="26"/>
        <v>220000</v>
      </c>
      <c r="K96" s="686">
        <f t="shared" si="23"/>
        <v>220000</v>
      </c>
      <c r="L96" s="693"/>
      <c r="M96" s="1016">
        <v>7257.0</v>
      </c>
      <c r="N96" s="1049"/>
      <c r="O96" s="80">
        <f t="shared" si="27"/>
        <v>212743</v>
      </c>
      <c r="P96" s="1012" t="s">
        <v>449</v>
      </c>
      <c r="Q96" s="1012" t="s">
        <v>31</v>
      </c>
      <c r="R96" s="805"/>
      <c r="S96" s="1013"/>
      <c r="T96" s="692" t="s">
        <v>33</v>
      </c>
      <c r="U96" s="693"/>
      <c r="V96" s="693"/>
      <c r="W96" s="694" t="s">
        <v>53</v>
      </c>
      <c r="X96" s="687"/>
      <c r="Y96" s="106"/>
      <c r="Z96" s="427"/>
      <c r="AA96" s="106"/>
      <c r="AB96" s="106"/>
      <c r="AC96" s="106"/>
      <c r="AD96" s="106"/>
    </row>
    <row r="97" ht="28.5" customHeight="1">
      <c r="A97" s="694">
        <v>72.0</v>
      </c>
      <c r="B97" s="1032">
        <v>45115.0</v>
      </c>
      <c r="C97" s="377">
        <v>5062.0</v>
      </c>
      <c r="D97" s="429" t="s">
        <v>50</v>
      </c>
      <c r="E97" s="1018" t="s">
        <v>1649</v>
      </c>
      <c r="F97" s="1046" t="s">
        <v>193</v>
      </c>
      <c r="G97" s="63" t="s">
        <v>30</v>
      </c>
      <c r="H97" s="64">
        <v>1.0</v>
      </c>
      <c r="I97" s="1036">
        <v>220000.0</v>
      </c>
      <c r="J97" s="685">
        <f t="shared" si="26"/>
        <v>220000</v>
      </c>
      <c r="K97" s="686">
        <f t="shared" si="23"/>
        <v>220000</v>
      </c>
      <c r="L97" s="693"/>
      <c r="M97" s="1016">
        <v>7257.0</v>
      </c>
      <c r="N97" s="1049"/>
      <c r="O97" s="80">
        <f t="shared" si="27"/>
        <v>212743</v>
      </c>
      <c r="P97" s="1012" t="s">
        <v>449</v>
      </c>
      <c r="Q97" s="1012" t="s">
        <v>31</v>
      </c>
      <c r="R97" s="805"/>
      <c r="S97" s="1013"/>
      <c r="T97" s="692" t="s">
        <v>33</v>
      </c>
      <c r="U97" s="693"/>
      <c r="V97" s="693"/>
      <c r="W97" s="694" t="s">
        <v>53</v>
      </c>
      <c r="X97" s="687"/>
      <c r="Y97" s="106"/>
      <c r="Z97" s="427"/>
      <c r="AA97" s="106"/>
      <c r="AB97" s="106"/>
      <c r="AC97" s="106"/>
      <c r="AD97" s="106"/>
    </row>
    <row r="98" ht="28.5" customHeight="1">
      <c r="A98" s="694">
        <v>73.0</v>
      </c>
      <c r="B98" s="1032">
        <v>45115.0</v>
      </c>
      <c r="C98" s="377">
        <v>6764.0</v>
      </c>
      <c r="D98" s="429" t="s">
        <v>50</v>
      </c>
      <c r="E98" s="1018" t="s">
        <v>1650</v>
      </c>
      <c r="F98" s="1046" t="s">
        <v>132</v>
      </c>
      <c r="G98" s="63" t="s">
        <v>30</v>
      </c>
      <c r="H98" s="64">
        <v>1.0</v>
      </c>
      <c r="I98" s="1036">
        <v>220000.0</v>
      </c>
      <c r="J98" s="685">
        <f t="shared" si="26"/>
        <v>220000</v>
      </c>
      <c r="K98" s="686">
        <f t="shared" si="23"/>
        <v>220000</v>
      </c>
      <c r="L98" s="693"/>
      <c r="M98" s="1016">
        <v>7257.0</v>
      </c>
      <c r="N98" s="1049"/>
      <c r="O98" s="80">
        <f t="shared" si="27"/>
        <v>212743</v>
      </c>
      <c r="P98" s="1012" t="s">
        <v>449</v>
      </c>
      <c r="Q98" s="1012" t="s">
        <v>31</v>
      </c>
      <c r="R98" s="805"/>
      <c r="S98" s="1013"/>
      <c r="T98" s="692" t="s">
        <v>33</v>
      </c>
      <c r="U98" s="693"/>
      <c r="V98" s="693"/>
      <c r="W98" s="694" t="s">
        <v>53</v>
      </c>
      <c r="X98" s="687"/>
      <c r="Y98" s="106"/>
      <c r="Z98" s="427"/>
      <c r="AA98" s="106"/>
      <c r="AB98" s="106"/>
      <c r="AC98" s="106"/>
      <c r="AD98" s="106"/>
    </row>
    <row r="99" ht="28.5" customHeight="1">
      <c r="A99" s="694">
        <v>74.0</v>
      </c>
      <c r="B99" s="1032">
        <v>45115.0</v>
      </c>
      <c r="C99" s="377">
        <v>8860.0</v>
      </c>
      <c r="D99" s="429" t="s">
        <v>50</v>
      </c>
      <c r="E99" s="1018" t="s">
        <v>1651</v>
      </c>
      <c r="F99" s="1046" t="s">
        <v>119</v>
      </c>
      <c r="G99" s="63" t="s">
        <v>30</v>
      </c>
      <c r="H99" s="64">
        <v>1.0</v>
      </c>
      <c r="I99" s="1036">
        <v>220000.0</v>
      </c>
      <c r="J99" s="685">
        <f t="shared" si="26"/>
        <v>220000</v>
      </c>
      <c r="K99" s="686">
        <f t="shared" si="23"/>
        <v>220000</v>
      </c>
      <c r="L99" s="693"/>
      <c r="M99" s="1016">
        <v>7257.0</v>
      </c>
      <c r="N99" s="1049"/>
      <c r="O99" s="80">
        <f t="shared" si="27"/>
        <v>212743</v>
      </c>
      <c r="P99" s="1012" t="s">
        <v>449</v>
      </c>
      <c r="Q99" s="1012" t="s">
        <v>31</v>
      </c>
      <c r="R99" s="805"/>
      <c r="S99" s="1013"/>
      <c r="T99" s="692" t="s">
        <v>33</v>
      </c>
      <c r="U99" s="693"/>
      <c r="V99" s="693"/>
      <c r="W99" s="694" t="s">
        <v>53</v>
      </c>
      <c r="X99" s="687"/>
      <c r="Y99" s="106"/>
      <c r="Z99" s="427"/>
      <c r="AA99" s="106"/>
      <c r="AB99" s="106"/>
      <c r="AC99" s="106"/>
      <c r="AD99" s="106"/>
    </row>
    <row r="100" ht="28.5" customHeight="1">
      <c r="A100" s="377">
        <v>75.0</v>
      </c>
      <c r="B100" s="1032">
        <v>45115.0</v>
      </c>
      <c r="C100" s="377">
        <v>3565.0</v>
      </c>
      <c r="D100" s="429" t="s">
        <v>50</v>
      </c>
      <c r="E100" s="1057" t="s">
        <v>1652</v>
      </c>
      <c r="F100" s="429" t="s">
        <v>74</v>
      </c>
      <c r="G100" s="63" t="s">
        <v>30</v>
      </c>
      <c r="H100" s="64">
        <v>2.0</v>
      </c>
      <c r="I100" s="1036">
        <v>220000.0</v>
      </c>
      <c r="J100" s="685">
        <f t="shared" si="26"/>
        <v>440000</v>
      </c>
      <c r="K100" s="686">
        <f t="shared" si="23"/>
        <v>440000</v>
      </c>
      <c r="L100" s="693"/>
      <c r="M100" s="1058">
        <f>K100*3%</f>
        <v>13200</v>
      </c>
      <c r="N100" s="1049"/>
      <c r="O100" s="80">
        <f t="shared" si="27"/>
        <v>426800</v>
      </c>
      <c r="P100" s="1012" t="s">
        <v>449</v>
      </c>
      <c r="Q100" s="1012" t="s">
        <v>31</v>
      </c>
      <c r="R100" s="805"/>
      <c r="S100" s="1013"/>
      <c r="T100" s="692" t="s">
        <v>33</v>
      </c>
      <c r="U100" s="693"/>
      <c r="V100" s="693"/>
      <c r="W100" s="694" t="s">
        <v>53</v>
      </c>
      <c r="X100" s="687"/>
      <c r="Y100" s="106"/>
      <c r="Z100" s="427"/>
      <c r="AA100" s="106"/>
      <c r="AB100" s="106"/>
      <c r="AC100" s="106"/>
      <c r="AD100" s="106"/>
    </row>
    <row r="101" ht="28.5" customHeight="1">
      <c r="A101" s="694">
        <v>76.0</v>
      </c>
      <c r="B101" s="1032">
        <v>45115.0</v>
      </c>
      <c r="C101" s="377">
        <v>4662.0</v>
      </c>
      <c r="D101" s="429" t="s">
        <v>50</v>
      </c>
      <c r="E101" s="1014" t="s">
        <v>1653</v>
      </c>
      <c r="F101" s="1059" t="s">
        <v>119</v>
      </c>
      <c r="G101" s="63" t="s">
        <v>30</v>
      </c>
      <c r="H101" s="64">
        <v>1.0</v>
      </c>
      <c r="I101" s="1036">
        <v>220000.0</v>
      </c>
      <c r="J101" s="685">
        <f t="shared" si="26"/>
        <v>220000</v>
      </c>
      <c r="K101" s="686">
        <f t="shared" si="23"/>
        <v>220000</v>
      </c>
      <c r="L101" s="806"/>
      <c r="M101" s="1016">
        <v>7257.0</v>
      </c>
      <c r="N101" s="1011"/>
      <c r="O101" s="80">
        <f t="shared" ref="O101:O103" si="28">K101+L101-M101</f>
        <v>212743</v>
      </c>
      <c r="P101" s="1012" t="s">
        <v>449</v>
      </c>
      <c r="Q101" s="1012" t="s">
        <v>31</v>
      </c>
      <c r="R101" s="805"/>
      <c r="S101" s="1013"/>
      <c r="T101" s="692" t="s">
        <v>33</v>
      </c>
      <c r="U101" s="693"/>
      <c r="V101" s="693"/>
      <c r="W101" s="694" t="s">
        <v>53</v>
      </c>
      <c r="X101" s="687"/>
      <c r="Y101" s="106"/>
      <c r="Z101" s="427"/>
      <c r="AA101" s="106"/>
      <c r="AB101" s="106"/>
      <c r="AC101" s="106"/>
      <c r="AD101" s="106"/>
    </row>
    <row r="102" ht="28.5" customHeight="1">
      <c r="A102" s="694">
        <v>77.0</v>
      </c>
      <c r="B102" s="1032">
        <v>45115.0</v>
      </c>
      <c r="C102" s="379" t="s">
        <v>1654</v>
      </c>
      <c r="D102" s="429" t="s">
        <v>50</v>
      </c>
      <c r="E102" s="1018" t="s">
        <v>721</v>
      </c>
      <c r="F102" s="1046" t="s">
        <v>156</v>
      </c>
      <c r="G102" s="63" t="s">
        <v>30</v>
      </c>
      <c r="H102" s="64">
        <v>2.0</v>
      </c>
      <c r="I102" s="1036">
        <v>220000.0</v>
      </c>
      <c r="J102" s="685">
        <f t="shared" si="26"/>
        <v>440000</v>
      </c>
      <c r="K102" s="686">
        <f t="shared" si="23"/>
        <v>440000</v>
      </c>
      <c r="L102" s="693"/>
      <c r="M102" s="688">
        <f>K102*3%</f>
        <v>13200</v>
      </c>
      <c r="N102" s="1049"/>
      <c r="O102" s="80">
        <f t="shared" si="28"/>
        <v>426800</v>
      </c>
      <c r="P102" s="690" t="s">
        <v>449</v>
      </c>
      <c r="Q102" s="690" t="s">
        <v>31</v>
      </c>
      <c r="R102" s="805"/>
      <c r="S102" s="1013"/>
      <c r="T102" s="692" t="s">
        <v>33</v>
      </c>
      <c r="U102" s="693"/>
      <c r="V102" s="693"/>
      <c r="W102" s="694" t="s">
        <v>53</v>
      </c>
      <c r="X102" s="687"/>
      <c r="Y102" s="106"/>
      <c r="Z102" s="427"/>
      <c r="AA102" s="106"/>
      <c r="AB102" s="106"/>
      <c r="AC102" s="106"/>
      <c r="AD102" s="106"/>
    </row>
    <row r="103" ht="28.5" customHeight="1">
      <c r="A103" s="694">
        <v>78.0</v>
      </c>
      <c r="B103" s="1032">
        <v>45115.0</v>
      </c>
      <c r="C103" s="377">
        <v>1.699824457044E12</v>
      </c>
      <c r="D103" s="429" t="s">
        <v>510</v>
      </c>
      <c r="E103" s="684" t="s">
        <v>1344</v>
      </c>
      <c r="F103" s="1035" t="s">
        <v>1345</v>
      </c>
      <c r="G103" s="63" t="s">
        <v>30</v>
      </c>
      <c r="H103" s="64">
        <v>2.0</v>
      </c>
      <c r="I103" s="1036">
        <v>220000.0</v>
      </c>
      <c r="J103" s="685">
        <f t="shared" si="26"/>
        <v>440000</v>
      </c>
      <c r="K103" s="686">
        <f t="shared" si="23"/>
        <v>440000</v>
      </c>
      <c r="L103" s="806">
        <v>46000.0</v>
      </c>
      <c r="M103" s="1016">
        <v>16000.0</v>
      </c>
      <c r="N103" s="1049"/>
      <c r="O103" s="80">
        <f t="shared" si="28"/>
        <v>470000</v>
      </c>
      <c r="P103" s="690" t="s">
        <v>449</v>
      </c>
      <c r="Q103" s="690" t="s">
        <v>31</v>
      </c>
      <c r="R103" s="805"/>
      <c r="S103" s="1013"/>
      <c r="T103" s="692" t="s">
        <v>33</v>
      </c>
      <c r="U103" s="693"/>
      <c r="V103" s="693"/>
      <c r="W103" s="693"/>
      <c r="X103" s="687"/>
      <c r="Y103" s="106"/>
      <c r="Z103" s="427"/>
      <c r="AA103" s="106"/>
      <c r="AB103" s="106"/>
      <c r="AC103" s="106"/>
      <c r="AD103" s="106"/>
    </row>
    <row r="104" ht="28.5" customHeight="1">
      <c r="A104" s="942">
        <v>79.0</v>
      </c>
      <c r="B104" s="1022">
        <v>45117.0</v>
      </c>
      <c r="C104" s="536">
        <v>1.711083674813E12</v>
      </c>
      <c r="D104" s="1038" t="s">
        <v>606</v>
      </c>
      <c r="E104" s="944" t="s">
        <v>607</v>
      </c>
      <c r="F104" s="1024" t="s">
        <v>608</v>
      </c>
      <c r="G104" s="63" t="s">
        <v>35</v>
      </c>
      <c r="H104" s="64">
        <v>2.0</v>
      </c>
      <c r="I104" s="1036">
        <v>220000.0</v>
      </c>
      <c r="J104" s="685">
        <f t="shared" si="26"/>
        <v>440000</v>
      </c>
      <c r="K104" s="1041">
        <f>sum(J104:J109)</f>
        <v>1250000</v>
      </c>
      <c r="L104" s="1031"/>
      <c r="M104" s="1052"/>
      <c r="N104" s="1055"/>
      <c r="O104" s="53">
        <f>K104+L104-N104</f>
        <v>1250000</v>
      </c>
      <c r="P104" s="1060" t="s">
        <v>449</v>
      </c>
      <c r="Q104" s="1060" t="s">
        <v>31</v>
      </c>
      <c r="R104" s="1028">
        <v>60998.0</v>
      </c>
      <c r="S104" s="1029" t="s">
        <v>32</v>
      </c>
      <c r="T104" s="1030" t="s">
        <v>33</v>
      </c>
      <c r="U104" s="1031"/>
      <c r="V104" s="1031"/>
      <c r="W104" s="1031"/>
      <c r="X104" s="974"/>
      <c r="Y104" s="106"/>
      <c r="Z104" s="427"/>
      <c r="AA104" s="106"/>
      <c r="AB104" s="106"/>
      <c r="AC104" s="106"/>
      <c r="AD104" s="106"/>
    </row>
    <row r="105" ht="28.5" customHeight="1">
      <c r="A105" s="62"/>
      <c r="B105" s="62"/>
      <c r="C105" s="62"/>
      <c r="D105" s="62"/>
      <c r="E105" s="62"/>
      <c r="F105" s="62"/>
      <c r="G105" s="63" t="s">
        <v>122</v>
      </c>
      <c r="H105" s="64">
        <v>1.0</v>
      </c>
      <c r="I105" s="1036">
        <v>220000.0</v>
      </c>
      <c r="J105" s="685">
        <f t="shared" si="26"/>
        <v>220000</v>
      </c>
      <c r="K105" s="62"/>
      <c r="L105" s="62"/>
      <c r="M105" s="62"/>
      <c r="N105" s="62"/>
      <c r="O105" s="62"/>
      <c r="P105" s="62"/>
      <c r="Q105" s="62"/>
      <c r="R105" s="62"/>
      <c r="S105" s="62"/>
      <c r="T105" s="62"/>
      <c r="U105" s="62"/>
      <c r="V105" s="62"/>
      <c r="W105" s="62"/>
      <c r="X105" s="62"/>
      <c r="Y105" s="106"/>
      <c r="Z105" s="427"/>
      <c r="AA105" s="106"/>
      <c r="AB105" s="106"/>
      <c r="AC105" s="106"/>
      <c r="AD105" s="106"/>
    </row>
    <row r="106" ht="28.5" customHeight="1">
      <c r="A106" s="62"/>
      <c r="B106" s="62"/>
      <c r="C106" s="62"/>
      <c r="D106" s="62"/>
      <c r="E106" s="62"/>
      <c r="F106" s="62"/>
      <c r="G106" s="63" t="s">
        <v>30</v>
      </c>
      <c r="H106" s="64">
        <v>1.0</v>
      </c>
      <c r="I106" s="1036">
        <v>220000.0</v>
      </c>
      <c r="J106" s="685">
        <f t="shared" si="26"/>
        <v>220000</v>
      </c>
      <c r="K106" s="62"/>
      <c r="L106" s="62"/>
      <c r="M106" s="62"/>
      <c r="N106" s="62"/>
      <c r="O106" s="62"/>
      <c r="P106" s="62"/>
      <c r="Q106" s="62"/>
      <c r="R106" s="62"/>
      <c r="S106" s="62"/>
      <c r="T106" s="62"/>
      <c r="U106" s="62"/>
      <c r="V106" s="62"/>
      <c r="W106" s="62"/>
      <c r="X106" s="62"/>
      <c r="Y106" s="106"/>
      <c r="Z106" s="427"/>
      <c r="AA106" s="106"/>
      <c r="AB106" s="106"/>
      <c r="AC106" s="106"/>
      <c r="AD106" s="106"/>
    </row>
    <row r="107" ht="28.5" customHeight="1">
      <c r="A107" s="62"/>
      <c r="B107" s="62"/>
      <c r="C107" s="62"/>
      <c r="D107" s="62"/>
      <c r="E107" s="62"/>
      <c r="F107" s="62"/>
      <c r="G107" s="63" t="s">
        <v>144</v>
      </c>
      <c r="H107" s="64">
        <v>1.0</v>
      </c>
      <c r="I107" s="1036">
        <v>220000.0</v>
      </c>
      <c r="J107" s="685">
        <f t="shared" si="26"/>
        <v>220000</v>
      </c>
      <c r="K107" s="62"/>
      <c r="L107" s="62"/>
      <c r="M107" s="62"/>
      <c r="N107" s="62"/>
      <c r="O107" s="62"/>
      <c r="P107" s="62"/>
      <c r="Q107" s="62"/>
      <c r="R107" s="62"/>
      <c r="S107" s="62"/>
      <c r="T107" s="62"/>
      <c r="U107" s="62"/>
      <c r="V107" s="62"/>
      <c r="W107" s="62"/>
      <c r="X107" s="62"/>
      <c r="Y107" s="106"/>
      <c r="Z107" s="427"/>
      <c r="AA107" s="106"/>
      <c r="AB107" s="106"/>
      <c r="AC107" s="106"/>
      <c r="AD107" s="106"/>
    </row>
    <row r="108" ht="28.5" customHeight="1">
      <c r="A108" s="62"/>
      <c r="B108" s="62"/>
      <c r="C108" s="62"/>
      <c r="D108" s="62"/>
      <c r="E108" s="62"/>
      <c r="F108" s="62"/>
      <c r="G108" s="63" t="s">
        <v>147</v>
      </c>
      <c r="H108" s="64">
        <v>1.0</v>
      </c>
      <c r="I108" s="1036">
        <v>80000.0</v>
      </c>
      <c r="J108" s="685">
        <f t="shared" si="26"/>
        <v>80000</v>
      </c>
      <c r="K108" s="62"/>
      <c r="L108" s="62"/>
      <c r="M108" s="62"/>
      <c r="N108" s="62"/>
      <c r="O108" s="62"/>
      <c r="P108" s="62"/>
      <c r="Q108" s="62"/>
      <c r="R108" s="62"/>
      <c r="S108" s="62"/>
      <c r="T108" s="62"/>
      <c r="U108" s="62"/>
      <c r="V108" s="62"/>
      <c r="W108" s="62"/>
      <c r="X108" s="62"/>
      <c r="Y108" s="106"/>
      <c r="Z108" s="427"/>
      <c r="AA108" s="106"/>
      <c r="AB108" s="106"/>
      <c r="AC108" s="106"/>
      <c r="AD108" s="106"/>
    </row>
    <row r="109" ht="28.5" customHeight="1">
      <c r="A109" s="67"/>
      <c r="B109" s="67"/>
      <c r="C109" s="67"/>
      <c r="D109" s="67"/>
      <c r="E109" s="67"/>
      <c r="F109" s="67"/>
      <c r="G109" s="72" t="s">
        <v>479</v>
      </c>
      <c r="H109" s="73">
        <v>2.0</v>
      </c>
      <c r="I109" s="1061">
        <v>35000.0</v>
      </c>
      <c r="J109" s="1062">
        <f t="shared" si="26"/>
        <v>70000</v>
      </c>
      <c r="K109" s="67"/>
      <c r="L109" s="67"/>
      <c r="M109" s="67"/>
      <c r="N109" s="67"/>
      <c r="O109" s="67"/>
      <c r="P109" s="67"/>
      <c r="Q109" s="67"/>
      <c r="R109" s="67"/>
      <c r="S109" s="67"/>
      <c r="T109" s="67"/>
      <c r="U109" s="67"/>
      <c r="V109" s="67"/>
      <c r="W109" s="67"/>
      <c r="X109" s="67"/>
      <c r="Y109" s="106"/>
      <c r="Z109" s="427"/>
      <c r="AA109" s="106"/>
      <c r="AB109" s="106"/>
      <c r="AC109" s="106"/>
      <c r="AD109" s="106"/>
    </row>
    <row r="110" ht="28.5" customHeight="1">
      <c r="A110" s="942">
        <v>80.0</v>
      </c>
      <c r="B110" s="1022">
        <v>45117.0</v>
      </c>
      <c r="C110" s="536">
        <v>1.711278065135E12</v>
      </c>
      <c r="D110" s="1038" t="s">
        <v>550</v>
      </c>
      <c r="E110" s="944" t="s">
        <v>551</v>
      </c>
      <c r="F110" s="1024" t="s">
        <v>889</v>
      </c>
      <c r="G110" s="63" t="s">
        <v>35</v>
      </c>
      <c r="H110" s="64">
        <v>6.0</v>
      </c>
      <c r="I110" s="1036">
        <v>220000.0</v>
      </c>
      <c r="J110" s="685">
        <f t="shared" si="26"/>
        <v>1320000</v>
      </c>
      <c r="K110" s="1041">
        <f>sum(J110:J118)</f>
        <v>3875000</v>
      </c>
      <c r="L110" s="1031"/>
      <c r="M110" s="1052"/>
      <c r="N110" s="1055"/>
      <c r="O110" s="53">
        <f>K110+L110-N110</f>
        <v>3875000</v>
      </c>
      <c r="P110" s="1060" t="s">
        <v>449</v>
      </c>
      <c r="Q110" s="1060" t="s">
        <v>31</v>
      </c>
      <c r="R110" s="1028">
        <v>160996.0</v>
      </c>
      <c r="S110" s="1029" t="s">
        <v>32</v>
      </c>
      <c r="T110" s="1030" t="s">
        <v>33</v>
      </c>
      <c r="U110" s="1031"/>
      <c r="V110" s="1031"/>
      <c r="W110" s="1031"/>
      <c r="X110" s="974"/>
      <c r="Y110" s="106"/>
      <c r="Z110" s="427"/>
      <c r="AA110" s="106"/>
      <c r="AB110" s="106"/>
      <c r="AC110" s="106"/>
      <c r="AD110" s="106"/>
    </row>
    <row r="111" ht="28.5" customHeight="1">
      <c r="A111" s="62"/>
      <c r="B111" s="62"/>
      <c r="C111" s="62"/>
      <c r="D111" s="62"/>
      <c r="E111" s="62"/>
      <c r="F111" s="62"/>
      <c r="G111" s="63" t="s">
        <v>122</v>
      </c>
      <c r="H111" s="64">
        <v>4.0</v>
      </c>
      <c r="I111" s="1036">
        <v>220000.0</v>
      </c>
      <c r="J111" s="685">
        <f t="shared" si="26"/>
        <v>880000</v>
      </c>
      <c r="K111" s="62"/>
      <c r="L111" s="62"/>
      <c r="M111" s="62"/>
      <c r="N111" s="62"/>
      <c r="O111" s="62"/>
      <c r="P111" s="62"/>
      <c r="Q111" s="62"/>
      <c r="R111" s="62"/>
      <c r="S111" s="62"/>
      <c r="T111" s="62"/>
      <c r="U111" s="62"/>
      <c r="V111" s="62"/>
      <c r="W111" s="62"/>
      <c r="X111" s="62"/>
      <c r="Y111" s="106"/>
      <c r="Z111" s="427"/>
      <c r="AA111" s="106"/>
      <c r="AB111" s="106"/>
      <c r="AC111" s="106"/>
      <c r="AD111" s="106"/>
    </row>
    <row r="112" ht="28.5" customHeight="1">
      <c r="A112" s="62"/>
      <c r="B112" s="62"/>
      <c r="C112" s="62"/>
      <c r="D112" s="62"/>
      <c r="E112" s="62"/>
      <c r="F112" s="62"/>
      <c r="G112" s="63" t="s">
        <v>30</v>
      </c>
      <c r="H112" s="64">
        <v>2.0</v>
      </c>
      <c r="I112" s="1036">
        <v>220000.0</v>
      </c>
      <c r="J112" s="685">
        <f t="shared" si="26"/>
        <v>440000</v>
      </c>
      <c r="K112" s="62"/>
      <c r="L112" s="62"/>
      <c r="M112" s="62"/>
      <c r="N112" s="62"/>
      <c r="O112" s="62"/>
      <c r="P112" s="62"/>
      <c r="Q112" s="62"/>
      <c r="R112" s="62"/>
      <c r="S112" s="62"/>
      <c r="T112" s="62"/>
      <c r="U112" s="62"/>
      <c r="V112" s="62"/>
      <c r="W112" s="62"/>
      <c r="X112" s="62"/>
      <c r="Y112" s="106"/>
      <c r="Z112" s="427"/>
      <c r="AA112" s="106"/>
      <c r="AB112" s="106"/>
      <c r="AC112" s="106"/>
      <c r="AD112" s="106"/>
    </row>
    <row r="113" ht="28.5" customHeight="1">
      <c r="A113" s="62"/>
      <c r="B113" s="62"/>
      <c r="C113" s="62"/>
      <c r="D113" s="62"/>
      <c r="E113" s="62"/>
      <c r="F113" s="62"/>
      <c r="G113" s="63" t="s">
        <v>516</v>
      </c>
      <c r="H113" s="64">
        <v>1.0</v>
      </c>
      <c r="I113" s="1036">
        <v>220000.0</v>
      </c>
      <c r="J113" s="685">
        <f t="shared" si="26"/>
        <v>220000</v>
      </c>
      <c r="K113" s="62"/>
      <c r="L113" s="62"/>
      <c r="M113" s="62"/>
      <c r="N113" s="62"/>
      <c r="O113" s="62"/>
      <c r="P113" s="62"/>
      <c r="Q113" s="62"/>
      <c r="R113" s="62"/>
      <c r="S113" s="62"/>
      <c r="T113" s="62"/>
      <c r="U113" s="62"/>
      <c r="V113" s="62"/>
      <c r="W113" s="62"/>
      <c r="X113" s="62"/>
      <c r="Y113" s="106"/>
      <c r="Z113" s="427"/>
      <c r="AA113" s="106"/>
      <c r="AB113" s="106"/>
      <c r="AC113" s="106"/>
      <c r="AD113" s="106"/>
    </row>
    <row r="114" ht="28.5" customHeight="1">
      <c r="A114" s="62"/>
      <c r="B114" s="62"/>
      <c r="C114" s="62"/>
      <c r="D114" s="62"/>
      <c r="E114" s="62"/>
      <c r="F114" s="62"/>
      <c r="G114" s="63" t="s">
        <v>58</v>
      </c>
      <c r="H114" s="64">
        <v>1.0</v>
      </c>
      <c r="I114" s="1036">
        <v>220000.0</v>
      </c>
      <c r="J114" s="685">
        <f t="shared" si="26"/>
        <v>220000</v>
      </c>
      <c r="K114" s="62"/>
      <c r="L114" s="62"/>
      <c r="M114" s="62"/>
      <c r="N114" s="62"/>
      <c r="O114" s="62"/>
      <c r="P114" s="62"/>
      <c r="Q114" s="62"/>
      <c r="R114" s="62"/>
      <c r="S114" s="62"/>
      <c r="T114" s="62"/>
      <c r="U114" s="62"/>
      <c r="V114" s="62"/>
      <c r="W114" s="62"/>
      <c r="X114" s="62"/>
      <c r="Y114" s="106"/>
      <c r="Z114" s="427"/>
      <c r="AA114" s="106"/>
      <c r="AB114" s="106"/>
      <c r="AC114" s="106"/>
      <c r="AD114" s="106"/>
    </row>
    <row r="115" ht="28.5" customHeight="1">
      <c r="A115" s="62"/>
      <c r="B115" s="62"/>
      <c r="C115" s="62"/>
      <c r="D115" s="62"/>
      <c r="E115" s="62"/>
      <c r="F115" s="62"/>
      <c r="G115" s="72" t="s">
        <v>76</v>
      </c>
      <c r="H115" s="73">
        <v>2.0</v>
      </c>
      <c r="I115" s="1061">
        <v>90000.0</v>
      </c>
      <c r="J115" s="1062">
        <f t="shared" si="26"/>
        <v>180000</v>
      </c>
      <c r="K115" s="62"/>
      <c r="L115" s="62"/>
      <c r="M115" s="62"/>
      <c r="N115" s="62"/>
      <c r="O115" s="62"/>
      <c r="P115" s="62"/>
      <c r="Q115" s="62"/>
      <c r="R115" s="62"/>
      <c r="S115" s="62"/>
      <c r="T115" s="62"/>
      <c r="U115" s="62"/>
      <c r="V115" s="62"/>
      <c r="W115" s="62"/>
      <c r="X115" s="62"/>
      <c r="Y115" s="106"/>
      <c r="Z115" s="427"/>
      <c r="AA115" s="106"/>
      <c r="AB115" s="106"/>
      <c r="AC115" s="106"/>
      <c r="AD115" s="106"/>
    </row>
    <row r="116" ht="28.5" customHeight="1">
      <c r="A116" s="62"/>
      <c r="B116" s="62"/>
      <c r="C116" s="62"/>
      <c r="D116" s="62"/>
      <c r="E116" s="62"/>
      <c r="F116" s="62"/>
      <c r="G116" s="72" t="s">
        <v>478</v>
      </c>
      <c r="H116" s="73">
        <v>3.0</v>
      </c>
      <c r="I116" s="1061">
        <v>80000.0</v>
      </c>
      <c r="J116" s="1062">
        <f t="shared" si="26"/>
        <v>240000</v>
      </c>
      <c r="K116" s="62"/>
      <c r="L116" s="62"/>
      <c r="M116" s="62"/>
      <c r="N116" s="62"/>
      <c r="O116" s="62"/>
      <c r="P116" s="62"/>
      <c r="Q116" s="62"/>
      <c r="R116" s="62"/>
      <c r="S116" s="62"/>
      <c r="T116" s="62"/>
      <c r="U116" s="62"/>
      <c r="V116" s="62"/>
      <c r="W116" s="62"/>
      <c r="X116" s="62"/>
      <c r="Y116" s="106"/>
      <c r="Z116" s="427"/>
      <c r="AA116" s="106"/>
      <c r="AB116" s="106"/>
      <c r="AC116" s="106"/>
      <c r="AD116" s="106"/>
    </row>
    <row r="117" ht="28.5" customHeight="1">
      <c r="A117" s="62"/>
      <c r="B117" s="62"/>
      <c r="C117" s="62"/>
      <c r="D117" s="62"/>
      <c r="E117" s="62"/>
      <c r="F117" s="62"/>
      <c r="G117" s="72" t="s">
        <v>476</v>
      </c>
      <c r="H117" s="73">
        <v>3.0</v>
      </c>
      <c r="I117" s="1061">
        <v>55000.0</v>
      </c>
      <c r="J117" s="1062">
        <f t="shared" si="26"/>
        <v>165000</v>
      </c>
      <c r="K117" s="62"/>
      <c r="L117" s="62"/>
      <c r="M117" s="62"/>
      <c r="N117" s="62"/>
      <c r="O117" s="62"/>
      <c r="P117" s="62"/>
      <c r="Q117" s="62"/>
      <c r="R117" s="62"/>
      <c r="S117" s="62"/>
      <c r="T117" s="62"/>
      <c r="U117" s="62"/>
      <c r="V117" s="62"/>
      <c r="W117" s="62"/>
      <c r="X117" s="62"/>
      <c r="Y117" s="106"/>
      <c r="Z117" s="427"/>
      <c r="AA117" s="106"/>
      <c r="AB117" s="106"/>
      <c r="AC117" s="106"/>
      <c r="AD117" s="106"/>
    </row>
    <row r="118" ht="28.5" customHeight="1">
      <c r="A118" s="67"/>
      <c r="B118" s="67"/>
      <c r="C118" s="67"/>
      <c r="D118" s="67"/>
      <c r="E118" s="67"/>
      <c r="F118" s="67"/>
      <c r="G118" s="72" t="s">
        <v>479</v>
      </c>
      <c r="H118" s="73">
        <v>6.0</v>
      </c>
      <c r="I118" s="1061">
        <v>35000.0</v>
      </c>
      <c r="J118" s="1062">
        <f t="shared" si="26"/>
        <v>210000</v>
      </c>
      <c r="K118" s="67"/>
      <c r="L118" s="67"/>
      <c r="M118" s="67"/>
      <c r="N118" s="67"/>
      <c r="O118" s="67"/>
      <c r="P118" s="67"/>
      <c r="Q118" s="67"/>
      <c r="R118" s="67"/>
      <c r="S118" s="67"/>
      <c r="T118" s="67"/>
      <c r="U118" s="67"/>
      <c r="V118" s="67"/>
      <c r="W118" s="67"/>
      <c r="X118" s="67"/>
      <c r="Y118" s="106"/>
      <c r="Z118" s="427"/>
      <c r="AA118" s="106"/>
      <c r="AB118" s="106"/>
      <c r="AC118" s="106"/>
      <c r="AD118" s="106"/>
    </row>
    <row r="119" ht="28.5" customHeight="1">
      <c r="A119" s="942">
        <v>81.0</v>
      </c>
      <c r="B119" s="1022">
        <v>45117.0</v>
      </c>
      <c r="C119" s="536">
        <v>1.711157396587E12</v>
      </c>
      <c r="D119" s="1038" t="s">
        <v>1655</v>
      </c>
      <c r="E119" s="944" t="s">
        <v>1656</v>
      </c>
      <c r="F119" s="1024" t="s">
        <v>1657</v>
      </c>
      <c r="G119" s="63" t="s">
        <v>30</v>
      </c>
      <c r="H119" s="64">
        <v>4.0</v>
      </c>
      <c r="I119" s="1036">
        <v>220000.0</v>
      </c>
      <c r="J119" s="961">
        <f t="shared" si="26"/>
        <v>880000</v>
      </c>
      <c r="K119" s="1041">
        <f>sum(J119:J121)</f>
        <v>1760000</v>
      </c>
      <c r="L119" s="1031"/>
      <c r="M119" s="1025"/>
      <c r="N119" s="1055"/>
      <c r="O119" s="53">
        <f>K119+L119-N119</f>
        <v>1760000</v>
      </c>
      <c r="P119" s="1060" t="s">
        <v>449</v>
      </c>
      <c r="Q119" s="1060" t="s">
        <v>31</v>
      </c>
      <c r="R119" s="1028">
        <v>74499.0</v>
      </c>
      <c r="S119" s="1029" t="s">
        <v>32</v>
      </c>
      <c r="T119" s="1030" t="s">
        <v>33</v>
      </c>
      <c r="U119" s="1031"/>
      <c r="V119" s="1031"/>
      <c r="W119" s="942" t="s">
        <v>1658</v>
      </c>
      <c r="X119" s="974"/>
      <c r="Y119" s="106"/>
      <c r="Z119" s="427"/>
      <c r="AA119" s="106"/>
      <c r="AB119" s="106"/>
      <c r="AC119" s="106"/>
      <c r="AD119" s="106"/>
    </row>
    <row r="120" ht="28.5" customHeight="1">
      <c r="A120" s="62"/>
      <c r="B120" s="62"/>
      <c r="C120" s="62"/>
      <c r="D120" s="62"/>
      <c r="E120" s="62"/>
      <c r="F120" s="62"/>
      <c r="G120" s="63" t="s">
        <v>47</v>
      </c>
      <c r="H120" s="64">
        <v>2.0</v>
      </c>
      <c r="I120" s="1036">
        <v>220000.0</v>
      </c>
      <c r="J120" s="961">
        <f t="shared" si="26"/>
        <v>440000</v>
      </c>
      <c r="K120" s="62"/>
      <c r="L120" s="62"/>
      <c r="M120" s="62"/>
      <c r="N120" s="62"/>
      <c r="O120" s="62"/>
      <c r="P120" s="62"/>
      <c r="Q120" s="62"/>
      <c r="R120" s="62"/>
      <c r="S120" s="62"/>
      <c r="T120" s="62"/>
      <c r="U120" s="62"/>
      <c r="V120" s="62"/>
      <c r="W120" s="62"/>
      <c r="X120" s="62"/>
      <c r="Y120" s="106"/>
      <c r="Z120" s="427"/>
      <c r="AA120" s="106"/>
      <c r="AB120" s="106"/>
      <c r="AC120" s="106"/>
      <c r="AD120" s="106"/>
    </row>
    <row r="121" ht="28.5" customHeight="1">
      <c r="A121" s="67"/>
      <c r="B121" s="67"/>
      <c r="C121" s="67"/>
      <c r="D121" s="67"/>
      <c r="E121" s="67"/>
      <c r="F121" s="67"/>
      <c r="G121" s="63" t="s">
        <v>122</v>
      </c>
      <c r="H121" s="64">
        <v>2.0</v>
      </c>
      <c r="I121" s="1036">
        <v>220000.0</v>
      </c>
      <c r="J121" s="961">
        <f t="shared" si="26"/>
        <v>440000</v>
      </c>
      <c r="K121" s="67"/>
      <c r="L121" s="67"/>
      <c r="M121" s="67"/>
      <c r="N121" s="67"/>
      <c r="O121" s="67"/>
      <c r="P121" s="67"/>
      <c r="Q121" s="67"/>
      <c r="R121" s="67"/>
      <c r="S121" s="67"/>
      <c r="T121" s="67"/>
      <c r="U121" s="67"/>
      <c r="V121" s="67"/>
      <c r="W121" s="67"/>
      <c r="X121" s="67"/>
      <c r="Y121" s="106"/>
      <c r="Z121" s="427"/>
      <c r="AA121" s="106"/>
      <c r="AB121" s="106"/>
      <c r="AC121" s="106"/>
      <c r="AD121" s="106"/>
    </row>
    <row r="122" ht="28.5" customHeight="1">
      <c r="A122" s="694">
        <v>82.0</v>
      </c>
      <c r="B122" s="1032">
        <v>45117.0</v>
      </c>
      <c r="C122" s="377">
        <v>1.711346023921E12</v>
      </c>
      <c r="D122" s="429" t="s">
        <v>959</v>
      </c>
      <c r="E122" s="684" t="s">
        <v>960</v>
      </c>
      <c r="F122" s="1035" t="s">
        <v>1659</v>
      </c>
      <c r="G122" s="63" t="s">
        <v>30</v>
      </c>
      <c r="H122" s="64">
        <v>1.0</v>
      </c>
      <c r="I122" s="1036">
        <v>220000.0</v>
      </c>
      <c r="J122" s="685">
        <f t="shared" si="26"/>
        <v>220000</v>
      </c>
      <c r="K122" s="686">
        <f t="shared" ref="K122:K138" si="29">sum(J122)</f>
        <v>220000</v>
      </c>
      <c r="L122" s="806">
        <v>33000.0</v>
      </c>
      <c r="M122" s="688"/>
      <c r="N122" s="1011">
        <v>13000.0</v>
      </c>
      <c r="O122" s="80">
        <f>K122+L122-N122</f>
        <v>240000</v>
      </c>
      <c r="P122" s="690" t="s">
        <v>449</v>
      </c>
      <c r="Q122" s="690" t="s">
        <v>31</v>
      </c>
      <c r="R122" s="805"/>
      <c r="S122" s="1013"/>
      <c r="T122" s="692" t="s">
        <v>33</v>
      </c>
      <c r="U122" s="693"/>
      <c r="V122" s="693"/>
      <c r="W122" s="693"/>
      <c r="X122" s="687"/>
      <c r="Y122" s="106"/>
      <c r="Z122" s="427"/>
      <c r="AA122" s="106"/>
      <c r="AB122" s="106"/>
      <c r="AC122" s="106"/>
      <c r="AD122" s="106"/>
    </row>
    <row r="123" ht="28.5" customHeight="1">
      <c r="A123" s="694">
        <v>83.0</v>
      </c>
      <c r="B123" s="1032">
        <v>45117.0</v>
      </c>
      <c r="C123" s="377">
        <v>7166.0</v>
      </c>
      <c r="D123" s="429" t="s">
        <v>50</v>
      </c>
      <c r="E123" s="1018" t="s">
        <v>1660</v>
      </c>
      <c r="F123" s="1063" t="s">
        <v>74</v>
      </c>
      <c r="G123" s="63" t="s">
        <v>30</v>
      </c>
      <c r="H123" s="85">
        <v>1.0</v>
      </c>
      <c r="I123" s="1036">
        <v>220000.0</v>
      </c>
      <c r="J123" s="685">
        <f t="shared" si="26"/>
        <v>220000</v>
      </c>
      <c r="K123" s="686">
        <f t="shared" si="29"/>
        <v>220000</v>
      </c>
      <c r="L123" s="693"/>
      <c r="M123" s="1058">
        <f>K123*3%</f>
        <v>6600</v>
      </c>
      <c r="N123" s="1049"/>
      <c r="O123" s="80">
        <f t="shared" ref="O123:O132" si="30">K123+L123-M123-N123</f>
        <v>213400</v>
      </c>
      <c r="P123" s="690" t="s">
        <v>449</v>
      </c>
      <c r="Q123" s="690" t="s">
        <v>31</v>
      </c>
      <c r="R123" s="805"/>
      <c r="S123" s="1013"/>
      <c r="T123" s="692" t="s">
        <v>33</v>
      </c>
      <c r="U123" s="693"/>
      <c r="V123" s="693"/>
      <c r="W123" s="694" t="s">
        <v>53</v>
      </c>
      <c r="X123" s="687"/>
      <c r="Y123" s="106"/>
      <c r="Z123" s="427"/>
      <c r="AA123" s="106"/>
      <c r="AB123" s="106"/>
      <c r="AC123" s="106"/>
      <c r="AD123" s="106"/>
    </row>
    <row r="124" ht="28.5" customHeight="1">
      <c r="A124" s="694">
        <v>84.0</v>
      </c>
      <c r="B124" s="1032">
        <v>45117.0</v>
      </c>
      <c r="C124" s="377">
        <v>3972.0</v>
      </c>
      <c r="D124" s="429" t="s">
        <v>50</v>
      </c>
      <c r="E124" s="1018" t="s">
        <v>1661</v>
      </c>
      <c r="F124" s="1064" t="s">
        <v>70</v>
      </c>
      <c r="G124" s="63" t="s">
        <v>30</v>
      </c>
      <c r="H124" s="85">
        <v>1.0</v>
      </c>
      <c r="I124" s="1036">
        <v>220000.0</v>
      </c>
      <c r="J124" s="685">
        <f t="shared" si="26"/>
        <v>220000</v>
      </c>
      <c r="K124" s="686">
        <f t="shared" si="29"/>
        <v>220000</v>
      </c>
      <c r="L124" s="693"/>
      <c r="M124" s="1016">
        <v>7032.0</v>
      </c>
      <c r="N124" s="1049"/>
      <c r="O124" s="80">
        <f t="shared" si="30"/>
        <v>212968</v>
      </c>
      <c r="P124" s="690" t="s">
        <v>449</v>
      </c>
      <c r="Q124" s="690" t="s">
        <v>31</v>
      </c>
      <c r="R124" s="805"/>
      <c r="S124" s="1013"/>
      <c r="T124" s="692" t="s">
        <v>33</v>
      </c>
      <c r="U124" s="693"/>
      <c r="V124" s="693"/>
      <c r="W124" s="694" t="s">
        <v>53</v>
      </c>
      <c r="X124" s="687"/>
      <c r="Y124" s="106"/>
      <c r="Z124" s="427"/>
      <c r="AA124" s="106"/>
      <c r="AB124" s="106"/>
      <c r="AC124" s="106"/>
      <c r="AD124" s="106"/>
    </row>
    <row r="125" ht="28.5" customHeight="1">
      <c r="A125" s="434">
        <v>85.0</v>
      </c>
      <c r="B125" s="1065">
        <v>45117.0</v>
      </c>
      <c r="C125" s="434">
        <v>3175.0</v>
      </c>
      <c r="D125" s="436" t="s">
        <v>50</v>
      </c>
      <c r="E125" s="1019" t="s">
        <v>1662</v>
      </c>
      <c r="F125" s="1066" t="s">
        <v>193</v>
      </c>
      <c r="G125" s="164" t="s">
        <v>290</v>
      </c>
      <c r="H125" s="990">
        <v>1.0</v>
      </c>
      <c r="I125" s="1067"/>
      <c r="J125" s="438">
        <f t="shared" si="26"/>
        <v>0</v>
      </c>
      <c r="K125" s="169">
        <f t="shared" si="29"/>
        <v>0</v>
      </c>
      <c r="L125" s="444"/>
      <c r="M125" s="440"/>
      <c r="N125" s="1068"/>
      <c r="O125" s="169">
        <f t="shared" si="30"/>
        <v>0</v>
      </c>
      <c r="P125" s="441"/>
      <c r="Q125" s="441"/>
      <c r="R125" s="440"/>
      <c r="S125" s="441"/>
      <c r="T125" s="443"/>
      <c r="U125" s="444"/>
      <c r="V125" s="444"/>
      <c r="W125" s="434" t="s">
        <v>1663</v>
      </c>
      <c r="X125" s="439"/>
      <c r="Y125" s="106"/>
      <c r="Z125" s="427"/>
      <c r="AA125" s="106"/>
      <c r="AB125" s="106"/>
      <c r="AC125" s="106"/>
      <c r="AD125" s="106"/>
    </row>
    <row r="126" ht="28.5" customHeight="1">
      <c r="A126" s="694">
        <v>86.0</v>
      </c>
      <c r="B126" s="1032">
        <v>45117.0</v>
      </c>
      <c r="C126" s="377">
        <v>4575.0</v>
      </c>
      <c r="D126" s="429" t="s">
        <v>50</v>
      </c>
      <c r="E126" s="1018" t="s">
        <v>1664</v>
      </c>
      <c r="F126" s="1064" t="s">
        <v>65</v>
      </c>
      <c r="G126" s="63" t="s">
        <v>30</v>
      </c>
      <c r="H126" s="85">
        <v>1.0</v>
      </c>
      <c r="I126" s="1036">
        <v>220000.0</v>
      </c>
      <c r="J126" s="685">
        <f t="shared" si="26"/>
        <v>220000</v>
      </c>
      <c r="K126" s="686">
        <f t="shared" si="29"/>
        <v>220000</v>
      </c>
      <c r="L126" s="693"/>
      <c r="M126" s="1016">
        <v>7257.0</v>
      </c>
      <c r="N126" s="1049"/>
      <c r="O126" s="80">
        <f t="shared" si="30"/>
        <v>212743</v>
      </c>
      <c r="P126" s="690" t="s">
        <v>449</v>
      </c>
      <c r="Q126" s="690" t="s">
        <v>31</v>
      </c>
      <c r="R126" s="805"/>
      <c r="S126" s="1013"/>
      <c r="T126" s="692" t="s">
        <v>33</v>
      </c>
      <c r="U126" s="693"/>
      <c r="V126" s="693"/>
      <c r="W126" s="694" t="s">
        <v>53</v>
      </c>
      <c r="X126" s="687"/>
      <c r="Y126" s="106"/>
      <c r="Z126" s="427"/>
      <c r="AA126" s="106"/>
      <c r="AB126" s="106"/>
      <c r="AC126" s="106"/>
      <c r="AD126" s="106"/>
    </row>
    <row r="127" ht="28.5" customHeight="1">
      <c r="A127" s="694">
        <v>87.0</v>
      </c>
      <c r="B127" s="1032">
        <v>45117.0</v>
      </c>
      <c r="C127" s="379" t="s">
        <v>1665</v>
      </c>
      <c r="D127" s="429" t="s">
        <v>50</v>
      </c>
      <c r="E127" s="1018" t="s">
        <v>1666</v>
      </c>
      <c r="F127" s="1064" t="s">
        <v>132</v>
      </c>
      <c r="G127" s="63" t="s">
        <v>30</v>
      </c>
      <c r="H127" s="85">
        <v>1.0</v>
      </c>
      <c r="I127" s="1036">
        <v>220000.0</v>
      </c>
      <c r="J127" s="685">
        <f t="shared" si="26"/>
        <v>220000</v>
      </c>
      <c r="K127" s="686">
        <f t="shared" si="29"/>
        <v>220000</v>
      </c>
      <c r="L127" s="693"/>
      <c r="M127" s="1058">
        <f>K127*3%</f>
        <v>6600</v>
      </c>
      <c r="N127" s="1049"/>
      <c r="O127" s="80">
        <f t="shared" si="30"/>
        <v>213400</v>
      </c>
      <c r="P127" s="690" t="s">
        <v>449</v>
      </c>
      <c r="Q127" s="690" t="s">
        <v>31</v>
      </c>
      <c r="R127" s="805"/>
      <c r="S127" s="1013"/>
      <c r="T127" s="692" t="s">
        <v>33</v>
      </c>
      <c r="U127" s="693"/>
      <c r="V127" s="693"/>
      <c r="W127" s="694" t="s">
        <v>53</v>
      </c>
      <c r="X127" s="687"/>
      <c r="Y127" s="106"/>
      <c r="Z127" s="427"/>
      <c r="AA127" s="106"/>
      <c r="AB127" s="106"/>
      <c r="AC127" s="106"/>
      <c r="AD127" s="106"/>
    </row>
    <row r="128" ht="28.5" customHeight="1">
      <c r="A128" s="694">
        <v>88.0</v>
      </c>
      <c r="B128" s="1032">
        <v>45117.0</v>
      </c>
      <c r="C128" s="377">
        <v>6075.0</v>
      </c>
      <c r="D128" s="429" t="s">
        <v>50</v>
      </c>
      <c r="E128" s="1018" t="s">
        <v>1667</v>
      </c>
      <c r="F128" s="1064" t="s">
        <v>528</v>
      </c>
      <c r="G128" s="63" t="s">
        <v>30</v>
      </c>
      <c r="H128" s="85">
        <v>3.0</v>
      </c>
      <c r="I128" s="1036">
        <v>220000.0</v>
      </c>
      <c r="J128" s="685">
        <f t="shared" si="26"/>
        <v>660000</v>
      </c>
      <c r="K128" s="686">
        <f t="shared" si="29"/>
        <v>660000</v>
      </c>
      <c r="L128" s="693"/>
      <c r="M128" s="1016">
        <v>18505.0</v>
      </c>
      <c r="N128" s="1049"/>
      <c r="O128" s="80">
        <f t="shared" si="30"/>
        <v>641495</v>
      </c>
      <c r="P128" s="690" t="s">
        <v>449</v>
      </c>
      <c r="Q128" s="690" t="s">
        <v>31</v>
      </c>
      <c r="R128" s="805"/>
      <c r="S128" s="1013"/>
      <c r="T128" s="692" t="s">
        <v>33</v>
      </c>
      <c r="U128" s="693"/>
      <c r="V128" s="693"/>
      <c r="W128" s="694" t="s">
        <v>53</v>
      </c>
      <c r="X128" s="687"/>
      <c r="Y128" s="106"/>
      <c r="Z128" s="427"/>
      <c r="AA128" s="106"/>
      <c r="AB128" s="106"/>
      <c r="AC128" s="106"/>
      <c r="AD128" s="106"/>
    </row>
    <row r="129" ht="28.5" customHeight="1">
      <c r="A129" s="434">
        <v>89.0</v>
      </c>
      <c r="B129" s="1065">
        <v>45117.0</v>
      </c>
      <c r="C129" s="434">
        <v>2576.0</v>
      </c>
      <c r="D129" s="436" t="s">
        <v>50</v>
      </c>
      <c r="E129" s="1019" t="s">
        <v>1668</v>
      </c>
      <c r="F129" s="1066" t="s">
        <v>1669</v>
      </c>
      <c r="G129" s="164" t="s">
        <v>30</v>
      </c>
      <c r="H129" s="990">
        <v>1.0</v>
      </c>
      <c r="I129" s="1067"/>
      <c r="J129" s="438">
        <f t="shared" si="26"/>
        <v>0</v>
      </c>
      <c r="K129" s="169">
        <f t="shared" si="29"/>
        <v>0</v>
      </c>
      <c r="L129" s="444"/>
      <c r="M129" s="440"/>
      <c r="N129" s="1068"/>
      <c r="O129" s="169">
        <f t="shared" si="30"/>
        <v>0</v>
      </c>
      <c r="P129" s="441"/>
      <c r="Q129" s="441"/>
      <c r="R129" s="440"/>
      <c r="S129" s="441"/>
      <c r="T129" s="443"/>
      <c r="U129" s="444"/>
      <c r="V129" s="444"/>
      <c r="W129" s="434" t="s">
        <v>1663</v>
      </c>
      <c r="X129" s="439"/>
      <c r="Y129" s="106"/>
      <c r="Z129" s="427"/>
      <c r="AA129" s="106"/>
      <c r="AB129" s="106"/>
      <c r="AC129" s="106"/>
      <c r="AD129" s="106"/>
    </row>
    <row r="130" ht="28.5" customHeight="1">
      <c r="A130" s="694">
        <v>90.0</v>
      </c>
      <c r="B130" s="1032">
        <v>45117.0</v>
      </c>
      <c r="C130" s="377">
        <v>3572.0</v>
      </c>
      <c r="D130" s="429" t="s">
        <v>50</v>
      </c>
      <c r="E130" s="1018" t="s">
        <v>338</v>
      </c>
      <c r="F130" s="1064" t="s">
        <v>180</v>
      </c>
      <c r="G130" s="63" t="s">
        <v>30</v>
      </c>
      <c r="H130" s="85">
        <v>1.0</v>
      </c>
      <c r="I130" s="1036">
        <v>220000.0</v>
      </c>
      <c r="J130" s="685">
        <f t="shared" si="26"/>
        <v>220000</v>
      </c>
      <c r="K130" s="686">
        <f t="shared" si="29"/>
        <v>220000</v>
      </c>
      <c r="L130" s="693"/>
      <c r="M130" s="1058">
        <f t="shared" ref="M130:M131" si="31">K130*3%</f>
        <v>6600</v>
      </c>
      <c r="N130" s="1049"/>
      <c r="O130" s="80">
        <f t="shared" si="30"/>
        <v>213400</v>
      </c>
      <c r="P130" s="690" t="s">
        <v>449</v>
      </c>
      <c r="Q130" s="690" t="s">
        <v>31</v>
      </c>
      <c r="R130" s="805"/>
      <c r="S130" s="1013"/>
      <c r="T130" s="692" t="s">
        <v>33</v>
      </c>
      <c r="U130" s="693"/>
      <c r="V130" s="693"/>
      <c r="W130" s="694" t="s">
        <v>53</v>
      </c>
      <c r="X130" s="687"/>
      <c r="Y130" s="106"/>
      <c r="Z130" s="427"/>
      <c r="AA130" s="106"/>
      <c r="AB130" s="106"/>
      <c r="AC130" s="106"/>
      <c r="AD130" s="106"/>
    </row>
    <row r="131" ht="28.5" customHeight="1">
      <c r="A131" s="694">
        <v>91.0</v>
      </c>
      <c r="B131" s="1032">
        <v>45117.0</v>
      </c>
      <c r="C131" s="377">
        <v>3979.0</v>
      </c>
      <c r="D131" s="429" t="s">
        <v>50</v>
      </c>
      <c r="E131" s="1018" t="s">
        <v>593</v>
      </c>
      <c r="F131" s="1064" t="s">
        <v>156</v>
      </c>
      <c r="G131" s="63" t="s">
        <v>30</v>
      </c>
      <c r="H131" s="85">
        <v>2.0</v>
      </c>
      <c r="I131" s="1036">
        <v>220000.0</v>
      </c>
      <c r="J131" s="685">
        <f t="shared" si="26"/>
        <v>440000</v>
      </c>
      <c r="K131" s="686">
        <f t="shared" si="29"/>
        <v>440000</v>
      </c>
      <c r="L131" s="693"/>
      <c r="M131" s="688">
        <f t="shared" si="31"/>
        <v>13200</v>
      </c>
      <c r="N131" s="1049"/>
      <c r="O131" s="80">
        <f t="shared" si="30"/>
        <v>426800</v>
      </c>
      <c r="P131" s="690" t="s">
        <v>449</v>
      </c>
      <c r="Q131" s="690" t="s">
        <v>31</v>
      </c>
      <c r="R131" s="805"/>
      <c r="S131" s="1013"/>
      <c r="T131" s="692" t="s">
        <v>33</v>
      </c>
      <c r="U131" s="693"/>
      <c r="V131" s="693"/>
      <c r="W131" s="694" t="s">
        <v>53</v>
      </c>
      <c r="X131" s="687"/>
      <c r="Y131" s="106"/>
      <c r="Z131" s="427"/>
      <c r="AA131" s="106"/>
      <c r="AB131" s="106"/>
      <c r="AC131" s="106"/>
      <c r="AD131" s="106"/>
    </row>
    <row r="132" ht="28.5" customHeight="1">
      <c r="A132" s="694">
        <v>92.0</v>
      </c>
      <c r="B132" s="1032">
        <v>45117.0</v>
      </c>
      <c r="C132" s="377">
        <v>9373.0</v>
      </c>
      <c r="D132" s="429" t="s">
        <v>50</v>
      </c>
      <c r="E132" s="1018" t="s">
        <v>1670</v>
      </c>
      <c r="F132" s="1064" t="s">
        <v>84</v>
      </c>
      <c r="G132" s="63" t="s">
        <v>30</v>
      </c>
      <c r="H132" s="85">
        <v>2.0</v>
      </c>
      <c r="I132" s="1036">
        <v>220000.0</v>
      </c>
      <c r="J132" s="685">
        <f t="shared" si="26"/>
        <v>440000</v>
      </c>
      <c r="K132" s="686">
        <f t="shared" si="29"/>
        <v>440000</v>
      </c>
      <c r="L132" s="693"/>
      <c r="M132" s="1016">
        <v>13476.0</v>
      </c>
      <c r="N132" s="1049"/>
      <c r="O132" s="80">
        <f t="shared" si="30"/>
        <v>426524</v>
      </c>
      <c r="P132" s="690" t="s">
        <v>449</v>
      </c>
      <c r="Q132" s="690" t="s">
        <v>31</v>
      </c>
      <c r="R132" s="805"/>
      <c r="S132" s="1013"/>
      <c r="T132" s="692" t="s">
        <v>33</v>
      </c>
      <c r="U132" s="693"/>
      <c r="V132" s="693"/>
      <c r="W132" s="694" t="s">
        <v>53</v>
      </c>
      <c r="X132" s="687"/>
      <c r="Y132" s="106"/>
      <c r="Z132" s="427"/>
      <c r="AA132" s="106"/>
      <c r="AB132" s="106"/>
      <c r="AC132" s="106"/>
      <c r="AD132" s="106"/>
    </row>
    <row r="133" ht="28.5" customHeight="1">
      <c r="A133" s="694">
        <v>93.0</v>
      </c>
      <c r="B133" s="1032">
        <v>45117.0</v>
      </c>
      <c r="C133" s="377">
        <v>1.714033663335E12</v>
      </c>
      <c r="D133" s="429" t="s">
        <v>1671</v>
      </c>
      <c r="E133" s="684" t="s">
        <v>1672</v>
      </c>
      <c r="F133" s="1035" t="s">
        <v>1673</v>
      </c>
      <c r="G133" s="63" t="s">
        <v>30</v>
      </c>
      <c r="H133" s="64">
        <v>5.0</v>
      </c>
      <c r="I133" s="1036">
        <v>220000.0</v>
      </c>
      <c r="J133" s="685">
        <f t="shared" si="26"/>
        <v>1100000</v>
      </c>
      <c r="K133" s="686">
        <f t="shared" si="29"/>
        <v>1100000</v>
      </c>
      <c r="L133" s="693"/>
      <c r="M133" s="688"/>
      <c r="N133" s="1049"/>
      <c r="O133" s="80">
        <f>K133+L133-N133</f>
        <v>1100000</v>
      </c>
      <c r="P133" s="690" t="s">
        <v>449</v>
      </c>
      <c r="Q133" s="690" t="s">
        <v>31</v>
      </c>
      <c r="R133" s="806">
        <v>57999.0</v>
      </c>
      <c r="S133" s="1017" t="s">
        <v>32</v>
      </c>
      <c r="T133" s="692" t="s">
        <v>33</v>
      </c>
      <c r="U133" s="693"/>
      <c r="V133" s="693"/>
      <c r="W133" s="693"/>
      <c r="X133" s="694">
        <v>1.0</v>
      </c>
      <c r="Y133" s="106"/>
      <c r="Z133" s="427"/>
      <c r="AA133" s="106"/>
      <c r="AB133" s="106"/>
      <c r="AC133" s="106"/>
      <c r="AD133" s="106"/>
    </row>
    <row r="134" ht="24.75" customHeight="1">
      <c r="A134" s="694">
        <v>94.0</v>
      </c>
      <c r="B134" s="1032">
        <v>45118.0</v>
      </c>
      <c r="C134" s="377">
        <v>7082.0</v>
      </c>
      <c r="D134" s="429" t="s">
        <v>50</v>
      </c>
      <c r="E134" s="1069" t="s">
        <v>694</v>
      </c>
      <c r="F134" s="1070" t="s">
        <v>65</v>
      </c>
      <c r="G134" s="63" t="s">
        <v>30</v>
      </c>
      <c r="H134" s="64">
        <v>1.0</v>
      </c>
      <c r="I134" s="1071">
        <f t="shared" ref="I134:I139" si="32">VLOOKUP(G134,$Y$4:$Z$43,2,0)</f>
        <v>220000</v>
      </c>
      <c r="J134" s="685">
        <f t="shared" si="26"/>
        <v>220000</v>
      </c>
      <c r="K134" s="686">
        <f t="shared" si="29"/>
        <v>220000</v>
      </c>
      <c r="L134" s="693"/>
      <c r="M134" s="1016">
        <v>6168.0</v>
      </c>
      <c r="N134" s="1049"/>
      <c r="O134" s="80">
        <f t="shared" ref="O134:O135" si="33">K134+L134-M134-N134</f>
        <v>213832</v>
      </c>
      <c r="P134" s="690" t="s">
        <v>449</v>
      </c>
      <c r="Q134" s="690" t="s">
        <v>31</v>
      </c>
      <c r="R134" s="805"/>
      <c r="S134" s="1013"/>
      <c r="T134" s="692" t="s">
        <v>33</v>
      </c>
      <c r="U134" s="693"/>
      <c r="V134" s="693"/>
      <c r="W134" s="694" t="s">
        <v>53</v>
      </c>
      <c r="X134" s="687"/>
      <c r="Y134" s="106"/>
      <c r="Z134" s="427"/>
      <c r="AA134" s="106"/>
      <c r="AB134" s="106"/>
      <c r="AC134" s="106"/>
      <c r="AD134" s="106"/>
    </row>
    <row r="135" ht="24.75" customHeight="1">
      <c r="A135" s="694">
        <v>95.0</v>
      </c>
      <c r="B135" s="1032">
        <v>45118.0</v>
      </c>
      <c r="C135" s="377">
        <v>5280.0</v>
      </c>
      <c r="D135" s="429" t="s">
        <v>50</v>
      </c>
      <c r="E135" s="1014" t="s">
        <v>1674</v>
      </c>
      <c r="F135" s="1072" t="s">
        <v>74</v>
      </c>
      <c r="G135" s="63" t="s">
        <v>30</v>
      </c>
      <c r="H135" s="64">
        <v>2.0</v>
      </c>
      <c r="I135" s="1071">
        <f t="shared" si="32"/>
        <v>220000</v>
      </c>
      <c r="J135" s="685">
        <f t="shared" si="26"/>
        <v>440000</v>
      </c>
      <c r="K135" s="686">
        <f t="shared" si="29"/>
        <v>440000</v>
      </c>
      <c r="L135" s="693"/>
      <c r="M135" s="1016">
        <v>13476.0</v>
      </c>
      <c r="N135" s="1049"/>
      <c r="O135" s="80">
        <f t="shared" si="33"/>
        <v>426524</v>
      </c>
      <c r="P135" s="690" t="s">
        <v>449</v>
      </c>
      <c r="Q135" s="690" t="s">
        <v>31</v>
      </c>
      <c r="R135" s="806"/>
      <c r="S135" s="1017"/>
      <c r="T135" s="692" t="s">
        <v>33</v>
      </c>
      <c r="U135" s="693"/>
      <c r="V135" s="693"/>
      <c r="W135" s="694" t="s">
        <v>53</v>
      </c>
      <c r="X135" s="687"/>
      <c r="Y135" s="106"/>
      <c r="Z135" s="427"/>
      <c r="AA135" s="106"/>
      <c r="AB135" s="106"/>
      <c r="AC135" s="106"/>
      <c r="AD135" s="106"/>
    </row>
    <row r="136" ht="24.75" customHeight="1">
      <c r="A136" s="694">
        <v>96.0</v>
      </c>
      <c r="B136" s="1032">
        <v>45118.0</v>
      </c>
      <c r="C136" s="377">
        <v>1.698370450226E12</v>
      </c>
      <c r="D136" s="429" t="s">
        <v>206</v>
      </c>
      <c r="E136" s="684" t="s">
        <v>207</v>
      </c>
      <c r="F136" s="1035" t="s">
        <v>1506</v>
      </c>
      <c r="G136" s="63" t="s">
        <v>290</v>
      </c>
      <c r="H136" s="64">
        <v>6.0</v>
      </c>
      <c r="I136" s="1071">
        <f t="shared" si="32"/>
        <v>220000</v>
      </c>
      <c r="J136" s="685">
        <f t="shared" si="26"/>
        <v>1320000</v>
      </c>
      <c r="K136" s="686">
        <f t="shared" si="29"/>
        <v>1320000</v>
      </c>
      <c r="L136" s="693"/>
      <c r="M136" s="688"/>
      <c r="N136" s="1049"/>
      <c r="O136" s="80">
        <f>K136+L136-N136</f>
        <v>1320000</v>
      </c>
      <c r="P136" s="690" t="s">
        <v>449</v>
      </c>
      <c r="Q136" s="690" t="s">
        <v>31</v>
      </c>
      <c r="R136" s="806">
        <v>63998.0</v>
      </c>
      <c r="S136" s="1017" t="s">
        <v>32</v>
      </c>
      <c r="T136" s="692" t="s">
        <v>33</v>
      </c>
      <c r="U136" s="693"/>
      <c r="V136" s="693"/>
      <c r="W136" s="693"/>
      <c r="X136" s="694">
        <v>2.0</v>
      </c>
      <c r="Y136" s="106"/>
      <c r="Z136" s="427"/>
      <c r="AA136" s="106"/>
      <c r="AB136" s="106"/>
      <c r="AC136" s="106"/>
      <c r="AD136" s="106"/>
    </row>
    <row r="137" ht="24.75" customHeight="1">
      <c r="A137" s="694">
        <v>97.0</v>
      </c>
      <c r="B137" s="1032">
        <v>45118.0</v>
      </c>
      <c r="C137" s="377">
        <v>5384.0</v>
      </c>
      <c r="D137" s="429" t="s">
        <v>50</v>
      </c>
      <c r="E137" s="1018" t="s">
        <v>1675</v>
      </c>
      <c r="F137" s="1073" t="s">
        <v>70</v>
      </c>
      <c r="G137" s="63" t="s">
        <v>30</v>
      </c>
      <c r="H137" s="64">
        <v>1.0</v>
      </c>
      <c r="I137" s="1071">
        <f t="shared" si="32"/>
        <v>220000</v>
      </c>
      <c r="J137" s="685">
        <f t="shared" si="26"/>
        <v>220000</v>
      </c>
      <c r="K137" s="686">
        <f t="shared" si="29"/>
        <v>220000</v>
      </c>
      <c r="L137" s="693"/>
      <c r="M137" s="1016">
        <v>5010.0</v>
      </c>
      <c r="N137" s="1049"/>
      <c r="O137" s="80">
        <f t="shared" ref="O137:O138" si="34">K137+L137-M137</f>
        <v>214990</v>
      </c>
      <c r="P137" s="690" t="s">
        <v>449</v>
      </c>
      <c r="Q137" s="690" t="s">
        <v>31</v>
      </c>
      <c r="R137" s="805"/>
      <c r="S137" s="1013"/>
      <c r="T137" s="692" t="s">
        <v>33</v>
      </c>
      <c r="U137" s="693"/>
      <c r="V137" s="693"/>
      <c r="W137" s="694" t="s">
        <v>53</v>
      </c>
      <c r="X137" s="687"/>
      <c r="Y137" s="106"/>
      <c r="Z137" s="427"/>
      <c r="AA137" s="106"/>
      <c r="AB137" s="106"/>
      <c r="AC137" s="106"/>
      <c r="AD137" s="106"/>
    </row>
    <row r="138" ht="24.75" customHeight="1">
      <c r="A138" s="694">
        <v>98.0</v>
      </c>
      <c r="B138" s="1032">
        <v>45118.0</v>
      </c>
      <c r="C138" s="379" t="s">
        <v>1676</v>
      </c>
      <c r="D138" s="429" t="s">
        <v>50</v>
      </c>
      <c r="E138" s="1018" t="s">
        <v>1677</v>
      </c>
      <c r="F138" s="1073" t="s">
        <v>613</v>
      </c>
      <c r="G138" s="63" t="s">
        <v>30</v>
      </c>
      <c r="H138" s="64">
        <v>1.0</v>
      </c>
      <c r="I138" s="1071">
        <f t="shared" si="32"/>
        <v>220000</v>
      </c>
      <c r="J138" s="685">
        <f t="shared" si="26"/>
        <v>220000</v>
      </c>
      <c r="K138" s="686">
        <f t="shared" si="29"/>
        <v>220000</v>
      </c>
      <c r="L138" s="693"/>
      <c r="M138" s="1016">
        <v>6738.0</v>
      </c>
      <c r="N138" s="1049"/>
      <c r="O138" s="80">
        <f t="shared" si="34"/>
        <v>213262</v>
      </c>
      <c r="P138" s="690" t="s">
        <v>449</v>
      </c>
      <c r="Q138" s="690" t="s">
        <v>31</v>
      </c>
      <c r="R138" s="805"/>
      <c r="S138" s="1013"/>
      <c r="T138" s="692" t="s">
        <v>33</v>
      </c>
      <c r="U138" s="693"/>
      <c r="V138" s="693"/>
      <c r="W138" s="694" t="s">
        <v>53</v>
      </c>
      <c r="X138" s="687"/>
      <c r="Y138" s="106"/>
      <c r="Z138" s="427"/>
      <c r="AA138" s="106"/>
      <c r="AB138" s="106"/>
      <c r="AC138" s="106"/>
      <c r="AD138" s="106"/>
    </row>
    <row r="139" ht="33.0" customHeight="1">
      <c r="A139" s="942">
        <v>99.0</v>
      </c>
      <c r="B139" s="1022">
        <v>45118.0</v>
      </c>
      <c r="C139" s="536">
        <v>1.71285865384E12</v>
      </c>
      <c r="D139" s="1038" t="s">
        <v>114</v>
      </c>
      <c r="E139" s="944" t="s">
        <v>1678</v>
      </c>
      <c r="F139" s="1074" t="s">
        <v>904</v>
      </c>
      <c r="G139" s="63" t="s">
        <v>30</v>
      </c>
      <c r="H139" s="64">
        <v>45.0</v>
      </c>
      <c r="I139" s="1071">
        <f t="shared" si="32"/>
        <v>220000</v>
      </c>
      <c r="J139" s="685">
        <f t="shared" si="26"/>
        <v>9900000</v>
      </c>
      <c r="K139" s="1041">
        <f>SUM(J139:J140)</f>
        <v>13950000</v>
      </c>
      <c r="L139" s="1031"/>
      <c r="M139" s="1025"/>
      <c r="N139" s="1055"/>
      <c r="O139" s="53">
        <f>K139+L139-N139</f>
        <v>13950000</v>
      </c>
      <c r="P139" s="1060" t="s">
        <v>449</v>
      </c>
      <c r="Q139" s="1060" t="s">
        <v>31</v>
      </c>
      <c r="R139" s="1028">
        <v>366701.0</v>
      </c>
      <c r="S139" s="1029" t="s">
        <v>32</v>
      </c>
      <c r="T139" s="1030" t="s">
        <v>33</v>
      </c>
      <c r="U139" s="1031"/>
      <c r="V139" s="1031"/>
      <c r="W139" s="942" t="s">
        <v>1679</v>
      </c>
      <c r="X139" s="974"/>
      <c r="Y139" s="106"/>
      <c r="Z139" s="427"/>
      <c r="AA139" s="106"/>
      <c r="AB139" s="106"/>
      <c r="AC139" s="106"/>
      <c r="AD139" s="106"/>
    </row>
    <row r="140" ht="24.75" customHeight="1">
      <c r="A140" s="67"/>
      <c r="B140" s="67"/>
      <c r="C140" s="67"/>
      <c r="D140" s="67"/>
      <c r="E140" s="67"/>
      <c r="F140" s="67"/>
      <c r="G140" s="72" t="s">
        <v>76</v>
      </c>
      <c r="H140" s="73">
        <v>45.0</v>
      </c>
      <c r="I140" s="1061">
        <v>90000.0</v>
      </c>
      <c r="J140" s="1062">
        <f t="shared" si="26"/>
        <v>4050000</v>
      </c>
      <c r="K140" s="67"/>
      <c r="L140" s="67"/>
      <c r="M140" s="67"/>
      <c r="N140" s="67"/>
      <c r="O140" s="67"/>
      <c r="P140" s="67"/>
      <c r="Q140" s="67"/>
      <c r="R140" s="67"/>
      <c r="S140" s="67"/>
      <c r="T140" s="67"/>
      <c r="U140" s="67"/>
      <c r="V140" s="67"/>
      <c r="W140" s="67"/>
      <c r="X140" s="67"/>
      <c r="Y140" s="106"/>
      <c r="Z140" s="427"/>
      <c r="AA140" s="106"/>
      <c r="AB140" s="106"/>
      <c r="AC140" s="106"/>
      <c r="AD140" s="106"/>
    </row>
    <row r="141" ht="24.75" customHeight="1">
      <c r="A141" s="694">
        <v>100.0</v>
      </c>
      <c r="B141" s="1032">
        <v>45119.0</v>
      </c>
      <c r="C141" s="377">
        <v>9982.0</v>
      </c>
      <c r="D141" s="429" t="s">
        <v>50</v>
      </c>
      <c r="E141" s="1018" t="s">
        <v>1680</v>
      </c>
      <c r="F141" s="1075" t="s">
        <v>132</v>
      </c>
      <c r="G141" s="63" t="s">
        <v>30</v>
      </c>
      <c r="H141" s="64">
        <v>1.0</v>
      </c>
      <c r="I141" s="1076">
        <f t="shared" ref="I141:I178" si="35">VLOOKUP(G141,$Y$4:$Z$43,2,0)</f>
        <v>220000</v>
      </c>
      <c r="J141" s="685">
        <f t="shared" si="26"/>
        <v>220000</v>
      </c>
      <c r="K141" s="686">
        <f t="shared" ref="K141:K150" si="36">sum(J141)</f>
        <v>220000</v>
      </c>
      <c r="L141" s="693"/>
      <c r="M141" s="1016">
        <v>6168.0</v>
      </c>
      <c r="N141" s="1049"/>
      <c r="O141" s="80">
        <f>K141+L141-M141</f>
        <v>213832</v>
      </c>
      <c r="P141" s="690" t="s">
        <v>449</v>
      </c>
      <c r="Q141" s="690" t="s">
        <v>31</v>
      </c>
      <c r="R141" s="805"/>
      <c r="S141" s="1013"/>
      <c r="T141" s="692" t="s">
        <v>33</v>
      </c>
      <c r="U141" s="693"/>
      <c r="V141" s="693"/>
      <c r="W141" s="694" t="s">
        <v>53</v>
      </c>
      <c r="X141" s="687"/>
      <c r="Y141" s="106"/>
      <c r="Z141" s="427"/>
      <c r="AA141" s="106"/>
      <c r="AB141" s="106"/>
      <c r="AC141" s="106"/>
      <c r="AD141" s="106"/>
    </row>
    <row r="142" ht="24.75" customHeight="1">
      <c r="A142" s="694">
        <v>101.0</v>
      </c>
      <c r="B142" s="1032">
        <v>45119.0</v>
      </c>
      <c r="C142" s="377">
        <v>9480.0</v>
      </c>
      <c r="D142" s="429" t="s">
        <v>50</v>
      </c>
      <c r="E142" s="1018" t="s">
        <v>1681</v>
      </c>
      <c r="F142" s="1075" t="s">
        <v>461</v>
      </c>
      <c r="G142" s="63" t="s">
        <v>30</v>
      </c>
      <c r="H142" s="64">
        <v>1.0</v>
      </c>
      <c r="I142" s="1076">
        <f t="shared" si="35"/>
        <v>220000</v>
      </c>
      <c r="J142" s="685">
        <f t="shared" si="26"/>
        <v>220000</v>
      </c>
      <c r="K142" s="686">
        <f t="shared" si="36"/>
        <v>220000</v>
      </c>
      <c r="L142" s="693"/>
      <c r="M142" s="1016">
        <v>7257.0</v>
      </c>
      <c r="N142" s="1049"/>
      <c r="O142" s="80">
        <f t="shared" ref="O142:O149" si="37">K142+L142-M142-N142</f>
        <v>212743</v>
      </c>
      <c r="P142" s="690" t="s">
        <v>449</v>
      </c>
      <c r="Q142" s="690" t="s">
        <v>31</v>
      </c>
      <c r="R142" s="805"/>
      <c r="S142" s="1013"/>
      <c r="T142" s="692" t="s">
        <v>33</v>
      </c>
      <c r="U142" s="693"/>
      <c r="V142" s="693"/>
      <c r="W142" s="694" t="s">
        <v>53</v>
      </c>
      <c r="X142" s="687"/>
      <c r="Y142" s="106"/>
      <c r="Z142" s="427"/>
      <c r="AA142" s="106"/>
      <c r="AB142" s="106"/>
      <c r="AC142" s="106"/>
      <c r="AD142" s="106"/>
    </row>
    <row r="143" ht="24.75" customHeight="1">
      <c r="A143" s="694">
        <v>102.0</v>
      </c>
      <c r="B143" s="1032">
        <v>45119.0</v>
      </c>
      <c r="C143" s="377">
        <v>6597.0</v>
      </c>
      <c r="D143" s="429" t="s">
        <v>50</v>
      </c>
      <c r="E143" s="1018" t="s">
        <v>1682</v>
      </c>
      <c r="F143" s="1077" t="s">
        <v>472</v>
      </c>
      <c r="G143" s="63" t="s">
        <v>30</v>
      </c>
      <c r="H143" s="64">
        <v>1.0</v>
      </c>
      <c r="I143" s="1076">
        <f t="shared" si="35"/>
        <v>220000</v>
      </c>
      <c r="J143" s="685">
        <f t="shared" si="26"/>
        <v>220000</v>
      </c>
      <c r="K143" s="686">
        <f t="shared" si="36"/>
        <v>220000</v>
      </c>
      <c r="L143" s="693"/>
      <c r="M143" s="1016">
        <v>7257.0</v>
      </c>
      <c r="N143" s="1049"/>
      <c r="O143" s="80">
        <f t="shared" si="37"/>
        <v>212743</v>
      </c>
      <c r="P143" s="690" t="s">
        <v>449</v>
      </c>
      <c r="Q143" s="690" t="s">
        <v>31</v>
      </c>
      <c r="R143" s="805"/>
      <c r="S143" s="1017"/>
      <c r="T143" s="692" t="s">
        <v>33</v>
      </c>
      <c r="U143" s="693"/>
      <c r="V143" s="693"/>
      <c r="W143" s="693"/>
      <c r="X143" s="694"/>
      <c r="Y143" s="106"/>
      <c r="Z143" s="427"/>
      <c r="AA143" s="106"/>
      <c r="AB143" s="106"/>
      <c r="AC143" s="106"/>
      <c r="AD143" s="106"/>
    </row>
    <row r="144" ht="28.5" customHeight="1">
      <c r="A144" s="694">
        <v>103.0</v>
      </c>
      <c r="B144" s="1032">
        <v>45119.0</v>
      </c>
      <c r="C144" s="377">
        <v>8299.0</v>
      </c>
      <c r="D144" s="429" t="s">
        <v>50</v>
      </c>
      <c r="E144" s="998" t="s">
        <v>1683</v>
      </c>
      <c r="F144" s="1077" t="s">
        <v>464</v>
      </c>
      <c r="G144" s="63" t="s">
        <v>30</v>
      </c>
      <c r="H144" s="64">
        <v>1.0</v>
      </c>
      <c r="I144" s="1076">
        <f t="shared" si="35"/>
        <v>220000</v>
      </c>
      <c r="J144" s="685">
        <f t="shared" si="26"/>
        <v>220000</v>
      </c>
      <c r="K144" s="686">
        <f t="shared" si="36"/>
        <v>220000</v>
      </c>
      <c r="L144" s="693"/>
      <c r="M144" s="1016">
        <v>7257.0</v>
      </c>
      <c r="N144" s="1049"/>
      <c r="O144" s="80">
        <f t="shared" si="37"/>
        <v>212743</v>
      </c>
      <c r="P144" s="690" t="s">
        <v>449</v>
      </c>
      <c r="Q144" s="690" t="s">
        <v>31</v>
      </c>
      <c r="R144" s="806"/>
      <c r="S144" s="1017"/>
      <c r="T144" s="692" t="s">
        <v>33</v>
      </c>
      <c r="U144" s="693"/>
      <c r="V144" s="693"/>
      <c r="W144" s="693"/>
      <c r="X144" s="694"/>
      <c r="Y144" s="106"/>
      <c r="Z144" s="427"/>
      <c r="AA144" s="106"/>
      <c r="AB144" s="106"/>
      <c r="AC144" s="106"/>
      <c r="AD144" s="106"/>
    </row>
    <row r="145" ht="34.5" customHeight="1">
      <c r="A145" s="694">
        <v>104.0</v>
      </c>
      <c r="B145" s="1032">
        <v>45119.0</v>
      </c>
      <c r="C145" s="377">
        <v>1.697886001257E12</v>
      </c>
      <c r="D145" s="429" t="s">
        <v>1684</v>
      </c>
      <c r="E145" s="131" t="s">
        <v>1685</v>
      </c>
      <c r="F145" s="1035" t="s">
        <v>1686</v>
      </c>
      <c r="G145" s="63" t="s">
        <v>30</v>
      </c>
      <c r="H145" s="64">
        <v>3.0</v>
      </c>
      <c r="I145" s="1076">
        <f t="shared" si="35"/>
        <v>220000</v>
      </c>
      <c r="J145" s="685">
        <f t="shared" si="26"/>
        <v>660000</v>
      </c>
      <c r="K145" s="686">
        <f t="shared" si="36"/>
        <v>660000</v>
      </c>
      <c r="L145" s="693"/>
      <c r="M145" s="1054"/>
      <c r="N145" s="1049"/>
      <c r="O145" s="80">
        <f t="shared" si="37"/>
        <v>660000</v>
      </c>
      <c r="P145" s="690" t="s">
        <v>449</v>
      </c>
      <c r="Q145" s="690" t="s">
        <v>31</v>
      </c>
      <c r="R145" s="806">
        <v>49000.0</v>
      </c>
      <c r="S145" s="1017" t="s">
        <v>32</v>
      </c>
      <c r="T145" s="692" t="s">
        <v>33</v>
      </c>
      <c r="U145" s="693"/>
      <c r="V145" s="693"/>
      <c r="W145" s="693"/>
      <c r="X145" s="694">
        <v>1.0</v>
      </c>
      <c r="Y145" s="106"/>
      <c r="Z145" s="427"/>
      <c r="AA145" s="106"/>
      <c r="AB145" s="106"/>
      <c r="AC145" s="106"/>
      <c r="AD145" s="106"/>
    </row>
    <row r="146" ht="27.0" customHeight="1">
      <c r="A146" s="694">
        <v>105.0</v>
      </c>
      <c r="B146" s="1032">
        <v>45120.0</v>
      </c>
      <c r="C146" s="377">
        <v>3598.0</v>
      </c>
      <c r="D146" s="429" t="s">
        <v>50</v>
      </c>
      <c r="E146" s="1018" t="s">
        <v>1687</v>
      </c>
      <c r="F146" s="1078" t="s">
        <v>897</v>
      </c>
      <c r="G146" s="63" t="s">
        <v>30</v>
      </c>
      <c r="H146" s="64">
        <v>1.0</v>
      </c>
      <c r="I146" s="1076">
        <f t="shared" si="35"/>
        <v>220000</v>
      </c>
      <c r="J146" s="685">
        <f t="shared" si="26"/>
        <v>220000</v>
      </c>
      <c r="K146" s="686">
        <f t="shared" si="36"/>
        <v>220000</v>
      </c>
      <c r="L146" s="693"/>
      <c r="M146" s="1016">
        <v>7257.0</v>
      </c>
      <c r="N146" s="1049"/>
      <c r="O146" s="80">
        <f t="shared" si="37"/>
        <v>212743</v>
      </c>
      <c r="P146" s="690" t="s">
        <v>449</v>
      </c>
      <c r="Q146" s="690" t="s">
        <v>31</v>
      </c>
      <c r="R146" s="805"/>
      <c r="S146" s="1013"/>
      <c r="T146" s="692" t="s">
        <v>33</v>
      </c>
      <c r="U146" s="693"/>
      <c r="V146" s="693"/>
      <c r="W146" s="694" t="s">
        <v>53</v>
      </c>
      <c r="X146" s="687"/>
      <c r="Y146" s="106"/>
      <c r="Z146" s="427"/>
      <c r="AA146" s="106"/>
      <c r="AB146" s="106"/>
      <c r="AC146" s="106"/>
      <c r="AD146" s="106"/>
    </row>
    <row r="147" ht="24.75" customHeight="1">
      <c r="A147" s="694">
        <v>106.0</v>
      </c>
      <c r="B147" s="1032">
        <v>45120.0</v>
      </c>
      <c r="C147" s="377">
        <v>5894.0</v>
      </c>
      <c r="D147" s="429" t="s">
        <v>50</v>
      </c>
      <c r="E147" s="684" t="s">
        <v>1688</v>
      </c>
      <c r="F147" s="1079" t="s">
        <v>65</v>
      </c>
      <c r="G147" s="63" t="s">
        <v>30</v>
      </c>
      <c r="H147" s="64">
        <v>1.0</v>
      </c>
      <c r="I147" s="1076">
        <f t="shared" si="35"/>
        <v>220000</v>
      </c>
      <c r="J147" s="685">
        <f t="shared" si="26"/>
        <v>220000</v>
      </c>
      <c r="K147" s="686">
        <f t="shared" si="36"/>
        <v>220000</v>
      </c>
      <c r="L147" s="693"/>
      <c r="M147" s="1016">
        <v>7257.0</v>
      </c>
      <c r="N147" s="1049"/>
      <c r="O147" s="80">
        <f t="shared" si="37"/>
        <v>212743</v>
      </c>
      <c r="P147" s="690" t="s">
        <v>449</v>
      </c>
      <c r="Q147" s="690" t="s">
        <v>31</v>
      </c>
      <c r="R147" s="805"/>
      <c r="S147" s="1013"/>
      <c r="T147" s="692" t="s">
        <v>33</v>
      </c>
      <c r="U147" s="693"/>
      <c r="V147" s="693"/>
      <c r="W147" s="694" t="s">
        <v>53</v>
      </c>
      <c r="X147" s="687"/>
      <c r="Y147" s="106"/>
      <c r="Z147" s="427"/>
      <c r="AA147" s="106"/>
      <c r="AB147" s="106"/>
      <c r="AC147" s="106"/>
      <c r="AD147" s="106"/>
    </row>
    <row r="148" ht="24.75" customHeight="1">
      <c r="A148" s="694">
        <v>107.0</v>
      </c>
      <c r="B148" s="1032">
        <v>45120.0</v>
      </c>
      <c r="C148" s="377">
        <v>5699.0</v>
      </c>
      <c r="D148" s="429" t="s">
        <v>50</v>
      </c>
      <c r="E148" s="1018" t="s">
        <v>1689</v>
      </c>
      <c r="F148" s="1079" t="s">
        <v>65</v>
      </c>
      <c r="G148" s="63" t="s">
        <v>30</v>
      </c>
      <c r="H148" s="64">
        <v>1.0</v>
      </c>
      <c r="I148" s="1076">
        <f t="shared" si="35"/>
        <v>220000</v>
      </c>
      <c r="J148" s="685">
        <f t="shared" si="26"/>
        <v>220000</v>
      </c>
      <c r="K148" s="686">
        <f t="shared" si="36"/>
        <v>220000</v>
      </c>
      <c r="L148" s="693"/>
      <c r="M148" s="1016">
        <v>6777.0</v>
      </c>
      <c r="N148" s="1049"/>
      <c r="O148" s="80">
        <f t="shared" si="37"/>
        <v>213223</v>
      </c>
      <c r="P148" s="690" t="s">
        <v>449</v>
      </c>
      <c r="Q148" s="690" t="s">
        <v>31</v>
      </c>
      <c r="R148" s="805"/>
      <c r="S148" s="1013"/>
      <c r="T148" s="692" t="s">
        <v>33</v>
      </c>
      <c r="U148" s="693"/>
      <c r="V148" s="693"/>
      <c r="W148" s="694" t="s">
        <v>53</v>
      </c>
      <c r="X148" s="687"/>
      <c r="Y148" s="106"/>
      <c r="Z148" s="427"/>
      <c r="AA148" s="106"/>
      <c r="AB148" s="106"/>
      <c r="AC148" s="106"/>
      <c r="AD148" s="106"/>
    </row>
    <row r="149" ht="24.75" customHeight="1">
      <c r="A149" s="694">
        <v>108.0</v>
      </c>
      <c r="B149" s="1032">
        <v>45120.0</v>
      </c>
      <c r="C149" s="377">
        <v>1708.0</v>
      </c>
      <c r="D149" s="429" t="s">
        <v>50</v>
      </c>
      <c r="E149" s="1018" t="s">
        <v>1690</v>
      </c>
      <c r="F149" s="1079" t="s">
        <v>119</v>
      </c>
      <c r="G149" s="63" t="s">
        <v>30</v>
      </c>
      <c r="H149" s="64">
        <v>1.0</v>
      </c>
      <c r="I149" s="1076">
        <f t="shared" si="35"/>
        <v>220000</v>
      </c>
      <c r="J149" s="685">
        <f t="shared" si="26"/>
        <v>220000</v>
      </c>
      <c r="K149" s="686">
        <f t="shared" si="36"/>
        <v>220000</v>
      </c>
      <c r="L149" s="693"/>
      <c r="M149" s="1016">
        <v>7707.0</v>
      </c>
      <c r="N149" s="1049"/>
      <c r="O149" s="80">
        <f t="shared" si="37"/>
        <v>212293</v>
      </c>
      <c r="P149" s="690" t="s">
        <v>449</v>
      </c>
      <c r="Q149" s="690" t="s">
        <v>31</v>
      </c>
      <c r="R149" s="805"/>
      <c r="S149" s="1013"/>
      <c r="T149" s="692" t="s">
        <v>33</v>
      </c>
      <c r="U149" s="693"/>
      <c r="V149" s="693"/>
      <c r="W149" s="694" t="s">
        <v>53</v>
      </c>
      <c r="X149" s="687"/>
      <c r="Y149" s="106"/>
      <c r="Z149" s="427"/>
      <c r="AA149" s="106"/>
      <c r="AB149" s="106"/>
      <c r="AC149" s="106"/>
      <c r="AD149" s="106"/>
    </row>
    <row r="150" ht="24.75" customHeight="1">
      <c r="A150" s="694">
        <v>109.0</v>
      </c>
      <c r="B150" s="1032">
        <v>45120.0</v>
      </c>
      <c r="C150" s="694">
        <v>1.713070831483E12</v>
      </c>
      <c r="D150" s="429" t="s">
        <v>1371</v>
      </c>
      <c r="E150" s="684" t="s">
        <v>1372</v>
      </c>
      <c r="F150" s="1035" t="s">
        <v>1691</v>
      </c>
      <c r="G150" s="63" t="s">
        <v>30</v>
      </c>
      <c r="H150" s="64">
        <v>1.0</v>
      </c>
      <c r="I150" s="1076">
        <f t="shared" si="35"/>
        <v>220000</v>
      </c>
      <c r="J150" s="685">
        <f t="shared" si="26"/>
        <v>220000</v>
      </c>
      <c r="K150" s="686">
        <f t="shared" si="36"/>
        <v>220000</v>
      </c>
      <c r="L150" s="806">
        <v>40000.0</v>
      </c>
      <c r="M150" s="688"/>
      <c r="N150" s="1011">
        <v>20000.0</v>
      </c>
      <c r="O150" s="80">
        <f t="shared" ref="O150:O151" si="38">K150+L150-N150</f>
        <v>240000</v>
      </c>
      <c r="P150" s="690" t="s">
        <v>449</v>
      </c>
      <c r="Q150" s="690" t="s">
        <v>31</v>
      </c>
      <c r="R150" s="805"/>
      <c r="S150" s="1013"/>
      <c r="T150" s="692" t="s">
        <v>33</v>
      </c>
      <c r="U150" s="693"/>
      <c r="V150" s="693"/>
      <c r="W150" s="693"/>
      <c r="X150" s="687"/>
      <c r="Y150" s="106"/>
      <c r="Z150" s="427"/>
      <c r="AA150" s="106"/>
      <c r="AB150" s="106"/>
      <c r="AC150" s="106"/>
      <c r="AD150" s="106"/>
    </row>
    <row r="151" ht="24.75" customHeight="1">
      <c r="A151" s="942">
        <v>110.0</v>
      </c>
      <c r="B151" s="1022">
        <v>45120.0</v>
      </c>
      <c r="C151" s="942">
        <v>1.712092215463E12</v>
      </c>
      <c r="D151" s="1038" t="s">
        <v>473</v>
      </c>
      <c r="E151" s="944" t="s">
        <v>474</v>
      </c>
      <c r="F151" s="1024" t="s">
        <v>737</v>
      </c>
      <c r="G151" s="63" t="s">
        <v>30</v>
      </c>
      <c r="H151" s="64">
        <v>1.0</v>
      </c>
      <c r="I151" s="1076">
        <f t="shared" si="35"/>
        <v>220000</v>
      </c>
      <c r="J151" s="685">
        <f t="shared" si="26"/>
        <v>220000</v>
      </c>
      <c r="K151" s="1041">
        <f>SUM(J151:J156)</f>
        <v>815000</v>
      </c>
      <c r="L151" s="1031"/>
      <c r="M151" s="1052"/>
      <c r="N151" s="1055"/>
      <c r="O151" s="53">
        <f t="shared" si="38"/>
        <v>815000</v>
      </c>
      <c r="P151" s="1060" t="s">
        <v>449</v>
      </c>
      <c r="Q151" s="1060" t="s">
        <v>31</v>
      </c>
      <c r="R151" s="1028">
        <v>49000.0</v>
      </c>
      <c r="S151" s="1029" t="s">
        <v>32</v>
      </c>
      <c r="T151" s="1030" t="s">
        <v>33</v>
      </c>
      <c r="U151" s="1031"/>
      <c r="V151" s="1031"/>
      <c r="W151" s="1031"/>
      <c r="X151" s="974"/>
      <c r="Y151" s="106"/>
      <c r="Z151" s="427"/>
      <c r="AA151" s="106"/>
      <c r="AB151" s="106"/>
      <c r="AC151" s="106"/>
      <c r="AD151" s="106"/>
    </row>
    <row r="152" ht="24.75" customHeight="1">
      <c r="A152" s="62"/>
      <c r="B152" s="62"/>
      <c r="C152" s="62"/>
      <c r="D152" s="62"/>
      <c r="E152" s="62"/>
      <c r="F152" s="62"/>
      <c r="G152" s="63" t="s">
        <v>165</v>
      </c>
      <c r="H152" s="64">
        <v>1.0</v>
      </c>
      <c r="I152" s="1076">
        <f t="shared" si="35"/>
        <v>220000</v>
      </c>
      <c r="J152" s="685">
        <f t="shared" si="26"/>
        <v>220000</v>
      </c>
      <c r="K152" s="62"/>
      <c r="L152" s="62"/>
      <c r="M152" s="62"/>
      <c r="N152" s="62"/>
      <c r="O152" s="62"/>
      <c r="P152" s="62"/>
      <c r="Q152" s="62"/>
      <c r="R152" s="62"/>
      <c r="S152" s="62"/>
      <c r="T152" s="62"/>
      <c r="U152" s="62"/>
      <c r="V152" s="62"/>
      <c r="W152" s="62"/>
      <c r="X152" s="62"/>
      <c r="Y152" s="106"/>
      <c r="Z152" s="427"/>
      <c r="AA152" s="106"/>
      <c r="AB152" s="106"/>
      <c r="AC152" s="106"/>
      <c r="AD152" s="106"/>
    </row>
    <row r="153" ht="24.75" customHeight="1">
      <c r="A153" s="62"/>
      <c r="B153" s="62"/>
      <c r="C153" s="62"/>
      <c r="D153" s="62"/>
      <c r="E153" s="62"/>
      <c r="F153" s="62"/>
      <c r="G153" s="63" t="s">
        <v>122</v>
      </c>
      <c r="H153" s="64">
        <v>1.0</v>
      </c>
      <c r="I153" s="1076">
        <f t="shared" si="35"/>
        <v>220000</v>
      </c>
      <c r="J153" s="685">
        <f t="shared" si="26"/>
        <v>220000</v>
      </c>
      <c r="K153" s="62"/>
      <c r="L153" s="62"/>
      <c r="M153" s="62"/>
      <c r="N153" s="62"/>
      <c r="O153" s="62"/>
      <c r="P153" s="62"/>
      <c r="Q153" s="62"/>
      <c r="R153" s="62"/>
      <c r="S153" s="62"/>
      <c r="T153" s="62"/>
      <c r="U153" s="62"/>
      <c r="V153" s="62"/>
      <c r="W153" s="62"/>
      <c r="X153" s="62"/>
      <c r="Y153" s="106"/>
      <c r="Z153" s="427"/>
      <c r="AA153" s="106"/>
      <c r="AB153" s="106"/>
      <c r="AC153" s="106"/>
      <c r="AD153" s="106"/>
    </row>
    <row r="154" ht="24.75" customHeight="1">
      <c r="A154" s="62"/>
      <c r="B154" s="62"/>
      <c r="C154" s="62"/>
      <c r="D154" s="62"/>
      <c r="E154" s="62"/>
      <c r="F154" s="62"/>
      <c r="G154" s="63" t="s">
        <v>476</v>
      </c>
      <c r="H154" s="64">
        <v>1.0</v>
      </c>
      <c r="I154" s="1076">
        <f t="shared" si="35"/>
        <v>55000</v>
      </c>
      <c r="J154" s="685">
        <f t="shared" si="26"/>
        <v>55000</v>
      </c>
      <c r="K154" s="62"/>
      <c r="L154" s="62"/>
      <c r="M154" s="62"/>
      <c r="N154" s="62"/>
      <c r="O154" s="62"/>
      <c r="P154" s="62"/>
      <c r="Q154" s="62"/>
      <c r="R154" s="62"/>
      <c r="S154" s="62"/>
      <c r="T154" s="62"/>
      <c r="U154" s="62"/>
      <c r="V154" s="62"/>
      <c r="W154" s="62"/>
      <c r="X154" s="62"/>
      <c r="Y154" s="106"/>
      <c r="Z154" s="427"/>
      <c r="AA154" s="106"/>
      <c r="AB154" s="106"/>
      <c r="AC154" s="106"/>
      <c r="AD154" s="106"/>
    </row>
    <row r="155" ht="24.75" customHeight="1">
      <c r="A155" s="62"/>
      <c r="B155" s="62"/>
      <c r="C155" s="62"/>
      <c r="D155" s="62"/>
      <c r="E155" s="62"/>
      <c r="F155" s="62"/>
      <c r="G155" s="63" t="s">
        <v>478</v>
      </c>
      <c r="H155" s="64">
        <v>1.0</v>
      </c>
      <c r="I155" s="1076">
        <f t="shared" si="35"/>
        <v>65000</v>
      </c>
      <c r="J155" s="685">
        <f t="shared" si="26"/>
        <v>65000</v>
      </c>
      <c r="K155" s="62"/>
      <c r="L155" s="62"/>
      <c r="M155" s="62"/>
      <c r="N155" s="62"/>
      <c r="O155" s="62"/>
      <c r="P155" s="62"/>
      <c r="Q155" s="62"/>
      <c r="R155" s="62"/>
      <c r="S155" s="62"/>
      <c r="T155" s="62"/>
      <c r="U155" s="62"/>
      <c r="V155" s="62"/>
      <c r="W155" s="62"/>
      <c r="X155" s="62"/>
      <c r="Y155" s="106"/>
      <c r="Z155" s="427"/>
      <c r="AA155" s="106"/>
      <c r="AB155" s="106"/>
      <c r="AC155" s="106"/>
      <c r="AD155" s="106"/>
    </row>
    <row r="156" ht="24.75" customHeight="1">
      <c r="A156" s="67"/>
      <c r="B156" s="67"/>
      <c r="C156" s="67"/>
      <c r="D156" s="67"/>
      <c r="E156" s="67"/>
      <c r="F156" s="67"/>
      <c r="G156" s="72" t="s">
        <v>479</v>
      </c>
      <c r="H156" s="73">
        <v>1.0</v>
      </c>
      <c r="I156" s="1080">
        <f t="shared" si="35"/>
        <v>35000</v>
      </c>
      <c r="J156" s="1062">
        <f t="shared" si="26"/>
        <v>35000</v>
      </c>
      <c r="K156" s="67"/>
      <c r="L156" s="67"/>
      <c r="M156" s="67"/>
      <c r="N156" s="67"/>
      <c r="O156" s="67"/>
      <c r="P156" s="67"/>
      <c r="Q156" s="67"/>
      <c r="R156" s="67"/>
      <c r="S156" s="67"/>
      <c r="T156" s="67"/>
      <c r="U156" s="67"/>
      <c r="V156" s="67"/>
      <c r="W156" s="67"/>
      <c r="X156" s="67"/>
      <c r="Y156" s="106"/>
      <c r="Z156" s="427"/>
      <c r="AA156" s="106"/>
      <c r="AB156" s="106"/>
      <c r="AC156" s="106"/>
      <c r="AD156" s="106"/>
    </row>
    <row r="157" ht="24.75" customHeight="1">
      <c r="A157" s="694">
        <v>111.0</v>
      </c>
      <c r="B157" s="1032">
        <v>45121.0</v>
      </c>
      <c r="C157" s="694">
        <v>3709.0</v>
      </c>
      <c r="D157" s="429" t="s">
        <v>50</v>
      </c>
      <c r="E157" s="1018" t="s">
        <v>1692</v>
      </c>
      <c r="F157" s="1075" t="s">
        <v>70</v>
      </c>
      <c r="G157" s="63" t="s">
        <v>30</v>
      </c>
      <c r="H157" s="64">
        <v>1.0</v>
      </c>
      <c r="I157" s="1076">
        <f t="shared" si="35"/>
        <v>220000</v>
      </c>
      <c r="J157" s="685">
        <f t="shared" si="26"/>
        <v>220000</v>
      </c>
      <c r="K157" s="686">
        <f>SUM(J157)</f>
        <v>220000</v>
      </c>
      <c r="L157" s="693"/>
      <c r="M157" s="1016">
        <v>7707.0</v>
      </c>
      <c r="N157" s="1049"/>
      <c r="O157" s="80">
        <f t="shared" ref="O157:O158" si="39">K157+L157-M157-N157</f>
        <v>212293</v>
      </c>
      <c r="P157" s="690" t="s">
        <v>449</v>
      </c>
      <c r="Q157" s="690" t="s">
        <v>31</v>
      </c>
      <c r="R157" s="805"/>
      <c r="S157" s="1013"/>
      <c r="T157" s="692" t="s">
        <v>33</v>
      </c>
      <c r="U157" s="693"/>
      <c r="V157" s="693"/>
      <c r="W157" s="694" t="s">
        <v>53</v>
      </c>
      <c r="X157" s="687"/>
      <c r="Y157" s="106"/>
      <c r="Z157" s="427"/>
      <c r="AA157" s="106"/>
      <c r="AB157" s="106"/>
      <c r="AC157" s="106"/>
      <c r="AD157" s="106"/>
    </row>
    <row r="158" ht="24.75" customHeight="1">
      <c r="A158" s="694">
        <v>112.0</v>
      </c>
      <c r="B158" s="1032">
        <v>45121.0</v>
      </c>
      <c r="C158" s="377">
        <v>2813.0</v>
      </c>
      <c r="D158" s="429" t="s">
        <v>50</v>
      </c>
      <c r="E158" s="1018" t="s">
        <v>721</v>
      </c>
      <c r="F158" s="1075" t="s">
        <v>156</v>
      </c>
      <c r="G158" s="63" t="s">
        <v>30</v>
      </c>
      <c r="H158" s="64">
        <v>2.0</v>
      </c>
      <c r="I158" s="1076">
        <f t="shared" si="35"/>
        <v>220000</v>
      </c>
      <c r="J158" s="685">
        <f t="shared" si="26"/>
        <v>440000</v>
      </c>
      <c r="K158" s="686">
        <f>sum(J158)</f>
        <v>440000</v>
      </c>
      <c r="L158" s="693"/>
      <c r="M158" s="688">
        <f>(K158*3%)+8800</f>
        <v>22000</v>
      </c>
      <c r="N158" s="1049"/>
      <c r="O158" s="80">
        <f t="shared" si="39"/>
        <v>418000</v>
      </c>
      <c r="P158" s="690" t="s">
        <v>449</v>
      </c>
      <c r="Q158" s="690" t="s">
        <v>31</v>
      </c>
      <c r="R158" s="805"/>
      <c r="S158" s="1013"/>
      <c r="T158" s="692" t="s">
        <v>33</v>
      </c>
      <c r="U158" s="693"/>
      <c r="V158" s="693"/>
      <c r="W158" s="694" t="s">
        <v>1693</v>
      </c>
      <c r="X158" s="687"/>
      <c r="Y158" s="106"/>
      <c r="Z158" s="427"/>
      <c r="AA158" s="106"/>
      <c r="AB158" s="106"/>
      <c r="AC158" s="106"/>
      <c r="AD158" s="106"/>
    </row>
    <row r="159" ht="28.5" customHeight="1">
      <c r="A159" s="942">
        <v>113.0</v>
      </c>
      <c r="B159" s="1022">
        <v>45121.0</v>
      </c>
      <c r="C159" s="683">
        <v>1.711564315211E12</v>
      </c>
      <c r="D159" s="1038" t="s">
        <v>1694</v>
      </c>
      <c r="E159" s="944" t="s">
        <v>1695</v>
      </c>
      <c r="F159" s="1038" t="s">
        <v>1696</v>
      </c>
      <c r="G159" s="63" t="s">
        <v>30</v>
      </c>
      <c r="H159" s="64">
        <v>2.0</v>
      </c>
      <c r="I159" s="1076">
        <f t="shared" si="35"/>
        <v>220000</v>
      </c>
      <c r="J159" s="685">
        <f t="shared" si="26"/>
        <v>440000</v>
      </c>
      <c r="K159" s="1041">
        <f>SUM(J159:J160)</f>
        <v>1100000</v>
      </c>
      <c r="L159" s="1031"/>
      <c r="M159" s="1052"/>
      <c r="N159" s="1055"/>
      <c r="O159" s="53">
        <f>K159+L159-N159</f>
        <v>1100000</v>
      </c>
      <c r="P159" s="1060" t="s">
        <v>449</v>
      </c>
      <c r="Q159" s="1060" t="s">
        <v>31</v>
      </c>
      <c r="R159" s="1028">
        <v>57999.0</v>
      </c>
      <c r="S159" s="1029" t="s">
        <v>32</v>
      </c>
      <c r="T159" s="1030" t="s">
        <v>33</v>
      </c>
      <c r="U159" s="1031"/>
      <c r="V159" s="1031"/>
      <c r="W159" s="974"/>
      <c r="X159" s="942">
        <v>1.0</v>
      </c>
      <c r="Y159" s="106"/>
      <c r="Z159" s="427"/>
      <c r="AA159" s="106"/>
      <c r="AB159" s="106"/>
      <c r="AC159" s="106"/>
      <c r="AD159" s="106"/>
    </row>
    <row r="160" ht="28.5" customHeight="1">
      <c r="A160" s="67"/>
      <c r="B160" s="67"/>
      <c r="C160" s="102"/>
      <c r="D160" s="67"/>
      <c r="E160" s="67"/>
      <c r="F160" s="67"/>
      <c r="G160" s="63" t="s">
        <v>35</v>
      </c>
      <c r="H160" s="64">
        <v>3.0</v>
      </c>
      <c r="I160" s="1076">
        <f t="shared" si="35"/>
        <v>220000</v>
      </c>
      <c r="J160" s="685">
        <f t="shared" si="26"/>
        <v>660000</v>
      </c>
      <c r="K160" s="67"/>
      <c r="L160" s="67"/>
      <c r="M160" s="67"/>
      <c r="N160" s="67"/>
      <c r="O160" s="67"/>
      <c r="P160" s="67"/>
      <c r="Q160" s="67"/>
      <c r="R160" s="67"/>
      <c r="S160" s="67"/>
      <c r="T160" s="67"/>
      <c r="U160" s="67"/>
      <c r="V160" s="67"/>
      <c r="W160" s="67"/>
      <c r="X160" s="67"/>
      <c r="Y160" s="106"/>
      <c r="Z160" s="427"/>
      <c r="AA160" s="106"/>
      <c r="AB160" s="106"/>
      <c r="AC160" s="106"/>
      <c r="AD160" s="106"/>
    </row>
    <row r="161" ht="28.5" customHeight="1">
      <c r="A161" s="694">
        <v>114.0</v>
      </c>
      <c r="B161" s="1032">
        <v>45122.0</v>
      </c>
      <c r="C161" s="377">
        <v>9202.0</v>
      </c>
      <c r="D161" s="429" t="s">
        <v>50</v>
      </c>
      <c r="E161" s="1018" t="s">
        <v>1697</v>
      </c>
      <c r="F161" s="429" t="s">
        <v>84</v>
      </c>
      <c r="G161" s="63" t="s">
        <v>30</v>
      </c>
      <c r="H161" s="64">
        <v>1.0</v>
      </c>
      <c r="I161" s="1076">
        <f t="shared" si="35"/>
        <v>220000</v>
      </c>
      <c r="J161" s="685">
        <f t="shared" si="26"/>
        <v>220000</v>
      </c>
      <c r="K161" s="1081">
        <f t="shared" ref="K161:K166" si="40">SUM(J161)</f>
        <v>220000</v>
      </c>
      <c r="L161" s="687"/>
      <c r="M161" s="688">
        <f t="shared" ref="M161:M164" si="41">K161*3%</f>
        <v>6600</v>
      </c>
      <c r="N161" s="1049"/>
      <c r="O161" s="80">
        <f t="shared" ref="O161:O165" si="42">K161+L161-M161</f>
        <v>213400</v>
      </c>
      <c r="P161" s="690" t="s">
        <v>449</v>
      </c>
      <c r="Q161" s="690" t="s">
        <v>31</v>
      </c>
      <c r="R161" s="805"/>
      <c r="S161" s="1013"/>
      <c r="T161" s="692" t="s">
        <v>33</v>
      </c>
      <c r="U161" s="693"/>
      <c r="V161" s="693"/>
      <c r="W161" s="694" t="s">
        <v>1693</v>
      </c>
      <c r="X161" s="687"/>
      <c r="Y161" s="106"/>
      <c r="Z161" s="427"/>
      <c r="AA161" s="106"/>
      <c r="AB161" s="106"/>
      <c r="AC161" s="106"/>
      <c r="AD161" s="106"/>
    </row>
    <row r="162" ht="28.5" customHeight="1">
      <c r="A162" s="694">
        <v>115.0</v>
      </c>
      <c r="B162" s="1032">
        <v>45124.0</v>
      </c>
      <c r="C162" s="694">
        <v>3722.0</v>
      </c>
      <c r="D162" s="429" t="s">
        <v>50</v>
      </c>
      <c r="E162" s="1018" t="s">
        <v>1698</v>
      </c>
      <c r="F162" s="693" t="s">
        <v>119</v>
      </c>
      <c r="G162" s="63" t="s">
        <v>30</v>
      </c>
      <c r="H162" s="64">
        <v>1.0</v>
      </c>
      <c r="I162" s="1076">
        <f t="shared" si="35"/>
        <v>220000</v>
      </c>
      <c r="J162" s="685">
        <f t="shared" si="26"/>
        <v>220000</v>
      </c>
      <c r="K162" s="1081">
        <f t="shared" si="40"/>
        <v>220000</v>
      </c>
      <c r="L162" s="687"/>
      <c r="M162" s="688">
        <f t="shared" si="41"/>
        <v>6600</v>
      </c>
      <c r="N162" s="1049"/>
      <c r="O162" s="80">
        <f t="shared" si="42"/>
        <v>213400</v>
      </c>
      <c r="P162" s="1082"/>
      <c r="Q162" s="1082"/>
      <c r="R162" s="805"/>
      <c r="S162" s="1013"/>
      <c r="T162" s="691"/>
      <c r="U162" s="693"/>
      <c r="V162" s="693"/>
      <c r="W162" s="694" t="s">
        <v>53</v>
      </c>
      <c r="X162" s="687"/>
      <c r="Y162" s="106"/>
      <c r="Z162" s="427"/>
      <c r="AA162" s="106"/>
      <c r="AB162" s="106"/>
      <c r="AC162" s="106"/>
      <c r="AD162" s="106"/>
    </row>
    <row r="163" ht="28.5" customHeight="1">
      <c r="A163" s="694">
        <v>116.0</v>
      </c>
      <c r="B163" s="1032">
        <v>45124.0</v>
      </c>
      <c r="C163" s="694">
        <v>3824.0</v>
      </c>
      <c r="D163" s="429" t="s">
        <v>50</v>
      </c>
      <c r="E163" s="1018" t="s">
        <v>127</v>
      </c>
      <c r="F163" s="693" t="s">
        <v>982</v>
      </c>
      <c r="G163" s="63" t="s">
        <v>30</v>
      </c>
      <c r="H163" s="64">
        <v>1.0</v>
      </c>
      <c r="I163" s="1076">
        <f t="shared" si="35"/>
        <v>220000</v>
      </c>
      <c r="J163" s="685">
        <f t="shared" si="26"/>
        <v>220000</v>
      </c>
      <c r="K163" s="1081">
        <f t="shared" si="40"/>
        <v>220000</v>
      </c>
      <c r="L163" s="687"/>
      <c r="M163" s="688">
        <f t="shared" si="41"/>
        <v>6600</v>
      </c>
      <c r="N163" s="1049"/>
      <c r="O163" s="80">
        <f t="shared" si="42"/>
        <v>213400</v>
      </c>
      <c r="P163" s="1082"/>
      <c r="Q163" s="1082"/>
      <c r="R163" s="805"/>
      <c r="S163" s="1013"/>
      <c r="T163" s="691"/>
      <c r="U163" s="693"/>
      <c r="V163" s="693"/>
      <c r="W163" s="694" t="s">
        <v>53</v>
      </c>
      <c r="X163" s="687"/>
      <c r="Y163" s="106"/>
      <c r="Z163" s="427"/>
      <c r="AA163" s="106"/>
      <c r="AB163" s="106"/>
      <c r="AC163" s="106"/>
      <c r="AD163" s="106"/>
    </row>
    <row r="164" ht="28.5" customHeight="1">
      <c r="A164" s="694">
        <v>117.0</v>
      </c>
      <c r="B164" s="1032">
        <v>45124.0</v>
      </c>
      <c r="C164" s="694">
        <v>2139.0</v>
      </c>
      <c r="D164" s="429" t="s">
        <v>50</v>
      </c>
      <c r="E164" s="1018" t="s">
        <v>1699</v>
      </c>
      <c r="F164" s="693" t="s">
        <v>119</v>
      </c>
      <c r="G164" s="63" t="s">
        <v>30</v>
      </c>
      <c r="H164" s="64">
        <v>3.0</v>
      </c>
      <c r="I164" s="1076">
        <f t="shared" si="35"/>
        <v>220000</v>
      </c>
      <c r="J164" s="685">
        <f t="shared" si="26"/>
        <v>660000</v>
      </c>
      <c r="K164" s="1081">
        <f t="shared" si="40"/>
        <v>660000</v>
      </c>
      <c r="L164" s="687"/>
      <c r="M164" s="688">
        <f t="shared" si="41"/>
        <v>19800</v>
      </c>
      <c r="N164" s="1049"/>
      <c r="O164" s="80">
        <f t="shared" si="42"/>
        <v>640200</v>
      </c>
      <c r="P164" s="1082"/>
      <c r="Q164" s="1082"/>
      <c r="R164" s="805"/>
      <c r="S164" s="1013"/>
      <c r="T164" s="691"/>
      <c r="U164" s="693"/>
      <c r="V164" s="693"/>
      <c r="W164" s="694" t="s">
        <v>53</v>
      </c>
      <c r="X164" s="687"/>
      <c r="Y164" s="106"/>
      <c r="Z164" s="427"/>
      <c r="AA164" s="106"/>
      <c r="AB164" s="106"/>
      <c r="AC164" s="106"/>
      <c r="AD164" s="106"/>
    </row>
    <row r="165" ht="28.5" customHeight="1">
      <c r="A165" s="694">
        <v>118.0</v>
      </c>
      <c r="B165" s="1032">
        <v>45124.0</v>
      </c>
      <c r="C165" s="377">
        <v>3231.0</v>
      </c>
      <c r="D165" s="429" t="s">
        <v>50</v>
      </c>
      <c r="E165" s="1018" t="s">
        <v>1700</v>
      </c>
      <c r="F165" s="693" t="s">
        <v>281</v>
      </c>
      <c r="G165" s="63" t="s">
        <v>30</v>
      </c>
      <c r="H165" s="64">
        <v>1.0</v>
      </c>
      <c r="I165" s="1076">
        <f t="shared" si="35"/>
        <v>220000</v>
      </c>
      <c r="J165" s="685">
        <f t="shared" si="26"/>
        <v>220000</v>
      </c>
      <c r="K165" s="1081">
        <f t="shared" si="40"/>
        <v>220000</v>
      </c>
      <c r="L165" s="687"/>
      <c r="M165" s="1016">
        <v>6987.0</v>
      </c>
      <c r="N165" s="1049"/>
      <c r="O165" s="80">
        <f t="shared" si="42"/>
        <v>213013</v>
      </c>
      <c r="P165" s="690" t="s">
        <v>449</v>
      </c>
      <c r="Q165" s="690" t="s">
        <v>31</v>
      </c>
      <c r="R165" s="805"/>
      <c r="S165" s="1013"/>
      <c r="T165" s="692" t="s">
        <v>33</v>
      </c>
      <c r="U165" s="693"/>
      <c r="V165" s="693"/>
      <c r="W165" s="694" t="s">
        <v>53</v>
      </c>
      <c r="X165" s="687"/>
      <c r="Y165" s="106"/>
      <c r="Z165" s="427"/>
      <c r="AA165" s="106"/>
      <c r="AB165" s="106"/>
      <c r="AC165" s="106"/>
      <c r="AD165" s="106"/>
    </row>
    <row r="166" ht="36.0" customHeight="1">
      <c r="A166" s="694">
        <v>119.0</v>
      </c>
      <c r="B166" s="1032">
        <v>45124.0</v>
      </c>
      <c r="C166" s="694">
        <v>1.699595743764E12</v>
      </c>
      <c r="D166" s="429" t="s">
        <v>326</v>
      </c>
      <c r="E166" s="684" t="s">
        <v>327</v>
      </c>
      <c r="F166" s="133" t="s">
        <v>1701</v>
      </c>
      <c r="G166" s="63" t="s">
        <v>516</v>
      </c>
      <c r="H166" s="64">
        <v>6.0</v>
      </c>
      <c r="I166" s="1076">
        <f t="shared" si="35"/>
        <v>220000</v>
      </c>
      <c r="J166" s="685">
        <f t="shared" si="26"/>
        <v>1320000</v>
      </c>
      <c r="K166" s="1081">
        <f t="shared" si="40"/>
        <v>1320000</v>
      </c>
      <c r="L166" s="687"/>
      <c r="M166" s="688"/>
      <c r="N166" s="1049"/>
      <c r="O166" s="80">
        <f t="shared" ref="O166:O167" si="43">K166+L166-N166</f>
        <v>1320000</v>
      </c>
      <c r="P166" s="690" t="s">
        <v>449</v>
      </c>
      <c r="Q166" s="690" t="s">
        <v>31</v>
      </c>
      <c r="R166" s="806">
        <v>74499.0</v>
      </c>
      <c r="S166" s="1017" t="s">
        <v>32</v>
      </c>
      <c r="T166" s="692" t="s">
        <v>33</v>
      </c>
      <c r="U166" s="429" t="s">
        <v>30</v>
      </c>
      <c r="V166" s="694">
        <v>2.0</v>
      </c>
      <c r="W166" s="64" t="s">
        <v>1542</v>
      </c>
      <c r="X166" s="687"/>
      <c r="Y166" s="106"/>
      <c r="Z166" s="427"/>
      <c r="AA166" s="106"/>
      <c r="AB166" s="106"/>
      <c r="AC166" s="106"/>
      <c r="AD166" s="106"/>
    </row>
    <row r="167" ht="28.5" customHeight="1">
      <c r="A167" s="942">
        <v>120.0</v>
      </c>
      <c r="B167" s="1022">
        <v>45124.0</v>
      </c>
      <c r="C167" s="942">
        <v>1.699527991337E12</v>
      </c>
      <c r="D167" s="1038" t="s">
        <v>646</v>
      </c>
      <c r="E167" s="944" t="s">
        <v>647</v>
      </c>
      <c r="F167" s="1038" t="s">
        <v>648</v>
      </c>
      <c r="G167" s="63" t="s">
        <v>165</v>
      </c>
      <c r="H167" s="64">
        <v>1.0</v>
      </c>
      <c r="I167" s="1076">
        <f t="shared" si="35"/>
        <v>220000</v>
      </c>
      <c r="J167" s="685">
        <f t="shared" si="26"/>
        <v>220000</v>
      </c>
      <c r="K167" s="1083">
        <f>SUM(J167:J169)</f>
        <v>880000</v>
      </c>
      <c r="L167" s="974"/>
      <c r="M167" s="1025"/>
      <c r="N167" s="1055"/>
      <c r="O167" s="53">
        <f t="shared" si="43"/>
        <v>880000</v>
      </c>
      <c r="P167" s="1060" t="s">
        <v>449</v>
      </c>
      <c r="Q167" s="1060" t="s">
        <v>31</v>
      </c>
      <c r="R167" s="1028">
        <v>57999.0</v>
      </c>
      <c r="S167" s="1029" t="s">
        <v>32</v>
      </c>
      <c r="T167" s="1030" t="s">
        <v>33</v>
      </c>
      <c r="U167" s="1038" t="s">
        <v>30</v>
      </c>
      <c r="V167" s="942">
        <v>1.0</v>
      </c>
      <c r="W167" s="39" t="s">
        <v>1542</v>
      </c>
      <c r="X167" s="974"/>
      <c r="Y167" s="106"/>
      <c r="Z167" s="427"/>
      <c r="AA167" s="106"/>
      <c r="AB167" s="106"/>
      <c r="AC167" s="106"/>
      <c r="AD167" s="106"/>
    </row>
    <row r="168" ht="28.5" customHeight="1">
      <c r="A168" s="62"/>
      <c r="B168" s="62"/>
      <c r="C168" s="62"/>
      <c r="D168" s="62"/>
      <c r="E168" s="62"/>
      <c r="F168" s="62"/>
      <c r="G168" s="63" t="s">
        <v>35</v>
      </c>
      <c r="H168" s="64">
        <v>1.0</v>
      </c>
      <c r="I168" s="1076">
        <f t="shared" si="35"/>
        <v>220000</v>
      </c>
      <c r="J168" s="685">
        <f t="shared" si="26"/>
        <v>220000</v>
      </c>
      <c r="K168" s="62"/>
      <c r="L168" s="62"/>
      <c r="M168" s="62"/>
      <c r="N168" s="62"/>
      <c r="O168" s="62"/>
      <c r="P168" s="62"/>
      <c r="Q168" s="62"/>
      <c r="R168" s="62"/>
      <c r="S168" s="62"/>
      <c r="T168" s="62"/>
      <c r="U168" s="62"/>
      <c r="V168" s="62"/>
      <c r="W168" s="62"/>
      <c r="X168" s="62"/>
      <c r="Y168" s="106"/>
      <c r="Z168" s="427"/>
      <c r="AA168" s="106"/>
      <c r="AB168" s="106"/>
      <c r="AC168" s="106"/>
      <c r="AD168" s="106"/>
    </row>
    <row r="169" ht="28.5" customHeight="1">
      <c r="A169" s="67"/>
      <c r="B169" s="67"/>
      <c r="C169" s="67"/>
      <c r="D169" s="67"/>
      <c r="E169" s="67"/>
      <c r="F169" s="67"/>
      <c r="G169" s="63" t="s">
        <v>122</v>
      </c>
      <c r="H169" s="64">
        <v>2.0</v>
      </c>
      <c r="I169" s="1076">
        <f t="shared" si="35"/>
        <v>220000</v>
      </c>
      <c r="J169" s="685">
        <f t="shared" si="26"/>
        <v>440000</v>
      </c>
      <c r="K169" s="67"/>
      <c r="L169" s="67"/>
      <c r="M169" s="67"/>
      <c r="N169" s="67"/>
      <c r="O169" s="67"/>
      <c r="P169" s="67"/>
      <c r="Q169" s="67"/>
      <c r="R169" s="67"/>
      <c r="S169" s="67"/>
      <c r="T169" s="67"/>
      <c r="U169" s="67"/>
      <c r="V169" s="67"/>
      <c r="W169" s="67"/>
      <c r="X169" s="67"/>
      <c r="Y169" s="106"/>
      <c r="Z169" s="427"/>
      <c r="AA169" s="106"/>
      <c r="AB169" s="106"/>
      <c r="AC169" s="106"/>
      <c r="AD169" s="106"/>
    </row>
    <row r="170" ht="28.5" customHeight="1">
      <c r="A170" s="942">
        <v>121.0</v>
      </c>
      <c r="B170" s="1022">
        <v>45124.0</v>
      </c>
      <c r="C170" s="942">
        <v>1.713989515171E12</v>
      </c>
      <c r="D170" s="1038" t="s">
        <v>953</v>
      </c>
      <c r="E170" s="944" t="s">
        <v>954</v>
      </c>
      <c r="F170" s="1038" t="s">
        <v>1702</v>
      </c>
      <c r="G170" s="63" t="s">
        <v>30</v>
      </c>
      <c r="H170" s="64">
        <v>1.0</v>
      </c>
      <c r="I170" s="1076">
        <f t="shared" si="35"/>
        <v>220000</v>
      </c>
      <c r="J170" s="685">
        <f t="shared" si="26"/>
        <v>220000</v>
      </c>
      <c r="K170" s="1083">
        <f>SUM(J170:J172)</f>
        <v>660000</v>
      </c>
      <c r="L170" s="974"/>
      <c r="M170" s="1025"/>
      <c r="N170" s="1055"/>
      <c r="O170" s="53">
        <f>K170+L170-N170</f>
        <v>660000</v>
      </c>
      <c r="P170" s="1060" t="s">
        <v>449</v>
      </c>
      <c r="Q170" s="1060" t="s">
        <v>31</v>
      </c>
      <c r="R170" s="1028">
        <v>47999.0</v>
      </c>
      <c r="S170" s="1029" t="s">
        <v>32</v>
      </c>
      <c r="T170" s="1030" t="s">
        <v>33</v>
      </c>
      <c r="U170" s="1038" t="s">
        <v>290</v>
      </c>
      <c r="V170" s="942">
        <v>1.0</v>
      </c>
      <c r="W170" s="39" t="s">
        <v>1703</v>
      </c>
      <c r="X170" s="974"/>
      <c r="Y170" s="106"/>
      <c r="Z170" s="427"/>
      <c r="AA170" s="106"/>
      <c r="AB170" s="106"/>
      <c r="AC170" s="106"/>
      <c r="AD170" s="106"/>
    </row>
    <row r="171" ht="28.5" customHeight="1">
      <c r="A171" s="62"/>
      <c r="B171" s="62"/>
      <c r="C171" s="62"/>
      <c r="D171" s="62"/>
      <c r="E171" s="62"/>
      <c r="F171" s="62"/>
      <c r="G171" s="63" t="s">
        <v>165</v>
      </c>
      <c r="H171" s="64">
        <v>1.0</v>
      </c>
      <c r="I171" s="1076">
        <f t="shared" si="35"/>
        <v>220000</v>
      </c>
      <c r="J171" s="685">
        <f t="shared" si="26"/>
        <v>220000</v>
      </c>
      <c r="K171" s="62"/>
      <c r="L171" s="62"/>
      <c r="M171" s="62"/>
      <c r="N171" s="62"/>
      <c r="O171" s="62"/>
      <c r="P171" s="62"/>
      <c r="Q171" s="62"/>
      <c r="R171" s="62"/>
      <c r="S171" s="62"/>
      <c r="T171" s="62"/>
      <c r="U171" s="62"/>
      <c r="V171" s="62"/>
      <c r="W171" s="62"/>
      <c r="X171" s="62"/>
      <c r="Y171" s="106"/>
      <c r="Z171" s="427"/>
      <c r="AA171" s="106"/>
      <c r="AB171" s="106"/>
      <c r="AC171" s="106"/>
      <c r="AD171" s="106"/>
    </row>
    <row r="172" ht="28.5" customHeight="1">
      <c r="A172" s="67"/>
      <c r="B172" s="67"/>
      <c r="C172" s="67"/>
      <c r="D172" s="67"/>
      <c r="E172" s="67"/>
      <c r="F172" s="67"/>
      <c r="G172" s="63" t="s">
        <v>122</v>
      </c>
      <c r="H172" s="64">
        <v>1.0</v>
      </c>
      <c r="I172" s="1076">
        <f t="shared" si="35"/>
        <v>220000</v>
      </c>
      <c r="J172" s="685">
        <f t="shared" si="26"/>
        <v>220000</v>
      </c>
      <c r="K172" s="67"/>
      <c r="L172" s="67"/>
      <c r="M172" s="67"/>
      <c r="N172" s="67"/>
      <c r="O172" s="67"/>
      <c r="P172" s="67"/>
      <c r="Q172" s="67"/>
      <c r="R172" s="67"/>
      <c r="S172" s="67"/>
      <c r="T172" s="67"/>
      <c r="U172" s="67"/>
      <c r="V172" s="67"/>
      <c r="W172" s="67"/>
      <c r="X172" s="67"/>
      <c r="Y172" s="106"/>
      <c r="Z172" s="427"/>
      <c r="AA172" s="106"/>
      <c r="AB172" s="106"/>
      <c r="AC172" s="106"/>
      <c r="AD172" s="106"/>
    </row>
    <row r="173" ht="28.5" customHeight="1">
      <c r="A173" s="694">
        <v>122.0</v>
      </c>
      <c r="B173" s="1032">
        <v>45125.0</v>
      </c>
      <c r="C173" s="694">
        <v>6631.0</v>
      </c>
      <c r="D173" s="429" t="s">
        <v>50</v>
      </c>
      <c r="E173" s="1018" t="s">
        <v>1704</v>
      </c>
      <c r="F173" s="693" t="s">
        <v>271</v>
      </c>
      <c r="G173" s="63" t="s">
        <v>30</v>
      </c>
      <c r="H173" s="64">
        <v>10.0</v>
      </c>
      <c r="I173" s="1076">
        <f t="shared" si="35"/>
        <v>220000</v>
      </c>
      <c r="J173" s="685">
        <f t="shared" si="26"/>
        <v>2200000</v>
      </c>
      <c r="K173" s="686">
        <f t="shared" ref="K173:K175" si="44">sum(J173)</f>
        <v>2200000</v>
      </c>
      <c r="L173" s="693"/>
      <c r="M173" s="688">
        <f t="shared" ref="M173:M174" si="45">K173*3%</f>
        <v>66000</v>
      </c>
      <c r="N173" s="1049"/>
      <c r="O173" s="80">
        <f t="shared" ref="O173:O174" si="46">K173+L173-M173</f>
        <v>2134000</v>
      </c>
      <c r="P173" s="1082"/>
      <c r="Q173" s="1082"/>
      <c r="R173" s="805"/>
      <c r="S173" s="1013"/>
      <c r="T173" s="691"/>
      <c r="U173" s="693"/>
      <c r="V173" s="693"/>
      <c r="W173" s="694" t="s">
        <v>53</v>
      </c>
      <c r="X173" s="687"/>
      <c r="Y173" s="106"/>
      <c r="Z173" s="427"/>
      <c r="AA173" s="106"/>
      <c r="AB173" s="106"/>
      <c r="AC173" s="106"/>
      <c r="AD173" s="106"/>
    </row>
    <row r="174" ht="28.5" customHeight="1">
      <c r="A174" s="694">
        <v>123.0</v>
      </c>
      <c r="B174" s="1032">
        <v>45125.0</v>
      </c>
      <c r="C174" s="694">
        <v>4435.0</v>
      </c>
      <c r="D174" s="429" t="s">
        <v>50</v>
      </c>
      <c r="E174" s="1018" t="s">
        <v>1016</v>
      </c>
      <c r="F174" s="693" t="s">
        <v>613</v>
      </c>
      <c r="G174" s="63" t="s">
        <v>30</v>
      </c>
      <c r="H174" s="64">
        <v>3.0</v>
      </c>
      <c r="I174" s="1076">
        <f t="shared" si="35"/>
        <v>220000</v>
      </c>
      <c r="J174" s="685">
        <f t="shared" si="26"/>
        <v>660000</v>
      </c>
      <c r="K174" s="686">
        <f t="shared" si="44"/>
        <v>660000</v>
      </c>
      <c r="L174" s="693"/>
      <c r="M174" s="688">
        <f t="shared" si="45"/>
        <v>19800</v>
      </c>
      <c r="N174" s="1049"/>
      <c r="O174" s="80">
        <f t="shared" si="46"/>
        <v>640200</v>
      </c>
      <c r="P174" s="1082"/>
      <c r="Q174" s="1082"/>
      <c r="R174" s="805"/>
      <c r="S174" s="1013"/>
      <c r="T174" s="691"/>
      <c r="U174" s="693"/>
      <c r="V174" s="693"/>
      <c r="W174" s="694" t="s">
        <v>53</v>
      </c>
      <c r="X174" s="687"/>
      <c r="Y174" s="106"/>
      <c r="Z174" s="427"/>
      <c r="AA174" s="106"/>
      <c r="AB174" s="106"/>
      <c r="AC174" s="106"/>
      <c r="AD174" s="106"/>
    </row>
    <row r="175" ht="28.5" customHeight="1">
      <c r="A175" s="694">
        <v>124.0</v>
      </c>
      <c r="B175" s="1032">
        <v>45125.0</v>
      </c>
      <c r="C175" s="694">
        <v>1.711636190666E12</v>
      </c>
      <c r="D175" s="429" t="s">
        <v>1514</v>
      </c>
      <c r="E175" s="684" t="s">
        <v>1515</v>
      </c>
      <c r="F175" s="429" t="s">
        <v>1516</v>
      </c>
      <c r="G175" s="63" t="s">
        <v>290</v>
      </c>
      <c r="H175" s="64">
        <v>6.0</v>
      </c>
      <c r="I175" s="1076">
        <f t="shared" si="35"/>
        <v>220000</v>
      </c>
      <c r="J175" s="685">
        <f t="shared" si="26"/>
        <v>1320000</v>
      </c>
      <c r="K175" s="686">
        <f t="shared" si="44"/>
        <v>1320000</v>
      </c>
      <c r="L175" s="693"/>
      <c r="M175" s="688"/>
      <c r="N175" s="1049"/>
      <c r="O175" s="80">
        <f t="shared" ref="O175:O176" si="47">K175+L175-N175</f>
        <v>1320000</v>
      </c>
      <c r="P175" s="690" t="s">
        <v>449</v>
      </c>
      <c r="Q175" s="690" t="s">
        <v>31</v>
      </c>
      <c r="R175" s="806">
        <v>74499.0</v>
      </c>
      <c r="S175" s="1017" t="s">
        <v>32</v>
      </c>
      <c r="T175" s="692" t="s">
        <v>33</v>
      </c>
      <c r="U175" s="429" t="s">
        <v>30</v>
      </c>
      <c r="V175" s="694">
        <v>2.0</v>
      </c>
      <c r="W175" s="694" t="s">
        <v>1542</v>
      </c>
      <c r="X175" s="687"/>
      <c r="Y175" s="106"/>
      <c r="Z175" s="427"/>
      <c r="AA175" s="106"/>
      <c r="AB175" s="106"/>
      <c r="AC175" s="106"/>
      <c r="AD175" s="106"/>
    </row>
    <row r="176" ht="28.5" customHeight="1">
      <c r="A176" s="942">
        <v>125.0</v>
      </c>
      <c r="B176" s="1022">
        <v>45126.0</v>
      </c>
      <c r="C176" s="942">
        <v>1.712430357583E12</v>
      </c>
      <c r="D176" s="1038" t="s">
        <v>206</v>
      </c>
      <c r="E176" s="944" t="s">
        <v>207</v>
      </c>
      <c r="F176" s="1038" t="s">
        <v>1705</v>
      </c>
      <c r="G176" s="63" t="s">
        <v>30</v>
      </c>
      <c r="H176" s="64">
        <v>42.0</v>
      </c>
      <c r="I176" s="1076">
        <f t="shared" si="35"/>
        <v>220000</v>
      </c>
      <c r="J176" s="685">
        <f t="shared" si="26"/>
        <v>9240000</v>
      </c>
      <c r="K176" s="1041">
        <f>sum(J176:J177)</f>
        <v>10200000</v>
      </c>
      <c r="L176" s="1031"/>
      <c r="M176" s="1025"/>
      <c r="N176" s="1055"/>
      <c r="O176" s="53">
        <f t="shared" si="47"/>
        <v>10200000</v>
      </c>
      <c r="P176" s="1084"/>
      <c r="Q176" s="1084"/>
      <c r="R176" s="1028">
        <v>379526.0</v>
      </c>
      <c r="S176" s="1029" t="s">
        <v>32</v>
      </c>
      <c r="T176" s="1085"/>
      <c r="U176" s="429" t="s">
        <v>30</v>
      </c>
      <c r="V176" s="694">
        <v>14.0</v>
      </c>
      <c r="W176" s="942" t="s">
        <v>1542</v>
      </c>
      <c r="X176" s="974"/>
      <c r="Y176" s="106"/>
      <c r="Z176" s="427"/>
      <c r="AA176" s="106"/>
      <c r="AB176" s="106"/>
      <c r="AC176" s="106"/>
      <c r="AD176" s="106"/>
    </row>
    <row r="177" ht="28.5" customHeight="1">
      <c r="A177" s="67"/>
      <c r="B177" s="67"/>
      <c r="C177" s="67"/>
      <c r="D177" s="67"/>
      <c r="E177" s="67"/>
      <c r="F177" s="67"/>
      <c r="G177" s="63" t="s">
        <v>147</v>
      </c>
      <c r="H177" s="64">
        <v>12.0</v>
      </c>
      <c r="I177" s="1076">
        <f t="shared" si="35"/>
        <v>80000</v>
      </c>
      <c r="J177" s="685">
        <f t="shared" si="26"/>
        <v>960000</v>
      </c>
      <c r="K177" s="67"/>
      <c r="L177" s="67"/>
      <c r="M177" s="67"/>
      <c r="N177" s="67"/>
      <c r="O177" s="67"/>
      <c r="P177" s="67"/>
      <c r="Q177" s="67"/>
      <c r="R177" s="67"/>
      <c r="S177" s="67"/>
      <c r="T177" s="67"/>
      <c r="U177" s="429" t="s">
        <v>147</v>
      </c>
      <c r="V177" s="694">
        <v>4.0</v>
      </c>
      <c r="W177" s="67"/>
      <c r="X177" s="67"/>
      <c r="Y177" s="106"/>
      <c r="Z177" s="427"/>
      <c r="AA177" s="106"/>
      <c r="AB177" s="106"/>
      <c r="AC177" s="106"/>
      <c r="AD177" s="106"/>
    </row>
    <row r="178" ht="28.5" customHeight="1">
      <c r="A178" s="942">
        <v>126.0</v>
      </c>
      <c r="B178" s="1022">
        <v>45126.0</v>
      </c>
      <c r="C178" s="942">
        <v>3249.0</v>
      </c>
      <c r="D178" s="1038" t="s">
        <v>50</v>
      </c>
      <c r="E178" s="1086" t="s">
        <v>1668</v>
      </c>
      <c r="F178" s="1087" t="s">
        <v>119</v>
      </c>
      <c r="G178" s="126" t="s">
        <v>30</v>
      </c>
      <c r="H178" s="39">
        <v>1.0</v>
      </c>
      <c r="I178" s="1088">
        <f t="shared" si="35"/>
        <v>220000</v>
      </c>
      <c r="J178" s="1089">
        <f t="shared" si="26"/>
        <v>220000</v>
      </c>
      <c r="K178" s="1041">
        <f>sum(J178)</f>
        <v>220000</v>
      </c>
      <c r="L178" s="1031"/>
      <c r="M178" s="1025">
        <f>K178*3%</f>
        <v>6600</v>
      </c>
      <c r="N178" s="1055"/>
      <c r="O178" s="53">
        <f>K178+L178-M178</f>
        <v>213400</v>
      </c>
      <c r="P178" s="1084"/>
      <c r="Q178" s="1084"/>
      <c r="R178" s="1008"/>
      <c r="S178" s="1053"/>
      <c r="T178" s="1085"/>
      <c r="U178" s="429" t="s">
        <v>75</v>
      </c>
      <c r="V178" s="694">
        <v>1.0</v>
      </c>
      <c r="W178" s="942" t="s">
        <v>1706</v>
      </c>
      <c r="X178" s="974"/>
      <c r="Y178" s="106"/>
      <c r="Z178" s="427"/>
      <c r="AA178" s="106"/>
      <c r="AB178" s="106"/>
      <c r="AC178" s="106"/>
      <c r="AD178" s="106"/>
    </row>
    <row r="179" ht="28.5" customHeight="1">
      <c r="A179" s="62"/>
      <c r="B179" s="62"/>
      <c r="C179" s="62"/>
      <c r="D179" s="62"/>
      <c r="E179" s="62"/>
      <c r="F179" s="62"/>
      <c r="G179" s="62"/>
      <c r="H179" s="62"/>
      <c r="I179" s="62"/>
      <c r="J179" s="62"/>
      <c r="K179" s="62"/>
      <c r="L179" s="62"/>
      <c r="M179" s="62"/>
      <c r="N179" s="62"/>
      <c r="O179" s="62"/>
      <c r="P179" s="62"/>
      <c r="Q179" s="62"/>
      <c r="R179" s="62"/>
      <c r="S179" s="62"/>
      <c r="T179" s="62"/>
      <c r="U179" s="429" t="s">
        <v>457</v>
      </c>
      <c r="V179" s="694">
        <v>1.0</v>
      </c>
      <c r="W179" s="62"/>
      <c r="X179" s="62"/>
      <c r="Y179" s="106"/>
      <c r="Z179" s="427"/>
      <c r="AA179" s="106"/>
      <c r="AB179" s="106"/>
      <c r="AC179" s="106"/>
      <c r="AD179" s="106"/>
    </row>
    <row r="180" ht="28.5" customHeight="1">
      <c r="A180" s="67"/>
      <c r="B180" s="67"/>
      <c r="C180" s="67"/>
      <c r="D180" s="67"/>
      <c r="E180" s="67"/>
      <c r="F180" s="67"/>
      <c r="G180" s="67"/>
      <c r="H180" s="67"/>
      <c r="I180" s="67"/>
      <c r="J180" s="67"/>
      <c r="K180" s="67"/>
      <c r="L180" s="67"/>
      <c r="M180" s="67"/>
      <c r="N180" s="67"/>
      <c r="O180" s="67"/>
      <c r="P180" s="67"/>
      <c r="Q180" s="67"/>
      <c r="R180" s="67"/>
      <c r="S180" s="67"/>
      <c r="T180" s="67"/>
      <c r="U180" s="429" t="s">
        <v>456</v>
      </c>
      <c r="V180" s="694">
        <v>1.0</v>
      </c>
      <c r="W180" s="67"/>
      <c r="X180" s="67"/>
      <c r="Y180" s="106"/>
      <c r="Z180" s="427"/>
      <c r="AA180" s="106"/>
      <c r="AB180" s="106"/>
      <c r="AC180" s="106"/>
      <c r="AD180" s="106"/>
    </row>
    <row r="181" ht="28.5" customHeight="1">
      <c r="A181" s="942">
        <v>127.0</v>
      </c>
      <c r="B181" s="1022">
        <v>45126.0</v>
      </c>
      <c r="C181" s="942">
        <v>9633.0</v>
      </c>
      <c r="D181" s="1038" t="s">
        <v>50</v>
      </c>
      <c r="E181" s="1086" t="s">
        <v>1707</v>
      </c>
      <c r="F181" s="1090" t="s">
        <v>180</v>
      </c>
      <c r="G181" s="126" t="s">
        <v>30</v>
      </c>
      <c r="H181" s="39">
        <v>2.0</v>
      </c>
      <c r="I181" s="1088">
        <f>VLOOKUP(G181,$Y$4:$Z$43,2,0)</f>
        <v>220000</v>
      </c>
      <c r="J181" s="1091">
        <f>I181*H181</f>
        <v>440000</v>
      </c>
      <c r="K181" s="1041">
        <f>SUM(J181)</f>
        <v>440000</v>
      </c>
      <c r="L181" s="1031"/>
      <c r="M181" s="1025">
        <f>K181*3%</f>
        <v>13200</v>
      </c>
      <c r="N181" s="1055"/>
      <c r="O181" s="53">
        <f>K181+L181-M181</f>
        <v>426800</v>
      </c>
      <c r="P181" s="1084"/>
      <c r="Q181" s="1084"/>
      <c r="R181" s="1008"/>
      <c r="S181" s="1053"/>
      <c r="T181" s="1085"/>
      <c r="U181" s="429" t="s">
        <v>75</v>
      </c>
      <c r="V181" s="694">
        <v>1.0</v>
      </c>
      <c r="W181" s="942" t="s">
        <v>1706</v>
      </c>
      <c r="X181" s="974"/>
      <c r="Y181" s="106"/>
      <c r="Z181" s="427"/>
      <c r="AA181" s="106"/>
      <c r="AB181" s="106"/>
      <c r="AC181" s="106"/>
      <c r="AD181" s="106"/>
    </row>
    <row r="182" ht="28.5" customHeight="1">
      <c r="A182" s="62"/>
      <c r="B182" s="62"/>
      <c r="C182" s="62"/>
      <c r="D182" s="62"/>
      <c r="E182" s="62"/>
      <c r="F182" s="62"/>
      <c r="G182" s="62"/>
      <c r="H182" s="62"/>
      <c r="I182" s="62"/>
      <c r="J182" s="452"/>
      <c r="K182" s="62"/>
      <c r="L182" s="62"/>
      <c r="M182" s="62"/>
      <c r="N182" s="62"/>
      <c r="O182" s="62"/>
      <c r="P182" s="62"/>
      <c r="Q182" s="62"/>
      <c r="R182" s="62"/>
      <c r="S182" s="62"/>
      <c r="T182" s="62"/>
      <c r="U182" s="429" t="s">
        <v>457</v>
      </c>
      <c r="V182" s="694">
        <v>1.0</v>
      </c>
      <c r="W182" s="62"/>
      <c r="X182" s="62"/>
      <c r="Y182" s="106"/>
      <c r="Z182" s="427"/>
      <c r="AA182" s="106"/>
      <c r="AB182" s="106"/>
      <c r="AC182" s="106"/>
      <c r="AD182" s="106"/>
    </row>
    <row r="183" ht="28.5" customHeight="1">
      <c r="A183" s="67"/>
      <c r="B183" s="67"/>
      <c r="C183" s="67"/>
      <c r="D183" s="67"/>
      <c r="E183" s="67"/>
      <c r="F183" s="67"/>
      <c r="G183" s="67"/>
      <c r="H183" s="67"/>
      <c r="I183" s="67"/>
      <c r="J183" s="453"/>
      <c r="K183" s="67"/>
      <c r="L183" s="67"/>
      <c r="M183" s="67"/>
      <c r="N183" s="67"/>
      <c r="O183" s="67"/>
      <c r="P183" s="67"/>
      <c r="Q183" s="67"/>
      <c r="R183" s="67"/>
      <c r="S183" s="67"/>
      <c r="T183" s="67"/>
      <c r="U183" s="429" t="s">
        <v>456</v>
      </c>
      <c r="V183" s="694">
        <v>1.0</v>
      </c>
      <c r="W183" s="67"/>
      <c r="X183" s="67"/>
      <c r="Y183" s="106"/>
      <c r="Z183" s="427"/>
      <c r="AA183" s="106"/>
      <c r="AB183" s="106"/>
      <c r="AC183" s="106"/>
      <c r="AD183" s="106"/>
    </row>
    <row r="184" ht="28.5" customHeight="1">
      <c r="A184" s="942">
        <v>128.0</v>
      </c>
      <c r="B184" s="1022">
        <v>45127.0</v>
      </c>
      <c r="C184" s="942">
        <v>3244.0</v>
      </c>
      <c r="D184" s="1038" t="s">
        <v>50</v>
      </c>
      <c r="E184" s="1086" t="s">
        <v>1300</v>
      </c>
      <c r="F184" s="1092" t="s">
        <v>74</v>
      </c>
      <c r="G184" s="126" t="s">
        <v>30</v>
      </c>
      <c r="H184" s="39">
        <v>1.0</v>
      </c>
      <c r="I184" s="1088">
        <f>VLOOKUP(G184,$Y$4:$Z$43,2,0)</f>
        <v>220000</v>
      </c>
      <c r="J184" s="1091">
        <f>I184*H184</f>
        <v>220000</v>
      </c>
      <c r="K184" s="1041">
        <f>sum(J184)</f>
        <v>220000</v>
      </c>
      <c r="L184" s="1031"/>
      <c r="M184" s="1025">
        <f>K184*3%</f>
        <v>6600</v>
      </c>
      <c r="N184" s="1055"/>
      <c r="O184" s="53">
        <f>K184+L184-M184</f>
        <v>213400</v>
      </c>
      <c r="P184" s="1084"/>
      <c r="Q184" s="1084"/>
      <c r="R184" s="1008"/>
      <c r="S184" s="1053"/>
      <c r="T184" s="1085"/>
      <c r="U184" s="429" t="s">
        <v>75</v>
      </c>
      <c r="V184" s="694">
        <v>1.0</v>
      </c>
      <c r="W184" s="942" t="s">
        <v>1706</v>
      </c>
      <c r="X184" s="974"/>
      <c r="Y184" s="106"/>
      <c r="Z184" s="427"/>
      <c r="AA184" s="106"/>
      <c r="AB184" s="106"/>
      <c r="AC184" s="106"/>
      <c r="AD184" s="106"/>
    </row>
    <row r="185" ht="28.5" customHeight="1">
      <c r="A185" s="62"/>
      <c r="B185" s="62"/>
      <c r="C185" s="62"/>
      <c r="D185" s="62"/>
      <c r="E185" s="62"/>
      <c r="F185" s="62"/>
      <c r="G185" s="62"/>
      <c r="H185" s="62"/>
      <c r="I185" s="62"/>
      <c r="J185" s="452"/>
      <c r="K185" s="62"/>
      <c r="L185" s="62"/>
      <c r="M185" s="62"/>
      <c r="N185" s="62"/>
      <c r="O185" s="62"/>
      <c r="P185" s="62"/>
      <c r="Q185" s="62"/>
      <c r="R185" s="62"/>
      <c r="S185" s="62"/>
      <c r="T185" s="62"/>
      <c r="U185" s="429" t="s">
        <v>457</v>
      </c>
      <c r="V185" s="694">
        <v>1.0</v>
      </c>
      <c r="W185" s="62"/>
      <c r="X185" s="62"/>
      <c r="Y185" s="106"/>
      <c r="Z185" s="427"/>
      <c r="AA185" s="106"/>
      <c r="AB185" s="106"/>
      <c r="AC185" s="106"/>
      <c r="AD185" s="106"/>
    </row>
    <row r="186" ht="28.5" customHeight="1">
      <c r="A186" s="67"/>
      <c r="B186" s="67"/>
      <c r="C186" s="67"/>
      <c r="D186" s="67"/>
      <c r="E186" s="67"/>
      <c r="F186" s="67"/>
      <c r="G186" s="67"/>
      <c r="H186" s="67"/>
      <c r="I186" s="67"/>
      <c r="J186" s="453"/>
      <c r="K186" s="67"/>
      <c r="L186" s="67"/>
      <c r="M186" s="67"/>
      <c r="N186" s="67"/>
      <c r="O186" s="67"/>
      <c r="P186" s="67"/>
      <c r="Q186" s="67"/>
      <c r="R186" s="67"/>
      <c r="S186" s="67"/>
      <c r="T186" s="67"/>
      <c r="U186" s="429" t="s">
        <v>456</v>
      </c>
      <c r="V186" s="694">
        <v>1.0</v>
      </c>
      <c r="W186" s="67"/>
      <c r="X186" s="67"/>
      <c r="Y186" s="106"/>
      <c r="Z186" s="427"/>
      <c r="AA186" s="106"/>
      <c r="AB186" s="106"/>
      <c r="AC186" s="106"/>
      <c r="AD186" s="106"/>
    </row>
    <row r="187" ht="28.5" customHeight="1">
      <c r="A187" s="942">
        <v>129.0</v>
      </c>
      <c r="B187" s="1022">
        <v>45127.0</v>
      </c>
      <c r="C187" s="942">
        <v>1954.0</v>
      </c>
      <c r="D187" s="1038" t="s">
        <v>50</v>
      </c>
      <c r="E187" s="1086" t="s">
        <v>809</v>
      </c>
      <c r="F187" s="1092" t="s">
        <v>464</v>
      </c>
      <c r="G187" s="126" t="s">
        <v>30</v>
      </c>
      <c r="H187" s="39">
        <v>1.0</v>
      </c>
      <c r="I187" s="1088">
        <f>VLOOKUP(G187,$Y$4:$Z$43,2,0)</f>
        <v>220000</v>
      </c>
      <c r="J187" s="1091">
        <f>I187*H187</f>
        <v>220000</v>
      </c>
      <c r="K187" s="1041">
        <f>sum(J187)</f>
        <v>220000</v>
      </c>
      <c r="L187" s="1031"/>
      <c r="M187" s="1025">
        <f>K187*3%</f>
        <v>6600</v>
      </c>
      <c r="N187" s="1055"/>
      <c r="O187" s="53">
        <f>K187+L187-M187</f>
        <v>213400</v>
      </c>
      <c r="P187" s="1084"/>
      <c r="Q187" s="1084"/>
      <c r="R187" s="1008"/>
      <c r="S187" s="1053"/>
      <c r="T187" s="1085"/>
      <c r="U187" s="429" t="s">
        <v>75</v>
      </c>
      <c r="V187" s="694">
        <v>1.0</v>
      </c>
      <c r="W187" s="942" t="s">
        <v>1706</v>
      </c>
      <c r="X187" s="974"/>
      <c r="Y187" s="106"/>
      <c r="Z187" s="427"/>
      <c r="AA187" s="106"/>
      <c r="AB187" s="106"/>
      <c r="AC187" s="106"/>
      <c r="AD187" s="106"/>
    </row>
    <row r="188" ht="28.5" customHeight="1">
      <c r="A188" s="62"/>
      <c r="B188" s="62"/>
      <c r="C188" s="62"/>
      <c r="D188" s="62"/>
      <c r="E188" s="62"/>
      <c r="F188" s="62"/>
      <c r="G188" s="62"/>
      <c r="H188" s="62"/>
      <c r="I188" s="62"/>
      <c r="J188" s="452"/>
      <c r="K188" s="62"/>
      <c r="L188" s="62"/>
      <c r="M188" s="62"/>
      <c r="N188" s="62"/>
      <c r="O188" s="62"/>
      <c r="P188" s="62"/>
      <c r="Q188" s="62"/>
      <c r="R188" s="62"/>
      <c r="S188" s="62"/>
      <c r="T188" s="62"/>
      <c r="U188" s="429" t="s">
        <v>457</v>
      </c>
      <c r="V188" s="694">
        <v>1.0</v>
      </c>
      <c r="W188" s="62"/>
      <c r="X188" s="62"/>
      <c r="Y188" s="106"/>
      <c r="Z188" s="427"/>
      <c r="AA188" s="106"/>
      <c r="AB188" s="106"/>
      <c r="AC188" s="106"/>
      <c r="AD188" s="106"/>
    </row>
    <row r="189" ht="28.5" customHeight="1">
      <c r="A189" s="67"/>
      <c r="B189" s="67"/>
      <c r="C189" s="67"/>
      <c r="D189" s="67"/>
      <c r="E189" s="67"/>
      <c r="F189" s="67"/>
      <c r="G189" s="67"/>
      <c r="H189" s="67"/>
      <c r="I189" s="67"/>
      <c r="J189" s="453"/>
      <c r="K189" s="67"/>
      <c r="L189" s="67"/>
      <c r="M189" s="67"/>
      <c r="N189" s="67"/>
      <c r="O189" s="67"/>
      <c r="P189" s="67"/>
      <c r="Q189" s="67"/>
      <c r="R189" s="67"/>
      <c r="S189" s="67"/>
      <c r="T189" s="67"/>
      <c r="U189" s="429" t="s">
        <v>456</v>
      </c>
      <c r="V189" s="694">
        <v>1.0</v>
      </c>
      <c r="W189" s="67"/>
      <c r="X189" s="67"/>
      <c r="Y189" s="106"/>
      <c r="Z189" s="427"/>
      <c r="AA189" s="106"/>
      <c r="AB189" s="106"/>
      <c r="AC189" s="106"/>
      <c r="AD189" s="106"/>
    </row>
    <row r="190" ht="28.5" customHeight="1">
      <c r="A190" s="942">
        <v>130.0</v>
      </c>
      <c r="B190" s="1022">
        <v>45127.0</v>
      </c>
      <c r="C190" s="942">
        <v>8842.0</v>
      </c>
      <c r="D190" s="1038" t="s">
        <v>50</v>
      </c>
      <c r="E190" s="1086" t="s">
        <v>1708</v>
      </c>
      <c r="F190" s="1092" t="s">
        <v>119</v>
      </c>
      <c r="G190" s="126" t="s">
        <v>30</v>
      </c>
      <c r="H190" s="39">
        <v>1.0</v>
      </c>
      <c r="I190" s="1088">
        <f>VLOOKUP(G190,$Y$4:$Z$43,2,0)</f>
        <v>220000</v>
      </c>
      <c r="J190" s="1091">
        <f>I190*H190</f>
        <v>220000</v>
      </c>
      <c r="K190" s="1041">
        <f>sum(J190)</f>
        <v>220000</v>
      </c>
      <c r="L190" s="1031"/>
      <c r="M190" s="1025">
        <f>K190*3%</f>
        <v>6600</v>
      </c>
      <c r="N190" s="1055"/>
      <c r="O190" s="53">
        <f>K190+L190-M190</f>
        <v>213400</v>
      </c>
      <c r="P190" s="1084"/>
      <c r="Q190" s="1084"/>
      <c r="R190" s="1008"/>
      <c r="S190" s="1053"/>
      <c r="T190" s="1085"/>
      <c r="U190" s="429" t="s">
        <v>75</v>
      </c>
      <c r="V190" s="694">
        <v>1.0</v>
      </c>
      <c r="W190" s="942" t="s">
        <v>1706</v>
      </c>
      <c r="X190" s="974"/>
      <c r="Y190" s="106"/>
      <c r="Z190" s="427"/>
      <c r="AA190" s="106"/>
      <c r="AB190" s="106"/>
      <c r="AC190" s="106"/>
      <c r="AD190" s="106"/>
    </row>
    <row r="191" ht="28.5" customHeight="1">
      <c r="A191" s="62"/>
      <c r="B191" s="62"/>
      <c r="C191" s="62"/>
      <c r="D191" s="62"/>
      <c r="E191" s="62"/>
      <c r="F191" s="62"/>
      <c r="G191" s="62"/>
      <c r="H191" s="62"/>
      <c r="I191" s="62"/>
      <c r="J191" s="452"/>
      <c r="K191" s="62"/>
      <c r="L191" s="62"/>
      <c r="M191" s="62"/>
      <c r="N191" s="62"/>
      <c r="O191" s="62"/>
      <c r="P191" s="62"/>
      <c r="Q191" s="62"/>
      <c r="R191" s="62"/>
      <c r="S191" s="62"/>
      <c r="T191" s="62"/>
      <c r="U191" s="429" t="s">
        <v>457</v>
      </c>
      <c r="V191" s="694">
        <v>1.0</v>
      </c>
      <c r="W191" s="62"/>
      <c r="X191" s="62"/>
      <c r="Y191" s="106"/>
      <c r="Z191" s="427"/>
      <c r="AA191" s="106"/>
      <c r="AB191" s="106"/>
      <c r="AC191" s="106"/>
      <c r="AD191" s="106"/>
    </row>
    <row r="192" ht="28.5" customHeight="1">
      <c r="A192" s="67"/>
      <c r="B192" s="67"/>
      <c r="C192" s="67"/>
      <c r="D192" s="67"/>
      <c r="E192" s="67"/>
      <c r="F192" s="67"/>
      <c r="G192" s="67"/>
      <c r="H192" s="67"/>
      <c r="I192" s="67"/>
      <c r="J192" s="453"/>
      <c r="K192" s="67"/>
      <c r="L192" s="67"/>
      <c r="M192" s="67"/>
      <c r="N192" s="67"/>
      <c r="O192" s="67"/>
      <c r="P192" s="67"/>
      <c r="Q192" s="67"/>
      <c r="R192" s="67"/>
      <c r="S192" s="67"/>
      <c r="T192" s="67"/>
      <c r="U192" s="429" t="s">
        <v>456</v>
      </c>
      <c r="V192" s="694">
        <v>1.0</v>
      </c>
      <c r="W192" s="67"/>
      <c r="X192" s="67"/>
      <c r="Y192" s="106"/>
      <c r="Z192" s="427"/>
      <c r="AA192" s="106"/>
      <c r="AB192" s="106"/>
      <c r="AC192" s="106"/>
      <c r="AD192" s="106"/>
    </row>
    <row r="193" ht="48.0" customHeight="1">
      <c r="A193" s="694">
        <v>131.0</v>
      </c>
      <c r="B193" s="1032">
        <v>45127.0</v>
      </c>
      <c r="C193" s="694">
        <v>1.69420743613E12</v>
      </c>
      <c r="D193" s="133" t="s">
        <v>1709</v>
      </c>
      <c r="E193" s="131" t="s">
        <v>1710</v>
      </c>
      <c r="F193" s="1035" t="s">
        <v>1159</v>
      </c>
      <c r="G193" s="63" t="s">
        <v>30</v>
      </c>
      <c r="H193" s="64">
        <v>12.0</v>
      </c>
      <c r="I193" s="847">
        <f t="shared" ref="I193:I219" si="48">VLOOKUP(G193,$Y$4:$Z$43,2,0)</f>
        <v>220000</v>
      </c>
      <c r="J193" s="685">
        <f t="shared" ref="J193:J219" si="49">I193*H193</f>
        <v>2640000</v>
      </c>
      <c r="K193" s="686">
        <f>sum(J193)</f>
        <v>2640000</v>
      </c>
      <c r="L193" s="693"/>
      <c r="M193" s="688"/>
      <c r="N193" s="1049"/>
      <c r="O193" s="80">
        <f t="shared" ref="O193:O194" si="50">K193+L193-N193</f>
        <v>2640000</v>
      </c>
      <c r="P193" s="690" t="s">
        <v>449</v>
      </c>
      <c r="Q193" s="690" t="s">
        <v>31</v>
      </c>
      <c r="R193" s="806">
        <v>120001.0</v>
      </c>
      <c r="S193" s="1017" t="s">
        <v>32</v>
      </c>
      <c r="T193" s="692" t="s">
        <v>33</v>
      </c>
      <c r="U193" s="429" t="s">
        <v>30</v>
      </c>
      <c r="V193" s="694">
        <v>4.0</v>
      </c>
      <c r="W193" s="694" t="s">
        <v>1542</v>
      </c>
      <c r="X193" s="687"/>
      <c r="Y193" s="106"/>
      <c r="Z193" s="427"/>
      <c r="AA193" s="106"/>
      <c r="AB193" s="106"/>
      <c r="AC193" s="106"/>
      <c r="AD193" s="106"/>
    </row>
    <row r="194" ht="28.5" customHeight="1">
      <c r="A194" s="942">
        <v>132.0</v>
      </c>
      <c r="B194" s="1022">
        <v>45127.0</v>
      </c>
      <c r="C194" s="942">
        <v>1.693800087637E12</v>
      </c>
      <c r="D194" s="1038" t="s">
        <v>1156</v>
      </c>
      <c r="E194" s="944" t="s">
        <v>150</v>
      </c>
      <c r="F194" s="1038" t="s">
        <v>1157</v>
      </c>
      <c r="G194" s="63" t="s">
        <v>35</v>
      </c>
      <c r="H194" s="64">
        <v>3.0</v>
      </c>
      <c r="I194" s="847">
        <f t="shared" si="48"/>
        <v>220000</v>
      </c>
      <c r="J194" s="685">
        <f t="shared" si="49"/>
        <v>660000</v>
      </c>
      <c r="K194" s="1041">
        <f>sum(J194:J195)</f>
        <v>900000</v>
      </c>
      <c r="L194" s="1031"/>
      <c r="M194" s="1025"/>
      <c r="N194" s="1055"/>
      <c r="O194" s="53">
        <f t="shared" si="50"/>
        <v>900000</v>
      </c>
      <c r="P194" s="1060" t="s">
        <v>449</v>
      </c>
      <c r="Q194" s="1060" t="s">
        <v>31</v>
      </c>
      <c r="R194" s="1028">
        <v>57999.0</v>
      </c>
      <c r="S194" s="1029" t="s">
        <v>32</v>
      </c>
      <c r="T194" s="1030" t="s">
        <v>33</v>
      </c>
      <c r="U194" s="429" t="s">
        <v>35</v>
      </c>
      <c r="V194" s="694">
        <v>1.0</v>
      </c>
      <c r="W194" s="942" t="s">
        <v>1542</v>
      </c>
      <c r="X194" s="974"/>
      <c r="Y194" s="106"/>
      <c r="Z194" s="427"/>
      <c r="AA194" s="106"/>
      <c r="AB194" s="106"/>
      <c r="AC194" s="106"/>
      <c r="AD194" s="106"/>
    </row>
    <row r="195" ht="28.5" customHeight="1">
      <c r="A195" s="67"/>
      <c r="B195" s="67"/>
      <c r="C195" s="67"/>
      <c r="D195" s="67"/>
      <c r="E195" s="67"/>
      <c r="F195" s="67"/>
      <c r="G195" s="63" t="s">
        <v>147</v>
      </c>
      <c r="H195" s="64">
        <v>3.0</v>
      </c>
      <c r="I195" s="847">
        <f t="shared" si="48"/>
        <v>80000</v>
      </c>
      <c r="J195" s="685">
        <f t="shared" si="49"/>
        <v>240000</v>
      </c>
      <c r="K195" s="67"/>
      <c r="L195" s="67"/>
      <c r="M195" s="67"/>
      <c r="N195" s="67"/>
      <c r="O195" s="67"/>
      <c r="P195" s="67"/>
      <c r="Q195" s="67"/>
      <c r="R195" s="67"/>
      <c r="S195" s="67"/>
      <c r="T195" s="67"/>
      <c r="U195" s="429" t="s">
        <v>147</v>
      </c>
      <c r="V195" s="694">
        <v>1.0</v>
      </c>
      <c r="W195" s="67"/>
      <c r="X195" s="67"/>
      <c r="Y195" s="106"/>
      <c r="Z195" s="427"/>
      <c r="AA195" s="106"/>
      <c r="AB195" s="106"/>
      <c r="AC195" s="106"/>
      <c r="AD195" s="106"/>
    </row>
    <row r="196" ht="36.75" customHeight="1">
      <c r="A196" s="694">
        <v>133.0</v>
      </c>
      <c r="B196" s="1032">
        <v>45127.0</v>
      </c>
      <c r="C196" s="694">
        <v>1.696419406373E12</v>
      </c>
      <c r="D196" s="429" t="s">
        <v>357</v>
      </c>
      <c r="E196" s="684" t="s">
        <v>358</v>
      </c>
      <c r="F196" s="133" t="s">
        <v>853</v>
      </c>
      <c r="G196" s="63" t="s">
        <v>290</v>
      </c>
      <c r="H196" s="64">
        <v>6.0</v>
      </c>
      <c r="I196" s="847">
        <f t="shared" si="48"/>
        <v>220000</v>
      </c>
      <c r="J196" s="685">
        <f t="shared" si="49"/>
        <v>1320000</v>
      </c>
      <c r="K196" s="686">
        <f>sum(J196)</f>
        <v>1320000</v>
      </c>
      <c r="L196" s="693"/>
      <c r="M196" s="688"/>
      <c r="N196" s="1049"/>
      <c r="O196" s="80">
        <f t="shared" ref="O196:O197" si="51">K196+L196-N196</f>
        <v>1320000</v>
      </c>
      <c r="P196" s="690" t="s">
        <v>449</v>
      </c>
      <c r="Q196" s="690" t="s">
        <v>31</v>
      </c>
      <c r="R196" s="806">
        <v>74499.0</v>
      </c>
      <c r="S196" s="1017" t="s">
        <v>32</v>
      </c>
      <c r="T196" s="692" t="s">
        <v>33</v>
      </c>
      <c r="U196" s="429" t="s">
        <v>290</v>
      </c>
      <c r="V196" s="694">
        <v>2.0</v>
      </c>
      <c r="W196" s="694" t="s">
        <v>1542</v>
      </c>
      <c r="X196" s="687"/>
      <c r="Y196" s="106"/>
      <c r="Z196" s="427"/>
      <c r="AA196" s="106"/>
      <c r="AB196" s="106"/>
      <c r="AC196" s="106"/>
      <c r="AD196" s="106"/>
    </row>
    <row r="197" ht="28.5" customHeight="1">
      <c r="A197" s="942">
        <v>134.0</v>
      </c>
      <c r="B197" s="1022">
        <v>45127.0</v>
      </c>
      <c r="C197" s="942">
        <v>1.701325217354E12</v>
      </c>
      <c r="D197" s="1038" t="s">
        <v>1711</v>
      </c>
      <c r="E197" s="944" t="s">
        <v>1712</v>
      </c>
      <c r="F197" s="1038" t="s">
        <v>1713</v>
      </c>
      <c r="G197" s="63" t="s">
        <v>35</v>
      </c>
      <c r="H197" s="64">
        <v>3.0</v>
      </c>
      <c r="I197" s="847">
        <f t="shared" si="48"/>
        <v>220000</v>
      </c>
      <c r="J197" s="685">
        <f t="shared" si="49"/>
        <v>660000</v>
      </c>
      <c r="K197" s="1041">
        <f>SUM(J197:J200)</f>
        <v>2640000</v>
      </c>
      <c r="L197" s="1031"/>
      <c r="M197" s="1025"/>
      <c r="N197" s="1055"/>
      <c r="O197" s="53">
        <f t="shared" si="51"/>
        <v>2640000</v>
      </c>
      <c r="P197" s="1060" t="s">
        <v>449</v>
      </c>
      <c r="Q197" s="1060" t="s">
        <v>31</v>
      </c>
      <c r="R197" s="1028">
        <v>120001.0</v>
      </c>
      <c r="S197" s="1029" t="s">
        <v>32</v>
      </c>
      <c r="T197" s="1030" t="s">
        <v>33</v>
      </c>
      <c r="U197" s="1038" t="s">
        <v>165</v>
      </c>
      <c r="V197" s="942">
        <v>1.0</v>
      </c>
      <c r="W197" s="942" t="s">
        <v>1542</v>
      </c>
      <c r="X197" s="974"/>
      <c r="Y197" s="106"/>
      <c r="Z197" s="427"/>
      <c r="AA197" s="106"/>
      <c r="AB197" s="106"/>
      <c r="AC197" s="106"/>
      <c r="AD197" s="106"/>
    </row>
    <row r="198" ht="28.5" customHeight="1">
      <c r="A198" s="62"/>
      <c r="B198" s="62"/>
      <c r="C198" s="62"/>
      <c r="D198" s="62"/>
      <c r="E198" s="62"/>
      <c r="F198" s="62"/>
      <c r="G198" s="63" t="s">
        <v>290</v>
      </c>
      <c r="H198" s="64">
        <v>3.0</v>
      </c>
      <c r="I198" s="847">
        <f t="shared" si="48"/>
        <v>220000</v>
      </c>
      <c r="J198" s="685">
        <f t="shared" si="49"/>
        <v>660000</v>
      </c>
      <c r="K198" s="62"/>
      <c r="L198" s="62"/>
      <c r="M198" s="62"/>
      <c r="N198" s="62"/>
      <c r="O198" s="62"/>
      <c r="P198" s="62"/>
      <c r="Q198" s="62"/>
      <c r="R198" s="62"/>
      <c r="S198" s="62"/>
      <c r="T198" s="62"/>
      <c r="U198" s="67"/>
      <c r="V198" s="67"/>
      <c r="W198" s="62"/>
      <c r="X198" s="62"/>
      <c r="Y198" s="106"/>
      <c r="Z198" s="427"/>
      <c r="AA198" s="106"/>
      <c r="AB198" s="106"/>
      <c r="AC198" s="106"/>
      <c r="AD198" s="106"/>
    </row>
    <row r="199" ht="28.5" customHeight="1">
      <c r="A199" s="62"/>
      <c r="B199" s="62"/>
      <c r="C199" s="62"/>
      <c r="D199" s="62"/>
      <c r="E199" s="62"/>
      <c r="F199" s="62"/>
      <c r="G199" s="63" t="s">
        <v>122</v>
      </c>
      <c r="H199" s="64">
        <v>3.0</v>
      </c>
      <c r="I199" s="847">
        <f t="shared" si="48"/>
        <v>220000</v>
      </c>
      <c r="J199" s="685">
        <f t="shared" si="49"/>
        <v>660000</v>
      </c>
      <c r="K199" s="62"/>
      <c r="L199" s="62"/>
      <c r="M199" s="62"/>
      <c r="N199" s="62"/>
      <c r="O199" s="62"/>
      <c r="P199" s="62"/>
      <c r="Q199" s="62"/>
      <c r="R199" s="62"/>
      <c r="S199" s="62"/>
      <c r="T199" s="62"/>
      <c r="U199" s="1038" t="s">
        <v>30</v>
      </c>
      <c r="V199" s="942">
        <v>3.0</v>
      </c>
      <c r="W199" s="62"/>
      <c r="X199" s="62"/>
      <c r="Y199" s="106"/>
      <c r="Z199" s="427"/>
      <c r="AA199" s="106"/>
      <c r="AB199" s="106"/>
      <c r="AC199" s="106"/>
      <c r="AD199" s="106"/>
    </row>
    <row r="200" ht="28.5" customHeight="1">
      <c r="A200" s="67"/>
      <c r="B200" s="67"/>
      <c r="C200" s="67"/>
      <c r="D200" s="67"/>
      <c r="E200" s="67"/>
      <c r="F200" s="67"/>
      <c r="G200" s="63" t="s">
        <v>165</v>
      </c>
      <c r="H200" s="64">
        <v>3.0</v>
      </c>
      <c r="I200" s="847">
        <f t="shared" si="48"/>
        <v>220000</v>
      </c>
      <c r="J200" s="685">
        <f t="shared" si="49"/>
        <v>660000</v>
      </c>
      <c r="K200" s="67"/>
      <c r="L200" s="67"/>
      <c r="M200" s="67"/>
      <c r="N200" s="67"/>
      <c r="O200" s="67"/>
      <c r="P200" s="67"/>
      <c r="Q200" s="67"/>
      <c r="R200" s="67"/>
      <c r="S200" s="67"/>
      <c r="T200" s="67"/>
      <c r="U200" s="67"/>
      <c r="V200" s="67"/>
      <c r="W200" s="67"/>
      <c r="X200" s="67"/>
      <c r="Y200" s="106"/>
      <c r="Z200" s="427"/>
      <c r="AA200" s="106"/>
      <c r="AB200" s="106"/>
      <c r="AC200" s="106"/>
      <c r="AD200" s="106"/>
    </row>
    <row r="201" ht="28.5" customHeight="1">
      <c r="A201" s="942">
        <v>135.0</v>
      </c>
      <c r="B201" s="1022">
        <v>45127.0</v>
      </c>
      <c r="C201" s="942">
        <v>1.702188527189E12</v>
      </c>
      <c r="D201" s="1038" t="s">
        <v>247</v>
      </c>
      <c r="E201" s="944" t="s">
        <v>248</v>
      </c>
      <c r="F201" s="424" t="s">
        <v>549</v>
      </c>
      <c r="G201" s="63" t="s">
        <v>290</v>
      </c>
      <c r="H201" s="64">
        <v>6.0</v>
      </c>
      <c r="I201" s="847">
        <f t="shared" si="48"/>
        <v>220000</v>
      </c>
      <c r="J201" s="685">
        <f t="shared" si="49"/>
        <v>1320000</v>
      </c>
      <c r="K201" s="1041">
        <f>sum(J201:J210)</f>
        <v>6610000</v>
      </c>
      <c r="L201" s="1031"/>
      <c r="M201" s="1025"/>
      <c r="N201" s="1055"/>
      <c r="O201" s="53">
        <f>K201+L201-N201</f>
        <v>6610000</v>
      </c>
      <c r="P201" s="1060" t="s">
        <v>449</v>
      </c>
      <c r="Q201" s="1060" t="s">
        <v>31</v>
      </c>
      <c r="R201" s="1028">
        <v>271728.0</v>
      </c>
      <c r="S201" s="1029" t="s">
        <v>32</v>
      </c>
      <c r="T201" s="1030" t="s">
        <v>33</v>
      </c>
      <c r="U201" s="429" t="s">
        <v>290</v>
      </c>
      <c r="V201" s="694">
        <v>2.0</v>
      </c>
      <c r="W201" s="942" t="s">
        <v>1542</v>
      </c>
      <c r="X201" s="974"/>
      <c r="Y201" s="106"/>
      <c r="Z201" s="427"/>
      <c r="AA201" s="106"/>
      <c r="AB201" s="106"/>
      <c r="AC201" s="106"/>
      <c r="AD201" s="106"/>
    </row>
    <row r="202" ht="28.5" customHeight="1">
      <c r="A202" s="62"/>
      <c r="B202" s="62"/>
      <c r="C202" s="62"/>
      <c r="D202" s="62"/>
      <c r="E202" s="62"/>
      <c r="F202" s="62"/>
      <c r="G202" s="63" t="s">
        <v>35</v>
      </c>
      <c r="H202" s="64">
        <v>3.0</v>
      </c>
      <c r="I202" s="847">
        <f t="shared" si="48"/>
        <v>220000</v>
      </c>
      <c r="J202" s="685">
        <f t="shared" si="49"/>
        <v>660000</v>
      </c>
      <c r="K202" s="62"/>
      <c r="L202" s="62"/>
      <c r="M202" s="62"/>
      <c r="N202" s="62"/>
      <c r="O202" s="62"/>
      <c r="P202" s="62"/>
      <c r="Q202" s="62"/>
      <c r="R202" s="62"/>
      <c r="S202" s="62"/>
      <c r="T202" s="62"/>
      <c r="U202" s="429" t="s">
        <v>35</v>
      </c>
      <c r="V202" s="694">
        <v>1.0</v>
      </c>
      <c r="W202" s="62"/>
      <c r="X202" s="62"/>
      <c r="Y202" s="106"/>
      <c r="Z202" s="427"/>
      <c r="AA202" s="106"/>
      <c r="AB202" s="106"/>
      <c r="AC202" s="106"/>
      <c r="AD202" s="106"/>
    </row>
    <row r="203" ht="28.5" customHeight="1">
      <c r="A203" s="62"/>
      <c r="B203" s="62"/>
      <c r="C203" s="62"/>
      <c r="D203" s="62"/>
      <c r="E203" s="62"/>
      <c r="F203" s="62"/>
      <c r="G203" s="63" t="s">
        <v>30</v>
      </c>
      <c r="H203" s="64">
        <v>6.0</v>
      </c>
      <c r="I203" s="847">
        <f t="shared" si="48"/>
        <v>220000</v>
      </c>
      <c r="J203" s="685">
        <f t="shared" si="49"/>
        <v>1320000</v>
      </c>
      <c r="K203" s="62"/>
      <c r="L203" s="62"/>
      <c r="M203" s="62"/>
      <c r="N203" s="62"/>
      <c r="O203" s="62"/>
      <c r="P203" s="62"/>
      <c r="Q203" s="62"/>
      <c r="R203" s="62"/>
      <c r="S203" s="62"/>
      <c r="T203" s="62"/>
      <c r="U203" s="429" t="s">
        <v>30</v>
      </c>
      <c r="V203" s="694">
        <v>2.0</v>
      </c>
      <c r="W203" s="62"/>
      <c r="X203" s="62"/>
      <c r="Y203" s="106"/>
      <c r="Z203" s="427"/>
      <c r="AA203" s="106"/>
      <c r="AB203" s="106"/>
      <c r="AC203" s="106"/>
      <c r="AD203" s="106"/>
    </row>
    <row r="204" ht="28.5" customHeight="1">
      <c r="A204" s="62"/>
      <c r="B204" s="62"/>
      <c r="C204" s="62"/>
      <c r="D204" s="62"/>
      <c r="E204" s="62"/>
      <c r="F204" s="62"/>
      <c r="G204" s="63" t="s">
        <v>37</v>
      </c>
      <c r="H204" s="64">
        <v>3.0</v>
      </c>
      <c r="I204" s="847">
        <f t="shared" si="48"/>
        <v>220000</v>
      </c>
      <c r="J204" s="685">
        <f t="shared" si="49"/>
        <v>660000</v>
      </c>
      <c r="K204" s="62"/>
      <c r="L204" s="62"/>
      <c r="M204" s="62"/>
      <c r="N204" s="62"/>
      <c r="O204" s="62"/>
      <c r="P204" s="62"/>
      <c r="Q204" s="62"/>
      <c r="R204" s="62"/>
      <c r="S204" s="62"/>
      <c r="T204" s="62"/>
      <c r="U204" s="429" t="s">
        <v>37</v>
      </c>
      <c r="V204" s="694">
        <v>1.0</v>
      </c>
      <c r="W204" s="62"/>
      <c r="X204" s="62"/>
      <c r="Y204" s="106"/>
      <c r="Z204" s="427"/>
      <c r="AA204" s="106"/>
      <c r="AB204" s="106"/>
      <c r="AC204" s="106"/>
      <c r="AD204" s="106"/>
    </row>
    <row r="205" ht="28.5" customHeight="1">
      <c r="A205" s="62"/>
      <c r="B205" s="62"/>
      <c r="C205" s="62"/>
      <c r="D205" s="62"/>
      <c r="E205" s="62"/>
      <c r="F205" s="62"/>
      <c r="G205" s="63" t="s">
        <v>122</v>
      </c>
      <c r="H205" s="64">
        <v>3.0</v>
      </c>
      <c r="I205" s="847">
        <f t="shared" si="48"/>
        <v>220000</v>
      </c>
      <c r="J205" s="685">
        <f t="shared" si="49"/>
        <v>660000</v>
      </c>
      <c r="K205" s="62"/>
      <c r="L205" s="62"/>
      <c r="M205" s="62"/>
      <c r="N205" s="62"/>
      <c r="O205" s="62"/>
      <c r="P205" s="62"/>
      <c r="Q205" s="62"/>
      <c r="R205" s="62"/>
      <c r="S205" s="62"/>
      <c r="T205" s="62"/>
      <c r="U205" s="429" t="s">
        <v>122</v>
      </c>
      <c r="V205" s="694">
        <v>1.0</v>
      </c>
      <c r="W205" s="62"/>
      <c r="X205" s="62"/>
      <c r="Y205" s="106"/>
      <c r="Z205" s="427"/>
      <c r="AA205" s="106"/>
      <c r="AB205" s="106"/>
      <c r="AC205" s="106"/>
      <c r="AD205" s="106"/>
    </row>
    <row r="206" ht="28.5" customHeight="1">
      <c r="A206" s="62"/>
      <c r="B206" s="62"/>
      <c r="C206" s="62"/>
      <c r="D206" s="62"/>
      <c r="E206" s="62"/>
      <c r="F206" s="62"/>
      <c r="G206" s="63" t="s">
        <v>165</v>
      </c>
      <c r="H206" s="64">
        <v>3.0</v>
      </c>
      <c r="I206" s="847">
        <f t="shared" si="48"/>
        <v>220000</v>
      </c>
      <c r="J206" s="685">
        <f t="shared" si="49"/>
        <v>660000</v>
      </c>
      <c r="K206" s="62"/>
      <c r="L206" s="62"/>
      <c r="M206" s="62"/>
      <c r="N206" s="62"/>
      <c r="O206" s="62"/>
      <c r="P206" s="62"/>
      <c r="Q206" s="62"/>
      <c r="R206" s="62"/>
      <c r="S206" s="62"/>
      <c r="T206" s="62"/>
      <c r="U206" s="429" t="s">
        <v>165</v>
      </c>
      <c r="V206" s="694">
        <v>1.0</v>
      </c>
      <c r="W206" s="62"/>
      <c r="X206" s="62"/>
      <c r="Y206" s="106"/>
      <c r="Z206" s="427"/>
      <c r="AA206" s="106"/>
      <c r="AB206" s="106"/>
      <c r="AC206" s="106"/>
      <c r="AD206" s="106"/>
    </row>
    <row r="207" ht="28.5" customHeight="1">
      <c r="A207" s="62"/>
      <c r="B207" s="62"/>
      <c r="C207" s="62"/>
      <c r="D207" s="62"/>
      <c r="E207" s="62"/>
      <c r="F207" s="62"/>
      <c r="G207" s="63" t="s">
        <v>383</v>
      </c>
      <c r="H207" s="64">
        <v>12.0</v>
      </c>
      <c r="I207" s="847">
        <f t="shared" si="48"/>
        <v>80000</v>
      </c>
      <c r="J207" s="685">
        <f t="shared" si="49"/>
        <v>960000</v>
      </c>
      <c r="K207" s="62"/>
      <c r="L207" s="62"/>
      <c r="M207" s="62"/>
      <c r="N207" s="62"/>
      <c r="O207" s="62"/>
      <c r="P207" s="62"/>
      <c r="Q207" s="62"/>
      <c r="R207" s="62"/>
      <c r="S207" s="62"/>
      <c r="T207" s="62"/>
      <c r="U207" s="1038" t="s">
        <v>383</v>
      </c>
      <c r="V207" s="942">
        <v>4.0</v>
      </c>
      <c r="W207" s="62"/>
      <c r="X207" s="62"/>
      <c r="Y207" s="106"/>
      <c r="Z207" s="427"/>
      <c r="AA207" s="106"/>
      <c r="AB207" s="106"/>
      <c r="AC207" s="106"/>
      <c r="AD207" s="106"/>
    </row>
    <row r="208" ht="28.5" customHeight="1">
      <c r="A208" s="62"/>
      <c r="B208" s="62"/>
      <c r="C208" s="62"/>
      <c r="D208" s="62"/>
      <c r="E208" s="62"/>
      <c r="F208" s="62"/>
      <c r="G208" s="72" t="s">
        <v>478</v>
      </c>
      <c r="H208" s="73">
        <v>2.0</v>
      </c>
      <c r="I208" s="853">
        <f t="shared" si="48"/>
        <v>65000</v>
      </c>
      <c r="J208" s="1062">
        <f t="shared" si="49"/>
        <v>130000</v>
      </c>
      <c r="K208" s="62"/>
      <c r="L208" s="62"/>
      <c r="M208" s="62"/>
      <c r="N208" s="62"/>
      <c r="O208" s="62"/>
      <c r="P208" s="62"/>
      <c r="Q208" s="62"/>
      <c r="R208" s="62"/>
      <c r="S208" s="62"/>
      <c r="T208" s="62"/>
      <c r="U208" s="62"/>
      <c r="V208" s="62"/>
      <c r="W208" s="62"/>
      <c r="X208" s="62"/>
      <c r="Y208" s="106"/>
      <c r="Z208" s="427"/>
      <c r="AA208" s="106"/>
      <c r="AB208" s="106"/>
      <c r="AC208" s="106"/>
      <c r="AD208" s="106"/>
    </row>
    <row r="209" ht="28.5" customHeight="1">
      <c r="A209" s="62"/>
      <c r="B209" s="62"/>
      <c r="C209" s="62"/>
      <c r="D209" s="62"/>
      <c r="E209" s="62"/>
      <c r="F209" s="62"/>
      <c r="G209" s="72" t="s">
        <v>476</v>
      </c>
      <c r="H209" s="73">
        <v>2.0</v>
      </c>
      <c r="I209" s="853">
        <f t="shared" si="48"/>
        <v>55000</v>
      </c>
      <c r="J209" s="1062">
        <f t="shared" si="49"/>
        <v>110000</v>
      </c>
      <c r="K209" s="62"/>
      <c r="L209" s="62"/>
      <c r="M209" s="62"/>
      <c r="N209" s="62"/>
      <c r="O209" s="62"/>
      <c r="P209" s="62"/>
      <c r="Q209" s="62"/>
      <c r="R209" s="62"/>
      <c r="S209" s="62"/>
      <c r="T209" s="62"/>
      <c r="U209" s="62"/>
      <c r="V209" s="62"/>
      <c r="W209" s="62"/>
      <c r="X209" s="62"/>
      <c r="Y209" s="106"/>
      <c r="Z209" s="427"/>
      <c r="AA209" s="106"/>
      <c r="AB209" s="106"/>
      <c r="AC209" s="106"/>
      <c r="AD209" s="106"/>
    </row>
    <row r="210" ht="28.5" customHeight="1">
      <c r="A210" s="67"/>
      <c r="B210" s="67"/>
      <c r="C210" s="67"/>
      <c r="D210" s="67"/>
      <c r="E210" s="67"/>
      <c r="F210" s="67"/>
      <c r="G210" s="72" t="s">
        <v>477</v>
      </c>
      <c r="H210" s="73">
        <v>2.0</v>
      </c>
      <c r="I210" s="853">
        <f t="shared" si="48"/>
        <v>65000</v>
      </c>
      <c r="J210" s="1062">
        <f t="shared" si="49"/>
        <v>130000</v>
      </c>
      <c r="K210" s="67"/>
      <c r="L210" s="67"/>
      <c r="M210" s="67"/>
      <c r="N210" s="67"/>
      <c r="O210" s="67"/>
      <c r="P210" s="67"/>
      <c r="Q210" s="67"/>
      <c r="R210" s="67"/>
      <c r="S210" s="67"/>
      <c r="T210" s="67"/>
      <c r="U210" s="67"/>
      <c r="V210" s="67"/>
      <c r="W210" s="67"/>
      <c r="X210" s="67"/>
      <c r="Y210" s="106"/>
      <c r="Z210" s="427"/>
      <c r="AA210" s="106"/>
      <c r="AB210" s="106"/>
      <c r="AC210" s="106"/>
      <c r="AD210" s="106"/>
    </row>
    <row r="211" ht="28.5" customHeight="1">
      <c r="A211" s="942">
        <v>136.0</v>
      </c>
      <c r="B211" s="1022">
        <v>45127.0</v>
      </c>
      <c r="C211" s="942">
        <v>1.711939815002E12</v>
      </c>
      <c r="D211" s="1038" t="s">
        <v>209</v>
      </c>
      <c r="E211" s="944" t="s">
        <v>210</v>
      </c>
      <c r="F211" s="424" t="s">
        <v>1614</v>
      </c>
      <c r="G211" s="63" t="s">
        <v>30</v>
      </c>
      <c r="H211" s="64">
        <v>5.0</v>
      </c>
      <c r="I211" s="847">
        <f t="shared" si="48"/>
        <v>220000</v>
      </c>
      <c r="J211" s="685">
        <f t="shared" si="49"/>
        <v>1100000</v>
      </c>
      <c r="K211" s="1041">
        <f>SUM(J211:J215)</f>
        <v>2430000</v>
      </c>
      <c r="L211" s="1031"/>
      <c r="M211" s="1025"/>
      <c r="N211" s="1055"/>
      <c r="O211" s="53">
        <f>K211+L211-N211</f>
        <v>2430000</v>
      </c>
      <c r="P211" s="1060" t="s">
        <v>449</v>
      </c>
      <c r="Q211" s="1060" t="s">
        <v>31</v>
      </c>
      <c r="R211" s="1028">
        <v>56998.0</v>
      </c>
      <c r="S211" s="1029" t="s">
        <v>32</v>
      </c>
      <c r="T211" s="1030" t="s">
        <v>33</v>
      </c>
      <c r="U211" s="1038" t="s">
        <v>35</v>
      </c>
      <c r="V211" s="942">
        <v>2.0</v>
      </c>
      <c r="W211" s="942" t="s">
        <v>1542</v>
      </c>
      <c r="X211" s="942"/>
      <c r="Y211" s="106"/>
      <c r="Z211" s="427"/>
      <c r="AA211" s="106"/>
      <c r="AB211" s="106"/>
      <c r="AC211" s="106"/>
      <c r="AD211" s="106"/>
    </row>
    <row r="212" ht="28.5" customHeight="1">
      <c r="A212" s="62"/>
      <c r="B212" s="62"/>
      <c r="C212" s="62"/>
      <c r="D212" s="62"/>
      <c r="E212" s="62"/>
      <c r="F212" s="62"/>
      <c r="G212" s="63" t="s">
        <v>35</v>
      </c>
      <c r="H212" s="64">
        <v>1.0</v>
      </c>
      <c r="I212" s="847">
        <f t="shared" si="48"/>
        <v>220000</v>
      </c>
      <c r="J212" s="685">
        <f t="shared" si="49"/>
        <v>220000</v>
      </c>
      <c r="K212" s="62"/>
      <c r="L212" s="62"/>
      <c r="M212" s="62"/>
      <c r="N212" s="62"/>
      <c r="O212" s="62"/>
      <c r="P212" s="62"/>
      <c r="Q212" s="62"/>
      <c r="R212" s="62"/>
      <c r="S212" s="62"/>
      <c r="T212" s="62"/>
      <c r="U212" s="62"/>
      <c r="V212" s="62"/>
      <c r="W212" s="62"/>
      <c r="X212" s="62"/>
      <c r="Y212" s="106"/>
      <c r="Z212" s="427"/>
      <c r="AA212" s="106"/>
      <c r="AB212" s="106"/>
      <c r="AC212" s="106"/>
      <c r="AD212" s="106"/>
    </row>
    <row r="213" ht="28.5" customHeight="1">
      <c r="A213" s="62"/>
      <c r="B213" s="62"/>
      <c r="C213" s="62"/>
      <c r="D213" s="62"/>
      <c r="E213" s="62"/>
      <c r="F213" s="62"/>
      <c r="G213" s="72" t="s">
        <v>476</v>
      </c>
      <c r="H213" s="73">
        <v>6.0</v>
      </c>
      <c r="I213" s="853">
        <f t="shared" si="48"/>
        <v>55000</v>
      </c>
      <c r="J213" s="1062">
        <f t="shared" si="49"/>
        <v>330000</v>
      </c>
      <c r="K213" s="62"/>
      <c r="L213" s="62"/>
      <c r="M213" s="62"/>
      <c r="N213" s="62"/>
      <c r="O213" s="62"/>
      <c r="P213" s="62"/>
      <c r="Q213" s="62"/>
      <c r="R213" s="62"/>
      <c r="S213" s="62"/>
      <c r="T213" s="62"/>
      <c r="U213" s="62"/>
      <c r="V213" s="62"/>
      <c r="W213" s="62"/>
      <c r="X213" s="62"/>
      <c r="Y213" s="106"/>
      <c r="Z213" s="427"/>
      <c r="AA213" s="106"/>
      <c r="AB213" s="106"/>
      <c r="AC213" s="106"/>
      <c r="AD213" s="106"/>
    </row>
    <row r="214" ht="28.5" customHeight="1">
      <c r="A214" s="62"/>
      <c r="B214" s="62"/>
      <c r="C214" s="62"/>
      <c r="D214" s="62"/>
      <c r="E214" s="62"/>
      <c r="F214" s="62"/>
      <c r="G214" s="72" t="s">
        <v>478</v>
      </c>
      <c r="H214" s="73">
        <v>6.0</v>
      </c>
      <c r="I214" s="853">
        <f t="shared" si="48"/>
        <v>65000</v>
      </c>
      <c r="J214" s="1062">
        <f t="shared" si="49"/>
        <v>390000</v>
      </c>
      <c r="K214" s="62"/>
      <c r="L214" s="62"/>
      <c r="M214" s="62"/>
      <c r="N214" s="62"/>
      <c r="O214" s="62"/>
      <c r="P214" s="62"/>
      <c r="Q214" s="62"/>
      <c r="R214" s="62"/>
      <c r="S214" s="62"/>
      <c r="T214" s="62"/>
      <c r="U214" s="62"/>
      <c r="V214" s="62"/>
      <c r="W214" s="62"/>
      <c r="X214" s="62"/>
      <c r="Y214" s="106"/>
      <c r="Z214" s="427"/>
      <c r="AA214" s="106"/>
      <c r="AB214" s="106"/>
      <c r="AC214" s="106"/>
      <c r="AD214" s="106"/>
    </row>
    <row r="215" ht="28.5" customHeight="1">
      <c r="A215" s="67"/>
      <c r="B215" s="67"/>
      <c r="C215" s="67"/>
      <c r="D215" s="67"/>
      <c r="E215" s="67"/>
      <c r="F215" s="67"/>
      <c r="G215" s="72" t="s">
        <v>477</v>
      </c>
      <c r="H215" s="73">
        <v>6.0</v>
      </c>
      <c r="I215" s="853">
        <f t="shared" si="48"/>
        <v>65000</v>
      </c>
      <c r="J215" s="1062">
        <f t="shared" si="49"/>
        <v>390000</v>
      </c>
      <c r="K215" s="67"/>
      <c r="L215" s="67"/>
      <c r="M215" s="67"/>
      <c r="N215" s="67"/>
      <c r="O215" s="67"/>
      <c r="P215" s="67"/>
      <c r="Q215" s="67"/>
      <c r="R215" s="67"/>
      <c r="S215" s="67"/>
      <c r="T215" s="67"/>
      <c r="U215" s="67"/>
      <c r="V215" s="67"/>
      <c r="W215" s="67"/>
      <c r="X215" s="67"/>
      <c r="Y215" s="106"/>
      <c r="Z215" s="427"/>
      <c r="AA215" s="106"/>
      <c r="AB215" s="106"/>
      <c r="AC215" s="106"/>
      <c r="AD215" s="106"/>
    </row>
    <row r="216" ht="39.0" customHeight="1">
      <c r="A216" s="694">
        <v>137.0</v>
      </c>
      <c r="B216" s="1032">
        <v>45128.0</v>
      </c>
      <c r="C216" s="694">
        <v>1.696947608392E12</v>
      </c>
      <c r="D216" s="429" t="s">
        <v>216</v>
      </c>
      <c r="E216" s="684" t="s">
        <v>217</v>
      </c>
      <c r="F216" s="133" t="s">
        <v>218</v>
      </c>
      <c r="G216" s="63" t="s">
        <v>30</v>
      </c>
      <c r="H216" s="64">
        <v>12.0</v>
      </c>
      <c r="I216" s="847">
        <f t="shared" si="48"/>
        <v>220000</v>
      </c>
      <c r="J216" s="685">
        <f t="shared" si="49"/>
        <v>2640000</v>
      </c>
      <c r="K216" s="686">
        <f t="shared" ref="K216:K217" si="52">SUM(J216)</f>
        <v>2640000</v>
      </c>
      <c r="L216" s="693"/>
      <c r="M216" s="688"/>
      <c r="N216" s="1049"/>
      <c r="O216" s="80">
        <f t="shared" ref="O216:O218" si="53">K216+L216-N216</f>
        <v>2640000</v>
      </c>
      <c r="P216" s="690" t="s">
        <v>449</v>
      </c>
      <c r="Q216" s="690" t="s">
        <v>31</v>
      </c>
      <c r="R216" s="806">
        <v>98637.0</v>
      </c>
      <c r="S216" s="1017" t="s">
        <v>32</v>
      </c>
      <c r="T216" s="692" t="s">
        <v>33</v>
      </c>
      <c r="U216" s="429" t="s">
        <v>290</v>
      </c>
      <c r="V216" s="694">
        <v>4.0</v>
      </c>
      <c r="W216" s="694" t="s">
        <v>1714</v>
      </c>
      <c r="X216" s="687"/>
      <c r="Y216" s="106"/>
      <c r="Z216" s="427"/>
      <c r="AA216" s="106"/>
      <c r="AB216" s="106"/>
      <c r="AC216" s="106"/>
      <c r="AD216" s="106"/>
    </row>
    <row r="217" ht="28.5" customHeight="1">
      <c r="A217" s="694">
        <v>138.0</v>
      </c>
      <c r="B217" s="1032">
        <v>45128.0</v>
      </c>
      <c r="C217" s="694">
        <v>1.712486727348E12</v>
      </c>
      <c r="D217" s="429" t="s">
        <v>44</v>
      </c>
      <c r="E217" s="684" t="s">
        <v>45</v>
      </c>
      <c r="F217" s="429" t="s">
        <v>324</v>
      </c>
      <c r="G217" s="63" t="s">
        <v>30</v>
      </c>
      <c r="H217" s="64">
        <v>30.0</v>
      </c>
      <c r="I217" s="847">
        <f t="shared" si="48"/>
        <v>220000</v>
      </c>
      <c r="J217" s="685">
        <f t="shared" si="49"/>
        <v>6600000</v>
      </c>
      <c r="K217" s="686">
        <f t="shared" si="52"/>
        <v>6600000</v>
      </c>
      <c r="L217" s="693"/>
      <c r="M217" s="688"/>
      <c r="N217" s="1049"/>
      <c r="O217" s="80">
        <f t="shared" si="53"/>
        <v>6600000</v>
      </c>
      <c r="P217" s="690" t="s">
        <v>449</v>
      </c>
      <c r="Q217" s="690" t="s">
        <v>31</v>
      </c>
      <c r="R217" s="806">
        <v>281697.0</v>
      </c>
      <c r="S217" s="1017" t="s">
        <v>32</v>
      </c>
      <c r="T217" s="692" t="s">
        <v>33</v>
      </c>
      <c r="U217" s="429" t="s">
        <v>290</v>
      </c>
      <c r="V217" s="694">
        <v>10.0</v>
      </c>
      <c r="W217" s="694" t="s">
        <v>1715</v>
      </c>
      <c r="X217" s="687"/>
      <c r="Y217" s="106"/>
      <c r="Z217" s="427"/>
      <c r="AA217" s="106"/>
      <c r="AB217" s="106"/>
      <c r="AC217" s="106"/>
      <c r="AD217" s="106"/>
    </row>
    <row r="218" ht="28.5" customHeight="1">
      <c r="A218" s="942">
        <v>139.0</v>
      </c>
      <c r="B218" s="1022">
        <v>45128.0</v>
      </c>
      <c r="C218" s="942">
        <v>1.712612328115E12</v>
      </c>
      <c r="D218" s="1038" t="s">
        <v>1716</v>
      </c>
      <c r="E218" s="944" t="s">
        <v>1717</v>
      </c>
      <c r="F218" s="1038" t="s">
        <v>324</v>
      </c>
      <c r="G218" s="63" t="s">
        <v>30</v>
      </c>
      <c r="H218" s="64">
        <v>6.0</v>
      </c>
      <c r="I218" s="847">
        <f t="shared" si="48"/>
        <v>220000</v>
      </c>
      <c r="J218" s="685">
        <f t="shared" si="49"/>
        <v>1320000</v>
      </c>
      <c r="K218" s="1041">
        <f>SUM(J218:J219)</f>
        <v>1980000</v>
      </c>
      <c r="L218" s="1031"/>
      <c r="M218" s="1025"/>
      <c r="N218" s="1055"/>
      <c r="O218" s="53">
        <f t="shared" si="53"/>
        <v>1980000</v>
      </c>
      <c r="P218" s="1060" t="s">
        <v>449</v>
      </c>
      <c r="Q218" s="1060" t="s">
        <v>31</v>
      </c>
      <c r="R218" s="1028">
        <v>99000.0</v>
      </c>
      <c r="S218" s="1029" t="s">
        <v>32</v>
      </c>
      <c r="T218" s="1030" t="s">
        <v>33</v>
      </c>
      <c r="U218" s="1038" t="s">
        <v>290</v>
      </c>
      <c r="V218" s="942">
        <v>3.0</v>
      </c>
      <c r="W218" s="942" t="s">
        <v>1542</v>
      </c>
      <c r="X218" s="974"/>
      <c r="Y218" s="106"/>
      <c r="Z218" s="427"/>
      <c r="AA218" s="106"/>
      <c r="AB218" s="106"/>
      <c r="AC218" s="106"/>
      <c r="AD218" s="106"/>
    </row>
    <row r="219" ht="28.5" customHeight="1">
      <c r="A219" s="67"/>
      <c r="B219" s="67"/>
      <c r="C219" s="67"/>
      <c r="D219" s="67"/>
      <c r="E219" s="67"/>
      <c r="F219" s="67"/>
      <c r="G219" s="63" t="s">
        <v>47</v>
      </c>
      <c r="H219" s="64">
        <v>3.0</v>
      </c>
      <c r="I219" s="847">
        <f t="shared" si="48"/>
        <v>220000</v>
      </c>
      <c r="J219" s="685">
        <f t="shared" si="49"/>
        <v>660000</v>
      </c>
      <c r="K219" s="67"/>
      <c r="L219" s="67"/>
      <c r="M219" s="67"/>
      <c r="N219" s="67"/>
      <c r="O219" s="67"/>
      <c r="P219" s="67"/>
      <c r="Q219" s="67"/>
      <c r="R219" s="67"/>
      <c r="S219" s="67"/>
      <c r="T219" s="67"/>
      <c r="U219" s="67"/>
      <c r="V219" s="67"/>
      <c r="W219" s="67"/>
      <c r="X219" s="67"/>
      <c r="Y219" s="106"/>
      <c r="Z219" s="427"/>
      <c r="AA219" s="106"/>
      <c r="AB219" s="106"/>
      <c r="AC219" s="106"/>
      <c r="AD219" s="106"/>
    </row>
    <row r="220" ht="28.5" customHeight="1">
      <c r="A220" s="942">
        <v>140.0</v>
      </c>
      <c r="B220" s="1022">
        <v>45128.0</v>
      </c>
      <c r="C220" s="942">
        <v>1.703015281144E12</v>
      </c>
      <c r="D220" s="1038" t="s">
        <v>1718</v>
      </c>
      <c r="E220" s="944" t="s">
        <v>1719</v>
      </c>
      <c r="F220" s="1038" t="s">
        <v>1720</v>
      </c>
      <c r="G220" s="816"/>
      <c r="H220" s="100"/>
      <c r="I220" s="1088"/>
      <c r="J220" s="1091">
        <f>I220*$H$215</f>
        <v>0</v>
      </c>
      <c r="K220" s="1041">
        <f>SUM(J220)</f>
        <v>0</v>
      </c>
      <c r="L220" s="1031"/>
      <c r="M220" s="1025"/>
      <c r="N220" s="1055"/>
      <c r="O220" s="53"/>
      <c r="P220" s="1084"/>
      <c r="Q220" s="1084"/>
      <c r="R220" s="1008"/>
      <c r="S220" s="1053"/>
      <c r="T220" s="1085"/>
      <c r="U220" s="429" t="s">
        <v>75</v>
      </c>
      <c r="V220" s="694">
        <v>1.0</v>
      </c>
      <c r="W220" s="942" t="s">
        <v>1706</v>
      </c>
      <c r="X220" s="974"/>
      <c r="Y220" s="106"/>
      <c r="Z220" s="427"/>
      <c r="AA220" s="106"/>
      <c r="AB220" s="106"/>
      <c r="AC220" s="106"/>
      <c r="AD220" s="106"/>
    </row>
    <row r="221" ht="28.5" customHeight="1">
      <c r="A221" s="62"/>
      <c r="B221" s="62"/>
      <c r="C221" s="62"/>
      <c r="D221" s="62"/>
      <c r="E221" s="62"/>
      <c r="F221" s="62"/>
      <c r="G221" s="62"/>
      <c r="H221" s="62"/>
      <c r="I221" s="62"/>
      <c r="J221" s="452"/>
      <c r="K221" s="62"/>
      <c r="L221" s="62"/>
      <c r="M221" s="62"/>
      <c r="N221" s="62"/>
      <c r="O221" s="62"/>
      <c r="P221" s="62"/>
      <c r="Q221" s="62"/>
      <c r="R221" s="62"/>
      <c r="S221" s="62"/>
      <c r="T221" s="62"/>
      <c r="U221" s="429" t="s">
        <v>457</v>
      </c>
      <c r="V221" s="694">
        <v>1.0</v>
      </c>
      <c r="W221" s="62"/>
      <c r="X221" s="62"/>
      <c r="Y221" s="106"/>
      <c r="Z221" s="427"/>
      <c r="AA221" s="106"/>
      <c r="AB221" s="106"/>
      <c r="AC221" s="106"/>
      <c r="AD221" s="106"/>
    </row>
    <row r="222" ht="28.5" customHeight="1">
      <c r="A222" s="67"/>
      <c r="B222" s="67"/>
      <c r="C222" s="67"/>
      <c r="D222" s="67"/>
      <c r="E222" s="67"/>
      <c r="F222" s="67"/>
      <c r="G222" s="67"/>
      <c r="H222" s="67"/>
      <c r="I222" s="67"/>
      <c r="J222" s="453"/>
      <c r="K222" s="67"/>
      <c r="L222" s="67"/>
      <c r="M222" s="67"/>
      <c r="N222" s="67"/>
      <c r="O222" s="67"/>
      <c r="P222" s="67"/>
      <c r="Q222" s="67"/>
      <c r="R222" s="67"/>
      <c r="S222" s="67"/>
      <c r="T222" s="67"/>
      <c r="U222" s="429" t="s">
        <v>456</v>
      </c>
      <c r="V222" s="694">
        <v>1.0</v>
      </c>
      <c r="W222" s="67"/>
      <c r="X222" s="67"/>
      <c r="Y222" s="106"/>
      <c r="Z222" s="427"/>
      <c r="AA222" s="106"/>
      <c r="AB222" s="106"/>
      <c r="AC222" s="106"/>
      <c r="AD222" s="106"/>
    </row>
    <row r="223" ht="28.5" customHeight="1">
      <c r="A223" s="942">
        <v>141.0</v>
      </c>
      <c r="B223" s="1022">
        <v>45128.0</v>
      </c>
      <c r="C223" s="942">
        <v>1.712042941088E12</v>
      </c>
      <c r="D223" s="1038" t="s">
        <v>158</v>
      </c>
      <c r="E223" s="944" t="s">
        <v>1721</v>
      </c>
      <c r="F223" s="424" t="s">
        <v>1722</v>
      </c>
      <c r="G223" s="816"/>
      <c r="H223" s="100"/>
      <c r="I223" s="1093"/>
      <c r="J223" s="1091">
        <f>I223*$H$215</f>
        <v>0</v>
      </c>
      <c r="K223" s="1041">
        <f>SUM(J223)</f>
        <v>0</v>
      </c>
      <c r="L223" s="1031"/>
      <c r="M223" s="1025"/>
      <c r="N223" s="1055"/>
      <c r="O223" s="53"/>
      <c r="P223" s="1060" t="s">
        <v>449</v>
      </c>
      <c r="Q223" s="1084"/>
      <c r="R223" s="1008"/>
      <c r="S223" s="1053"/>
      <c r="T223" s="1085"/>
      <c r="U223" s="429" t="s">
        <v>75</v>
      </c>
      <c r="V223" s="694">
        <v>1.0</v>
      </c>
      <c r="W223" s="942" t="s">
        <v>1706</v>
      </c>
      <c r="X223" s="687"/>
      <c r="Y223" s="106"/>
      <c r="Z223" s="427"/>
      <c r="AA223" s="106"/>
      <c r="AB223" s="106"/>
      <c r="AC223" s="106"/>
      <c r="AD223" s="106"/>
    </row>
    <row r="224" ht="28.5" customHeight="1">
      <c r="A224" s="62"/>
      <c r="B224" s="62"/>
      <c r="C224" s="62"/>
      <c r="D224" s="62"/>
      <c r="E224" s="62"/>
      <c r="F224" s="62"/>
      <c r="G224" s="62"/>
      <c r="H224" s="62"/>
      <c r="I224" s="423"/>
      <c r="J224" s="452"/>
      <c r="K224" s="62"/>
      <c r="L224" s="62"/>
      <c r="M224" s="62"/>
      <c r="N224" s="62"/>
      <c r="O224" s="62"/>
      <c r="P224" s="62"/>
      <c r="Q224" s="62"/>
      <c r="R224" s="62"/>
      <c r="S224" s="62"/>
      <c r="T224" s="62"/>
      <c r="U224" s="429" t="s">
        <v>457</v>
      </c>
      <c r="V224" s="694">
        <v>1.0</v>
      </c>
      <c r="W224" s="62"/>
      <c r="X224" s="687"/>
      <c r="Y224" s="106"/>
      <c r="Z224" s="427"/>
      <c r="AA224" s="106"/>
      <c r="AB224" s="106"/>
      <c r="AC224" s="106"/>
      <c r="AD224" s="106"/>
    </row>
    <row r="225" ht="28.5" customHeight="1">
      <c r="A225" s="67"/>
      <c r="B225" s="67"/>
      <c r="C225" s="67"/>
      <c r="D225" s="67"/>
      <c r="E225" s="67"/>
      <c r="F225" s="67"/>
      <c r="G225" s="67"/>
      <c r="H225" s="67"/>
      <c r="I225" s="102"/>
      <c r="J225" s="453"/>
      <c r="K225" s="67"/>
      <c r="L225" s="67"/>
      <c r="M225" s="67"/>
      <c r="N225" s="67"/>
      <c r="O225" s="67"/>
      <c r="P225" s="67"/>
      <c r="Q225" s="67"/>
      <c r="R225" s="67"/>
      <c r="S225" s="67"/>
      <c r="T225" s="67"/>
      <c r="U225" s="429" t="s">
        <v>456</v>
      </c>
      <c r="V225" s="694">
        <v>1.0</v>
      </c>
      <c r="W225" s="67"/>
      <c r="X225" s="687"/>
      <c r="Y225" s="106"/>
      <c r="Z225" s="427"/>
      <c r="AA225" s="106"/>
      <c r="AB225" s="106"/>
      <c r="AC225" s="106"/>
      <c r="AD225" s="106"/>
    </row>
    <row r="226" ht="28.5" customHeight="1">
      <c r="A226" s="942">
        <v>142.0</v>
      </c>
      <c r="B226" s="1022">
        <v>45128.0</v>
      </c>
      <c r="C226" s="942">
        <v>1.71372357104E12</v>
      </c>
      <c r="D226" s="1038" t="s">
        <v>1723</v>
      </c>
      <c r="E226" s="944" t="s">
        <v>1724</v>
      </c>
      <c r="F226" s="424" t="s">
        <v>1725</v>
      </c>
      <c r="G226" s="816"/>
      <c r="H226" s="100"/>
      <c r="I226" s="1093"/>
      <c r="J226" s="1091">
        <f>I226*$H$215</f>
        <v>0</v>
      </c>
      <c r="K226" s="1041">
        <f>SUM(J226)</f>
        <v>0</v>
      </c>
      <c r="L226" s="1031"/>
      <c r="M226" s="1025"/>
      <c r="N226" s="1055"/>
      <c r="O226" s="53"/>
      <c r="P226" s="1060" t="s">
        <v>449</v>
      </c>
      <c r="Q226" s="1084"/>
      <c r="R226" s="1008"/>
      <c r="S226" s="1053"/>
      <c r="T226" s="1085"/>
      <c r="U226" s="429" t="s">
        <v>75</v>
      </c>
      <c r="V226" s="694">
        <v>1.0</v>
      </c>
      <c r="W226" s="942" t="s">
        <v>1706</v>
      </c>
      <c r="X226" s="687"/>
      <c r="Y226" s="106"/>
      <c r="Z226" s="427"/>
      <c r="AA226" s="106"/>
      <c r="AB226" s="106"/>
      <c r="AC226" s="106"/>
      <c r="AD226" s="106"/>
    </row>
    <row r="227" ht="28.5" customHeight="1">
      <c r="A227" s="62"/>
      <c r="B227" s="62"/>
      <c r="C227" s="62"/>
      <c r="D227" s="62"/>
      <c r="E227" s="62"/>
      <c r="F227" s="62"/>
      <c r="G227" s="62"/>
      <c r="H227" s="62"/>
      <c r="I227" s="423"/>
      <c r="J227" s="452"/>
      <c r="K227" s="62"/>
      <c r="L227" s="62"/>
      <c r="M227" s="62"/>
      <c r="N227" s="62"/>
      <c r="O227" s="62"/>
      <c r="P227" s="62"/>
      <c r="Q227" s="62"/>
      <c r="R227" s="62"/>
      <c r="S227" s="62"/>
      <c r="T227" s="62"/>
      <c r="U227" s="429" t="s">
        <v>457</v>
      </c>
      <c r="V227" s="694">
        <v>1.0</v>
      </c>
      <c r="W227" s="62"/>
      <c r="X227" s="687"/>
      <c r="Y227" s="106"/>
      <c r="Z227" s="427"/>
      <c r="AA227" s="106"/>
      <c r="AB227" s="106"/>
      <c r="AC227" s="106"/>
      <c r="AD227" s="106"/>
    </row>
    <row r="228" ht="28.5" customHeight="1">
      <c r="A228" s="67"/>
      <c r="B228" s="67"/>
      <c r="C228" s="67"/>
      <c r="D228" s="67"/>
      <c r="E228" s="67"/>
      <c r="F228" s="67"/>
      <c r="G228" s="67"/>
      <c r="H228" s="67"/>
      <c r="I228" s="102"/>
      <c r="J228" s="453"/>
      <c r="K228" s="67"/>
      <c r="L228" s="67"/>
      <c r="M228" s="67"/>
      <c r="N228" s="67"/>
      <c r="O228" s="67"/>
      <c r="P228" s="67"/>
      <c r="Q228" s="67"/>
      <c r="R228" s="67"/>
      <c r="S228" s="67"/>
      <c r="T228" s="67"/>
      <c r="U228" s="429" t="s">
        <v>456</v>
      </c>
      <c r="V228" s="694">
        <v>1.0</v>
      </c>
      <c r="W228" s="67"/>
      <c r="X228" s="687"/>
      <c r="Y228" s="106"/>
      <c r="Z228" s="427"/>
      <c r="AA228" s="106"/>
      <c r="AB228" s="106"/>
      <c r="AC228" s="106"/>
      <c r="AD228" s="106"/>
    </row>
    <row r="229" ht="36.75" customHeight="1">
      <c r="A229" s="694">
        <v>143.0</v>
      </c>
      <c r="B229" s="1032">
        <v>45128.0</v>
      </c>
      <c r="C229" s="694">
        <v>1.712266728933E12</v>
      </c>
      <c r="D229" s="429" t="s">
        <v>1726</v>
      </c>
      <c r="E229" s="684" t="s">
        <v>1727</v>
      </c>
      <c r="F229" s="133" t="s">
        <v>1728</v>
      </c>
      <c r="G229" s="63" t="s">
        <v>30</v>
      </c>
      <c r="H229" s="64">
        <v>3.0</v>
      </c>
      <c r="I229" s="1094">
        <f t="shared" ref="I229:I236" si="54">VLOOKUP(G229,$Y$4:$Z$43,2,0)</f>
        <v>220000</v>
      </c>
      <c r="J229" s="685">
        <f t="shared" ref="J229:J236" si="55">I229*H229</f>
        <v>660000</v>
      </c>
      <c r="K229" s="686">
        <f>SUM(J229)</f>
        <v>660000</v>
      </c>
      <c r="L229" s="693"/>
      <c r="M229" s="688"/>
      <c r="N229" s="1049"/>
      <c r="O229" s="80">
        <f t="shared" ref="O229:O230" si="56">K229+L229-N229</f>
        <v>660000</v>
      </c>
      <c r="P229" s="690" t="s">
        <v>449</v>
      </c>
      <c r="Q229" s="690" t="s">
        <v>31</v>
      </c>
      <c r="R229" s="806">
        <v>54999.0</v>
      </c>
      <c r="S229" s="1017" t="s">
        <v>32</v>
      </c>
      <c r="T229" s="692" t="s">
        <v>33</v>
      </c>
      <c r="U229" s="429" t="s">
        <v>35</v>
      </c>
      <c r="V229" s="694">
        <v>1.0</v>
      </c>
      <c r="W229" s="694" t="s">
        <v>1542</v>
      </c>
      <c r="X229" s="687"/>
      <c r="Y229" s="106"/>
      <c r="Z229" s="427"/>
      <c r="AA229" s="106"/>
      <c r="AB229" s="106"/>
      <c r="AC229" s="106"/>
      <c r="AD229" s="106"/>
    </row>
    <row r="230" ht="28.5" customHeight="1">
      <c r="A230" s="942">
        <v>144.0</v>
      </c>
      <c r="B230" s="1022">
        <v>45129.0</v>
      </c>
      <c r="C230" s="942">
        <v>1.694714348156E12</v>
      </c>
      <c r="D230" s="1038" t="s">
        <v>1729</v>
      </c>
      <c r="E230" s="944" t="s">
        <v>1730</v>
      </c>
      <c r="F230" s="1038" t="s">
        <v>1731</v>
      </c>
      <c r="G230" s="63" t="s">
        <v>30</v>
      </c>
      <c r="H230" s="64">
        <v>3.0</v>
      </c>
      <c r="I230" s="1094">
        <f t="shared" si="54"/>
        <v>220000</v>
      </c>
      <c r="J230" s="685">
        <f t="shared" si="55"/>
        <v>660000</v>
      </c>
      <c r="K230" s="1041">
        <f>sum(J230:J231)</f>
        <v>900000</v>
      </c>
      <c r="L230" s="1031"/>
      <c r="M230" s="1025"/>
      <c r="N230" s="1055"/>
      <c r="O230" s="53">
        <f t="shared" si="56"/>
        <v>900000</v>
      </c>
      <c r="P230" s="1060" t="s">
        <v>449</v>
      </c>
      <c r="Q230" s="1084"/>
      <c r="R230" s="1028">
        <v>54999.0</v>
      </c>
      <c r="S230" s="1029" t="s">
        <v>32</v>
      </c>
      <c r="T230" s="1085"/>
      <c r="U230" s="429" t="s">
        <v>30</v>
      </c>
      <c r="V230" s="694">
        <v>1.0</v>
      </c>
      <c r="W230" s="942" t="s">
        <v>1542</v>
      </c>
      <c r="X230" s="974"/>
      <c r="Y230" s="106"/>
      <c r="Z230" s="427"/>
      <c r="AA230" s="106"/>
      <c r="AB230" s="106"/>
      <c r="AC230" s="106"/>
      <c r="AD230" s="106"/>
    </row>
    <row r="231" ht="28.5" customHeight="1">
      <c r="A231" s="67"/>
      <c r="B231" s="67"/>
      <c r="C231" s="67"/>
      <c r="D231" s="67"/>
      <c r="E231" s="67"/>
      <c r="F231" s="67"/>
      <c r="G231" s="63" t="s">
        <v>147</v>
      </c>
      <c r="H231" s="64">
        <v>3.0</v>
      </c>
      <c r="I231" s="1094">
        <f t="shared" si="54"/>
        <v>80000</v>
      </c>
      <c r="J231" s="685">
        <f t="shared" si="55"/>
        <v>240000</v>
      </c>
      <c r="K231" s="67"/>
      <c r="L231" s="67"/>
      <c r="M231" s="67"/>
      <c r="N231" s="67"/>
      <c r="O231" s="67"/>
      <c r="P231" s="67"/>
      <c r="Q231" s="67"/>
      <c r="R231" s="67"/>
      <c r="S231" s="67"/>
      <c r="T231" s="67"/>
      <c r="U231" s="429" t="s">
        <v>147</v>
      </c>
      <c r="V231" s="694">
        <v>1.0</v>
      </c>
      <c r="W231" s="67"/>
      <c r="X231" s="67"/>
      <c r="Y231" s="106"/>
      <c r="Z231" s="427"/>
      <c r="AA231" s="106"/>
      <c r="AB231" s="106"/>
      <c r="AC231" s="106"/>
      <c r="AD231" s="106"/>
    </row>
    <row r="232" ht="28.5" customHeight="1">
      <c r="A232" s="942">
        <v>145.0</v>
      </c>
      <c r="B232" s="1022">
        <v>45129.0</v>
      </c>
      <c r="C232" s="942">
        <v>1.696157006335E12</v>
      </c>
      <c r="D232" s="1038" t="s">
        <v>1732</v>
      </c>
      <c r="E232" s="944" t="s">
        <v>1733</v>
      </c>
      <c r="F232" s="424" t="s">
        <v>1734</v>
      </c>
      <c r="G232" s="63" t="s">
        <v>30</v>
      </c>
      <c r="H232" s="64">
        <v>6.0</v>
      </c>
      <c r="I232" s="1094">
        <f t="shared" si="54"/>
        <v>220000</v>
      </c>
      <c r="J232" s="685">
        <f t="shared" si="55"/>
        <v>1320000</v>
      </c>
      <c r="K232" s="1041">
        <f>sum(J232:J233)</f>
        <v>2200000</v>
      </c>
      <c r="L232" s="1031"/>
      <c r="M232" s="1025"/>
      <c r="N232" s="1055"/>
      <c r="O232" s="53">
        <f>K232+L232-N232</f>
        <v>2200000</v>
      </c>
      <c r="P232" s="1084"/>
      <c r="Q232" s="1084"/>
      <c r="R232" s="1028">
        <v>102500.0</v>
      </c>
      <c r="S232" s="1029" t="s">
        <v>32</v>
      </c>
      <c r="T232" s="1085"/>
      <c r="U232" s="1038" t="s">
        <v>122</v>
      </c>
      <c r="V232" s="942">
        <v>3.0</v>
      </c>
      <c r="W232" s="942" t="s">
        <v>1542</v>
      </c>
      <c r="X232" s="687"/>
      <c r="Y232" s="106"/>
      <c r="Z232" s="427"/>
      <c r="AA232" s="106"/>
      <c r="AB232" s="106"/>
      <c r="AC232" s="106"/>
      <c r="AD232" s="106"/>
    </row>
    <row r="233" ht="28.5" customHeight="1">
      <c r="A233" s="67"/>
      <c r="B233" s="67"/>
      <c r="C233" s="67"/>
      <c r="D233" s="67"/>
      <c r="E233" s="67"/>
      <c r="F233" s="67"/>
      <c r="G233" s="63" t="s">
        <v>290</v>
      </c>
      <c r="H233" s="64">
        <v>4.0</v>
      </c>
      <c r="I233" s="1094">
        <f t="shared" si="54"/>
        <v>220000</v>
      </c>
      <c r="J233" s="685">
        <f t="shared" si="55"/>
        <v>880000</v>
      </c>
      <c r="K233" s="67"/>
      <c r="L233" s="67"/>
      <c r="M233" s="67"/>
      <c r="N233" s="67"/>
      <c r="O233" s="67"/>
      <c r="P233" s="67"/>
      <c r="Q233" s="67"/>
      <c r="R233" s="67"/>
      <c r="S233" s="67"/>
      <c r="T233" s="67"/>
      <c r="U233" s="67"/>
      <c r="V233" s="67"/>
      <c r="W233" s="67"/>
      <c r="X233" s="687"/>
      <c r="Y233" s="106"/>
      <c r="Z233" s="427"/>
      <c r="AA233" s="106"/>
      <c r="AB233" s="106"/>
      <c r="AC233" s="106"/>
      <c r="AD233" s="106"/>
    </row>
    <row r="234" ht="28.5" customHeight="1">
      <c r="A234" s="942">
        <v>146.0</v>
      </c>
      <c r="B234" s="1022">
        <v>45129.0</v>
      </c>
      <c r="C234" s="942">
        <v>1.695948274147E12</v>
      </c>
      <c r="D234" s="1038" t="s">
        <v>1106</v>
      </c>
      <c r="E234" s="944" t="s">
        <v>1107</v>
      </c>
      <c r="F234" s="1038" t="s">
        <v>1108</v>
      </c>
      <c r="G234" s="63" t="s">
        <v>35</v>
      </c>
      <c r="H234" s="64">
        <v>2.0</v>
      </c>
      <c r="I234" s="1094">
        <f t="shared" si="54"/>
        <v>220000</v>
      </c>
      <c r="J234" s="685">
        <f t="shared" si="55"/>
        <v>440000</v>
      </c>
      <c r="K234" s="1041">
        <f>SUM(J234:J235)</f>
        <v>660000</v>
      </c>
      <c r="L234" s="1031"/>
      <c r="M234" s="1025"/>
      <c r="N234" s="1055"/>
      <c r="O234" s="53">
        <f>K234+L234-N234</f>
        <v>660000</v>
      </c>
      <c r="P234" s="1060" t="s">
        <v>449</v>
      </c>
      <c r="Q234" s="1084"/>
      <c r="R234" s="1028">
        <v>50998.0</v>
      </c>
      <c r="S234" s="1029" t="s">
        <v>32</v>
      </c>
      <c r="T234" s="1085"/>
      <c r="U234" s="1038" t="s">
        <v>290</v>
      </c>
      <c r="V234" s="942">
        <v>1.0</v>
      </c>
      <c r="W234" s="942" t="s">
        <v>1542</v>
      </c>
      <c r="X234" s="687"/>
      <c r="Y234" s="106"/>
      <c r="Z234" s="427"/>
      <c r="AA234" s="106"/>
      <c r="AB234" s="106"/>
      <c r="AC234" s="106"/>
      <c r="AD234" s="106"/>
    </row>
    <row r="235" ht="28.5" customHeight="1">
      <c r="A235" s="67"/>
      <c r="B235" s="67"/>
      <c r="C235" s="67"/>
      <c r="D235" s="67"/>
      <c r="E235" s="67"/>
      <c r="F235" s="67"/>
      <c r="G235" s="63" t="s">
        <v>290</v>
      </c>
      <c r="H235" s="64">
        <v>1.0</v>
      </c>
      <c r="I235" s="1094">
        <f t="shared" si="54"/>
        <v>220000</v>
      </c>
      <c r="J235" s="685">
        <f t="shared" si="55"/>
        <v>220000</v>
      </c>
      <c r="K235" s="67"/>
      <c r="L235" s="67"/>
      <c r="M235" s="67"/>
      <c r="N235" s="67"/>
      <c r="O235" s="67"/>
      <c r="P235" s="67"/>
      <c r="Q235" s="67"/>
      <c r="R235" s="67"/>
      <c r="S235" s="67"/>
      <c r="T235" s="67"/>
      <c r="U235" s="67"/>
      <c r="V235" s="67"/>
      <c r="W235" s="67"/>
      <c r="X235" s="687"/>
      <c r="Y235" s="106"/>
      <c r="Z235" s="427"/>
      <c r="AA235" s="106"/>
      <c r="AB235" s="106"/>
      <c r="AC235" s="106"/>
      <c r="AD235" s="106"/>
    </row>
    <row r="236" ht="28.5" customHeight="1">
      <c r="A236" s="694">
        <v>147.0</v>
      </c>
      <c r="B236" s="1032">
        <v>6619494.0</v>
      </c>
      <c r="C236" s="694">
        <v>1.71381094284E12</v>
      </c>
      <c r="D236" s="429" t="s">
        <v>1735</v>
      </c>
      <c r="E236" s="684" t="s">
        <v>1736</v>
      </c>
      <c r="F236" s="429" t="s">
        <v>1737</v>
      </c>
      <c r="G236" s="63" t="s">
        <v>30</v>
      </c>
      <c r="H236" s="64">
        <v>6.0</v>
      </c>
      <c r="I236" s="1094">
        <f t="shared" si="54"/>
        <v>220000</v>
      </c>
      <c r="J236" s="685">
        <f t="shared" si="55"/>
        <v>1320000</v>
      </c>
      <c r="K236" s="686">
        <f>SUM(J236)</f>
        <v>1320000</v>
      </c>
      <c r="L236" s="693"/>
      <c r="M236" s="688"/>
      <c r="N236" s="1049"/>
      <c r="O236" s="80">
        <f>K236+L236-N236</f>
        <v>1320000</v>
      </c>
      <c r="P236" s="1082"/>
      <c r="Q236" s="1082"/>
      <c r="R236" s="806">
        <v>74499.0</v>
      </c>
      <c r="S236" s="1017" t="s">
        <v>32</v>
      </c>
      <c r="T236" s="691"/>
      <c r="U236" s="429" t="s">
        <v>30</v>
      </c>
      <c r="V236" s="694">
        <v>2.0</v>
      </c>
      <c r="W236" s="694" t="s">
        <v>1542</v>
      </c>
      <c r="X236" s="687"/>
      <c r="Y236" s="106"/>
      <c r="Z236" s="427"/>
      <c r="AA236" s="106"/>
      <c r="AB236" s="106"/>
      <c r="AC236" s="106"/>
      <c r="AD236" s="106"/>
    </row>
    <row r="237" ht="28.5" customHeight="1">
      <c r="A237" s="942">
        <v>148.0</v>
      </c>
      <c r="B237" s="1022">
        <v>45129.0</v>
      </c>
      <c r="C237" s="942">
        <v>1.695427724441E12</v>
      </c>
      <c r="D237" s="1038" t="s">
        <v>1738</v>
      </c>
      <c r="E237" s="944" t="s">
        <v>1739</v>
      </c>
      <c r="F237" s="1038" t="s">
        <v>1740</v>
      </c>
      <c r="G237" s="816"/>
      <c r="H237" s="100"/>
      <c r="I237" s="1093"/>
      <c r="J237" s="1091"/>
      <c r="K237" s="1041"/>
      <c r="L237" s="1031"/>
      <c r="M237" s="1025"/>
      <c r="N237" s="1055"/>
      <c r="O237" s="53"/>
      <c r="P237" s="1084"/>
      <c r="Q237" s="1084"/>
      <c r="R237" s="1008"/>
      <c r="S237" s="1029"/>
      <c r="T237" s="1085"/>
      <c r="U237" s="429" t="s">
        <v>75</v>
      </c>
      <c r="V237" s="694">
        <v>1.0</v>
      </c>
      <c r="W237" s="942" t="s">
        <v>1706</v>
      </c>
      <c r="X237" s="1031"/>
      <c r="Y237" s="106"/>
      <c r="Z237" s="427"/>
      <c r="AA237" s="106"/>
      <c r="AB237" s="106"/>
      <c r="AC237" s="106"/>
      <c r="AD237" s="106"/>
    </row>
    <row r="238" ht="28.5" customHeight="1">
      <c r="A238" s="62"/>
      <c r="B238" s="62"/>
      <c r="C238" s="62"/>
      <c r="D238" s="62"/>
      <c r="E238" s="62"/>
      <c r="F238" s="62"/>
      <c r="G238" s="62"/>
      <c r="H238" s="62"/>
      <c r="I238" s="423"/>
      <c r="J238" s="452"/>
      <c r="K238" s="62"/>
      <c r="L238" s="62"/>
      <c r="M238" s="62"/>
      <c r="N238" s="62"/>
      <c r="O238" s="62"/>
      <c r="P238" s="62"/>
      <c r="Q238" s="62"/>
      <c r="R238" s="62"/>
      <c r="S238" s="62"/>
      <c r="T238" s="62"/>
      <c r="U238" s="429" t="s">
        <v>457</v>
      </c>
      <c r="V238" s="694">
        <v>1.0</v>
      </c>
      <c r="W238" s="62"/>
      <c r="X238" s="62"/>
      <c r="Z238" s="427"/>
      <c r="AA238" s="106"/>
      <c r="AB238" s="106"/>
      <c r="AC238" s="106"/>
      <c r="AD238" s="106"/>
    </row>
    <row r="239" ht="28.5" customHeight="1">
      <c r="A239" s="67"/>
      <c r="B239" s="67"/>
      <c r="C239" s="67"/>
      <c r="D239" s="67"/>
      <c r="E239" s="67"/>
      <c r="F239" s="67"/>
      <c r="G239" s="67"/>
      <c r="H239" s="67"/>
      <c r="I239" s="102"/>
      <c r="J239" s="453"/>
      <c r="K239" s="67"/>
      <c r="L239" s="67"/>
      <c r="M239" s="67"/>
      <c r="N239" s="67"/>
      <c r="O239" s="67"/>
      <c r="P239" s="67"/>
      <c r="Q239" s="67"/>
      <c r="R239" s="67"/>
      <c r="S239" s="67"/>
      <c r="T239" s="67"/>
      <c r="U239" s="429" t="s">
        <v>456</v>
      </c>
      <c r="V239" s="694">
        <v>1.0</v>
      </c>
      <c r="W239" s="67"/>
      <c r="X239" s="67"/>
      <c r="Z239" s="427"/>
      <c r="AA239" s="106"/>
      <c r="AB239" s="106"/>
      <c r="AC239" s="106"/>
      <c r="AD239" s="106"/>
    </row>
    <row r="240" ht="28.5" customHeight="1">
      <c r="A240" s="942">
        <v>149.0</v>
      </c>
      <c r="B240" s="1022">
        <v>45129.0</v>
      </c>
      <c r="C240" s="942">
        <v>1.695540723804E12</v>
      </c>
      <c r="D240" s="1038" t="s">
        <v>1741</v>
      </c>
      <c r="E240" s="944" t="s">
        <v>1742</v>
      </c>
      <c r="F240" s="1038" t="s">
        <v>1743</v>
      </c>
      <c r="G240" s="816"/>
      <c r="H240" s="100"/>
      <c r="I240" s="1093"/>
      <c r="J240" s="1091"/>
      <c r="K240" s="1041"/>
      <c r="L240" s="1031"/>
      <c r="M240" s="1025"/>
      <c r="N240" s="1055"/>
      <c r="O240" s="53"/>
      <c r="P240" s="1060" t="s">
        <v>449</v>
      </c>
      <c r="Q240" s="1084"/>
      <c r="R240" s="1008"/>
      <c r="S240" s="1053"/>
      <c r="T240" s="1085"/>
      <c r="U240" s="429" t="s">
        <v>75</v>
      </c>
      <c r="V240" s="694">
        <v>1.0</v>
      </c>
      <c r="W240" s="942" t="s">
        <v>1706</v>
      </c>
      <c r="X240" s="1031"/>
      <c r="Y240" s="106"/>
      <c r="Z240" s="427"/>
      <c r="AA240" s="106"/>
      <c r="AB240" s="106"/>
      <c r="AC240" s="106"/>
      <c r="AD240" s="106"/>
    </row>
    <row r="241" ht="28.5" customHeight="1">
      <c r="A241" s="62"/>
      <c r="B241" s="62"/>
      <c r="C241" s="62"/>
      <c r="D241" s="62"/>
      <c r="E241" s="62"/>
      <c r="F241" s="62"/>
      <c r="G241" s="62"/>
      <c r="H241" s="62"/>
      <c r="I241" s="423"/>
      <c r="J241" s="452"/>
      <c r="K241" s="62"/>
      <c r="L241" s="62"/>
      <c r="M241" s="62"/>
      <c r="N241" s="62"/>
      <c r="O241" s="62"/>
      <c r="P241" s="62"/>
      <c r="Q241" s="62"/>
      <c r="R241" s="62"/>
      <c r="S241" s="62"/>
      <c r="T241" s="62"/>
      <c r="U241" s="429" t="s">
        <v>457</v>
      </c>
      <c r="V241" s="694">
        <v>1.0</v>
      </c>
      <c r="W241" s="62"/>
      <c r="X241" s="62"/>
      <c r="Z241" s="427"/>
      <c r="AA241" s="106"/>
      <c r="AB241" s="106"/>
      <c r="AC241" s="106"/>
      <c r="AD241" s="106"/>
    </row>
    <row r="242" ht="28.5" customHeight="1">
      <c r="A242" s="67"/>
      <c r="B242" s="67"/>
      <c r="C242" s="67"/>
      <c r="D242" s="67"/>
      <c r="E242" s="67"/>
      <c r="F242" s="67"/>
      <c r="G242" s="67"/>
      <c r="H242" s="67"/>
      <c r="I242" s="102"/>
      <c r="J242" s="453"/>
      <c r="K242" s="67"/>
      <c r="L242" s="67"/>
      <c r="M242" s="67"/>
      <c r="N242" s="67"/>
      <c r="O242" s="67"/>
      <c r="P242" s="67"/>
      <c r="Q242" s="67"/>
      <c r="R242" s="67"/>
      <c r="S242" s="67"/>
      <c r="T242" s="67"/>
      <c r="U242" s="429" t="s">
        <v>456</v>
      </c>
      <c r="V242" s="694">
        <v>1.0</v>
      </c>
      <c r="W242" s="67"/>
      <c r="X242" s="67"/>
      <c r="Z242" s="427"/>
      <c r="AA242" s="106"/>
      <c r="AB242" s="106"/>
      <c r="AC242" s="106"/>
      <c r="AD242" s="106"/>
    </row>
    <row r="243" ht="36.0" customHeight="1">
      <c r="A243" s="694">
        <v>150.0</v>
      </c>
      <c r="B243" s="1032">
        <v>45129.0</v>
      </c>
      <c r="C243" s="694">
        <v>1.695260678646E12</v>
      </c>
      <c r="D243" s="429" t="s">
        <v>1684</v>
      </c>
      <c r="E243" s="131" t="s">
        <v>1685</v>
      </c>
      <c r="F243" s="429" t="s">
        <v>1686</v>
      </c>
      <c r="G243" s="63" t="s">
        <v>30</v>
      </c>
      <c r="H243" s="64">
        <v>3.0</v>
      </c>
      <c r="I243" s="1094">
        <f t="shared" ref="I243:I245" si="57">VLOOKUP(G243,$Y$4:$Z$43,2,0)</f>
        <v>220000</v>
      </c>
      <c r="J243" s="685">
        <f t="shared" ref="J243:J245" si="58">I243*H243</f>
        <v>660000</v>
      </c>
      <c r="K243" s="686">
        <f>SUM(J243)</f>
        <v>660000</v>
      </c>
      <c r="L243" s="693"/>
      <c r="M243" s="688"/>
      <c r="N243" s="1049"/>
      <c r="O243" s="80">
        <f t="shared" ref="O243:O244" si="59">K243+L243-N243</f>
        <v>660000</v>
      </c>
      <c r="P243" s="1082"/>
      <c r="Q243" s="1082"/>
      <c r="R243" s="806">
        <v>54999.0</v>
      </c>
      <c r="S243" s="1017" t="s">
        <v>32</v>
      </c>
      <c r="T243" s="691"/>
      <c r="U243" s="429" t="s">
        <v>30</v>
      </c>
      <c r="V243" s="694">
        <v>1.0</v>
      </c>
      <c r="W243" s="694" t="s">
        <v>1542</v>
      </c>
      <c r="X243" s="687"/>
      <c r="Y243" s="106"/>
      <c r="Z243" s="427"/>
      <c r="AA243" s="106"/>
      <c r="AB243" s="106"/>
      <c r="AC243" s="106"/>
      <c r="AD243" s="106"/>
    </row>
    <row r="244" ht="28.5" customHeight="1">
      <c r="A244" s="942">
        <v>151.0</v>
      </c>
      <c r="B244" s="1022">
        <v>45129.0</v>
      </c>
      <c r="C244" s="942">
        <v>1.695744862643E12</v>
      </c>
      <c r="D244" s="1038" t="s">
        <v>1744</v>
      </c>
      <c r="E244" s="944" t="s">
        <v>1745</v>
      </c>
      <c r="F244" s="1038" t="s">
        <v>324</v>
      </c>
      <c r="G244" s="63" t="s">
        <v>30</v>
      </c>
      <c r="H244" s="64">
        <v>2.0</v>
      </c>
      <c r="I244" s="1094">
        <f t="shared" si="57"/>
        <v>220000</v>
      </c>
      <c r="J244" s="685">
        <f t="shared" si="58"/>
        <v>440000</v>
      </c>
      <c r="K244" s="1041">
        <f>SUM(J244:J245)</f>
        <v>660000</v>
      </c>
      <c r="L244" s="1031"/>
      <c r="M244" s="1025"/>
      <c r="N244" s="1055"/>
      <c r="O244" s="53">
        <f t="shared" si="59"/>
        <v>660000</v>
      </c>
      <c r="P244" s="1084"/>
      <c r="Q244" s="1084"/>
      <c r="R244" s="1028">
        <v>54999.0</v>
      </c>
      <c r="S244" s="1029" t="s">
        <v>32</v>
      </c>
      <c r="T244" s="1085"/>
      <c r="U244" s="1038" t="s">
        <v>290</v>
      </c>
      <c r="V244" s="942">
        <v>1.0</v>
      </c>
      <c r="W244" s="942" t="s">
        <v>1542</v>
      </c>
      <c r="X244" s="974"/>
      <c r="Y244" s="106"/>
      <c r="Z244" s="427"/>
      <c r="AA244" s="106"/>
      <c r="AB244" s="106"/>
      <c r="AC244" s="106"/>
      <c r="AD244" s="106"/>
    </row>
    <row r="245" ht="28.5" customHeight="1">
      <c r="A245" s="67"/>
      <c r="B245" s="67"/>
      <c r="C245" s="67"/>
      <c r="D245" s="67"/>
      <c r="E245" s="67"/>
      <c r="F245" s="67"/>
      <c r="G245" s="63" t="s">
        <v>290</v>
      </c>
      <c r="H245" s="64">
        <v>1.0</v>
      </c>
      <c r="I245" s="1094">
        <f t="shared" si="57"/>
        <v>220000</v>
      </c>
      <c r="J245" s="685">
        <f t="shared" si="58"/>
        <v>220000</v>
      </c>
      <c r="K245" s="67"/>
      <c r="L245" s="67"/>
      <c r="M245" s="67"/>
      <c r="N245" s="67"/>
      <c r="O245" s="67"/>
      <c r="P245" s="67"/>
      <c r="Q245" s="67"/>
      <c r="R245" s="67"/>
      <c r="S245" s="67"/>
      <c r="T245" s="67"/>
      <c r="U245" s="67"/>
      <c r="V245" s="67"/>
      <c r="W245" s="67"/>
      <c r="X245" s="67"/>
      <c r="Y245" s="106"/>
      <c r="Z245" s="427"/>
      <c r="AA245" s="106"/>
      <c r="AB245" s="106"/>
      <c r="AC245" s="106"/>
      <c r="AD245" s="106"/>
    </row>
    <row r="246" ht="28.5" customHeight="1">
      <c r="A246" s="942">
        <v>152.0</v>
      </c>
      <c r="B246" s="1022">
        <v>45129.0</v>
      </c>
      <c r="C246" s="942">
        <v>1.695668344947E12</v>
      </c>
      <c r="D246" s="1023" t="s">
        <v>1746</v>
      </c>
      <c r="E246" s="944" t="s">
        <v>1747</v>
      </c>
      <c r="F246" s="1023" t="s">
        <v>1748</v>
      </c>
      <c r="G246" s="816"/>
      <c r="H246" s="816"/>
      <c r="I246" s="825"/>
      <c r="J246" s="816"/>
      <c r="K246" s="1041"/>
      <c r="L246" s="1031"/>
      <c r="M246" s="1095"/>
      <c r="N246" s="1055"/>
      <c r="O246" s="53"/>
      <c r="P246" s="1084"/>
      <c r="Q246" s="1084"/>
      <c r="R246" s="1008"/>
      <c r="S246" s="1053"/>
      <c r="T246" s="1085"/>
      <c r="U246" s="429" t="s">
        <v>75</v>
      </c>
      <c r="V246" s="694">
        <v>1.0</v>
      </c>
      <c r="W246" s="942" t="s">
        <v>1749</v>
      </c>
      <c r="X246" s="974"/>
      <c r="Y246" s="106"/>
      <c r="Z246" s="427"/>
      <c r="AA246" s="106"/>
      <c r="AB246" s="106"/>
      <c r="AC246" s="106"/>
      <c r="AD246" s="106"/>
    </row>
    <row r="247" ht="28.5" customHeight="1">
      <c r="A247" s="62"/>
      <c r="B247" s="62"/>
      <c r="C247" s="62"/>
      <c r="D247" s="62"/>
      <c r="E247" s="62"/>
      <c r="F247" s="62"/>
      <c r="G247" s="62"/>
      <c r="H247" s="62"/>
      <c r="I247" s="62"/>
      <c r="J247" s="62"/>
      <c r="K247" s="62"/>
      <c r="L247" s="62"/>
      <c r="M247" s="62"/>
      <c r="N247" s="62"/>
      <c r="O247" s="62"/>
      <c r="P247" s="62"/>
      <c r="Q247" s="62"/>
      <c r="R247" s="62"/>
      <c r="S247" s="62"/>
      <c r="T247" s="62"/>
      <c r="U247" s="429" t="s">
        <v>457</v>
      </c>
      <c r="V247" s="694">
        <v>1.0</v>
      </c>
      <c r="W247" s="62"/>
      <c r="X247" s="62"/>
      <c r="Y247" s="106"/>
      <c r="Z247" s="427"/>
      <c r="AA247" s="106"/>
      <c r="AB247" s="106"/>
      <c r="AC247" s="106"/>
      <c r="AD247" s="106"/>
    </row>
    <row r="248" ht="28.5" customHeight="1">
      <c r="A248" s="67"/>
      <c r="B248" s="67"/>
      <c r="C248" s="67"/>
      <c r="D248" s="67"/>
      <c r="E248" s="67"/>
      <c r="F248" s="67"/>
      <c r="G248" s="67"/>
      <c r="H248" s="67"/>
      <c r="I248" s="67"/>
      <c r="J248" s="67"/>
      <c r="K248" s="67"/>
      <c r="L248" s="67"/>
      <c r="M248" s="67"/>
      <c r="N248" s="67"/>
      <c r="O248" s="67"/>
      <c r="P248" s="67"/>
      <c r="Q248" s="67"/>
      <c r="R248" s="67"/>
      <c r="S248" s="67"/>
      <c r="T248" s="67"/>
      <c r="U248" s="429" t="s">
        <v>456</v>
      </c>
      <c r="V248" s="694">
        <v>1.0</v>
      </c>
      <c r="W248" s="67"/>
      <c r="X248" s="67"/>
      <c r="Y248" s="106"/>
      <c r="Z248" s="427"/>
      <c r="AA248" s="106"/>
      <c r="AB248" s="106"/>
      <c r="AC248" s="106"/>
      <c r="AD248" s="106"/>
    </row>
    <row r="249" ht="28.5" customHeight="1">
      <c r="A249" s="942">
        <v>153.0</v>
      </c>
      <c r="B249" s="1022">
        <v>45129.0</v>
      </c>
      <c r="C249" s="824">
        <v>1.702301124268E12</v>
      </c>
      <c r="D249" s="1038" t="s">
        <v>1121</v>
      </c>
      <c r="E249" s="944" t="s">
        <v>1122</v>
      </c>
      <c r="F249" s="424" t="s">
        <v>1123</v>
      </c>
      <c r="G249" s="63" t="s">
        <v>30</v>
      </c>
      <c r="H249" s="64">
        <v>30.0</v>
      </c>
      <c r="I249" s="1094">
        <f t="shared" ref="I249:I250" si="60">VLOOKUP(G249,$Y$4:$Z$43,2,0)</f>
        <v>220000</v>
      </c>
      <c r="J249" s="946">
        <f t="shared" ref="J249:J250" si="61">I249*H249</f>
        <v>6600000</v>
      </c>
      <c r="K249" s="1041">
        <f>SUM(J249:J250)</f>
        <v>9000000</v>
      </c>
      <c r="L249" s="1031"/>
      <c r="M249" s="1025"/>
      <c r="N249" s="1055"/>
      <c r="O249" s="53">
        <f>K249+L249-N249</f>
        <v>9000000</v>
      </c>
      <c r="P249" s="1060" t="s">
        <v>449</v>
      </c>
      <c r="Q249" s="1084"/>
      <c r="R249" s="1028">
        <v>333582.0</v>
      </c>
      <c r="S249" s="1029" t="s">
        <v>32</v>
      </c>
      <c r="T249" s="1085"/>
      <c r="U249" s="429" t="s">
        <v>30</v>
      </c>
      <c r="V249" s="694">
        <v>10.0</v>
      </c>
      <c r="W249" s="942" t="s">
        <v>1542</v>
      </c>
      <c r="X249" s="974"/>
      <c r="Y249" s="106"/>
      <c r="Z249" s="427"/>
      <c r="AA249" s="106"/>
      <c r="AB249" s="106"/>
      <c r="AC249" s="106"/>
      <c r="AD249" s="106"/>
    </row>
    <row r="250" ht="28.5" customHeight="1">
      <c r="A250" s="67"/>
      <c r="B250" s="67"/>
      <c r="C250" s="102"/>
      <c r="D250" s="67"/>
      <c r="E250" s="67"/>
      <c r="F250" s="67"/>
      <c r="G250" s="63" t="s">
        <v>383</v>
      </c>
      <c r="H250" s="64">
        <v>30.0</v>
      </c>
      <c r="I250" s="1094">
        <f t="shared" si="60"/>
        <v>80000</v>
      </c>
      <c r="J250" s="946">
        <f t="shared" si="61"/>
        <v>2400000</v>
      </c>
      <c r="K250" s="67"/>
      <c r="L250" s="67"/>
      <c r="M250" s="67"/>
      <c r="N250" s="67"/>
      <c r="O250" s="67"/>
      <c r="P250" s="67"/>
      <c r="Q250" s="67"/>
      <c r="R250" s="67"/>
      <c r="S250" s="67"/>
      <c r="T250" s="67"/>
      <c r="U250" s="429" t="s">
        <v>147</v>
      </c>
      <c r="V250" s="694">
        <v>10.0</v>
      </c>
      <c r="W250" s="67"/>
      <c r="X250" s="67"/>
      <c r="Y250" s="106"/>
      <c r="Z250" s="427"/>
      <c r="AA250" s="106"/>
      <c r="AB250" s="106"/>
      <c r="AC250" s="106"/>
      <c r="AD250" s="106"/>
    </row>
    <row r="251" ht="28.5" customHeight="1">
      <c r="A251" s="942">
        <v>154.0</v>
      </c>
      <c r="B251" s="1022">
        <v>45129.0</v>
      </c>
      <c r="C251" s="942">
        <v>1.71389444275E12</v>
      </c>
      <c r="D251" s="1038" t="s">
        <v>596</v>
      </c>
      <c r="E251" s="944" t="s">
        <v>1750</v>
      </c>
      <c r="F251" s="1038" t="s">
        <v>1751</v>
      </c>
      <c r="G251" s="816"/>
      <c r="H251" s="100"/>
      <c r="I251" s="1093"/>
      <c r="J251" s="1096"/>
      <c r="K251" s="1041"/>
      <c r="L251" s="1031"/>
      <c r="M251" s="1025"/>
      <c r="N251" s="1055"/>
      <c r="O251" s="53"/>
      <c r="P251" s="1084"/>
      <c r="Q251" s="1084"/>
      <c r="R251" s="1008"/>
      <c r="S251" s="1053"/>
      <c r="T251" s="1085"/>
      <c r="U251" s="429" t="s">
        <v>75</v>
      </c>
      <c r="V251" s="694">
        <v>1.0</v>
      </c>
      <c r="W251" s="942" t="s">
        <v>1542</v>
      </c>
      <c r="X251" s="974"/>
      <c r="Y251" s="106"/>
      <c r="Z251" s="427"/>
      <c r="AA251" s="106"/>
      <c r="AB251" s="106"/>
      <c r="AC251" s="106"/>
      <c r="AD251" s="106"/>
    </row>
    <row r="252" ht="28.5" customHeight="1">
      <c r="A252" s="62"/>
      <c r="B252" s="62"/>
      <c r="C252" s="62"/>
      <c r="D252" s="62"/>
      <c r="E252" s="62"/>
      <c r="F252" s="62"/>
      <c r="G252" s="62"/>
      <c r="H252" s="62"/>
      <c r="I252" s="423"/>
      <c r="J252" s="641"/>
      <c r="K252" s="62"/>
      <c r="L252" s="62"/>
      <c r="M252" s="62"/>
      <c r="N252" s="62"/>
      <c r="O252" s="62"/>
      <c r="P252" s="62"/>
      <c r="Q252" s="62"/>
      <c r="R252" s="62"/>
      <c r="S252" s="62"/>
      <c r="T252" s="62"/>
      <c r="U252" s="429" t="s">
        <v>457</v>
      </c>
      <c r="V252" s="694">
        <v>1.0</v>
      </c>
      <c r="W252" s="62"/>
      <c r="X252" s="62"/>
      <c r="Y252" s="106"/>
      <c r="Z252" s="427"/>
      <c r="AA252" s="106"/>
      <c r="AB252" s="106"/>
      <c r="AC252" s="106"/>
      <c r="AD252" s="106"/>
    </row>
    <row r="253" ht="28.5" customHeight="1">
      <c r="A253" s="67"/>
      <c r="B253" s="67"/>
      <c r="C253" s="67"/>
      <c r="D253" s="67"/>
      <c r="E253" s="67"/>
      <c r="F253" s="67"/>
      <c r="G253" s="67"/>
      <c r="H253" s="67"/>
      <c r="I253" s="102"/>
      <c r="J253" s="154"/>
      <c r="K253" s="67"/>
      <c r="L253" s="67"/>
      <c r="M253" s="67"/>
      <c r="N253" s="67"/>
      <c r="O253" s="67"/>
      <c r="P253" s="67"/>
      <c r="Q253" s="67"/>
      <c r="R253" s="67"/>
      <c r="S253" s="67"/>
      <c r="T253" s="67"/>
      <c r="U253" s="429" t="s">
        <v>456</v>
      </c>
      <c r="V253" s="694">
        <v>1.0</v>
      </c>
      <c r="W253" s="67"/>
      <c r="X253" s="67"/>
      <c r="Y253" s="106"/>
      <c r="Z253" s="427"/>
      <c r="AA253" s="106"/>
      <c r="AB253" s="106"/>
      <c r="AC253" s="106"/>
      <c r="AD253" s="106"/>
    </row>
    <row r="254" ht="28.5" customHeight="1">
      <c r="A254" s="942">
        <v>155.0</v>
      </c>
      <c r="B254" s="1022">
        <v>45131.0</v>
      </c>
      <c r="C254" s="942">
        <v>1.714715744143E12</v>
      </c>
      <c r="D254" s="1038" t="s">
        <v>644</v>
      </c>
      <c r="E254" s="944" t="s">
        <v>45</v>
      </c>
      <c r="F254" s="424" t="s">
        <v>1734</v>
      </c>
      <c r="G254" s="63" t="s">
        <v>30</v>
      </c>
      <c r="H254" s="64">
        <v>4.0</v>
      </c>
      <c r="I254" s="1094">
        <f t="shared" ref="I254:I257" si="62">VLOOKUP(G254,$Y$4:$Z$43,2,0)</f>
        <v>220000</v>
      </c>
      <c r="J254" s="946">
        <f t="shared" ref="J254:J259" si="63">I254*H254</f>
        <v>880000</v>
      </c>
      <c r="K254" s="1041">
        <f>SUM(J254:J256)</f>
        <v>1320000</v>
      </c>
      <c r="L254" s="1031"/>
      <c r="M254" s="1025"/>
      <c r="N254" s="1055"/>
      <c r="O254" s="53">
        <f>K254+L254-N254</f>
        <v>1320000</v>
      </c>
      <c r="P254" s="1084"/>
      <c r="Q254" s="1084"/>
      <c r="R254" s="1028">
        <v>74499.0</v>
      </c>
      <c r="S254" s="1029" t="s">
        <v>32</v>
      </c>
      <c r="T254" s="1030"/>
      <c r="U254" s="1038" t="s">
        <v>1752</v>
      </c>
      <c r="V254" s="942">
        <v>2.0</v>
      </c>
      <c r="W254" s="942" t="s">
        <v>1542</v>
      </c>
      <c r="X254" s="974"/>
      <c r="Y254" s="106"/>
      <c r="Z254" s="427"/>
      <c r="AA254" s="106"/>
      <c r="AB254" s="106"/>
      <c r="AC254" s="106"/>
      <c r="AD254" s="106"/>
    </row>
    <row r="255" ht="28.5" customHeight="1">
      <c r="A255" s="62"/>
      <c r="B255" s="62"/>
      <c r="C255" s="62"/>
      <c r="D255" s="62"/>
      <c r="E255" s="62"/>
      <c r="F255" s="62"/>
      <c r="G255" s="63" t="s">
        <v>47</v>
      </c>
      <c r="H255" s="64">
        <v>1.0</v>
      </c>
      <c r="I255" s="1094">
        <f t="shared" si="62"/>
        <v>220000</v>
      </c>
      <c r="J255" s="946">
        <f t="shared" si="63"/>
        <v>220000</v>
      </c>
      <c r="K255" s="62"/>
      <c r="L255" s="62"/>
      <c r="M255" s="62"/>
      <c r="N255" s="62"/>
      <c r="O255" s="62"/>
      <c r="P255" s="62"/>
      <c r="Q255" s="62"/>
      <c r="R255" s="62"/>
      <c r="S255" s="62"/>
      <c r="T255" s="62"/>
      <c r="U255" s="62"/>
      <c r="V255" s="62"/>
      <c r="W255" s="62"/>
      <c r="X255" s="62"/>
      <c r="Y255" s="106"/>
      <c r="Z255" s="427"/>
      <c r="AA255" s="106"/>
      <c r="AB255" s="106"/>
      <c r="AC255" s="106"/>
      <c r="AD255" s="106"/>
    </row>
    <row r="256" ht="28.5" customHeight="1">
      <c r="A256" s="67"/>
      <c r="B256" s="67"/>
      <c r="C256" s="67"/>
      <c r="D256" s="67"/>
      <c r="E256" s="67"/>
      <c r="F256" s="67"/>
      <c r="G256" s="63" t="s">
        <v>290</v>
      </c>
      <c r="H256" s="64">
        <v>1.0</v>
      </c>
      <c r="I256" s="1094">
        <f t="shared" si="62"/>
        <v>220000</v>
      </c>
      <c r="J256" s="946">
        <f t="shared" si="63"/>
        <v>220000</v>
      </c>
      <c r="K256" s="67"/>
      <c r="L256" s="67"/>
      <c r="M256" s="67"/>
      <c r="N256" s="67"/>
      <c r="O256" s="67"/>
      <c r="P256" s="67"/>
      <c r="Q256" s="67"/>
      <c r="R256" s="67"/>
      <c r="S256" s="67"/>
      <c r="T256" s="67"/>
      <c r="U256" s="67"/>
      <c r="V256" s="67"/>
      <c r="W256" s="67"/>
      <c r="X256" s="67"/>
      <c r="Y256" s="106"/>
      <c r="Z256" s="427"/>
      <c r="AA256" s="106"/>
      <c r="AB256" s="106"/>
      <c r="AC256" s="106"/>
      <c r="AD256" s="106"/>
    </row>
    <row r="257" ht="28.5" customHeight="1">
      <c r="A257" s="694">
        <v>156.0</v>
      </c>
      <c r="B257" s="1032">
        <v>45131.0</v>
      </c>
      <c r="C257" s="694">
        <v>1.712134038914E12</v>
      </c>
      <c r="D257" s="846" t="s">
        <v>1753</v>
      </c>
      <c r="E257" s="684" t="s">
        <v>1754</v>
      </c>
      <c r="F257" s="179" t="s">
        <v>1135</v>
      </c>
      <c r="G257" s="63" t="s">
        <v>290</v>
      </c>
      <c r="H257" s="64">
        <v>9.0</v>
      </c>
      <c r="I257" s="1094">
        <f t="shared" si="62"/>
        <v>220000</v>
      </c>
      <c r="J257" s="946">
        <f t="shared" si="63"/>
        <v>1980000</v>
      </c>
      <c r="K257" s="686">
        <f t="shared" ref="K257:K259" si="64">SUM(J257)</f>
        <v>1980000</v>
      </c>
      <c r="L257" s="693"/>
      <c r="M257" s="688"/>
      <c r="N257" s="1049"/>
      <c r="O257" s="80">
        <f t="shared" ref="O257:O259" si="65">K257+L257-N257</f>
        <v>1980000</v>
      </c>
      <c r="P257" s="690" t="s">
        <v>449</v>
      </c>
      <c r="Q257" s="1082"/>
      <c r="R257" s="806">
        <v>99000.0</v>
      </c>
      <c r="S257" s="1017" t="s">
        <v>32</v>
      </c>
      <c r="T257" s="691"/>
      <c r="U257" s="429" t="s">
        <v>911</v>
      </c>
      <c r="V257" s="694">
        <v>3.0</v>
      </c>
      <c r="W257" s="1097" t="s">
        <v>1542</v>
      </c>
      <c r="X257" s="687"/>
      <c r="Y257" s="106"/>
      <c r="Z257" s="427"/>
      <c r="AA257" s="106"/>
      <c r="AB257" s="106"/>
      <c r="AC257" s="106"/>
      <c r="AD257" s="106"/>
    </row>
    <row r="258" ht="40.5" customHeight="1">
      <c r="A258" s="694">
        <v>157.0</v>
      </c>
      <c r="B258" s="1032">
        <v>45131.0</v>
      </c>
      <c r="C258" s="694">
        <v>1.700805839624E12</v>
      </c>
      <c r="D258" s="92" t="s">
        <v>1634</v>
      </c>
      <c r="E258" s="684" t="s">
        <v>1635</v>
      </c>
      <c r="F258" s="133" t="s">
        <v>1755</v>
      </c>
      <c r="G258" s="63" t="s">
        <v>30</v>
      </c>
      <c r="H258" s="64">
        <v>3.0</v>
      </c>
      <c r="I258" s="1094">
        <f t="shared" ref="I258:I259" si="66">VLOOKUP(G258,$Y$4:$Z$43,2,0)</f>
        <v>220000</v>
      </c>
      <c r="J258" s="946">
        <f t="shared" si="63"/>
        <v>660000</v>
      </c>
      <c r="K258" s="686">
        <f t="shared" si="64"/>
        <v>660000</v>
      </c>
      <c r="L258" s="693"/>
      <c r="M258" s="688"/>
      <c r="N258" s="1049"/>
      <c r="O258" s="80">
        <f t="shared" si="65"/>
        <v>660000</v>
      </c>
      <c r="P258" s="1082"/>
      <c r="Q258" s="1082"/>
      <c r="R258" s="806">
        <v>47999.0</v>
      </c>
      <c r="S258" s="1017" t="s">
        <v>32</v>
      </c>
      <c r="T258" s="691"/>
      <c r="U258" s="429" t="s">
        <v>35</v>
      </c>
      <c r="V258" s="694">
        <v>1.0</v>
      </c>
      <c r="W258" s="1097" t="s">
        <v>1542</v>
      </c>
      <c r="X258" s="687"/>
      <c r="Y258" s="106"/>
      <c r="Z258" s="427"/>
      <c r="AA258" s="106"/>
      <c r="AB258" s="106"/>
      <c r="AC258" s="106"/>
      <c r="AD258" s="106"/>
    </row>
    <row r="259" ht="40.5" customHeight="1">
      <c r="A259" s="942">
        <v>158.0</v>
      </c>
      <c r="B259" s="1022">
        <v>45131.0</v>
      </c>
      <c r="C259" s="942">
        <v>1.713112175399E12</v>
      </c>
      <c r="D259" s="1098" t="s">
        <v>1756</v>
      </c>
      <c r="E259" s="944" t="s">
        <v>1712</v>
      </c>
      <c r="F259" s="424" t="s">
        <v>1757</v>
      </c>
      <c r="G259" s="126" t="s">
        <v>30</v>
      </c>
      <c r="H259" s="39">
        <v>3.0</v>
      </c>
      <c r="I259" s="1093">
        <f t="shared" si="66"/>
        <v>220000</v>
      </c>
      <c r="J259" s="1096">
        <f t="shared" si="63"/>
        <v>660000</v>
      </c>
      <c r="K259" s="1041">
        <f t="shared" si="64"/>
        <v>660000</v>
      </c>
      <c r="L259" s="1031"/>
      <c r="M259" s="1025"/>
      <c r="N259" s="1055"/>
      <c r="O259" s="53">
        <f t="shared" si="65"/>
        <v>660000</v>
      </c>
      <c r="P259" s="1060" t="s">
        <v>449</v>
      </c>
      <c r="Q259" s="1084"/>
      <c r="R259" s="1028">
        <v>54999.0</v>
      </c>
      <c r="S259" s="1029" t="s">
        <v>32</v>
      </c>
      <c r="T259" s="1085"/>
      <c r="U259" s="429" t="s">
        <v>30</v>
      </c>
      <c r="V259" s="694">
        <v>1.0</v>
      </c>
      <c r="W259" s="1099" t="s">
        <v>1542</v>
      </c>
      <c r="X259" s="974"/>
      <c r="Y259" s="106"/>
      <c r="Z259" s="427"/>
      <c r="AA259" s="106"/>
      <c r="AB259" s="106"/>
      <c r="AC259" s="106"/>
      <c r="AD259" s="106"/>
    </row>
    <row r="260" ht="28.5" customHeight="1">
      <c r="A260" s="62"/>
      <c r="B260" s="62"/>
      <c r="C260" s="62"/>
      <c r="D260" s="62"/>
      <c r="E260" s="62"/>
      <c r="F260" s="62"/>
      <c r="G260" s="62"/>
      <c r="H260" s="62"/>
      <c r="I260" s="423"/>
      <c r="J260" s="641"/>
      <c r="K260" s="62"/>
      <c r="L260" s="62"/>
      <c r="M260" s="62"/>
      <c r="N260" s="62"/>
      <c r="O260" s="62"/>
      <c r="P260" s="62"/>
      <c r="Q260" s="62"/>
      <c r="R260" s="62"/>
      <c r="S260" s="62"/>
      <c r="T260" s="62"/>
      <c r="U260" s="429" t="s">
        <v>75</v>
      </c>
      <c r="V260" s="694">
        <v>1.0</v>
      </c>
      <c r="W260" s="62"/>
      <c r="X260" s="62"/>
      <c r="Y260" s="106"/>
      <c r="Z260" s="427"/>
      <c r="AA260" s="106"/>
      <c r="AB260" s="106"/>
      <c r="AC260" s="106"/>
      <c r="AD260" s="106"/>
    </row>
    <row r="261" ht="28.5" customHeight="1">
      <c r="A261" s="62"/>
      <c r="B261" s="62"/>
      <c r="C261" s="62"/>
      <c r="D261" s="62"/>
      <c r="E261" s="62"/>
      <c r="F261" s="62"/>
      <c r="G261" s="62"/>
      <c r="H261" s="62"/>
      <c r="I261" s="423"/>
      <c r="J261" s="641"/>
      <c r="K261" s="62"/>
      <c r="L261" s="62"/>
      <c r="M261" s="62"/>
      <c r="N261" s="62"/>
      <c r="O261" s="62"/>
      <c r="P261" s="62"/>
      <c r="Q261" s="62"/>
      <c r="R261" s="62"/>
      <c r="S261" s="62"/>
      <c r="T261" s="62"/>
      <c r="U261" s="429" t="s">
        <v>457</v>
      </c>
      <c r="V261" s="694">
        <v>1.0</v>
      </c>
      <c r="W261" s="62"/>
      <c r="X261" s="62"/>
      <c r="Y261" s="106"/>
      <c r="Z261" s="427"/>
      <c r="AA261" s="106"/>
      <c r="AB261" s="106"/>
      <c r="AC261" s="106"/>
      <c r="AD261" s="106"/>
    </row>
    <row r="262" ht="28.5" customHeight="1">
      <c r="A262" s="67"/>
      <c r="B262" s="67"/>
      <c r="C262" s="67"/>
      <c r="D262" s="67"/>
      <c r="E262" s="67"/>
      <c r="F262" s="67"/>
      <c r="G262" s="67"/>
      <c r="H262" s="67"/>
      <c r="I262" s="102"/>
      <c r="J262" s="154"/>
      <c r="K262" s="67"/>
      <c r="L262" s="67"/>
      <c r="M262" s="67"/>
      <c r="N262" s="67"/>
      <c r="O262" s="67"/>
      <c r="P262" s="67"/>
      <c r="Q262" s="67"/>
      <c r="R262" s="67"/>
      <c r="S262" s="67"/>
      <c r="T262" s="67"/>
      <c r="U262" s="429" t="s">
        <v>456</v>
      </c>
      <c r="V262" s="694">
        <v>1.0</v>
      </c>
      <c r="W262" s="67"/>
      <c r="X262" s="67"/>
      <c r="Y262" s="106"/>
      <c r="Z262" s="427"/>
      <c r="AA262" s="106"/>
      <c r="AB262" s="106"/>
      <c r="AC262" s="106"/>
      <c r="AD262" s="106"/>
    </row>
    <row r="263" ht="28.5" customHeight="1">
      <c r="A263" s="694">
        <v>159.0</v>
      </c>
      <c r="B263" s="1032">
        <v>45131.0</v>
      </c>
      <c r="C263" s="694">
        <v>1.700847819713E12</v>
      </c>
      <c r="D263" s="429" t="s">
        <v>1758</v>
      </c>
      <c r="E263" s="684" t="s">
        <v>943</v>
      </c>
      <c r="F263" s="429" t="s">
        <v>944</v>
      </c>
      <c r="G263" s="63" t="s">
        <v>30</v>
      </c>
      <c r="H263" s="64">
        <v>3.0</v>
      </c>
      <c r="I263" s="1094">
        <f t="shared" ref="I263:I276" si="67">VLOOKUP(G263,$Y$4:$Z$43,2,0)</f>
        <v>220000</v>
      </c>
      <c r="J263" s="946">
        <f t="shared" ref="J263:J276" si="68">I263*H263</f>
        <v>660000</v>
      </c>
      <c r="K263" s="686">
        <f t="shared" ref="K263:K264" si="69">SUM(J263)</f>
        <v>660000</v>
      </c>
      <c r="L263" s="693"/>
      <c r="M263" s="688"/>
      <c r="N263" s="1049"/>
      <c r="O263" s="80">
        <f t="shared" ref="O263:O265" si="70">K263+L263-N263</f>
        <v>660000</v>
      </c>
      <c r="P263" s="1082"/>
      <c r="Q263" s="1082"/>
      <c r="R263" s="806">
        <v>54999.0</v>
      </c>
      <c r="S263" s="1017" t="s">
        <v>32</v>
      </c>
      <c r="T263" s="691"/>
      <c r="U263" s="429" t="s">
        <v>30</v>
      </c>
      <c r="V263" s="694">
        <v>1.0</v>
      </c>
      <c r="W263" s="694" t="s">
        <v>1542</v>
      </c>
      <c r="X263" s="687"/>
      <c r="Y263" s="106"/>
      <c r="Z263" s="427"/>
      <c r="AA263" s="106"/>
      <c r="AB263" s="106"/>
      <c r="AC263" s="106"/>
      <c r="AD263" s="106"/>
    </row>
    <row r="264" ht="37.5" customHeight="1">
      <c r="A264" s="694">
        <v>160.0</v>
      </c>
      <c r="B264" s="1032">
        <v>45131.0</v>
      </c>
      <c r="C264" s="694">
        <v>1.701186000183E12</v>
      </c>
      <c r="D264" s="429" t="s">
        <v>1312</v>
      </c>
      <c r="E264" s="684" t="s">
        <v>1759</v>
      </c>
      <c r="F264" s="133" t="s">
        <v>1760</v>
      </c>
      <c r="G264" s="63" t="s">
        <v>290</v>
      </c>
      <c r="H264" s="64">
        <v>6.0</v>
      </c>
      <c r="I264" s="1094">
        <f t="shared" si="67"/>
        <v>220000</v>
      </c>
      <c r="J264" s="946">
        <f t="shared" si="68"/>
        <v>1320000</v>
      </c>
      <c r="K264" s="686">
        <f t="shared" si="69"/>
        <v>1320000</v>
      </c>
      <c r="L264" s="693"/>
      <c r="M264" s="688"/>
      <c r="N264" s="1049"/>
      <c r="O264" s="80">
        <f t="shared" si="70"/>
        <v>1320000</v>
      </c>
      <c r="P264" s="1082"/>
      <c r="Q264" s="1082"/>
      <c r="R264" s="806">
        <v>74499.0</v>
      </c>
      <c r="S264" s="1017" t="s">
        <v>32</v>
      </c>
      <c r="T264" s="691"/>
      <c r="U264" s="429" t="s">
        <v>290</v>
      </c>
      <c r="V264" s="694">
        <v>2.0</v>
      </c>
      <c r="W264" s="694" t="s">
        <v>1542</v>
      </c>
      <c r="X264" s="687"/>
      <c r="Y264" s="106"/>
      <c r="Z264" s="427"/>
      <c r="AA264" s="106"/>
      <c r="AB264" s="106"/>
      <c r="AC264" s="106"/>
      <c r="AD264" s="106"/>
    </row>
    <row r="265" ht="28.5" customHeight="1">
      <c r="A265" s="942">
        <v>161.0</v>
      </c>
      <c r="B265" s="1022">
        <v>45131.0</v>
      </c>
      <c r="C265" s="942">
        <v>1.701248758093E12</v>
      </c>
      <c r="D265" s="1038" t="s">
        <v>1761</v>
      </c>
      <c r="E265" s="944" t="s">
        <v>1762</v>
      </c>
      <c r="F265" s="1038" t="s">
        <v>1763</v>
      </c>
      <c r="G265" s="63" t="s">
        <v>30</v>
      </c>
      <c r="H265" s="64">
        <v>1.0</v>
      </c>
      <c r="I265" s="1094">
        <f t="shared" si="67"/>
        <v>220000</v>
      </c>
      <c r="J265" s="946">
        <f t="shared" si="68"/>
        <v>220000</v>
      </c>
      <c r="K265" s="1041">
        <f>SUM(J265:J267)</f>
        <v>660000</v>
      </c>
      <c r="L265" s="1031"/>
      <c r="M265" s="1025"/>
      <c r="N265" s="1055"/>
      <c r="O265" s="53">
        <f t="shared" si="70"/>
        <v>660000</v>
      </c>
      <c r="P265" s="1084"/>
      <c r="Q265" s="1084"/>
      <c r="R265" s="1028">
        <v>54999.0</v>
      </c>
      <c r="S265" s="1029" t="s">
        <v>32</v>
      </c>
      <c r="T265" s="1085"/>
      <c r="U265" s="1038" t="s">
        <v>30</v>
      </c>
      <c r="V265" s="942">
        <v>1.0</v>
      </c>
      <c r="W265" s="942" t="s">
        <v>1542</v>
      </c>
      <c r="X265" s="974"/>
      <c r="Y265" s="106"/>
      <c r="Z265" s="427"/>
      <c r="AA265" s="106"/>
      <c r="AB265" s="106"/>
      <c r="AC265" s="106"/>
      <c r="AD265" s="106"/>
    </row>
    <row r="266" ht="28.5" customHeight="1">
      <c r="A266" s="62"/>
      <c r="B266" s="62"/>
      <c r="C266" s="62"/>
      <c r="D266" s="62"/>
      <c r="E266" s="62"/>
      <c r="F266" s="62"/>
      <c r="G266" s="63" t="s">
        <v>35</v>
      </c>
      <c r="H266" s="64">
        <v>1.0</v>
      </c>
      <c r="I266" s="1094">
        <f t="shared" si="67"/>
        <v>220000</v>
      </c>
      <c r="J266" s="946">
        <f t="shared" si="68"/>
        <v>220000</v>
      </c>
      <c r="K266" s="62"/>
      <c r="L266" s="62"/>
      <c r="M266" s="62"/>
      <c r="N266" s="62"/>
      <c r="O266" s="62"/>
      <c r="P266" s="62"/>
      <c r="Q266" s="62"/>
      <c r="R266" s="62"/>
      <c r="S266" s="62"/>
      <c r="T266" s="62"/>
      <c r="U266" s="62"/>
      <c r="V266" s="62"/>
      <c r="W266" s="62"/>
      <c r="X266" s="62"/>
      <c r="Y266" s="106"/>
      <c r="Z266" s="427"/>
      <c r="AA266" s="106"/>
      <c r="AB266" s="106"/>
      <c r="AC266" s="106"/>
      <c r="AD266" s="106"/>
    </row>
    <row r="267" ht="28.5" customHeight="1">
      <c r="A267" s="67"/>
      <c r="B267" s="67"/>
      <c r="C267" s="67"/>
      <c r="D267" s="67"/>
      <c r="E267" s="67"/>
      <c r="F267" s="67"/>
      <c r="G267" s="63" t="s">
        <v>290</v>
      </c>
      <c r="H267" s="64">
        <v>1.0</v>
      </c>
      <c r="I267" s="1094">
        <f t="shared" si="67"/>
        <v>220000</v>
      </c>
      <c r="J267" s="946">
        <f t="shared" si="68"/>
        <v>220000</v>
      </c>
      <c r="K267" s="67"/>
      <c r="L267" s="67"/>
      <c r="M267" s="67"/>
      <c r="N267" s="67"/>
      <c r="O267" s="67"/>
      <c r="P267" s="67"/>
      <c r="Q267" s="67"/>
      <c r="R267" s="67"/>
      <c r="S267" s="67"/>
      <c r="T267" s="67"/>
      <c r="U267" s="67"/>
      <c r="V267" s="67"/>
      <c r="W267" s="67"/>
      <c r="X267" s="67"/>
      <c r="Y267" s="106"/>
      <c r="Z267" s="427"/>
      <c r="AA267" s="106"/>
      <c r="AB267" s="106"/>
      <c r="AC267" s="106"/>
      <c r="AD267" s="106"/>
    </row>
    <row r="268" ht="28.5" customHeight="1">
      <c r="A268" s="942">
        <v>162.0</v>
      </c>
      <c r="B268" s="1022">
        <v>45131.0</v>
      </c>
      <c r="C268" s="942">
        <v>1.701534414905E12</v>
      </c>
      <c r="D268" s="1038" t="s">
        <v>902</v>
      </c>
      <c r="E268" s="944" t="s">
        <v>441</v>
      </c>
      <c r="F268" s="1038" t="s">
        <v>442</v>
      </c>
      <c r="G268" s="63" t="s">
        <v>516</v>
      </c>
      <c r="H268" s="64">
        <v>6.0</v>
      </c>
      <c r="I268" s="1094">
        <f t="shared" si="67"/>
        <v>220000</v>
      </c>
      <c r="J268" s="946">
        <f t="shared" si="68"/>
        <v>1320000</v>
      </c>
      <c r="K268" s="1041">
        <f>SUM(J268:J273)</f>
        <v>10200000</v>
      </c>
      <c r="L268" s="1031"/>
      <c r="M268" s="1025"/>
      <c r="N268" s="1055"/>
      <c r="O268" s="53">
        <f>K268+L268-N268</f>
        <v>10200000</v>
      </c>
      <c r="P268" s="1084"/>
      <c r="Q268" s="1084"/>
      <c r="R268" s="1028">
        <v>579563.0</v>
      </c>
      <c r="S268" s="1029" t="s">
        <v>32</v>
      </c>
      <c r="T268" s="1085"/>
      <c r="U268" s="1038" t="s">
        <v>30</v>
      </c>
      <c r="V268" s="942">
        <v>14.0</v>
      </c>
      <c r="W268" s="942" t="s">
        <v>1542</v>
      </c>
      <c r="X268" s="974"/>
      <c r="Y268" s="106"/>
      <c r="Z268" s="427"/>
      <c r="AA268" s="106"/>
      <c r="AB268" s="106"/>
      <c r="AC268" s="106"/>
      <c r="AD268" s="106"/>
    </row>
    <row r="269" ht="28.5" customHeight="1">
      <c r="A269" s="62"/>
      <c r="B269" s="62"/>
      <c r="C269" s="62"/>
      <c r="D269" s="62"/>
      <c r="E269" s="62"/>
      <c r="F269" s="62"/>
      <c r="G269" s="63" t="s">
        <v>35</v>
      </c>
      <c r="H269" s="64">
        <v>6.0</v>
      </c>
      <c r="I269" s="1094">
        <f t="shared" si="67"/>
        <v>220000</v>
      </c>
      <c r="J269" s="946">
        <f t="shared" si="68"/>
        <v>1320000</v>
      </c>
      <c r="K269" s="62"/>
      <c r="L269" s="62"/>
      <c r="M269" s="62"/>
      <c r="N269" s="62"/>
      <c r="O269" s="62"/>
      <c r="P269" s="62"/>
      <c r="Q269" s="62"/>
      <c r="R269" s="62"/>
      <c r="S269" s="62"/>
      <c r="T269" s="62"/>
      <c r="U269" s="62"/>
      <c r="V269" s="62"/>
      <c r="W269" s="62"/>
      <c r="X269" s="62"/>
      <c r="Y269" s="106"/>
      <c r="Z269" s="427"/>
      <c r="AA269" s="106"/>
      <c r="AB269" s="106"/>
      <c r="AC269" s="106"/>
      <c r="AD269" s="106"/>
    </row>
    <row r="270" ht="28.5" customHeight="1">
      <c r="A270" s="62"/>
      <c r="B270" s="62"/>
      <c r="C270" s="62"/>
      <c r="D270" s="62"/>
      <c r="E270" s="62"/>
      <c r="F270" s="62"/>
      <c r="G270" s="63" t="s">
        <v>37</v>
      </c>
      <c r="H270" s="64">
        <v>12.0</v>
      </c>
      <c r="I270" s="1094">
        <f t="shared" si="67"/>
        <v>220000</v>
      </c>
      <c r="J270" s="946">
        <f t="shared" si="68"/>
        <v>2640000</v>
      </c>
      <c r="K270" s="62"/>
      <c r="L270" s="62"/>
      <c r="M270" s="62"/>
      <c r="N270" s="62"/>
      <c r="O270" s="62"/>
      <c r="P270" s="62"/>
      <c r="Q270" s="62"/>
      <c r="R270" s="62"/>
      <c r="S270" s="62"/>
      <c r="T270" s="62"/>
      <c r="U270" s="67"/>
      <c r="V270" s="67"/>
      <c r="W270" s="62"/>
      <c r="X270" s="62"/>
      <c r="Y270" s="106"/>
      <c r="Z270" s="427"/>
      <c r="AA270" s="106"/>
      <c r="AB270" s="106"/>
      <c r="AC270" s="106"/>
      <c r="AD270" s="106"/>
    </row>
    <row r="271" ht="28.5" customHeight="1">
      <c r="A271" s="62"/>
      <c r="B271" s="62"/>
      <c r="C271" s="62"/>
      <c r="D271" s="62"/>
      <c r="E271" s="62"/>
      <c r="F271" s="62"/>
      <c r="G271" s="63" t="s">
        <v>165</v>
      </c>
      <c r="H271" s="64">
        <v>6.0</v>
      </c>
      <c r="I271" s="1094">
        <f t="shared" si="67"/>
        <v>220000</v>
      </c>
      <c r="J271" s="946">
        <f t="shared" si="68"/>
        <v>1320000</v>
      </c>
      <c r="K271" s="62"/>
      <c r="L271" s="62"/>
      <c r="M271" s="62"/>
      <c r="N271" s="62"/>
      <c r="O271" s="62"/>
      <c r="P271" s="62"/>
      <c r="Q271" s="62"/>
      <c r="R271" s="62"/>
      <c r="S271" s="62"/>
      <c r="T271" s="62"/>
      <c r="U271" s="1038" t="s">
        <v>147</v>
      </c>
      <c r="V271" s="942">
        <v>4.0</v>
      </c>
      <c r="W271" s="62"/>
      <c r="X271" s="62"/>
      <c r="Y271" s="106"/>
      <c r="Z271" s="427"/>
      <c r="AA271" s="106"/>
      <c r="AB271" s="106"/>
      <c r="AC271" s="106"/>
      <c r="AD271" s="106"/>
    </row>
    <row r="272" ht="28.5" customHeight="1">
      <c r="A272" s="62"/>
      <c r="B272" s="62"/>
      <c r="C272" s="62"/>
      <c r="D272" s="62"/>
      <c r="E272" s="62"/>
      <c r="F272" s="62"/>
      <c r="G272" s="63" t="s">
        <v>122</v>
      </c>
      <c r="H272" s="64">
        <v>12.0</v>
      </c>
      <c r="I272" s="1094">
        <f t="shared" si="67"/>
        <v>220000</v>
      </c>
      <c r="J272" s="946">
        <f t="shared" si="68"/>
        <v>2640000</v>
      </c>
      <c r="K272" s="62"/>
      <c r="L272" s="62"/>
      <c r="M272" s="62"/>
      <c r="N272" s="62"/>
      <c r="O272" s="62"/>
      <c r="P272" s="62"/>
      <c r="Q272" s="62"/>
      <c r="R272" s="62"/>
      <c r="S272" s="62"/>
      <c r="T272" s="62"/>
      <c r="U272" s="62"/>
      <c r="V272" s="62"/>
      <c r="W272" s="62"/>
      <c r="X272" s="62"/>
      <c r="Y272" s="106"/>
      <c r="Z272" s="427"/>
      <c r="AA272" s="106"/>
      <c r="AB272" s="106"/>
      <c r="AC272" s="106"/>
      <c r="AD272" s="106"/>
    </row>
    <row r="273" ht="28.5" customHeight="1">
      <c r="A273" s="67"/>
      <c r="B273" s="67"/>
      <c r="C273" s="67"/>
      <c r="D273" s="67"/>
      <c r="E273" s="67"/>
      <c r="F273" s="67"/>
      <c r="G273" s="63" t="s">
        <v>147</v>
      </c>
      <c r="H273" s="64">
        <v>12.0</v>
      </c>
      <c r="I273" s="1094">
        <f t="shared" si="67"/>
        <v>80000</v>
      </c>
      <c r="J273" s="946">
        <f t="shared" si="68"/>
        <v>960000</v>
      </c>
      <c r="K273" s="67"/>
      <c r="L273" s="67"/>
      <c r="M273" s="67"/>
      <c r="N273" s="67"/>
      <c r="O273" s="67"/>
      <c r="P273" s="67"/>
      <c r="Q273" s="67"/>
      <c r="R273" s="67"/>
      <c r="S273" s="67"/>
      <c r="T273" s="67"/>
      <c r="U273" s="67"/>
      <c r="V273" s="67"/>
      <c r="W273" s="67"/>
      <c r="X273" s="67"/>
      <c r="Y273" s="106"/>
      <c r="Z273" s="427"/>
      <c r="AA273" s="106"/>
      <c r="AB273" s="106"/>
      <c r="AC273" s="106"/>
      <c r="AD273" s="106"/>
    </row>
    <row r="274" ht="28.5" customHeight="1">
      <c r="A274" s="694">
        <v>163.0</v>
      </c>
      <c r="B274" s="1032">
        <v>45131.0</v>
      </c>
      <c r="C274" s="694">
        <v>1.701624448387E12</v>
      </c>
      <c r="D274" s="429" t="s">
        <v>1764</v>
      </c>
      <c r="E274" s="684" t="s">
        <v>1765</v>
      </c>
      <c r="F274" s="429" t="s">
        <v>1766</v>
      </c>
      <c r="G274" s="63" t="s">
        <v>30</v>
      </c>
      <c r="H274" s="64">
        <v>3.0</v>
      </c>
      <c r="I274" s="1094">
        <f t="shared" si="67"/>
        <v>220000</v>
      </c>
      <c r="J274" s="946">
        <f t="shared" si="68"/>
        <v>660000</v>
      </c>
      <c r="K274" s="686">
        <f t="shared" ref="K274:K276" si="71">SUM(J274)</f>
        <v>660000</v>
      </c>
      <c r="L274" s="693"/>
      <c r="M274" s="688"/>
      <c r="N274" s="1049"/>
      <c r="O274" s="80">
        <f t="shared" ref="O274:O276" si="72">K274+L274-N274</f>
        <v>660000</v>
      </c>
      <c r="P274" s="1082"/>
      <c r="Q274" s="1082"/>
      <c r="R274" s="806">
        <v>54999.0</v>
      </c>
      <c r="S274" s="1017" t="s">
        <v>32</v>
      </c>
      <c r="T274" s="691"/>
      <c r="U274" s="429" t="s">
        <v>30</v>
      </c>
      <c r="V274" s="694">
        <v>1.0</v>
      </c>
      <c r="W274" s="694" t="s">
        <v>1542</v>
      </c>
      <c r="X274" s="687"/>
      <c r="Y274" s="106"/>
      <c r="Z274" s="427"/>
      <c r="AA274" s="106"/>
      <c r="AB274" s="106"/>
      <c r="AC274" s="106"/>
      <c r="AD274" s="106"/>
    </row>
    <row r="275" ht="37.5" customHeight="1">
      <c r="A275" s="694">
        <v>164.0</v>
      </c>
      <c r="B275" s="1032">
        <v>45131.0</v>
      </c>
      <c r="C275" s="694">
        <v>1.714008694675E12</v>
      </c>
      <c r="D275" s="429" t="s">
        <v>1767</v>
      </c>
      <c r="E275" s="684" t="s">
        <v>1140</v>
      </c>
      <c r="F275" s="133" t="s">
        <v>1141</v>
      </c>
      <c r="G275" s="63" t="s">
        <v>30</v>
      </c>
      <c r="H275" s="64">
        <v>9.0</v>
      </c>
      <c r="I275" s="1094">
        <f t="shared" si="67"/>
        <v>220000</v>
      </c>
      <c r="J275" s="946">
        <f t="shared" si="68"/>
        <v>1980000</v>
      </c>
      <c r="K275" s="686">
        <f t="shared" si="71"/>
        <v>1980000</v>
      </c>
      <c r="L275" s="693"/>
      <c r="M275" s="688"/>
      <c r="N275" s="1049"/>
      <c r="O275" s="80">
        <f t="shared" si="72"/>
        <v>1980000</v>
      </c>
      <c r="P275" s="1082"/>
      <c r="Q275" s="1082"/>
      <c r="R275" s="806">
        <v>99000.0</v>
      </c>
      <c r="S275" s="1017" t="s">
        <v>32</v>
      </c>
      <c r="T275" s="691"/>
      <c r="U275" s="429" t="s">
        <v>30</v>
      </c>
      <c r="V275" s="694">
        <v>3.0</v>
      </c>
      <c r="W275" s="694" t="s">
        <v>1542</v>
      </c>
      <c r="X275" s="687"/>
      <c r="Y275" s="106"/>
      <c r="Z275" s="427"/>
      <c r="AA275" s="106"/>
      <c r="AB275" s="106"/>
      <c r="AC275" s="106"/>
      <c r="AD275" s="106"/>
    </row>
    <row r="276" ht="28.5" customHeight="1">
      <c r="A276" s="942">
        <v>165.0</v>
      </c>
      <c r="B276" s="1022">
        <v>45131.0</v>
      </c>
      <c r="C276" s="942">
        <v>1.713112175399E12</v>
      </c>
      <c r="D276" s="1038" t="s">
        <v>162</v>
      </c>
      <c r="E276" s="944" t="s">
        <v>1768</v>
      </c>
      <c r="F276" s="1038" t="s">
        <v>1769</v>
      </c>
      <c r="G276" s="126" t="s">
        <v>30</v>
      </c>
      <c r="H276" s="39">
        <v>1.0</v>
      </c>
      <c r="I276" s="1093">
        <f t="shared" si="67"/>
        <v>220000</v>
      </c>
      <c r="J276" s="1096">
        <f t="shared" si="68"/>
        <v>220000</v>
      </c>
      <c r="K276" s="1041">
        <f t="shared" si="71"/>
        <v>220000</v>
      </c>
      <c r="L276" s="1028">
        <v>40000.0</v>
      </c>
      <c r="M276" s="1025"/>
      <c r="N276" s="1042">
        <v>20000.0</v>
      </c>
      <c r="O276" s="53">
        <f t="shared" si="72"/>
        <v>240000</v>
      </c>
      <c r="P276" s="1084"/>
      <c r="Q276" s="1084"/>
      <c r="R276" s="1008"/>
      <c r="S276" s="1029" t="s">
        <v>32</v>
      </c>
      <c r="T276" s="1085"/>
      <c r="U276" s="429" t="s">
        <v>75</v>
      </c>
      <c r="V276" s="694">
        <v>1.0</v>
      </c>
      <c r="W276" s="942" t="s">
        <v>1706</v>
      </c>
      <c r="X276" s="974"/>
      <c r="Y276" s="106"/>
      <c r="Z276" s="427"/>
      <c r="AA276" s="106"/>
      <c r="AB276" s="106"/>
      <c r="AC276" s="106"/>
      <c r="AD276" s="106"/>
    </row>
    <row r="277" ht="28.5" customHeight="1">
      <c r="A277" s="62"/>
      <c r="B277" s="62"/>
      <c r="C277" s="62"/>
      <c r="D277" s="62"/>
      <c r="E277" s="62"/>
      <c r="F277" s="62"/>
      <c r="G277" s="62"/>
      <c r="H277" s="62"/>
      <c r="I277" s="423"/>
      <c r="J277" s="641"/>
      <c r="K277" s="62"/>
      <c r="L277" s="62"/>
      <c r="M277" s="62"/>
      <c r="N277" s="62"/>
      <c r="O277" s="62"/>
      <c r="P277" s="62"/>
      <c r="Q277" s="62"/>
      <c r="R277" s="62"/>
      <c r="S277" s="62"/>
      <c r="T277" s="62"/>
      <c r="U277" s="429" t="s">
        <v>457</v>
      </c>
      <c r="V277" s="694">
        <v>1.0</v>
      </c>
      <c r="W277" s="62"/>
      <c r="X277" s="62"/>
      <c r="Y277" s="106"/>
      <c r="Z277" s="427"/>
      <c r="AA277" s="106"/>
      <c r="AB277" s="106"/>
      <c r="AC277" s="106"/>
      <c r="AD277" s="106"/>
    </row>
    <row r="278" ht="28.5" customHeight="1">
      <c r="A278" s="67"/>
      <c r="B278" s="67"/>
      <c r="C278" s="67"/>
      <c r="D278" s="67"/>
      <c r="E278" s="67"/>
      <c r="F278" s="67"/>
      <c r="G278" s="67"/>
      <c r="H278" s="67"/>
      <c r="I278" s="102"/>
      <c r="J278" s="154"/>
      <c r="K278" s="67"/>
      <c r="L278" s="67"/>
      <c r="M278" s="67"/>
      <c r="N278" s="67"/>
      <c r="O278" s="67"/>
      <c r="P278" s="67"/>
      <c r="Q278" s="67"/>
      <c r="R278" s="67"/>
      <c r="S278" s="67"/>
      <c r="T278" s="67"/>
      <c r="U278" s="429" t="s">
        <v>456</v>
      </c>
      <c r="V278" s="694">
        <v>1.0</v>
      </c>
      <c r="W278" s="67"/>
      <c r="X278" s="67"/>
      <c r="Y278" s="106"/>
      <c r="Z278" s="427"/>
      <c r="AA278" s="106"/>
      <c r="AB278" s="106"/>
      <c r="AC278" s="106"/>
      <c r="AD278" s="106"/>
    </row>
    <row r="279" ht="28.5" customHeight="1">
      <c r="A279" s="942">
        <v>166.0</v>
      </c>
      <c r="B279" s="1022">
        <v>45131.0</v>
      </c>
      <c r="C279" s="942">
        <v>7765.0</v>
      </c>
      <c r="D279" s="1038" t="s">
        <v>50</v>
      </c>
      <c r="E279" s="944" t="s">
        <v>1333</v>
      </c>
      <c r="F279" s="1038" t="s">
        <v>193</v>
      </c>
      <c r="G279" s="126" t="s">
        <v>30</v>
      </c>
      <c r="H279" s="39">
        <v>1.0</v>
      </c>
      <c r="I279" s="1093">
        <f>VLOOKUP(G279,$Y$4:$Z$43,2,0)</f>
        <v>220000</v>
      </c>
      <c r="J279" s="1096">
        <f>I279*H279</f>
        <v>220000</v>
      </c>
      <c r="K279" s="1041">
        <f>SUM(J279)</f>
        <v>220000</v>
      </c>
      <c r="L279" s="1031"/>
      <c r="M279" s="1025">
        <f>K279*3%</f>
        <v>6600</v>
      </c>
      <c r="N279" s="1055"/>
      <c r="O279" s="53">
        <f>K279+L279-M279</f>
        <v>213400</v>
      </c>
      <c r="P279" s="1084"/>
      <c r="Q279" s="1084"/>
      <c r="R279" s="1008"/>
      <c r="S279" s="1053"/>
      <c r="T279" s="1085"/>
      <c r="U279" s="429" t="s">
        <v>75</v>
      </c>
      <c r="V279" s="694">
        <v>1.0</v>
      </c>
      <c r="W279" s="942" t="s">
        <v>1706</v>
      </c>
      <c r="X279" s="974"/>
      <c r="Y279" s="106"/>
      <c r="Z279" s="427"/>
      <c r="AA279" s="106"/>
      <c r="AB279" s="106"/>
      <c r="AC279" s="106"/>
      <c r="AD279" s="106"/>
    </row>
    <row r="280" ht="28.5" customHeight="1">
      <c r="A280" s="62"/>
      <c r="B280" s="62"/>
      <c r="C280" s="62"/>
      <c r="D280" s="62"/>
      <c r="E280" s="62"/>
      <c r="F280" s="62"/>
      <c r="G280" s="62"/>
      <c r="H280" s="62"/>
      <c r="I280" s="423"/>
      <c r="J280" s="641"/>
      <c r="K280" s="62"/>
      <c r="L280" s="62"/>
      <c r="M280" s="62"/>
      <c r="N280" s="62"/>
      <c r="O280" s="62"/>
      <c r="P280" s="62"/>
      <c r="Q280" s="62"/>
      <c r="R280" s="62"/>
      <c r="S280" s="62"/>
      <c r="T280" s="62"/>
      <c r="U280" s="429" t="s">
        <v>457</v>
      </c>
      <c r="V280" s="694">
        <v>1.0</v>
      </c>
      <c r="W280" s="62"/>
      <c r="X280" s="62"/>
      <c r="Y280" s="106"/>
      <c r="Z280" s="427"/>
      <c r="AA280" s="106"/>
      <c r="AB280" s="106"/>
      <c r="AC280" s="106"/>
      <c r="AD280" s="106"/>
    </row>
    <row r="281" ht="28.5" customHeight="1">
      <c r="A281" s="67"/>
      <c r="B281" s="67"/>
      <c r="C281" s="67"/>
      <c r="D281" s="67"/>
      <c r="E281" s="67"/>
      <c r="F281" s="67"/>
      <c r="G281" s="67"/>
      <c r="H281" s="67"/>
      <c r="I281" s="102"/>
      <c r="J281" s="154"/>
      <c r="K281" s="67"/>
      <c r="L281" s="67"/>
      <c r="M281" s="67"/>
      <c r="N281" s="67"/>
      <c r="O281" s="67"/>
      <c r="P281" s="67"/>
      <c r="Q281" s="67"/>
      <c r="R281" s="67"/>
      <c r="S281" s="67"/>
      <c r="T281" s="67"/>
      <c r="U281" s="429" t="s">
        <v>456</v>
      </c>
      <c r="V281" s="694">
        <v>1.0</v>
      </c>
      <c r="W281" s="67"/>
      <c r="X281" s="67"/>
      <c r="Y281" s="106"/>
      <c r="Z281" s="427"/>
      <c r="AA281" s="106"/>
      <c r="AB281" s="106"/>
      <c r="AC281" s="106"/>
      <c r="AD281" s="106"/>
    </row>
    <row r="282" ht="28.5" customHeight="1">
      <c r="A282" s="942">
        <v>167.0</v>
      </c>
      <c r="B282" s="1022">
        <v>45131.0</v>
      </c>
      <c r="C282" s="942">
        <v>5466.0</v>
      </c>
      <c r="D282" s="1038" t="s">
        <v>50</v>
      </c>
      <c r="E282" s="944" t="s">
        <v>1582</v>
      </c>
      <c r="F282" s="1038" t="s">
        <v>156</v>
      </c>
      <c r="G282" s="126" t="s">
        <v>37</v>
      </c>
      <c r="H282" s="39">
        <v>1.0</v>
      </c>
      <c r="I282" s="1093">
        <f>VLOOKUP(G282,$Y$4:$Z$43,2,0)</f>
        <v>220000</v>
      </c>
      <c r="J282" s="1096">
        <f>I282*H282</f>
        <v>220000</v>
      </c>
      <c r="K282" s="1041">
        <f>SUM(J282)</f>
        <v>220000</v>
      </c>
      <c r="L282" s="1031"/>
      <c r="M282" s="1025">
        <f>K282*3%</f>
        <v>6600</v>
      </c>
      <c r="N282" s="1055"/>
      <c r="O282" s="53">
        <f>K282+L282-M282</f>
        <v>213400</v>
      </c>
      <c r="P282" s="1084"/>
      <c r="Q282" s="1084"/>
      <c r="R282" s="1008"/>
      <c r="S282" s="1053"/>
      <c r="T282" s="1085"/>
      <c r="U282" s="429" t="s">
        <v>75</v>
      </c>
      <c r="V282" s="694">
        <v>1.0</v>
      </c>
      <c r="W282" s="942" t="s">
        <v>1706</v>
      </c>
      <c r="X282" s="974"/>
      <c r="Y282" s="106"/>
      <c r="Z282" s="427"/>
      <c r="AA282" s="106"/>
      <c r="AB282" s="106"/>
      <c r="AC282" s="106"/>
      <c r="AD282" s="106"/>
    </row>
    <row r="283" ht="28.5" customHeight="1">
      <c r="A283" s="62"/>
      <c r="B283" s="62"/>
      <c r="C283" s="62"/>
      <c r="D283" s="62"/>
      <c r="E283" s="62"/>
      <c r="F283" s="62"/>
      <c r="G283" s="62"/>
      <c r="H283" s="62"/>
      <c r="I283" s="423"/>
      <c r="J283" s="641"/>
      <c r="K283" s="62"/>
      <c r="L283" s="62"/>
      <c r="M283" s="62"/>
      <c r="N283" s="62"/>
      <c r="O283" s="62"/>
      <c r="P283" s="62"/>
      <c r="Q283" s="62"/>
      <c r="R283" s="62"/>
      <c r="S283" s="62"/>
      <c r="T283" s="62"/>
      <c r="U283" s="429" t="s">
        <v>457</v>
      </c>
      <c r="V283" s="694">
        <v>1.0</v>
      </c>
      <c r="W283" s="62"/>
      <c r="X283" s="62"/>
      <c r="Y283" s="106"/>
      <c r="Z283" s="427"/>
      <c r="AA283" s="106"/>
      <c r="AB283" s="106"/>
      <c r="AC283" s="106"/>
      <c r="AD283" s="106"/>
    </row>
    <row r="284" ht="28.5" customHeight="1">
      <c r="A284" s="67"/>
      <c r="B284" s="67"/>
      <c r="C284" s="67"/>
      <c r="D284" s="67"/>
      <c r="E284" s="67"/>
      <c r="F284" s="67"/>
      <c r="G284" s="67"/>
      <c r="H284" s="67"/>
      <c r="I284" s="102"/>
      <c r="J284" s="154"/>
      <c r="K284" s="67"/>
      <c r="L284" s="67"/>
      <c r="M284" s="67"/>
      <c r="N284" s="67"/>
      <c r="O284" s="67"/>
      <c r="P284" s="67"/>
      <c r="Q284" s="67"/>
      <c r="R284" s="67"/>
      <c r="S284" s="67"/>
      <c r="T284" s="67"/>
      <c r="U284" s="429" t="s">
        <v>456</v>
      </c>
      <c r="V284" s="694">
        <v>1.0</v>
      </c>
      <c r="W284" s="67"/>
      <c r="X284" s="67"/>
      <c r="Y284" s="106"/>
      <c r="Z284" s="427"/>
      <c r="AA284" s="106"/>
      <c r="AB284" s="106"/>
      <c r="AC284" s="106"/>
      <c r="AD284" s="106"/>
    </row>
    <row r="285" ht="28.5" customHeight="1">
      <c r="A285" s="942">
        <v>168.0</v>
      </c>
      <c r="B285" s="1022">
        <v>45131.0</v>
      </c>
      <c r="C285" s="942">
        <v>9675.0</v>
      </c>
      <c r="D285" s="1038" t="s">
        <v>50</v>
      </c>
      <c r="E285" s="944" t="s">
        <v>635</v>
      </c>
      <c r="F285" s="1038" t="s">
        <v>461</v>
      </c>
      <c r="G285" s="126" t="s">
        <v>30</v>
      </c>
      <c r="H285" s="39">
        <v>1.0</v>
      </c>
      <c r="I285" s="1093">
        <f>VLOOKUP(G285,$Y$4:$Z$43,2,0)</f>
        <v>220000</v>
      </c>
      <c r="J285" s="1096">
        <f>I285*H285</f>
        <v>220000</v>
      </c>
      <c r="K285" s="1041">
        <f>SUM(J285)</f>
        <v>220000</v>
      </c>
      <c r="L285" s="1031"/>
      <c r="M285" s="1025">
        <f>K285*3%</f>
        <v>6600</v>
      </c>
      <c r="N285" s="1055"/>
      <c r="O285" s="53">
        <f>K285+L285-M285</f>
        <v>213400</v>
      </c>
      <c r="P285" s="1084"/>
      <c r="Q285" s="1084"/>
      <c r="R285" s="1008"/>
      <c r="S285" s="1053"/>
      <c r="T285" s="1085"/>
      <c r="U285" s="429" t="s">
        <v>75</v>
      </c>
      <c r="V285" s="694">
        <v>1.0</v>
      </c>
      <c r="W285" s="942" t="s">
        <v>1706</v>
      </c>
      <c r="X285" s="974"/>
      <c r="Y285" s="106"/>
      <c r="Z285" s="427"/>
      <c r="AA285" s="106"/>
      <c r="AB285" s="106"/>
      <c r="AC285" s="106"/>
      <c r="AD285" s="106"/>
    </row>
    <row r="286" ht="28.5" customHeight="1">
      <c r="A286" s="62"/>
      <c r="B286" s="62"/>
      <c r="C286" s="62"/>
      <c r="D286" s="62"/>
      <c r="E286" s="62"/>
      <c r="F286" s="62"/>
      <c r="G286" s="62"/>
      <c r="H286" s="62"/>
      <c r="I286" s="423"/>
      <c r="J286" s="641"/>
      <c r="K286" s="62"/>
      <c r="L286" s="62"/>
      <c r="M286" s="62"/>
      <c r="N286" s="62"/>
      <c r="O286" s="62"/>
      <c r="P286" s="62"/>
      <c r="Q286" s="62"/>
      <c r="R286" s="62"/>
      <c r="S286" s="62"/>
      <c r="T286" s="62"/>
      <c r="U286" s="429" t="s">
        <v>457</v>
      </c>
      <c r="V286" s="694">
        <v>1.0</v>
      </c>
      <c r="W286" s="62"/>
      <c r="X286" s="62"/>
      <c r="Y286" s="106"/>
      <c r="Z286" s="427"/>
      <c r="AA286" s="106"/>
      <c r="AB286" s="106"/>
      <c r="AC286" s="106"/>
      <c r="AD286" s="106"/>
    </row>
    <row r="287" ht="28.5" customHeight="1">
      <c r="A287" s="67"/>
      <c r="B287" s="67"/>
      <c r="C287" s="67"/>
      <c r="D287" s="67"/>
      <c r="E287" s="67"/>
      <c r="F287" s="67"/>
      <c r="G287" s="67"/>
      <c r="H287" s="67"/>
      <c r="I287" s="102"/>
      <c r="J287" s="154"/>
      <c r="K287" s="67"/>
      <c r="L287" s="67"/>
      <c r="M287" s="67"/>
      <c r="N287" s="67"/>
      <c r="O287" s="67"/>
      <c r="P287" s="67"/>
      <c r="Q287" s="67"/>
      <c r="R287" s="67"/>
      <c r="S287" s="67"/>
      <c r="T287" s="67"/>
      <c r="U287" s="429" t="s">
        <v>456</v>
      </c>
      <c r="V287" s="694">
        <v>1.0</v>
      </c>
      <c r="W287" s="67"/>
      <c r="X287" s="67"/>
      <c r="Y287" s="106"/>
      <c r="Z287" s="427"/>
      <c r="AA287" s="106"/>
      <c r="AB287" s="106"/>
      <c r="AC287" s="106"/>
      <c r="AD287" s="106"/>
    </row>
    <row r="288" ht="28.5" customHeight="1">
      <c r="A288" s="942">
        <v>169.0</v>
      </c>
      <c r="B288" s="1022">
        <v>45131.0</v>
      </c>
      <c r="C288" s="942">
        <v>9578.0</v>
      </c>
      <c r="D288" s="1038" t="s">
        <v>50</v>
      </c>
      <c r="E288" s="944" t="s">
        <v>1770</v>
      </c>
      <c r="F288" s="1038" t="s">
        <v>119</v>
      </c>
      <c r="G288" s="126" t="s">
        <v>30</v>
      </c>
      <c r="H288" s="39">
        <v>1.0</v>
      </c>
      <c r="I288" s="1093">
        <f>VLOOKUP(G288,$Y$4:$Z$43,2,0)</f>
        <v>220000</v>
      </c>
      <c r="J288" s="1096">
        <f>I288*H288</f>
        <v>220000</v>
      </c>
      <c r="K288" s="1041">
        <f>SUM(J288)</f>
        <v>220000</v>
      </c>
      <c r="L288" s="1031"/>
      <c r="M288" s="1025">
        <f>K288*3%</f>
        <v>6600</v>
      </c>
      <c r="N288" s="1055"/>
      <c r="O288" s="53">
        <f>K288+L288-M288</f>
        <v>213400</v>
      </c>
      <c r="P288" s="1084"/>
      <c r="Q288" s="1084"/>
      <c r="R288" s="1008"/>
      <c r="S288" s="1053"/>
      <c r="T288" s="1085"/>
      <c r="U288" s="429" t="s">
        <v>75</v>
      </c>
      <c r="V288" s="694">
        <v>1.0</v>
      </c>
      <c r="W288" s="942" t="s">
        <v>1706</v>
      </c>
      <c r="X288" s="974"/>
      <c r="Y288" s="106"/>
      <c r="Z288" s="427"/>
      <c r="AA288" s="106"/>
      <c r="AB288" s="106"/>
      <c r="AC288" s="106"/>
      <c r="AD288" s="106"/>
    </row>
    <row r="289" ht="28.5" customHeight="1">
      <c r="A289" s="62"/>
      <c r="B289" s="62"/>
      <c r="C289" s="62"/>
      <c r="D289" s="62"/>
      <c r="E289" s="62"/>
      <c r="F289" s="62"/>
      <c r="G289" s="62"/>
      <c r="H289" s="62"/>
      <c r="I289" s="423"/>
      <c r="J289" s="641"/>
      <c r="K289" s="62"/>
      <c r="L289" s="62"/>
      <c r="M289" s="62"/>
      <c r="N289" s="62"/>
      <c r="O289" s="62"/>
      <c r="P289" s="62"/>
      <c r="Q289" s="62"/>
      <c r="R289" s="62"/>
      <c r="S289" s="62"/>
      <c r="T289" s="62"/>
      <c r="U289" s="429" t="s">
        <v>457</v>
      </c>
      <c r="V289" s="694">
        <v>1.0</v>
      </c>
      <c r="W289" s="62"/>
      <c r="X289" s="62"/>
      <c r="Y289" s="106"/>
      <c r="Z289" s="427"/>
      <c r="AA289" s="106"/>
      <c r="AB289" s="106"/>
      <c r="AC289" s="106"/>
      <c r="AD289" s="106"/>
    </row>
    <row r="290" ht="28.5" customHeight="1">
      <c r="A290" s="67"/>
      <c r="B290" s="67"/>
      <c r="C290" s="67"/>
      <c r="D290" s="67"/>
      <c r="E290" s="67"/>
      <c r="F290" s="67"/>
      <c r="G290" s="67"/>
      <c r="H290" s="67"/>
      <c r="I290" s="102"/>
      <c r="J290" s="154"/>
      <c r="K290" s="67"/>
      <c r="L290" s="67"/>
      <c r="M290" s="67"/>
      <c r="N290" s="67"/>
      <c r="O290" s="67"/>
      <c r="P290" s="67"/>
      <c r="Q290" s="67"/>
      <c r="R290" s="67"/>
      <c r="S290" s="67"/>
      <c r="T290" s="67"/>
      <c r="U290" s="429" t="s">
        <v>456</v>
      </c>
      <c r="V290" s="694">
        <v>1.0</v>
      </c>
      <c r="W290" s="67"/>
      <c r="X290" s="67"/>
      <c r="Y290" s="106"/>
      <c r="Z290" s="427"/>
      <c r="AA290" s="106"/>
      <c r="AB290" s="106"/>
      <c r="AC290" s="106"/>
      <c r="AD290" s="106"/>
    </row>
    <row r="291" ht="28.5" customHeight="1">
      <c r="A291" s="942">
        <v>170.0</v>
      </c>
      <c r="B291" s="1022">
        <v>45131.0</v>
      </c>
      <c r="C291" s="942">
        <v>8842.0</v>
      </c>
      <c r="D291" s="1038" t="s">
        <v>50</v>
      </c>
      <c r="E291" s="944" t="s">
        <v>1708</v>
      </c>
      <c r="F291" s="1038" t="s">
        <v>119</v>
      </c>
      <c r="G291" s="126" t="s">
        <v>30</v>
      </c>
      <c r="H291" s="39">
        <v>1.0</v>
      </c>
      <c r="I291" s="1093">
        <f>VLOOKUP(G291,$Y$4:$Z$43,2,0)</f>
        <v>220000</v>
      </c>
      <c r="J291" s="1096">
        <f>I291*H291</f>
        <v>220000</v>
      </c>
      <c r="K291" s="1041">
        <f>SUM(J291)</f>
        <v>220000</v>
      </c>
      <c r="L291" s="1031"/>
      <c r="M291" s="1025">
        <f>K291*3%</f>
        <v>6600</v>
      </c>
      <c r="N291" s="1055"/>
      <c r="O291" s="53">
        <f>K291+L291-M291</f>
        <v>213400</v>
      </c>
      <c r="P291" s="1084"/>
      <c r="Q291" s="1084"/>
      <c r="R291" s="1008"/>
      <c r="S291" s="1053"/>
      <c r="T291" s="1085"/>
      <c r="U291" s="429" t="s">
        <v>75</v>
      </c>
      <c r="V291" s="694">
        <v>1.0</v>
      </c>
      <c r="W291" s="942" t="s">
        <v>1706</v>
      </c>
      <c r="X291" s="974"/>
      <c r="Y291" s="106"/>
      <c r="Z291" s="427"/>
      <c r="AA291" s="106"/>
      <c r="AB291" s="106"/>
      <c r="AC291" s="106"/>
      <c r="AD291" s="106"/>
    </row>
    <row r="292" ht="28.5" customHeight="1">
      <c r="A292" s="62"/>
      <c r="B292" s="62"/>
      <c r="C292" s="62"/>
      <c r="D292" s="62"/>
      <c r="E292" s="62"/>
      <c r="F292" s="62"/>
      <c r="G292" s="62"/>
      <c r="H292" s="62"/>
      <c r="I292" s="423"/>
      <c r="J292" s="641"/>
      <c r="K292" s="62"/>
      <c r="L292" s="62"/>
      <c r="M292" s="62"/>
      <c r="N292" s="62"/>
      <c r="O292" s="62"/>
      <c r="P292" s="62"/>
      <c r="Q292" s="62"/>
      <c r="R292" s="62"/>
      <c r="S292" s="62"/>
      <c r="T292" s="62"/>
      <c r="U292" s="429" t="s">
        <v>457</v>
      </c>
      <c r="V292" s="694">
        <v>1.0</v>
      </c>
      <c r="W292" s="62"/>
      <c r="X292" s="62"/>
      <c r="Y292" s="106"/>
      <c r="Z292" s="427"/>
      <c r="AA292" s="106"/>
      <c r="AB292" s="106"/>
      <c r="AC292" s="106"/>
      <c r="AD292" s="106"/>
    </row>
    <row r="293" ht="28.5" customHeight="1">
      <c r="A293" s="67"/>
      <c r="B293" s="67"/>
      <c r="C293" s="67"/>
      <c r="D293" s="67"/>
      <c r="E293" s="67"/>
      <c r="F293" s="67"/>
      <c r="G293" s="67"/>
      <c r="H293" s="67"/>
      <c r="I293" s="102"/>
      <c r="J293" s="154"/>
      <c r="K293" s="67"/>
      <c r="L293" s="67"/>
      <c r="M293" s="67"/>
      <c r="N293" s="67"/>
      <c r="O293" s="67"/>
      <c r="P293" s="67"/>
      <c r="Q293" s="67"/>
      <c r="R293" s="67"/>
      <c r="S293" s="67"/>
      <c r="T293" s="67"/>
      <c r="U293" s="429" t="s">
        <v>456</v>
      </c>
      <c r="V293" s="694">
        <v>1.0</v>
      </c>
      <c r="W293" s="67"/>
      <c r="X293" s="67"/>
      <c r="Y293" s="106"/>
      <c r="Z293" s="427"/>
      <c r="AA293" s="106"/>
      <c r="AB293" s="106"/>
      <c r="AC293" s="106"/>
      <c r="AD293" s="106"/>
    </row>
    <row r="294" ht="28.5" customHeight="1">
      <c r="A294" s="942">
        <v>171.0</v>
      </c>
      <c r="B294" s="1022">
        <v>45131.0</v>
      </c>
      <c r="C294" s="942">
        <v>1.699864893273E12</v>
      </c>
      <c r="D294" s="1038" t="s">
        <v>1771</v>
      </c>
      <c r="E294" s="944" t="s">
        <v>1772</v>
      </c>
      <c r="F294" s="1038" t="s">
        <v>1773</v>
      </c>
      <c r="G294" s="816"/>
      <c r="H294" s="100"/>
      <c r="I294" s="1093"/>
      <c r="J294" s="1096"/>
      <c r="K294" s="1041"/>
      <c r="L294" s="1031"/>
      <c r="M294" s="1025"/>
      <c r="N294" s="1055"/>
      <c r="O294" s="53"/>
      <c r="P294" s="1084"/>
      <c r="Q294" s="1084"/>
      <c r="R294" s="1008"/>
      <c r="S294" s="1053"/>
      <c r="T294" s="1085"/>
      <c r="U294" s="429" t="s">
        <v>75</v>
      </c>
      <c r="V294" s="694">
        <v>1.0</v>
      </c>
      <c r="W294" s="942" t="s">
        <v>1706</v>
      </c>
      <c r="X294" s="974"/>
      <c r="Y294" s="106"/>
      <c r="Z294" s="427"/>
      <c r="AA294" s="106"/>
      <c r="AB294" s="106"/>
      <c r="AC294" s="106"/>
      <c r="AD294" s="106"/>
    </row>
    <row r="295" ht="28.5" customHeight="1">
      <c r="A295" s="62"/>
      <c r="B295" s="62"/>
      <c r="C295" s="62"/>
      <c r="D295" s="62"/>
      <c r="E295" s="62"/>
      <c r="F295" s="62"/>
      <c r="G295" s="62"/>
      <c r="H295" s="62"/>
      <c r="I295" s="423"/>
      <c r="J295" s="641"/>
      <c r="K295" s="62"/>
      <c r="L295" s="62"/>
      <c r="M295" s="62"/>
      <c r="N295" s="62"/>
      <c r="O295" s="62"/>
      <c r="P295" s="62"/>
      <c r="Q295" s="62"/>
      <c r="R295" s="62"/>
      <c r="S295" s="62"/>
      <c r="T295" s="62"/>
      <c r="U295" s="429" t="s">
        <v>457</v>
      </c>
      <c r="V295" s="694">
        <v>1.0</v>
      </c>
      <c r="W295" s="62"/>
      <c r="X295" s="62"/>
      <c r="Y295" s="106"/>
      <c r="Z295" s="427"/>
      <c r="AA295" s="106"/>
      <c r="AB295" s="106"/>
      <c r="AC295" s="106"/>
      <c r="AD295" s="106"/>
    </row>
    <row r="296" ht="28.5" customHeight="1">
      <c r="A296" s="67"/>
      <c r="B296" s="67"/>
      <c r="C296" s="67"/>
      <c r="D296" s="67"/>
      <c r="E296" s="67"/>
      <c r="F296" s="67"/>
      <c r="G296" s="67"/>
      <c r="H296" s="67"/>
      <c r="I296" s="102"/>
      <c r="J296" s="154"/>
      <c r="K296" s="67"/>
      <c r="L296" s="67"/>
      <c r="M296" s="67"/>
      <c r="N296" s="67"/>
      <c r="O296" s="67"/>
      <c r="P296" s="67"/>
      <c r="Q296" s="67"/>
      <c r="R296" s="67"/>
      <c r="S296" s="67"/>
      <c r="T296" s="67"/>
      <c r="U296" s="429" t="s">
        <v>456</v>
      </c>
      <c r="V296" s="694">
        <v>1.0</v>
      </c>
      <c r="W296" s="67"/>
      <c r="X296" s="67"/>
      <c r="Y296" s="106"/>
      <c r="Z296" s="427"/>
      <c r="AA296" s="106"/>
      <c r="AB296" s="106"/>
      <c r="AC296" s="106"/>
      <c r="AD296" s="106"/>
    </row>
    <row r="297" ht="28.5" customHeight="1">
      <c r="A297" s="942">
        <v>172.0</v>
      </c>
      <c r="B297" s="1022">
        <v>45131.0</v>
      </c>
      <c r="C297" s="942">
        <v>1.70010195161E12</v>
      </c>
      <c r="D297" s="1038" t="s">
        <v>1774</v>
      </c>
      <c r="E297" s="944" t="s">
        <v>1775</v>
      </c>
      <c r="F297" s="1038" t="s">
        <v>1776</v>
      </c>
      <c r="G297" s="816"/>
      <c r="H297" s="100"/>
      <c r="I297" s="1093"/>
      <c r="J297" s="1091"/>
      <c r="K297" s="1041"/>
      <c r="L297" s="1031"/>
      <c r="M297" s="1025"/>
      <c r="N297" s="1055"/>
      <c r="O297" s="53"/>
      <c r="P297" s="1084"/>
      <c r="Q297" s="1084"/>
      <c r="R297" s="1008"/>
      <c r="S297" s="1053"/>
      <c r="T297" s="1085"/>
      <c r="U297" s="429" t="s">
        <v>75</v>
      </c>
      <c r="V297" s="694">
        <v>1.0</v>
      </c>
      <c r="W297" s="942" t="s">
        <v>1706</v>
      </c>
      <c r="X297" s="974"/>
      <c r="Y297" s="106"/>
      <c r="Z297" s="427"/>
      <c r="AA297" s="106"/>
      <c r="AB297" s="106"/>
      <c r="AC297" s="106"/>
      <c r="AD297" s="106"/>
    </row>
    <row r="298" ht="28.5" customHeight="1">
      <c r="A298" s="62"/>
      <c r="B298" s="62"/>
      <c r="C298" s="62"/>
      <c r="D298" s="62"/>
      <c r="E298" s="62"/>
      <c r="F298" s="62"/>
      <c r="G298" s="62"/>
      <c r="H298" s="62"/>
      <c r="I298" s="423"/>
      <c r="J298" s="452"/>
      <c r="K298" s="62"/>
      <c r="L298" s="62"/>
      <c r="M298" s="62"/>
      <c r="N298" s="62"/>
      <c r="O298" s="62"/>
      <c r="P298" s="62"/>
      <c r="Q298" s="62"/>
      <c r="R298" s="62"/>
      <c r="S298" s="62"/>
      <c r="T298" s="62"/>
      <c r="U298" s="429" t="s">
        <v>457</v>
      </c>
      <c r="V298" s="694">
        <v>1.0</v>
      </c>
      <c r="W298" s="62"/>
      <c r="X298" s="62"/>
      <c r="Y298" s="106"/>
      <c r="Z298" s="427"/>
      <c r="AA298" s="106"/>
      <c r="AB298" s="106"/>
      <c r="AC298" s="106"/>
      <c r="AD298" s="106"/>
    </row>
    <row r="299" ht="28.5" customHeight="1">
      <c r="A299" s="67"/>
      <c r="B299" s="67"/>
      <c r="C299" s="67"/>
      <c r="D299" s="67"/>
      <c r="E299" s="67"/>
      <c r="F299" s="67"/>
      <c r="G299" s="67"/>
      <c r="H299" s="67"/>
      <c r="I299" s="102"/>
      <c r="J299" s="453"/>
      <c r="K299" s="67"/>
      <c r="L299" s="67"/>
      <c r="M299" s="67"/>
      <c r="N299" s="67"/>
      <c r="O299" s="67"/>
      <c r="P299" s="67"/>
      <c r="Q299" s="67"/>
      <c r="R299" s="67"/>
      <c r="S299" s="67"/>
      <c r="T299" s="67"/>
      <c r="U299" s="429" t="s">
        <v>456</v>
      </c>
      <c r="V299" s="694">
        <v>1.0</v>
      </c>
      <c r="W299" s="67"/>
      <c r="X299" s="67"/>
      <c r="Y299" s="106"/>
      <c r="Z299" s="427"/>
      <c r="AA299" s="106"/>
      <c r="AB299" s="106"/>
      <c r="AC299" s="106"/>
      <c r="AD299" s="106"/>
    </row>
    <row r="300" ht="28.5" customHeight="1">
      <c r="A300" s="942">
        <v>173.0</v>
      </c>
      <c r="B300" s="1022">
        <v>45131.0</v>
      </c>
      <c r="C300" s="942">
        <v>1.700163322196E12</v>
      </c>
      <c r="D300" s="1038" t="s">
        <v>1777</v>
      </c>
      <c r="E300" s="944" t="s">
        <v>1778</v>
      </c>
      <c r="F300" s="424" t="s">
        <v>1779</v>
      </c>
      <c r="G300" s="816"/>
      <c r="H300" s="100"/>
      <c r="I300" s="1093"/>
      <c r="J300" s="1091"/>
      <c r="K300" s="1041"/>
      <c r="L300" s="1031"/>
      <c r="M300" s="1025"/>
      <c r="N300" s="1055"/>
      <c r="O300" s="53"/>
      <c r="P300" s="1060" t="s">
        <v>449</v>
      </c>
      <c r="Q300" s="1084"/>
      <c r="R300" s="1008"/>
      <c r="S300" s="1053"/>
      <c r="T300" s="1085"/>
      <c r="U300" s="429" t="s">
        <v>75</v>
      </c>
      <c r="V300" s="694">
        <v>1.0</v>
      </c>
      <c r="W300" s="942" t="s">
        <v>1706</v>
      </c>
      <c r="X300" s="974"/>
      <c r="Y300" s="106"/>
      <c r="Z300" s="427"/>
      <c r="AA300" s="106"/>
      <c r="AB300" s="106"/>
      <c r="AC300" s="106"/>
      <c r="AD300" s="106"/>
    </row>
    <row r="301" ht="28.5" customHeight="1">
      <c r="A301" s="62"/>
      <c r="B301" s="62"/>
      <c r="C301" s="62"/>
      <c r="D301" s="62"/>
      <c r="E301" s="62"/>
      <c r="F301" s="62"/>
      <c r="G301" s="62"/>
      <c r="H301" s="62"/>
      <c r="I301" s="423"/>
      <c r="J301" s="452"/>
      <c r="K301" s="62"/>
      <c r="L301" s="62"/>
      <c r="M301" s="62"/>
      <c r="N301" s="62"/>
      <c r="O301" s="62"/>
      <c r="P301" s="62"/>
      <c r="Q301" s="62"/>
      <c r="R301" s="62"/>
      <c r="S301" s="62"/>
      <c r="T301" s="62"/>
      <c r="U301" s="429" t="s">
        <v>457</v>
      </c>
      <c r="V301" s="694">
        <v>1.0</v>
      </c>
      <c r="W301" s="62"/>
      <c r="X301" s="62"/>
      <c r="Y301" s="106"/>
      <c r="Z301" s="427"/>
      <c r="AA301" s="106"/>
      <c r="AB301" s="106"/>
      <c r="AC301" s="106"/>
      <c r="AD301" s="106"/>
    </row>
    <row r="302" ht="28.5" customHeight="1">
      <c r="A302" s="67"/>
      <c r="B302" s="67"/>
      <c r="C302" s="67"/>
      <c r="D302" s="67"/>
      <c r="E302" s="67"/>
      <c r="F302" s="67"/>
      <c r="G302" s="67"/>
      <c r="H302" s="67"/>
      <c r="I302" s="102"/>
      <c r="J302" s="453"/>
      <c r="K302" s="67"/>
      <c r="L302" s="67"/>
      <c r="M302" s="67"/>
      <c r="N302" s="67"/>
      <c r="O302" s="67"/>
      <c r="P302" s="67"/>
      <c r="Q302" s="67"/>
      <c r="R302" s="67"/>
      <c r="S302" s="67"/>
      <c r="T302" s="67"/>
      <c r="U302" s="429" t="s">
        <v>456</v>
      </c>
      <c r="V302" s="694">
        <v>1.0</v>
      </c>
      <c r="W302" s="67"/>
      <c r="X302" s="67"/>
      <c r="Y302" s="106"/>
      <c r="Z302" s="427"/>
      <c r="AA302" s="106"/>
      <c r="AB302" s="106"/>
      <c r="AC302" s="106"/>
      <c r="AD302" s="106"/>
    </row>
    <row r="303" ht="28.5" customHeight="1">
      <c r="A303" s="942">
        <v>174.0</v>
      </c>
      <c r="B303" s="1022">
        <v>45131.0</v>
      </c>
      <c r="C303" s="942">
        <v>1.700242852039E12</v>
      </c>
      <c r="D303" s="1038" t="s">
        <v>1780</v>
      </c>
      <c r="E303" s="944" t="s">
        <v>1781</v>
      </c>
      <c r="F303" s="1038" t="s">
        <v>1782</v>
      </c>
      <c r="G303" s="816"/>
      <c r="H303" s="100"/>
      <c r="I303" s="1093"/>
      <c r="J303" s="1091"/>
      <c r="K303" s="1041"/>
      <c r="L303" s="1031"/>
      <c r="M303" s="1025"/>
      <c r="N303" s="1055"/>
      <c r="O303" s="53"/>
      <c r="P303" s="1060" t="s">
        <v>449</v>
      </c>
      <c r="Q303" s="1084"/>
      <c r="R303" s="1008"/>
      <c r="S303" s="1053"/>
      <c r="T303" s="1085"/>
      <c r="U303" s="429" t="s">
        <v>75</v>
      </c>
      <c r="V303" s="694">
        <v>1.0</v>
      </c>
      <c r="W303" s="942" t="s">
        <v>1706</v>
      </c>
      <c r="X303" s="974"/>
      <c r="Y303" s="106"/>
      <c r="Z303" s="427"/>
      <c r="AA303" s="106"/>
      <c r="AB303" s="106"/>
      <c r="AC303" s="106"/>
      <c r="AD303" s="106"/>
    </row>
    <row r="304" ht="28.5" customHeight="1">
      <c r="A304" s="62"/>
      <c r="B304" s="62"/>
      <c r="C304" s="62"/>
      <c r="D304" s="62"/>
      <c r="E304" s="62"/>
      <c r="F304" s="62"/>
      <c r="G304" s="62"/>
      <c r="H304" s="62"/>
      <c r="I304" s="423"/>
      <c r="J304" s="452"/>
      <c r="K304" s="62"/>
      <c r="L304" s="62"/>
      <c r="M304" s="62"/>
      <c r="N304" s="62"/>
      <c r="O304" s="62"/>
      <c r="P304" s="62"/>
      <c r="Q304" s="62"/>
      <c r="R304" s="62"/>
      <c r="S304" s="62"/>
      <c r="T304" s="62"/>
      <c r="U304" s="429" t="s">
        <v>457</v>
      </c>
      <c r="V304" s="694">
        <v>1.0</v>
      </c>
      <c r="W304" s="62"/>
      <c r="X304" s="62"/>
      <c r="Y304" s="106"/>
      <c r="Z304" s="427"/>
      <c r="AA304" s="106"/>
      <c r="AB304" s="106"/>
      <c r="AC304" s="106"/>
      <c r="AD304" s="106"/>
    </row>
    <row r="305" ht="28.5" customHeight="1">
      <c r="A305" s="67"/>
      <c r="B305" s="67"/>
      <c r="C305" s="67"/>
      <c r="D305" s="67"/>
      <c r="E305" s="67"/>
      <c r="F305" s="67"/>
      <c r="G305" s="67"/>
      <c r="H305" s="67"/>
      <c r="I305" s="102"/>
      <c r="J305" s="453"/>
      <c r="K305" s="67"/>
      <c r="L305" s="67"/>
      <c r="M305" s="67"/>
      <c r="N305" s="67"/>
      <c r="O305" s="67"/>
      <c r="P305" s="67"/>
      <c r="Q305" s="67"/>
      <c r="R305" s="67"/>
      <c r="S305" s="67"/>
      <c r="T305" s="67"/>
      <c r="U305" s="429" t="s">
        <v>456</v>
      </c>
      <c r="V305" s="694">
        <v>1.0</v>
      </c>
      <c r="W305" s="67"/>
      <c r="X305" s="67"/>
      <c r="Y305" s="106"/>
      <c r="Z305" s="427"/>
      <c r="AA305" s="106"/>
      <c r="AB305" s="106"/>
      <c r="AC305" s="106"/>
      <c r="AD305" s="106"/>
    </row>
    <row r="306" ht="28.5" customHeight="1">
      <c r="A306" s="942">
        <v>175.0</v>
      </c>
      <c r="B306" s="1022">
        <v>45131.0</v>
      </c>
      <c r="C306" s="942">
        <v>1.700381877567E12</v>
      </c>
      <c r="D306" s="1038" t="s">
        <v>1783</v>
      </c>
      <c r="E306" s="944" t="s">
        <v>1784</v>
      </c>
      <c r="F306" s="424" t="s">
        <v>1785</v>
      </c>
      <c r="G306" s="816"/>
      <c r="H306" s="100"/>
      <c r="I306" s="1093"/>
      <c r="J306" s="1091"/>
      <c r="K306" s="1041"/>
      <c r="L306" s="1031"/>
      <c r="M306" s="1025"/>
      <c r="N306" s="1055"/>
      <c r="O306" s="53"/>
      <c r="P306" s="1060" t="s">
        <v>449</v>
      </c>
      <c r="Q306" s="1084"/>
      <c r="R306" s="1008"/>
      <c r="S306" s="1053"/>
      <c r="T306" s="1085"/>
      <c r="U306" s="429" t="s">
        <v>75</v>
      </c>
      <c r="V306" s="694">
        <v>1.0</v>
      </c>
      <c r="W306" s="942" t="s">
        <v>1706</v>
      </c>
      <c r="X306" s="974"/>
      <c r="Y306" s="106"/>
      <c r="Z306" s="427"/>
      <c r="AA306" s="106"/>
      <c r="AB306" s="106"/>
      <c r="AC306" s="106"/>
      <c r="AD306" s="106"/>
    </row>
    <row r="307" ht="28.5" customHeight="1">
      <c r="A307" s="62"/>
      <c r="B307" s="62"/>
      <c r="C307" s="62"/>
      <c r="D307" s="62"/>
      <c r="E307" s="62"/>
      <c r="F307" s="62"/>
      <c r="G307" s="62"/>
      <c r="H307" s="62"/>
      <c r="I307" s="423"/>
      <c r="J307" s="452"/>
      <c r="K307" s="62"/>
      <c r="L307" s="62"/>
      <c r="M307" s="62"/>
      <c r="N307" s="62"/>
      <c r="O307" s="62"/>
      <c r="P307" s="62"/>
      <c r="Q307" s="62"/>
      <c r="R307" s="62"/>
      <c r="S307" s="62"/>
      <c r="T307" s="62"/>
      <c r="U307" s="429" t="s">
        <v>457</v>
      </c>
      <c r="V307" s="694">
        <v>1.0</v>
      </c>
      <c r="W307" s="62"/>
      <c r="X307" s="62"/>
      <c r="Y307" s="106"/>
      <c r="Z307" s="427"/>
      <c r="AA307" s="106"/>
      <c r="AB307" s="106"/>
      <c r="AC307" s="106"/>
      <c r="AD307" s="106"/>
    </row>
    <row r="308" ht="28.5" customHeight="1">
      <c r="A308" s="67"/>
      <c r="B308" s="67"/>
      <c r="C308" s="67"/>
      <c r="D308" s="67"/>
      <c r="E308" s="67"/>
      <c r="F308" s="67"/>
      <c r="G308" s="67"/>
      <c r="H308" s="67"/>
      <c r="I308" s="102"/>
      <c r="J308" s="453"/>
      <c r="K308" s="67"/>
      <c r="L308" s="67"/>
      <c r="M308" s="67"/>
      <c r="N308" s="67"/>
      <c r="O308" s="67"/>
      <c r="P308" s="67"/>
      <c r="Q308" s="67"/>
      <c r="R308" s="67"/>
      <c r="S308" s="67"/>
      <c r="T308" s="67"/>
      <c r="U308" s="429" t="s">
        <v>456</v>
      </c>
      <c r="V308" s="694">
        <v>1.0</v>
      </c>
      <c r="W308" s="67"/>
      <c r="X308" s="67"/>
      <c r="Y308" s="106"/>
      <c r="Z308" s="427"/>
      <c r="AA308" s="106"/>
      <c r="AB308" s="106"/>
      <c r="AC308" s="106"/>
      <c r="AD308" s="106"/>
    </row>
    <row r="309" ht="28.5" customHeight="1">
      <c r="A309" s="942">
        <v>176.0</v>
      </c>
      <c r="B309" s="1022">
        <v>45131.0</v>
      </c>
      <c r="C309" s="942">
        <v>1.700479425617E12</v>
      </c>
      <c r="D309" s="1038" t="s">
        <v>1786</v>
      </c>
      <c r="E309" s="944" t="s">
        <v>1787</v>
      </c>
      <c r="F309" s="424" t="s">
        <v>1788</v>
      </c>
      <c r="G309" s="816"/>
      <c r="H309" s="100"/>
      <c r="I309" s="1093"/>
      <c r="J309" s="1091"/>
      <c r="K309" s="1041"/>
      <c r="L309" s="1031"/>
      <c r="M309" s="1025"/>
      <c r="N309" s="1055"/>
      <c r="O309" s="53"/>
      <c r="P309" s="1084"/>
      <c r="Q309" s="1084"/>
      <c r="R309" s="1008"/>
      <c r="S309" s="1053"/>
      <c r="T309" s="1085"/>
      <c r="U309" s="429" t="s">
        <v>75</v>
      </c>
      <c r="V309" s="694">
        <v>1.0</v>
      </c>
      <c r="W309" s="942" t="s">
        <v>1706</v>
      </c>
      <c r="X309" s="974"/>
      <c r="Y309" s="106"/>
      <c r="Z309" s="427"/>
      <c r="AA309" s="106"/>
      <c r="AB309" s="106"/>
      <c r="AC309" s="106"/>
      <c r="AD309" s="106"/>
    </row>
    <row r="310" ht="28.5" customHeight="1">
      <c r="A310" s="62"/>
      <c r="B310" s="62"/>
      <c r="C310" s="62"/>
      <c r="D310" s="62"/>
      <c r="E310" s="62"/>
      <c r="F310" s="62"/>
      <c r="G310" s="62"/>
      <c r="H310" s="62"/>
      <c r="I310" s="423"/>
      <c r="J310" s="452"/>
      <c r="K310" s="62"/>
      <c r="L310" s="62"/>
      <c r="M310" s="62"/>
      <c r="N310" s="62"/>
      <c r="O310" s="62"/>
      <c r="P310" s="62"/>
      <c r="Q310" s="62"/>
      <c r="R310" s="62"/>
      <c r="S310" s="62"/>
      <c r="T310" s="62"/>
      <c r="U310" s="429" t="s">
        <v>457</v>
      </c>
      <c r="V310" s="694">
        <v>1.0</v>
      </c>
      <c r="W310" s="62"/>
      <c r="X310" s="62"/>
      <c r="Y310" s="106"/>
      <c r="Z310" s="427"/>
      <c r="AA310" s="106"/>
      <c r="AB310" s="106"/>
      <c r="AC310" s="106"/>
      <c r="AD310" s="106"/>
    </row>
    <row r="311" ht="28.5" customHeight="1">
      <c r="A311" s="67"/>
      <c r="B311" s="67"/>
      <c r="C311" s="67"/>
      <c r="D311" s="67"/>
      <c r="E311" s="67"/>
      <c r="F311" s="67"/>
      <c r="G311" s="67"/>
      <c r="H311" s="67"/>
      <c r="I311" s="102"/>
      <c r="J311" s="453"/>
      <c r="K311" s="67"/>
      <c r="L311" s="67"/>
      <c r="M311" s="67"/>
      <c r="N311" s="67"/>
      <c r="O311" s="67"/>
      <c r="P311" s="67"/>
      <c r="Q311" s="67"/>
      <c r="R311" s="67"/>
      <c r="S311" s="67"/>
      <c r="T311" s="67"/>
      <c r="U311" s="429" t="s">
        <v>456</v>
      </c>
      <c r="V311" s="694">
        <v>1.0</v>
      </c>
      <c r="W311" s="67"/>
      <c r="X311" s="67"/>
      <c r="Y311" s="106"/>
      <c r="Z311" s="427"/>
      <c r="AA311" s="106"/>
      <c r="AB311" s="106"/>
      <c r="AC311" s="106"/>
      <c r="AD311" s="106"/>
    </row>
    <row r="312" ht="28.5" customHeight="1">
      <c r="A312" s="942">
        <v>177.0</v>
      </c>
      <c r="B312" s="1022">
        <v>45131.0</v>
      </c>
      <c r="C312" s="942">
        <v>1.700534754965E12</v>
      </c>
      <c r="D312" s="1038" t="s">
        <v>1789</v>
      </c>
      <c r="E312" s="944" t="s">
        <v>1790</v>
      </c>
      <c r="F312" s="424" t="s">
        <v>1788</v>
      </c>
      <c r="G312" s="816"/>
      <c r="H312" s="100"/>
      <c r="I312" s="1093"/>
      <c r="J312" s="1091"/>
      <c r="K312" s="1041"/>
      <c r="L312" s="1031"/>
      <c r="M312" s="1025"/>
      <c r="N312" s="1055"/>
      <c r="O312" s="53"/>
      <c r="P312" s="1084"/>
      <c r="Q312" s="1084"/>
      <c r="R312" s="1008"/>
      <c r="S312" s="1053"/>
      <c r="T312" s="1085"/>
      <c r="U312" s="429" t="s">
        <v>75</v>
      </c>
      <c r="V312" s="694">
        <v>1.0</v>
      </c>
      <c r="W312" s="942" t="s">
        <v>1706</v>
      </c>
      <c r="X312" s="974"/>
      <c r="Y312" s="106"/>
      <c r="Z312" s="427"/>
      <c r="AA312" s="106"/>
      <c r="AB312" s="106"/>
      <c r="AC312" s="106"/>
      <c r="AD312" s="106"/>
    </row>
    <row r="313" ht="28.5" customHeight="1">
      <c r="A313" s="62"/>
      <c r="B313" s="62"/>
      <c r="C313" s="62"/>
      <c r="D313" s="62"/>
      <c r="E313" s="62"/>
      <c r="F313" s="62"/>
      <c r="G313" s="62"/>
      <c r="H313" s="62"/>
      <c r="I313" s="423"/>
      <c r="J313" s="452"/>
      <c r="K313" s="62"/>
      <c r="L313" s="62"/>
      <c r="M313" s="62"/>
      <c r="N313" s="62"/>
      <c r="O313" s="62"/>
      <c r="P313" s="62"/>
      <c r="Q313" s="62"/>
      <c r="R313" s="62"/>
      <c r="S313" s="62"/>
      <c r="T313" s="62"/>
      <c r="U313" s="429" t="s">
        <v>457</v>
      </c>
      <c r="V313" s="694">
        <v>1.0</v>
      </c>
      <c r="W313" s="62"/>
      <c r="X313" s="62"/>
      <c r="Y313" s="106"/>
      <c r="Z313" s="427"/>
      <c r="AA313" s="106"/>
      <c r="AB313" s="106"/>
      <c r="AC313" s="106"/>
      <c r="AD313" s="106"/>
    </row>
    <row r="314" ht="28.5" customHeight="1">
      <c r="A314" s="67"/>
      <c r="B314" s="67"/>
      <c r="C314" s="67"/>
      <c r="D314" s="67"/>
      <c r="E314" s="67"/>
      <c r="F314" s="67"/>
      <c r="G314" s="67"/>
      <c r="H314" s="67"/>
      <c r="I314" s="102"/>
      <c r="J314" s="453"/>
      <c r="K314" s="67"/>
      <c r="L314" s="67"/>
      <c r="M314" s="67"/>
      <c r="N314" s="67"/>
      <c r="O314" s="67"/>
      <c r="P314" s="67"/>
      <c r="Q314" s="67"/>
      <c r="R314" s="67"/>
      <c r="S314" s="67"/>
      <c r="T314" s="67"/>
      <c r="U314" s="429" t="s">
        <v>456</v>
      </c>
      <c r="V314" s="694">
        <v>1.0</v>
      </c>
      <c r="W314" s="67"/>
      <c r="X314" s="67"/>
      <c r="Y314" s="106"/>
      <c r="Z314" s="427"/>
      <c r="AA314" s="106"/>
      <c r="AB314" s="106"/>
      <c r="AC314" s="106"/>
      <c r="AD314" s="106"/>
    </row>
    <row r="315" ht="28.5" customHeight="1">
      <c r="A315" s="942">
        <v>178.0</v>
      </c>
      <c r="B315" s="1022">
        <v>45131.0</v>
      </c>
      <c r="C315" s="942">
        <v>1.700617272711E12</v>
      </c>
      <c r="D315" s="1038" t="s">
        <v>1791</v>
      </c>
      <c r="E315" s="944" t="s">
        <v>1792</v>
      </c>
      <c r="F315" s="424" t="s">
        <v>1793</v>
      </c>
      <c r="G315" s="816"/>
      <c r="H315" s="100"/>
      <c r="I315" s="1093"/>
      <c r="J315" s="1089"/>
      <c r="K315" s="1100"/>
      <c r="L315" s="1031"/>
      <c r="M315" s="1025"/>
      <c r="N315" s="1055"/>
      <c r="O315" s="53"/>
      <c r="P315" s="1084"/>
      <c r="Q315" s="1084"/>
      <c r="R315" s="1008"/>
      <c r="S315" s="1053"/>
      <c r="T315" s="1085"/>
      <c r="U315" s="429" t="s">
        <v>75</v>
      </c>
      <c r="V315" s="694">
        <v>1.0</v>
      </c>
      <c r="W315" s="942" t="s">
        <v>1706</v>
      </c>
      <c r="X315" s="974"/>
      <c r="Y315" s="106"/>
      <c r="Z315" s="427"/>
      <c r="AA315" s="106"/>
      <c r="AB315" s="106"/>
      <c r="AC315" s="106"/>
      <c r="AD315" s="106"/>
    </row>
    <row r="316" ht="28.5" customHeight="1">
      <c r="A316" s="62"/>
      <c r="B316" s="62"/>
      <c r="C316" s="62"/>
      <c r="D316" s="62"/>
      <c r="E316" s="62"/>
      <c r="F316" s="62"/>
      <c r="G316" s="62"/>
      <c r="H316" s="62"/>
      <c r="I316" s="423"/>
      <c r="J316" s="62"/>
      <c r="K316" s="423"/>
      <c r="L316" s="62"/>
      <c r="M316" s="62"/>
      <c r="N316" s="62"/>
      <c r="O316" s="62"/>
      <c r="P316" s="62"/>
      <c r="Q316" s="62"/>
      <c r="R316" s="62"/>
      <c r="S316" s="62"/>
      <c r="T316" s="62"/>
      <c r="U316" s="429" t="s">
        <v>457</v>
      </c>
      <c r="V316" s="694">
        <v>1.0</v>
      </c>
      <c r="W316" s="62"/>
      <c r="X316" s="62"/>
      <c r="Y316" s="106"/>
      <c r="Z316" s="427"/>
      <c r="AA316" s="106"/>
      <c r="AB316" s="106"/>
      <c r="AC316" s="106"/>
      <c r="AD316" s="106"/>
    </row>
    <row r="317" ht="28.5" customHeight="1">
      <c r="A317" s="67"/>
      <c r="B317" s="67"/>
      <c r="C317" s="67"/>
      <c r="D317" s="67"/>
      <c r="E317" s="67"/>
      <c r="F317" s="67"/>
      <c r="G317" s="67"/>
      <c r="H317" s="67"/>
      <c r="I317" s="102"/>
      <c r="J317" s="67"/>
      <c r="K317" s="102"/>
      <c r="L317" s="67"/>
      <c r="M317" s="67"/>
      <c r="N317" s="67"/>
      <c r="O317" s="67"/>
      <c r="P317" s="67"/>
      <c r="Q317" s="67"/>
      <c r="R317" s="67"/>
      <c r="S317" s="67"/>
      <c r="T317" s="67"/>
      <c r="U317" s="429" t="s">
        <v>456</v>
      </c>
      <c r="V317" s="694">
        <v>1.0</v>
      </c>
      <c r="W317" s="67"/>
      <c r="X317" s="67"/>
      <c r="Y317" s="106"/>
      <c r="Z317" s="427"/>
      <c r="AA317" s="106"/>
      <c r="AB317" s="106"/>
      <c r="AC317" s="106"/>
      <c r="AD317" s="106"/>
    </row>
    <row r="318" ht="28.5" customHeight="1">
      <c r="A318" s="942">
        <v>179.0</v>
      </c>
      <c r="B318" s="1022">
        <v>45131.0</v>
      </c>
      <c r="C318" s="942">
        <v>1.700672093769E12</v>
      </c>
      <c r="D318" s="1038" t="s">
        <v>1794</v>
      </c>
      <c r="E318" s="944" t="s">
        <v>1795</v>
      </c>
      <c r="F318" s="1038" t="s">
        <v>1796</v>
      </c>
      <c r="G318" s="1038"/>
      <c r="H318" s="100"/>
      <c r="I318" s="1093"/>
      <c r="J318" s="1089"/>
      <c r="K318" s="1041"/>
      <c r="L318" s="1031"/>
      <c r="M318" s="1025"/>
      <c r="N318" s="1055"/>
      <c r="O318" s="53"/>
      <c r="P318" s="1084"/>
      <c r="Q318" s="1084"/>
      <c r="R318" s="1008"/>
      <c r="S318" s="1053"/>
      <c r="T318" s="1085"/>
      <c r="U318" s="429" t="s">
        <v>75</v>
      </c>
      <c r="V318" s="694">
        <v>1.0</v>
      </c>
      <c r="W318" s="942" t="s">
        <v>1706</v>
      </c>
      <c r="X318" s="974"/>
      <c r="Y318" s="106"/>
      <c r="Z318" s="427"/>
      <c r="AA318" s="106"/>
      <c r="AB318" s="106"/>
      <c r="AC318" s="106"/>
      <c r="AD318" s="106"/>
    </row>
    <row r="319" ht="28.5" customHeight="1">
      <c r="A319" s="62"/>
      <c r="B319" s="62"/>
      <c r="C319" s="62"/>
      <c r="D319" s="62"/>
      <c r="E319" s="62"/>
      <c r="F319" s="62"/>
      <c r="G319" s="62"/>
      <c r="H319" s="62"/>
      <c r="I319" s="423"/>
      <c r="J319" s="62"/>
      <c r="K319" s="62"/>
      <c r="L319" s="62"/>
      <c r="M319" s="62"/>
      <c r="N319" s="62"/>
      <c r="O319" s="62"/>
      <c r="P319" s="62"/>
      <c r="Q319" s="62"/>
      <c r="R319" s="62"/>
      <c r="S319" s="62"/>
      <c r="T319" s="62"/>
      <c r="U319" s="429" t="s">
        <v>457</v>
      </c>
      <c r="V319" s="694">
        <v>1.0</v>
      </c>
      <c r="W319" s="62"/>
      <c r="X319" s="62"/>
      <c r="Y319" s="106"/>
      <c r="Z319" s="427"/>
      <c r="AA319" s="106"/>
      <c r="AB319" s="106"/>
      <c r="AC319" s="106"/>
      <c r="AD319" s="106"/>
    </row>
    <row r="320" ht="28.5" customHeight="1">
      <c r="A320" s="67"/>
      <c r="B320" s="67"/>
      <c r="C320" s="67"/>
      <c r="D320" s="67"/>
      <c r="E320" s="67"/>
      <c r="F320" s="67"/>
      <c r="G320" s="67"/>
      <c r="H320" s="67"/>
      <c r="I320" s="102"/>
      <c r="J320" s="67"/>
      <c r="K320" s="67"/>
      <c r="L320" s="67"/>
      <c r="M320" s="67"/>
      <c r="N320" s="67"/>
      <c r="O320" s="67"/>
      <c r="P320" s="67"/>
      <c r="Q320" s="67"/>
      <c r="R320" s="67"/>
      <c r="S320" s="67"/>
      <c r="T320" s="67"/>
      <c r="U320" s="429" t="s">
        <v>456</v>
      </c>
      <c r="V320" s="694">
        <v>1.0</v>
      </c>
      <c r="W320" s="67"/>
      <c r="X320" s="67"/>
      <c r="Y320" s="106"/>
      <c r="Z320" s="427"/>
      <c r="AA320" s="106"/>
      <c r="AB320" s="106"/>
      <c r="AC320" s="106"/>
      <c r="AD320" s="106"/>
    </row>
    <row r="321" ht="28.5" customHeight="1">
      <c r="A321" s="942">
        <v>180.0</v>
      </c>
      <c r="B321" s="1022">
        <v>45131.0</v>
      </c>
      <c r="C321" s="942">
        <v>1.714413298233E12</v>
      </c>
      <c r="D321" s="1038" t="s">
        <v>1797</v>
      </c>
      <c r="E321" s="944" t="s">
        <v>1798</v>
      </c>
      <c r="F321" s="1038" t="s">
        <v>1799</v>
      </c>
      <c r="G321" s="816"/>
      <c r="H321" s="100"/>
      <c r="I321" s="1101"/>
      <c r="J321" s="1102"/>
      <c r="K321" s="1041"/>
      <c r="L321" s="1031"/>
      <c r="M321" s="1025"/>
      <c r="N321" s="1055"/>
      <c r="O321" s="53"/>
      <c r="P321" s="1084"/>
      <c r="Q321" s="1084"/>
      <c r="R321" s="1008"/>
      <c r="S321" s="1053"/>
      <c r="T321" s="1085"/>
      <c r="U321" s="429" t="s">
        <v>75</v>
      </c>
      <c r="V321" s="694">
        <v>1.0</v>
      </c>
      <c r="W321" s="942" t="s">
        <v>1706</v>
      </c>
      <c r="X321" s="974"/>
      <c r="Y321" s="106"/>
      <c r="Z321" s="427"/>
      <c r="AA321" s="106"/>
      <c r="AB321" s="106"/>
      <c r="AC321" s="106"/>
      <c r="AD321" s="106"/>
    </row>
    <row r="322" ht="28.5" customHeight="1">
      <c r="A322" s="62"/>
      <c r="B322" s="62"/>
      <c r="C322" s="62"/>
      <c r="D322" s="62"/>
      <c r="E322" s="62"/>
      <c r="F322" s="62"/>
      <c r="G322" s="62"/>
      <c r="H322" s="62"/>
      <c r="I322" s="62"/>
      <c r="J322" s="62"/>
      <c r="K322" s="62"/>
      <c r="L322" s="62"/>
      <c r="M322" s="62"/>
      <c r="N322" s="62"/>
      <c r="O322" s="62"/>
      <c r="P322" s="62"/>
      <c r="Q322" s="62"/>
      <c r="R322" s="62"/>
      <c r="S322" s="62"/>
      <c r="T322" s="62"/>
      <c r="U322" s="429" t="s">
        <v>457</v>
      </c>
      <c r="V322" s="694">
        <v>1.0</v>
      </c>
      <c r="W322" s="62"/>
      <c r="X322" s="62"/>
      <c r="Y322" s="106"/>
      <c r="Z322" s="427"/>
      <c r="AA322" s="106"/>
      <c r="AB322" s="106"/>
      <c r="AC322" s="106"/>
      <c r="AD322" s="106"/>
    </row>
    <row r="323" ht="28.5" customHeight="1">
      <c r="A323" s="67"/>
      <c r="B323" s="67"/>
      <c r="C323" s="67"/>
      <c r="D323" s="67"/>
      <c r="E323" s="67"/>
      <c r="F323" s="67"/>
      <c r="G323" s="67"/>
      <c r="H323" s="67"/>
      <c r="I323" s="67"/>
      <c r="J323" s="67"/>
      <c r="K323" s="67"/>
      <c r="L323" s="67"/>
      <c r="M323" s="67"/>
      <c r="N323" s="67"/>
      <c r="O323" s="67"/>
      <c r="P323" s="67"/>
      <c r="Q323" s="67"/>
      <c r="R323" s="67"/>
      <c r="S323" s="67"/>
      <c r="T323" s="67"/>
      <c r="U323" s="429" t="s">
        <v>456</v>
      </c>
      <c r="V323" s="694">
        <v>1.0</v>
      </c>
      <c r="W323" s="67"/>
      <c r="X323" s="67"/>
      <c r="Y323" s="106"/>
      <c r="Z323" s="427"/>
      <c r="AA323" s="106"/>
      <c r="AB323" s="106"/>
      <c r="AC323" s="106"/>
      <c r="AD323" s="106"/>
    </row>
    <row r="324" ht="28.5" customHeight="1">
      <c r="A324" s="942">
        <v>181.0</v>
      </c>
      <c r="B324" s="1022">
        <v>45132.0</v>
      </c>
      <c r="C324" s="942">
        <v>1.700850304205E12</v>
      </c>
      <c r="D324" s="1038" t="s">
        <v>1800</v>
      </c>
      <c r="E324" s="944" t="s">
        <v>1801</v>
      </c>
      <c r="F324" s="424" t="s">
        <v>1802</v>
      </c>
      <c r="G324" s="816"/>
      <c r="H324" s="100"/>
      <c r="I324" s="1101"/>
      <c r="J324" s="1102"/>
      <c r="K324" s="1041"/>
      <c r="L324" s="1031"/>
      <c r="M324" s="1025"/>
      <c r="N324" s="1055"/>
      <c r="O324" s="53"/>
      <c r="P324" s="1084"/>
      <c r="Q324" s="1084"/>
      <c r="R324" s="1008"/>
      <c r="S324" s="1053"/>
      <c r="T324" s="1085"/>
      <c r="U324" s="429" t="s">
        <v>75</v>
      </c>
      <c r="V324" s="694">
        <v>1.0</v>
      </c>
      <c r="W324" s="942" t="s">
        <v>1706</v>
      </c>
      <c r="X324" s="974"/>
      <c r="Y324" s="106"/>
      <c r="Z324" s="427"/>
      <c r="AA324" s="106"/>
      <c r="AB324" s="106"/>
      <c r="AC324" s="106"/>
      <c r="AD324" s="106"/>
    </row>
    <row r="325" ht="28.5" customHeight="1">
      <c r="A325" s="62"/>
      <c r="B325" s="62"/>
      <c r="C325" s="62"/>
      <c r="D325" s="62"/>
      <c r="E325" s="62"/>
      <c r="F325" s="62"/>
      <c r="G325" s="62"/>
      <c r="H325" s="62"/>
      <c r="I325" s="62"/>
      <c r="J325" s="62"/>
      <c r="K325" s="62"/>
      <c r="L325" s="62"/>
      <c r="M325" s="62"/>
      <c r="N325" s="62"/>
      <c r="O325" s="62"/>
      <c r="P325" s="62"/>
      <c r="Q325" s="62"/>
      <c r="R325" s="62"/>
      <c r="S325" s="62"/>
      <c r="T325" s="62"/>
      <c r="U325" s="429" t="s">
        <v>457</v>
      </c>
      <c r="V325" s="694">
        <v>1.0</v>
      </c>
      <c r="W325" s="62"/>
      <c r="X325" s="62"/>
      <c r="Y325" s="106"/>
      <c r="Z325" s="427"/>
      <c r="AA325" s="106"/>
      <c r="AB325" s="106"/>
      <c r="AC325" s="106"/>
      <c r="AD325" s="106"/>
    </row>
    <row r="326" ht="28.5" customHeight="1">
      <c r="A326" s="67"/>
      <c r="B326" s="67"/>
      <c r="C326" s="67"/>
      <c r="D326" s="67"/>
      <c r="E326" s="67"/>
      <c r="F326" s="67"/>
      <c r="G326" s="67"/>
      <c r="H326" s="67"/>
      <c r="I326" s="67"/>
      <c r="J326" s="67"/>
      <c r="K326" s="67"/>
      <c r="L326" s="67"/>
      <c r="M326" s="67"/>
      <c r="N326" s="67"/>
      <c r="O326" s="67"/>
      <c r="P326" s="67"/>
      <c r="Q326" s="67"/>
      <c r="R326" s="67"/>
      <c r="S326" s="67"/>
      <c r="T326" s="67"/>
      <c r="U326" s="429" t="s">
        <v>456</v>
      </c>
      <c r="V326" s="694">
        <v>1.0</v>
      </c>
      <c r="W326" s="67"/>
      <c r="X326" s="67"/>
      <c r="Y326" s="106"/>
      <c r="Z326" s="427"/>
      <c r="AA326" s="106"/>
      <c r="AB326" s="106"/>
      <c r="AC326" s="106"/>
      <c r="AD326" s="106"/>
    </row>
    <row r="327" ht="28.5" customHeight="1">
      <c r="A327" s="942">
        <v>182.0</v>
      </c>
      <c r="B327" s="1022">
        <v>45132.0</v>
      </c>
      <c r="C327" s="942">
        <v>1.700952957518E12</v>
      </c>
      <c r="D327" s="1038" t="s">
        <v>1803</v>
      </c>
      <c r="E327" s="944" t="s">
        <v>1804</v>
      </c>
      <c r="F327" s="424" t="s">
        <v>1805</v>
      </c>
      <c r="G327" s="816"/>
      <c r="H327" s="100"/>
      <c r="I327" s="1101"/>
      <c r="J327" s="1102"/>
      <c r="K327" s="1041"/>
      <c r="L327" s="1031"/>
      <c r="M327" s="1025"/>
      <c r="N327" s="1055"/>
      <c r="O327" s="53"/>
      <c r="P327" s="1084"/>
      <c r="Q327" s="1084"/>
      <c r="R327" s="1008"/>
      <c r="S327" s="1053"/>
      <c r="T327" s="1085"/>
      <c r="U327" s="429" t="s">
        <v>75</v>
      </c>
      <c r="V327" s="694">
        <v>1.0</v>
      </c>
      <c r="W327" s="942" t="s">
        <v>1706</v>
      </c>
      <c r="X327" s="974"/>
      <c r="Y327" s="106"/>
      <c r="Z327" s="427"/>
      <c r="AA327" s="106"/>
      <c r="AB327" s="106"/>
      <c r="AC327" s="106"/>
      <c r="AD327" s="106"/>
    </row>
    <row r="328" ht="28.5" customHeight="1">
      <c r="A328" s="62"/>
      <c r="B328" s="62"/>
      <c r="C328" s="62"/>
      <c r="D328" s="62"/>
      <c r="E328" s="62"/>
      <c r="F328" s="62"/>
      <c r="G328" s="62"/>
      <c r="H328" s="62"/>
      <c r="I328" s="62"/>
      <c r="J328" s="62"/>
      <c r="K328" s="62"/>
      <c r="L328" s="62"/>
      <c r="M328" s="62"/>
      <c r="N328" s="62"/>
      <c r="O328" s="62"/>
      <c r="P328" s="62"/>
      <c r="Q328" s="62"/>
      <c r="R328" s="62"/>
      <c r="S328" s="62"/>
      <c r="T328" s="62"/>
      <c r="U328" s="429" t="s">
        <v>457</v>
      </c>
      <c r="V328" s="694">
        <v>1.0</v>
      </c>
      <c r="W328" s="62"/>
      <c r="X328" s="62"/>
      <c r="Y328" s="106"/>
      <c r="Z328" s="427"/>
      <c r="AA328" s="106"/>
      <c r="AB328" s="106"/>
      <c r="AC328" s="106"/>
      <c r="AD328" s="106"/>
    </row>
    <row r="329" ht="28.5" customHeight="1">
      <c r="A329" s="67"/>
      <c r="B329" s="67"/>
      <c r="C329" s="67"/>
      <c r="D329" s="67"/>
      <c r="E329" s="67"/>
      <c r="F329" s="67"/>
      <c r="G329" s="67"/>
      <c r="H329" s="67"/>
      <c r="I329" s="67"/>
      <c r="J329" s="67"/>
      <c r="K329" s="67"/>
      <c r="L329" s="67"/>
      <c r="M329" s="67"/>
      <c r="N329" s="67"/>
      <c r="O329" s="67"/>
      <c r="P329" s="67"/>
      <c r="Q329" s="67"/>
      <c r="R329" s="67"/>
      <c r="S329" s="67"/>
      <c r="T329" s="67"/>
      <c r="U329" s="429" t="s">
        <v>456</v>
      </c>
      <c r="V329" s="694">
        <v>1.0</v>
      </c>
      <c r="W329" s="67"/>
      <c r="X329" s="67"/>
      <c r="Y329" s="106"/>
      <c r="Z329" s="427"/>
      <c r="AA329" s="106"/>
      <c r="AB329" s="106"/>
      <c r="AC329" s="106"/>
      <c r="AD329" s="106"/>
    </row>
    <row r="330" ht="28.5" customHeight="1">
      <c r="A330" s="942">
        <v>183.0</v>
      </c>
      <c r="B330" s="1022">
        <v>45132.0</v>
      </c>
      <c r="C330" s="942">
        <v>1.701690978345E12</v>
      </c>
      <c r="D330" s="1038" t="s">
        <v>1806</v>
      </c>
      <c r="E330" s="944" t="s">
        <v>1807</v>
      </c>
      <c r="F330" s="424" t="s">
        <v>1808</v>
      </c>
      <c r="G330" s="816"/>
      <c r="H330" s="100"/>
      <c r="I330" s="1101"/>
      <c r="J330" s="1102"/>
      <c r="K330" s="1041"/>
      <c r="L330" s="1031"/>
      <c r="M330" s="1025"/>
      <c r="N330" s="1055"/>
      <c r="O330" s="53"/>
      <c r="P330" s="1084"/>
      <c r="Q330" s="1084"/>
      <c r="R330" s="1008"/>
      <c r="S330" s="1053"/>
      <c r="T330" s="1085"/>
      <c r="U330" s="429" t="s">
        <v>75</v>
      </c>
      <c r="V330" s="694">
        <v>1.0</v>
      </c>
      <c r="W330" s="942" t="s">
        <v>1706</v>
      </c>
      <c r="X330" s="974"/>
      <c r="Y330" s="106"/>
      <c r="Z330" s="427"/>
      <c r="AA330" s="106"/>
      <c r="AB330" s="106"/>
      <c r="AC330" s="106"/>
      <c r="AD330" s="106"/>
    </row>
    <row r="331" ht="28.5" customHeight="1">
      <c r="A331" s="62"/>
      <c r="B331" s="62"/>
      <c r="C331" s="62"/>
      <c r="D331" s="62"/>
      <c r="E331" s="62"/>
      <c r="F331" s="62"/>
      <c r="G331" s="62"/>
      <c r="H331" s="62"/>
      <c r="I331" s="62"/>
      <c r="J331" s="62"/>
      <c r="K331" s="62"/>
      <c r="L331" s="62"/>
      <c r="M331" s="62"/>
      <c r="N331" s="62"/>
      <c r="O331" s="62"/>
      <c r="P331" s="62"/>
      <c r="Q331" s="62"/>
      <c r="R331" s="62"/>
      <c r="S331" s="62"/>
      <c r="T331" s="62"/>
      <c r="U331" s="429" t="s">
        <v>457</v>
      </c>
      <c r="V331" s="694">
        <v>1.0</v>
      </c>
      <c r="W331" s="62"/>
      <c r="X331" s="62"/>
      <c r="Y331" s="106"/>
      <c r="Z331" s="427"/>
      <c r="AA331" s="106"/>
      <c r="AB331" s="106"/>
      <c r="AC331" s="106"/>
      <c r="AD331" s="106"/>
    </row>
    <row r="332" ht="28.5" customHeight="1">
      <c r="A332" s="67"/>
      <c r="B332" s="67"/>
      <c r="C332" s="67"/>
      <c r="D332" s="67"/>
      <c r="E332" s="67"/>
      <c r="F332" s="67"/>
      <c r="G332" s="67"/>
      <c r="H332" s="67"/>
      <c r="I332" s="67"/>
      <c r="J332" s="67"/>
      <c r="K332" s="67"/>
      <c r="L332" s="67"/>
      <c r="M332" s="67"/>
      <c r="N332" s="67"/>
      <c r="O332" s="67"/>
      <c r="P332" s="67"/>
      <c r="Q332" s="67"/>
      <c r="R332" s="67"/>
      <c r="S332" s="67"/>
      <c r="T332" s="67"/>
      <c r="U332" s="429" t="s">
        <v>456</v>
      </c>
      <c r="V332" s="694">
        <v>1.0</v>
      </c>
      <c r="W332" s="67"/>
      <c r="X332" s="67"/>
      <c r="Y332" s="106"/>
      <c r="Z332" s="427"/>
      <c r="AA332" s="106"/>
      <c r="AB332" s="106"/>
      <c r="AC332" s="106"/>
      <c r="AD332" s="106"/>
    </row>
    <row r="333" ht="28.5" customHeight="1">
      <c r="A333" s="942">
        <v>184.0</v>
      </c>
      <c r="B333" s="1022">
        <v>45132.0</v>
      </c>
      <c r="C333" s="942">
        <v>1.702540729089E12</v>
      </c>
      <c r="D333" s="1038" t="s">
        <v>1809</v>
      </c>
      <c r="E333" s="944" t="s">
        <v>997</v>
      </c>
      <c r="F333" s="1038" t="s">
        <v>1810</v>
      </c>
      <c r="G333" s="816"/>
      <c r="H333" s="100"/>
      <c r="I333" s="1101"/>
      <c r="J333" s="1102"/>
      <c r="K333" s="1041"/>
      <c r="L333" s="1031"/>
      <c r="M333" s="1025"/>
      <c r="N333" s="1055"/>
      <c r="O333" s="53"/>
      <c r="P333" s="1084"/>
      <c r="Q333" s="1084"/>
      <c r="R333" s="1008"/>
      <c r="S333" s="1053"/>
      <c r="T333" s="1085"/>
      <c r="U333" s="429" t="s">
        <v>75</v>
      </c>
      <c r="V333" s="694">
        <v>1.0</v>
      </c>
      <c r="W333" s="942" t="s">
        <v>1706</v>
      </c>
      <c r="X333" s="974"/>
      <c r="Y333" s="106"/>
      <c r="Z333" s="427"/>
      <c r="AA333" s="106"/>
      <c r="AB333" s="106"/>
      <c r="AC333" s="106"/>
      <c r="AD333" s="106"/>
    </row>
    <row r="334" ht="28.5" customHeight="1">
      <c r="A334" s="62"/>
      <c r="B334" s="62"/>
      <c r="C334" s="62"/>
      <c r="D334" s="62"/>
      <c r="E334" s="62"/>
      <c r="F334" s="62"/>
      <c r="G334" s="62"/>
      <c r="H334" s="62"/>
      <c r="I334" s="62"/>
      <c r="J334" s="62"/>
      <c r="K334" s="62"/>
      <c r="L334" s="62"/>
      <c r="M334" s="62"/>
      <c r="N334" s="62"/>
      <c r="O334" s="62"/>
      <c r="P334" s="62"/>
      <c r="Q334" s="62"/>
      <c r="R334" s="62"/>
      <c r="S334" s="62"/>
      <c r="T334" s="62"/>
      <c r="U334" s="429" t="s">
        <v>457</v>
      </c>
      <c r="V334" s="694">
        <v>1.0</v>
      </c>
      <c r="W334" s="62"/>
      <c r="X334" s="62"/>
      <c r="Y334" s="106"/>
      <c r="Z334" s="427"/>
      <c r="AA334" s="106"/>
      <c r="AB334" s="106"/>
      <c r="AC334" s="106"/>
      <c r="AD334" s="106"/>
    </row>
    <row r="335" ht="28.5" customHeight="1">
      <c r="A335" s="67"/>
      <c r="B335" s="67"/>
      <c r="C335" s="67"/>
      <c r="D335" s="67"/>
      <c r="E335" s="67"/>
      <c r="F335" s="67"/>
      <c r="G335" s="67"/>
      <c r="H335" s="67"/>
      <c r="I335" s="67"/>
      <c r="J335" s="67"/>
      <c r="K335" s="67"/>
      <c r="L335" s="67"/>
      <c r="M335" s="67"/>
      <c r="N335" s="67"/>
      <c r="O335" s="67"/>
      <c r="P335" s="67"/>
      <c r="Q335" s="67"/>
      <c r="R335" s="67"/>
      <c r="S335" s="67"/>
      <c r="T335" s="67"/>
      <c r="U335" s="429" t="s">
        <v>456</v>
      </c>
      <c r="V335" s="694">
        <v>1.0</v>
      </c>
      <c r="W335" s="67"/>
      <c r="X335" s="67"/>
      <c r="Y335" s="106"/>
      <c r="Z335" s="427"/>
      <c r="AA335" s="106"/>
      <c r="AB335" s="106"/>
      <c r="AC335" s="106"/>
      <c r="AD335" s="106"/>
    </row>
    <row r="336" ht="28.5" customHeight="1">
      <c r="A336" s="942">
        <v>185.0</v>
      </c>
      <c r="B336" s="1022">
        <v>45132.0</v>
      </c>
      <c r="C336" s="942">
        <v>1.702037481674E12</v>
      </c>
      <c r="D336" s="1038" t="s">
        <v>1811</v>
      </c>
      <c r="E336" s="944" t="s">
        <v>1812</v>
      </c>
      <c r="F336" s="424" t="s">
        <v>1813</v>
      </c>
      <c r="G336" s="816"/>
      <c r="H336" s="100"/>
      <c r="I336" s="1101"/>
      <c r="J336" s="1102"/>
      <c r="K336" s="1041"/>
      <c r="L336" s="1031"/>
      <c r="M336" s="1025"/>
      <c r="N336" s="1055"/>
      <c r="O336" s="53"/>
      <c r="P336" s="1084"/>
      <c r="Q336" s="1084"/>
      <c r="R336" s="1008"/>
      <c r="S336" s="1053"/>
      <c r="T336" s="1085"/>
      <c r="U336" s="429" t="s">
        <v>75</v>
      </c>
      <c r="V336" s="694">
        <v>1.0</v>
      </c>
      <c r="W336" s="942" t="s">
        <v>1706</v>
      </c>
      <c r="X336" s="974"/>
      <c r="Y336" s="106"/>
      <c r="Z336" s="427"/>
      <c r="AA336" s="106"/>
      <c r="AB336" s="106"/>
      <c r="AC336" s="106"/>
      <c r="AD336" s="106"/>
    </row>
    <row r="337" ht="28.5" customHeight="1">
      <c r="A337" s="62"/>
      <c r="B337" s="62"/>
      <c r="C337" s="62"/>
      <c r="D337" s="62"/>
      <c r="E337" s="62"/>
      <c r="F337" s="62"/>
      <c r="G337" s="62"/>
      <c r="H337" s="62"/>
      <c r="I337" s="62"/>
      <c r="J337" s="62"/>
      <c r="K337" s="62"/>
      <c r="L337" s="62"/>
      <c r="M337" s="62"/>
      <c r="N337" s="62"/>
      <c r="O337" s="62"/>
      <c r="P337" s="62"/>
      <c r="Q337" s="62"/>
      <c r="R337" s="62"/>
      <c r="S337" s="62"/>
      <c r="T337" s="62"/>
      <c r="U337" s="429" t="s">
        <v>457</v>
      </c>
      <c r="V337" s="694">
        <v>1.0</v>
      </c>
      <c r="W337" s="62"/>
      <c r="X337" s="62"/>
      <c r="Y337" s="106"/>
      <c r="Z337" s="427"/>
      <c r="AA337" s="106"/>
      <c r="AB337" s="106"/>
      <c r="AC337" s="106"/>
      <c r="AD337" s="106"/>
    </row>
    <row r="338" ht="28.5" customHeight="1">
      <c r="A338" s="67"/>
      <c r="B338" s="67"/>
      <c r="C338" s="67"/>
      <c r="D338" s="67"/>
      <c r="E338" s="67"/>
      <c r="F338" s="67"/>
      <c r="G338" s="67"/>
      <c r="H338" s="67"/>
      <c r="I338" s="67"/>
      <c r="J338" s="67"/>
      <c r="K338" s="67"/>
      <c r="L338" s="67"/>
      <c r="M338" s="67"/>
      <c r="N338" s="67"/>
      <c r="O338" s="67"/>
      <c r="P338" s="67"/>
      <c r="Q338" s="67"/>
      <c r="R338" s="67"/>
      <c r="S338" s="67"/>
      <c r="T338" s="67"/>
      <c r="U338" s="429" t="s">
        <v>456</v>
      </c>
      <c r="V338" s="694">
        <v>1.0</v>
      </c>
      <c r="W338" s="67"/>
      <c r="X338" s="67"/>
      <c r="Y338" s="106"/>
      <c r="Z338" s="427"/>
      <c r="AA338" s="106"/>
      <c r="AB338" s="106"/>
      <c r="AC338" s="106"/>
      <c r="AD338" s="106"/>
    </row>
    <row r="339" ht="28.5" customHeight="1">
      <c r="A339" s="942">
        <v>186.0</v>
      </c>
      <c r="B339" s="1022">
        <v>45132.0</v>
      </c>
      <c r="C339" s="942">
        <v>1.702037481674E12</v>
      </c>
      <c r="D339" s="1038" t="s">
        <v>1814</v>
      </c>
      <c r="E339" s="944" t="s">
        <v>1815</v>
      </c>
      <c r="F339" s="1038" t="s">
        <v>1816</v>
      </c>
      <c r="G339" s="816"/>
      <c r="H339" s="100"/>
      <c r="I339" s="1101"/>
      <c r="J339" s="1102"/>
      <c r="K339" s="1041"/>
      <c r="L339" s="1031"/>
      <c r="M339" s="1025"/>
      <c r="N339" s="1055"/>
      <c r="O339" s="53"/>
      <c r="P339" s="1084"/>
      <c r="Q339" s="1084"/>
      <c r="R339" s="1008"/>
      <c r="S339" s="1053"/>
      <c r="T339" s="1085"/>
      <c r="U339" s="429" t="s">
        <v>75</v>
      </c>
      <c r="V339" s="694">
        <v>1.0</v>
      </c>
      <c r="W339" s="942" t="s">
        <v>1706</v>
      </c>
      <c r="X339" s="974"/>
      <c r="Y339" s="106"/>
      <c r="Z339" s="427"/>
      <c r="AA339" s="106"/>
      <c r="AB339" s="106"/>
      <c r="AC339" s="106"/>
      <c r="AD339" s="106"/>
    </row>
    <row r="340" ht="28.5" customHeight="1">
      <c r="A340" s="62"/>
      <c r="B340" s="62"/>
      <c r="C340" s="62"/>
      <c r="D340" s="62"/>
      <c r="E340" s="62"/>
      <c r="F340" s="62"/>
      <c r="G340" s="62"/>
      <c r="H340" s="62"/>
      <c r="I340" s="62"/>
      <c r="J340" s="62"/>
      <c r="K340" s="62"/>
      <c r="L340" s="62"/>
      <c r="M340" s="62"/>
      <c r="N340" s="62"/>
      <c r="O340" s="62"/>
      <c r="P340" s="62"/>
      <c r="Q340" s="62"/>
      <c r="R340" s="62"/>
      <c r="S340" s="62"/>
      <c r="T340" s="62"/>
      <c r="U340" s="429" t="s">
        <v>457</v>
      </c>
      <c r="V340" s="694">
        <v>1.0</v>
      </c>
      <c r="W340" s="62"/>
      <c r="X340" s="62"/>
      <c r="Y340" s="106"/>
      <c r="Z340" s="427"/>
      <c r="AA340" s="106"/>
      <c r="AB340" s="106"/>
      <c r="AC340" s="106"/>
      <c r="AD340" s="106"/>
    </row>
    <row r="341" ht="28.5" customHeight="1">
      <c r="A341" s="67"/>
      <c r="B341" s="67"/>
      <c r="C341" s="67"/>
      <c r="D341" s="67"/>
      <c r="E341" s="67"/>
      <c r="F341" s="67"/>
      <c r="G341" s="67"/>
      <c r="H341" s="67"/>
      <c r="I341" s="67"/>
      <c r="J341" s="67"/>
      <c r="K341" s="67"/>
      <c r="L341" s="67"/>
      <c r="M341" s="67"/>
      <c r="N341" s="67"/>
      <c r="O341" s="67"/>
      <c r="P341" s="67"/>
      <c r="Q341" s="67"/>
      <c r="R341" s="67"/>
      <c r="S341" s="67"/>
      <c r="T341" s="67"/>
      <c r="U341" s="429" t="s">
        <v>456</v>
      </c>
      <c r="V341" s="694">
        <v>1.0</v>
      </c>
      <c r="W341" s="67"/>
      <c r="X341" s="67"/>
      <c r="Y341" s="106"/>
      <c r="Z341" s="427"/>
      <c r="AA341" s="106"/>
      <c r="AB341" s="106"/>
      <c r="AC341" s="106"/>
      <c r="AD341" s="106"/>
    </row>
    <row r="342" ht="28.5" customHeight="1">
      <c r="A342" s="942">
        <v>187.0</v>
      </c>
      <c r="B342" s="1022">
        <v>45132.0</v>
      </c>
      <c r="C342" s="942">
        <v>1.702134349081E12</v>
      </c>
      <c r="D342" s="1038" t="s">
        <v>1817</v>
      </c>
      <c r="E342" s="944" t="s">
        <v>1818</v>
      </c>
      <c r="F342" s="1038" t="s">
        <v>1819</v>
      </c>
      <c r="G342" s="816"/>
      <c r="H342" s="100"/>
      <c r="I342" s="1101"/>
      <c r="J342" s="1089"/>
      <c r="K342" s="1041"/>
      <c r="L342" s="1031"/>
      <c r="M342" s="1025"/>
      <c r="N342" s="1055"/>
      <c r="O342" s="53"/>
      <c r="P342" s="1084"/>
      <c r="Q342" s="1084"/>
      <c r="R342" s="1008"/>
      <c r="S342" s="1053"/>
      <c r="T342" s="1085"/>
      <c r="U342" s="429" t="s">
        <v>75</v>
      </c>
      <c r="V342" s="694">
        <v>1.0</v>
      </c>
      <c r="W342" s="942" t="s">
        <v>1706</v>
      </c>
      <c r="X342" s="974"/>
      <c r="Y342" s="106"/>
      <c r="Z342" s="427"/>
      <c r="AA342" s="106"/>
      <c r="AB342" s="106"/>
      <c r="AC342" s="106"/>
      <c r="AD342" s="106"/>
    </row>
    <row r="343" ht="28.5" customHeight="1">
      <c r="A343" s="62"/>
      <c r="B343" s="62"/>
      <c r="C343" s="62"/>
      <c r="D343" s="62"/>
      <c r="E343" s="62"/>
      <c r="F343" s="62"/>
      <c r="G343" s="62"/>
      <c r="H343" s="62"/>
      <c r="I343" s="62"/>
      <c r="J343" s="62"/>
      <c r="K343" s="62"/>
      <c r="L343" s="62"/>
      <c r="M343" s="62"/>
      <c r="N343" s="62"/>
      <c r="O343" s="62"/>
      <c r="P343" s="62"/>
      <c r="Q343" s="62"/>
      <c r="R343" s="62"/>
      <c r="S343" s="62"/>
      <c r="T343" s="62"/>
      <c r="U343" s="429" t="s">
        <v>457</v>
      </c>
      <c r="V343" s="694">
        <v>1.0</v>
      </c>
      <c r="W343" s="62"/>
      <c r="X343" s="62"/>
      <c r="Y343" s="106"/>
      <c r="Z343" s="427"/>
      <c r="AA343" s="106"/>
      <c r="AB343" s="106"/>
      <c r="AC343" s="106"/>
      <c r="AD343" s="106"/>
    </row>
    <row r="344" ht="28.5" customHeight="1">
      <c r="A344" s="67"/>
      <c r="B344" s="67"/>
      <c r="C344" s="67"/>
      <c r="D344" s="67"/>
      <c r="E344" s="67"/>
      <c r="F344" s="67"/>
      <c r="G344" s="67"/>
      <c r="H344" s="67"/>
      <c r="I344" s="67"/>
      <c r="J344" s="67"/>
      <c r="K344" s="67"/>
      <c r="L344" s="67"/>
      <c r="M344" s="67"/>
      <c r="N344" s="67"/>
      <c r="O344" s="67"/>
      <c r="P344" s="67"/>
      <c r="Q344" s="67"/>
      <c r="R344" s="67"/>
      <c r="S344" s="67"/>
      <c r="T344" s="67"/>
      <c r="U344" s="429" t="s">
        <v>456</v>
      </c>
      <c r="V344" s="694">
        <v>1.0</v>
      </c>
      <c r="W344" s="67"/>
      <c r="X344" s="67"/>
      <c r="Y344" s="106"/>
      <c r="Z344" s="427"/>
      <c r="AA344" s="106"/>
      <c r="AB344" s="106"/>
      <c r="AC344" s="106"/>
      <c r="AD344" s="106"/>
    </row>
    <row r="345" ht="28.5" customHeight="1">
      <c r="A345" s="942">
        <v>188.0</v>
      </c>
      <c r="B345" s="1022">
        <v>45132.0</v>
      </c>
      <c r="C345" s="942">
        <v>1.702608674036E12</v>
      </c>
      <c r="D345" s="1038" t="s">
        <v>1820</v>
      </c>
      <c r="E345" s="944" t="s">
        <v>1821</v>
      </c>
      <c r="F345" s="1038" t="s">
        <v>1822</v>
      </c>
      <c r="G345" s="816"/>
      <c r="H345" s="100"/>
      <c r="I345" s="1101"/>
      <c r="J345" s="1089"/>
      <c r="K345" s="1041"/>
      <c r="L345" s="1031"/>
      <c r="M345" s="1025"/>
      <c r="N345" s="1055"/>
      <c r="O345" s="53"/>
      <c r="P345" s="1084"/>
      <c r="Q345" s="1084"/>
      <c r="R345" s="1008"/>
      <c r="S345" s="1053"/>
      <c r="T345" s="1085"/>
      <c r="U345" s="429" t="s">
        <v>75</v>
      </c>
      <c r="V345" s="694">
        <v>1.0</v>
      </c>
      <c r="W345" s="942" t="s">
        <v>1706</v>
      </c>
      <c r="X345" s="974"/>
      <c r="Y345" s="106"/>
      <c r="Z345" s="427"/>
      <c r="AA345" s="106"/>
      <c r="AB345" s="106"/>
      <c r="AC345" s="106"/>
      <c r="AD345" s="106"/>
    </row>
    <row r="346" ht="28.5" customHeight="1">
      <c r="A346" s="62"/>
      <c r="B346" s="62"/>
      <c r="C346" s="62"/>
      <c r="D346" s="62"/>
      <c r="E346" s="62"/>
      <c r="F346" s="62"/>
      <c r="G346" s="62"/>
      <c r="H346" s="62"/>
      <c r="I346" s="62"/>
      <c r="J346" s="62"/>
      <c r="K346" s="62"/>
      <c r="L346" s="62"/>
      <c r="M346" s="62"/>
      <c r="N346" s="62"/>
      <c r="O346" s="62"/>
      <c r="P346" s="62"/>
      <c r="Q346" s="62"/>
      <c r="R346" s="62"/>
      <c r="S346" s="62"/>
      <c r="T346" s="62"/>
      <c r="U346" s="429" t="s">
        <v>457</v>
      </c>
      <c r="V346" s="694">
        <v>1.0</v>
      </c>
      <c r="W346" s="62"/>
      <c r="X346" s="62"/>
      <c r="Y346" s="106"/>
      <c r="Z346" s="427"/>
      <c r="AA346" s="106"/>
      <c r="AB346" s="106"/>
      <c r="AC346" s="106"/>
      <c r="AD346" s="106"/>
    </row>
    <row r="347" ht="28.5" customHeight="1">
      <c r="A347" s="67"/>
      <c r="B347" s="67"/>
      <c r="C347" s="67"/>
      <c r="D347" s="67"/>
      <c r="E347" s="67"/>
      <c r="F347" s="67"/>
      <c r="G347" s="67"/>
      <c r="H347" s="67"/>
      <c r="I347" s="67"/>
      <c r="J347" s="67"/>
      <c r="K347" s="67"/>
      <c r="L347" s="67"/>
      <c r="M347" s="67"/>
      <c r="N347" s="67"/>
      <c r="O347" s="67"/>
      <c r="P347" s="67"/>
      <c r="Q347" s="67"/>
      <c r="R347" s="67"/>
      <c r="S347" s="67"/>
      <c r="T347" s="67"/>
      <c r="U347" s="429" t="s">
        <v>456</v>
      </c>
      <c r="V347" s="694">
        <v>1.0</v>
      </c>
      <c r="W347" s="67"/>
      <c r="X347" s="67"/>
      <c r="Y347" s="106"/>
      <c r="Z347" s="427"/>
      <c r="AA347" s="106"/>
      <c r="AB347" s="106"/>
      <c r="AC347" s="106"/>
      <c r="AD347" s="106"/>
    </row>
    <row r="348" ht="28.5" customHeight="1">
      <c r="A348" s="942">
        <v>189.0</v>
      </c>
      <c r="B348" s="1022">
        <v>45132.0</v>
      </c>
      <c r="C348" s="942">
        <v>1.702608674036E12</v>
      </c>
      <c r="D348" s="1038" t="s">
        <v>1823</v>
      </c>
      <c r="E348" s="944" t="s">
        <v>1824</v>
      </c>
      <c r="F348" s="424" t="s">
        <v>1825</v>
      </c>
      <c r="G348" s="816"/>
      <c r="H348" s="39"/>
      <c r="I348" s="1101"/>
      <c r="J348" s="1089"/>
      <c r="K348" s="1041"/>
      <c r="L348" s="1031"/>
      <c r="M348" s="1025"/>
      <c r="N348" s="1055"/>
      <c r="O348" s="53"/>
      <c r="P348" s="1084"/>
      <c r="Q348" s="1084"/>
      <c r="R348" s="1008"/>
      <c r="S348" s="1053"/>
      <c r="T348" s="1085"/>
      <c r="U348" s="429" t="s">
        <v>75</v>
      </c>
      <c r="V348" s="694">
        <v>1.0</v>
      </c>
      <c r="W348" s="942" t="s">
        <v>1706</v>
      </c>
      <c r="X348" s="974"/>
      <c r="Y348" s="106"/>
      <c r="Z348" s="427"/>
      <c r="AA348" s="106"/>
      <c r="AB348" s="106"/>
      <c r="AC348" s="106"/>
      <c r="AD348" s="106"/>
    </row>
    <row r="349" ht="28.5" customHeight="1">
      <c r="A349" s="62"/>
      <c r="B349" s="62"/>
      <c r="C349" s="62"/>
      <c r="D349" s="62"/>
      <c r="E349" s="62"/>
      <c r="F349" s="62"/>
      <c r="G349" s="62"/>
      <c r="H349" s="62"/>
      <c r="I349" s="62"/>
      <c r="J349" s="62"/>
      <c r="K349" s="62"/>
      <c r="L349" s="62"/>
      <c r="M349" s="62"/>
      <c r="N349" s="62"/>
      <c r="O349" s="62"/>
      <c r="P349" s="62"/>
      <c r="Q349" s="62"/>
      <c r="R349" s="62"/>
      <c r="S349" s="62"/>
      <c r="T349" s="62"/>
      <c r="U349" s="429" t="s">
        <v>457</v>
      </c>
      <c r="V349" s="694">
        <v>1.0</v>
      </c>
      <c r="W349" s="62"/>
      <c r="X349" s="62"/>
      <c r="Y349" s="106"/>
      <c r="Z349" s="427"/>
      <c r="AA349" s="106"/>
      <c r="AB349" s="106"/>
      <c r="AC349" s="106"/>
      <c r="AD349" s="106"/>
    </row>
    <row r="350" ht="28.5" customHeight="1">
      <c r="A350" s="67"/>
      <c r="B350" s="67"/>
      <c r="C350" s="67"/>
      <c r="D350" s="67"/>
      <c r="E350" s="67"/>
      <c r="F350" s="67"/>
      <c r="G350" s="67"/>
      <c r="H350" s="67"/>
      <c r="I350" s="67"/>
      <c r="J350" s="67"/>
      <c r="K350" s="67"/>
      <c r="L350" s="67"/>
      <c r="M350" s="67"/>
      <c r="N350" s="67"/>
      <c r="O350" s="67"/>
      <c r="P350" s="67"/>
      <c r="Q350" s="67"/>
      <c r="R350" s="67"/>
      <c r="S350" s="67"/>
      <c r="T350" s="67"/>
      <c r="U350" s="429" t="s">
        <v>456</v>
      </c>
      <c r="V350" s="694">
        <v>1.0</v>
      </c>
      <c r="W350" s="67"/>
      <c r="X350" s="67"/>
      <c r="Y350" s="106"/>
      <c r="Z350" s="427"/>
      <c r="AA350" s="106"/>
      <c r="AB350" s="106"/>
      <c r="AC350" s="106"/>
      <c r="AD350" s="106"/>
    </row>
    <row r="351" ht="28.5" customHeight="1">
      <c r="A351" s="942">
        <v>190.0</v>
      </c>
      <c r="B351" s="1022">
        <v>45132.0</v>
      </c>
      <c r="C351" s="942">
        <v>1.724245733398E12</v>
      </c>
      <c r="D351" s="1038" t="s">
        <v>1826</v>
      </c>
      <c r="E351" s="944" t="s">
        <v>1827</v>
      </c>
      <c r="F351" s="424" t="s">
        <v>1828</v>
      </c>
      <c r="G351" s="126"/>
      <c r="H351" s="39"/>
      <c r="I351" s="1101"/>
      <c r="J351" s="1089"/>
      <c r="K351" s="1041"/>
      <c r="L351" s="1031"/>
      <c r="M351" s="1025"/>
      <c r="N351" s="1055"/>
      <c r="O351" s="53"/>
      <c r="P351" s="1084"/>
      <c r="Q351" s="1084"/>
      <c r="R351" s="1008"/>
      <c r="S351" s="1053"/>
      <c r="T351" s="1085"/>
      <c r="U351" s="429" t="s">
        <v>75</v>
      </c>
      <c r="V351" s="694">
        <v>1.0</v>
      </c>
      <c r="W351" s="942" t="s">
        <v>1706</v>
      </c>
      <c r="X351" s="974"/>
      <c r="Y351" s="106"/>
      <c r="Z351" s="427"/>
      <c r="AA351" s="106"/>
      <c r="AB351" s="106"/>
      <c r="AC351" s="106"/>
      <c r="AD351" s="106"/>
    </row>
    <row r="352" ht="28.5" customHeight="1">
      <c r="A352" s="62"/>
      <c r="B352" s="62"/>
      <c r="C352" s="62"/>
      <c r="D352" s="62"/>
      <c r="E352" s="62"/>
      <c r="F352" s="62"/>
      <c r="G352" s="62"/>
      <c r="H352" s="62"/>
      <c r="I352" s="62"/>
      <c r="J352" s="62"/>
      <c r="K352" s="62"/>
      <c r="L352" s="62"/>
      <c r="M352" s="62"/>
      <c r="N352" s="62"/>
      <c r="O352" s="62"/>
      <c r="P352" s="62"/>
      <c r="Q352" s="62"/>
      <c r="R352" s="62"/>
      <c r="S352" s="62"/>
      <c r="T352" s="62"/>
      <c r="U352" s="429" t="s">
        <v>457</v>
      </c>
      <c r="V352" s="694">
        <v>1.0</v>
      </c>
      <c r="W352" s="62"/>
      <c r="X352" s="62"/>
      <c r="Y352" s="106"/>
      <c r="Z352" s="427"/>
      <c r="AA352" s="106"/>
      <c r="AB352" s="106"/>
      <c r="AC352" s="106"/>
      <c r="AD352" s="106"/>
    </row>
    <row r="353" ht="28.5" customHeight="1">
      <c r="A353" s="67"/>
      <c r="B353" s="67"/>
      <c r="C353" s="67"/>
      <c r="D353" s="67"/>
      <c r="E353" s="67"/>
      <c r="F353" s="67"/>
      <c r="G353" s="67"/>
      <c r="H353" s="67"/>
      <c r="I353" s="67"/>
      <c r="J353" s="67"/>
      <c r="K353" s="67"/>
      <c r="L353" s="67"/>
      <c r="M353" s="67"/>
      <c r="N353" s="67"/>
      <c r="O353" s="67"/>
      <c r="P353" s="67"/>
      <c r="Q353" s="67"/>
      <c r="R353" s="67"/>
      <c r="S353" s="67"/>
      <c r="T353" s="67"/>
      <c r="U353" s="429" t="s">
        <v>456</v>
      </c>
      <c r="V353" s="694">
        <v>1.0</v>
      </c>
      <c r="W353" s="67"/>
      <c r="X353" s="67"/>
      <c r="Y353" s="106"/>
      <c r="Z353" s="427"/>
      <c r="AA353" s="106"/>
      <c r="AB353" s="106"/>
      <c r="AC353" s="106"/>
      <c r="AD353" s="106"/>
    </row>
    <row r="354" ht="28.5" customHeight="1">
      <c r="A354" s="942">
        <v>191.0</v>
      </c>
      <c r="B354" s="1022">
        <v>45132.0</v>
      </c>
      <c r="C354" s="974"/>
      <c r="D354" s="1038" t="s">
        <v>1829</v>
      </c>
      <c r="E354" s="944" t="s">
        <v>1830</v>
      </c>
      <c r="F354" s="1038" t="s">
        <v>558</v>
      </c>
      <c r="G354" s="126"/>
      <c r="H354" s="39"/>
      <c r="I354" s="1101"/>
      <c r="J354" s="1089"/>
      <c r="K354" s="1041"/>
      <c r="L354" s="1031"/>
      <c r="M354" s="1025"/>
      <c r="N354" s="1055"/>
      <c r="O354" s="53"/>
      <c r="P354" s="1084"/>
      <c r="Q354" s="1084"/>
      <c r="R354" s="1008"/>
      <c r="S354" s="1053"/>
      <c r="T354" s="1085"/>
      <c r="U354" s="429" t="s">
        <v>75</v>
      </c>
      <c r="V354" s="694">
        <v>1.0</v>
      </c>
      <c r="W354" s="942" t="s">
        <v>1706</v>
      </c>
      <c r="X354" s="974"/>
      <c r="Y354" s="106"/>
      <c r="Z354" s="427"/>
      <c r="AA354" s="106"/>
      <c r="AB354" s="106"/>
      <c r="AC354" s="106"/>
      <c r="AD354" s="106"/>
    </row>
    <row r="355" ht="28.5" customHeight="1">
      <c r="A355" s="62"/>
      <c r="B355" s="62"/>
      <c r="C355" s="62"/>
      <c r="D355" s="62"/>
      <c r="E355" s="62"/>
      <c r="F355" s="62"/>
      <c r="G355" s="62"/>
      <c r="H355" s="62"/>
      <c r="I355" s="62"/>
      <c r="J355" s="62"/>
      <c r="K355" s="62"/>
      <c r="L355" s="62"/>
      <c r="M355" s="62"/>
      <c r="N355" s="62"/>
      <c r="O355" s="62"/>
      <c r="P355" s="62"/>
      <c r="Q355" s="62"/>
      <c r="R355" s="62"/>
      <c r="S355" s="62"/>
      <c r="T355" s="62"/>
      <c r="U355" s="429" t="s">
        <v>457</v>
      </c>
      <c r="V355" s="694">
        <v>1.0</v>
      </c>
      <c r="W355" s="62"/>
      <c r="X355" s="62"/>
      <c r="Y355" s="106"/>
      <c r="Z355" s="427"/>
      <c r="AA355" s="106"/>
      <c r="AB355" s="106"/>
      <c r="AC355" s="106"/>
      <c r="AD355" s="106"/>
    </row>
    <row r="356" ht="28.5" customHeight="1">
      <c r="A356" s="67"/>
      <c r="B356" s="67"/>
      <c r="C356" s="67"/>
      <c r="D356" s="67"/>
      <c r="E356" s="67"/>
      <c r="F356" s="67"/>
      <c r="G356" s="67"/>
      <c r="H356" s="67"/>
      <c r="I356" s="67"/>
      <c r="J356" s="67"/>
      <c r="K356" s="67"/>
      <c r="L356" s="67"/>
      <c r="M356" s="67"/>
      <c r="N356" s="67"/>
      <c r="O356" s="67"/>
      <c r="P356" s="67"/>
      <c r="Q356" s="67"/>
      <c r="R356" s="67"/>
      <c r="S356" s="67"/>
      <c r="T356" s="67"/>
      <c r="U356" s="429" t="s">
        <v>456</v>
      </c>
      <c r="V356" s="694">
        <v>1.0</v>
      </c>
      <c r="W356" s="67"/>
      <c r="X356" s="67"/>
      <c r="Y356" s="106"/>
      <c r="Z356" s="427"/>
      <c r="AA356" s="106"/>
      <c r="AB356" s="106"/>
      <c r="AC356" s="106"/>
      <c r="AD356" s="106"/>
    </row>
    <row r="357" ht="28.5" customHeight="1">
      <c r="A357" s="942">
        <v>192.0</v>
      </c>
      <c r="B357" s="1022">
        <v>45132.0</v>
      </c>
      <c r="C357" s="942">
        <v>1580.0</v>
      </c>
      <c r="D357" s="1038" t="s">
        <v>50</v>
      </c>
      <c r="E357" s="944" t="s">
        <v>597</v>
      </c>
      <c r="F357" s="1038" t="s">
        <v>1831</v>
      </c>
      <c r="G357" s="126" t="s">
        <v>30</v>
      </c>
      <c r="H357" s="39">
        <v>1.0</v>
      </c>
      <c r="I357" s="1101">
        <f>VLOOKUP(G357,$Y$4:$Z$43,2,0)</f>
        <v>220000</v>
      </c>
      <c r="J357" s="1089">
        <f>I357*H357</f>
        <v>220000</v>
      </c>
      <c r="K357" s="1041">
        <f>SUM(J357)</f>
        <v>220000</v>
      </c>
      <c r="L357" s="1031"/>
      <c r="M357" s="1025">
        <f>K357*3%</f>
        <v>6600</v>
      </c>
      <c r="N357" s="1055"/>
      <c r="O357" s="53">
        <f>K357+L357-M357</f>
        <v>213400</v>
      </c>
      <c r="P357" s="1084"/>
      <c r="Q357" s="1084"/>
      <c r="R357" s="1008"/>
      <c r="S357" s="1053"/>
      <c r="T357" s="1085"/>
      <c r="U357" s="429" t="s">
        <v>75</v>
      </c>
      <c r="V357" s="694">
        <v>1.0</v>
      </c>
      <c r="W357" s="942"/>
      <c r="X357" s="974"/>
      <c r="Y357" s="106"/>
      <c r="Z357" s="427"/>
      <c r="AA357" s="106"/>
      <c r="AB357" s="106"/>
      <c r="AC357" s="106"/>
      <c r="AD357" s="106"/>
    </row>
    <row r="358" ht="28.5" customHeight="1">
      <c r="A358" s="62"/>
      <c r="B358" s="62"/>
      <c r="C358" s="62"/>
      <c r="D358" s="62"/>
      <c r="E358" s="62"/>
      <c r="F358" s="62"/>
      <c r="G358" s="62"/>
      <c r="H358" s="62"/>
      <c r="I358" s="62"/>
      <c r="J358" s="62"/>
      <c r="K358" s="62"/>
      <c r="L358" s="62"/>
      <c r="M358" s="62"/>
      <c r="N358" s="62"/>
      <c r="O358" s="62"/>
      <c r="P358" s="62"/>
      <c r="Q358" s="62"/>
      <c r="R358" s="62"/>
      <c r="S358" s="62"/>
      <c r="T358" s="62"/>
      <c r="U358" s="429" t="s">
        <v>457</v>
      </c>
      <c r="V358" s="694">
        <v>1.0</v>
      </c>
      <c r="W358" s="62"/>
      <c r="X358" s="62"/>
      <c r="Y358" s="106"/>
      <c r="Z358" s="427"/>
      <c r="AA358" s="106"/>
      <c r="AB358" s="106"/>
      <c r="AC358" s="106"/>
      <c r="AD358" s="106"/>
    </row>
    <row r="359" ht="28.5" customHeight="1">
      <c r="A359" s="67"/>
      <c r="B359" s="67"/>
      <c r="C359" s="67"/>
      <c r="D359" s="67"/>
      <c r="E359" s="67"/>
      <c r="F359" s="67"/>
      <c r="G359" s="67"/>
      <c r="H359" s="67"/>
      <c r="I359" s="67"/>
      <c r="J359" s="67"/>
      <c r="K359" s="67"/>
      <c r="L359" s="67"/>
      <c r="M359" s="67"/>
      <c r="N359" s="67"/>
      <c r="O359" s="67"/>
      <c r="P359" s="67"/>
      <c r="Q359" s="67"/>
      <c r="R359" s="67"/>
      <c r="S359" s="67"/>
      <c r="T359" s="67"/>
      <c r="U359" s="429" t="s">
        <v>456</v>
      </c>
      <c r="V359" s="694">
        <v>1.0</v>
      </c>
      <c r="W359" s="67"/>
      <c r="X359" s="67"/>
      <c r="Y359" s="106"/>
      <c r="Z359" s="427"/>
      <c r="AA359" s="106"/>
      <c r="AB359" s="106"/>
      <c r="AC359" s="106"/>
      <c r="AD359" s="106"/>
    </row>
    <row r="360" ht="28.5" customHeight="1">
      <c r="A360" s="942">
        <v>193.0</v>
      </c>
      <c r="B360" s="1022">
        <v>45132.0</v>
      </c>
      <c r="C360" s="942">
        <v>1985.0</v>
      </c>
      <c r="D360" s="1038" t="s">
        <v>50</v>
      </c>
      <c r="E360" s="944" t="s">
        <v>597</v>
      </c>
      <c r="F360" s="1038" t="s">
        <v>548</v>
      </c>
      <c r="G360" s="126" t="s">
        <v>290</v>
      </c>
      <c r="H360" s="39">
        <v>1.0</v>
      </c>
      <c r="I360" s="1101">
        <f>VLOOKUP(G360,$Y$4:$Z$43,2,0)</f>
        <v>220000</v>
      </c>
      <c r="J360" s="1089">
        <f>I360*H360</f>
        <v>220000</v>
      </c>
      <c r="K360" s="1041">
        <f>SUM(J360)</f>
        <v>220000</v>
      </c>
      <c r="L360" s="1031"/>
      <c r="M360" s="1025">
        <f>K360*3%</f>
        <v>6600</v>
      </c>
      <c r="N360" s="1055"/>
      <c r="O360" s="53">
        <f>K360+L360-M360</f>
        <v>213400</v>
      </c>
      <c r="P360" s="1084"/>
      <c r="Q360" s="1084"/>
      <c r="R360" s="1008"/>
      <c r="S360" s="1053"/>
      <c r="T360" s="1085"/>
      <c r="U360" s="429" t="s">
        <v>75</v>
      </c>
      <c r="V360" s="694">
        <v>1.0</v>
      </c>
      <c r="W360" s="974"/>
      <c r="X360" s="974"/>
      <c r="Y360" s="106"/>
      <c r="Z360" s="427"/>
      <c r="AA360" s="106"/>
      <c r="AB360" s="106"/>
      <c r="AC360" s="106"/>
      <c r="AD360" s="106"/>
    </row>
    <row r="361" ht="28.5" customHeight="1">
      <c r="A361" s="62"/>
      <c r="B361" s="62"/>
      <c r="C361" s="62"/>
      <c r="D361" s="62"/>
      <c r="E361" s="62"/>
      <c r="F361" s="62"/>
      <c r="G361" s="62"/>
      <c r="H361" s="62"/>
      <c r="I361" s="62"/>
      <c r="J361" s="62"/>
      <c r="K361" s="62"/>
      <c r="L361" s="62"/>
      <c r="M361" s="62"/>
      <c r="N361" s="62"/>
      <c r="O361" s="62"/>
      <c r="P361" s="62"/>
      <c r="Q361" s="62"/>
      <c r="R361" s="62"/>
      <c r="S361" s="62"/>
      <c r="T361" s="62"/>
      <c r="U361" s="429" t="s">
        <v>457</v>
      </c>
      <c r="V361" s="694">
        <v>1.0</v>
      </c>
      <c r="W361" s="62"/>
      <c r="X361" s="62"/>
      <c r="Y361" s="106"/>
      <c r="Z361" s="427"/>
      <c r="AA361" s="106"/>
      <c r="AB361" s="106"/>
      <c r="AC361" s="106"/>
      <c r="AD361" s="106"/>
    </row>
    <row r="362" ht="28.5" customHeight="1">
      <c r="A362" s="67"/>
      <c r="B362" s="67"/>
      <c r="C362" s="67"/>
      <c r="D362" s="67"/>
      <c r="E362" s="67"/>
      <c r="F362" s="67"/>
      <c r="G362" s="67"/>
      <c r="H362" s="67"/>
      <c r="I362" s="67"/>
      <c r="J362" s="67"/>
      <c r="K362" s="67"/>
      <c r="L362" s="67"/>
      <c r="M362" s="67"/>
      <c r="N362" s="67"/>
      <c r="O362" s="67"/>
      <c r="P362" s="67"/>
      <c r="Q362" s="67"/>
      <c r="R362" s="67"/>
      <c r="S362" s="67"/>
      <c r="T362" s="67"/>
      <c r="U362" s="429" t="s">
        <v>456</v>
      </c>
      <c r="V362" s="694">
        <v>1.0</v>
      </c>
      <c r="W362" s="67"/>
      <c r="X362" s="67"/>
      <c r="Y362" s="106"/>
      <c r="Z362" s="427"/>
      <c r="AA362" s="106"/>
      <c r="AB362" s="106"/>
      <c r="AC362" s="106"/>
      <c r="AD362" s="106"/>
    </row>
    <row r="363" ht="28.5" customHeight="1">
      <c r="A363" s="942">
        <v>194.0</v>
      </c>
      <c r="B363" s="1022">
        <v>45132.0</v>
      </c>
      <c r="C363" s="942">
        <v>7486.0</v>
      </c>
      <c r="D363" s="1038" t="s">
        <v>50</v>
      </c>
      <c r="E363" s="944" t="s">
        <v>862</v>
      </c>
      <c r="F363" s="1038" t="s">
        <v>485</v>
      </c>
      <c r="G363" s="126" t="s">
        <v>37</v>
      </c>
      <c r="H363" s="39">
        <v>5.0</v>
      </c>
      <c r="I363" s="1101">
        <f>VLOOKUP(G363,$Y$4:$Z$43,2,0)</f>
        <v>220000</v>
      </c>
      <c r="J363" s="1089">
        <f>I363*H363</f>
        <v>1100000</v>
      </c>
      <c r="K363" s="1041">
        <f>SUM(J363)</f>
        <v>1100000</v>
      </c>
      <c r="L363" s="1031"/>
      <c r="M363" s="1025">
        <f>K363*3%</f>
        <v>33000</v>
      </c>
      <c r="N363" s="1055"/>
      <c r="O363" s="53">
        <f>K363+L363-M363</f>
        <v>1067000</v>
      </c>
      <c r="P363" s="1084"/>
      <c r="Q363" s="1084"/>
      <c r="R363" s="1008"/>
      <c r="S363" s="1053"/>
      <c r="T363" s="1085"/>
      <c r="U363" s="429" t="s">
        <v>75</v>
      </c>
      <c r="V363" s="694">
        <v>1.0</v>
      </c>
      <c r="W363" s="974"/>
      <c r="X363" s="974"/>
      <c r="Y363" s="106"/>
      <c r="Z363" s="427"/>
      <c r="AA363" s="106"/>
      <c r="AB363" s="106"/>
      <c r="AC363" s="106"/>
      <c r="AD363" s="106"/>
    </row>
    <row r="364" ht="28.5" customHeight="1">
      <c r="A364" s="62"/>
      <c r="B364" s="62"/>
      <c r="C364" s="62"/>
      <c r="D364" s="62"/>
      <c r="E364" s="62"/>
      <c r="F364" s="62"/>
      <c r="G364" s="62"/>
      <c r="H364" s="62"/>
      <c r="I364" s="62"/>
      <c r="J364" s="62"/>
      <c r="K364" s="62"/>
      <c r="L364" s="62"/>
      <c r="M364" s="62"/>
      <c r="N364" s="62"/>
      <c r="O364" s="62"/>
      <c r="P364" s="62"/>
      <c r="Q364" s="62"/>
      <c r="R364" s="62"/>
      <c r="S364" s="62"/>
      <c r="T364" s="62"/>
      <c r="U364" s="429" t="s">
        <v>457</v>
      </c>
      <c r="V364" s="694">
        <v>1.0</v>
      </c>
      <c r="W364" s="62"/>
      <c r="X364" s="62"/>
      <c r="Y364" s="106"/>
      <c r="Z364" s="427"/>
      <c r="AA364" s="106"/>
      <c r="AB364" s="106"/>
      <c r="AC364" s="106"/>
      <c r="AD364" s="106"/>
    </row>
    <row r="365" ht="28.5" customHeight="1">
      <c r="A365" s="67"/>
      <c r="B365" s="67"/>
      <c r="C365" s="67"/>
      <c r="D365" s="67"/>
      <c r="E365" s="67"/>
      <c r="F365" s="67"/>
      <c r="G365" s="67"/>
      <c r="H365" s="67"/>
      <c r="I365" s="67"/>
      <c r="J365" s="67"/>
      <c r="K365" s="67"/>
      <c r="L365" s="67"/>
      <c r="M365" s="67"/>
      <c r="N365" s="67"/>
      <c r="O365" s="67"/>
      <c r="P365" s="67"/>
      <c r="Q365" s="67"/>
      <c r="R365" s="67"/>
      <c r="S365" s="67"/>
      <c r="T365" s="67"/>
      <c r="U365" s="429" t="s">
        <v>456</v>
      </c>
      <c r="V365" s="694">
        <v>1.0</v>
      </c>
      <c r="W365" s="67"/>
      <c r="X365" s="67"/>
      <c r="Y365" s="106"/>
      <c r="Z365" s="427"/>
      <c r="AA365" s="106"/>
      <c r="AB365" s="106"/>
      <c r="AC365" s="106"/>
      <c r="AD365" s="106"/>
    </row>
    <row r="366" ht="28.5" customHeight="1">
      <c r="A366" s="942">
        <v>195.0</v>
      </c>
      <c r="B366" s="1022">
        <v>45132.0</v>
      </c>
      <c r="C366" s="942">
        <v>9683.0</v>
      </c>
      <c r="D366" s="1038" t="s">
        <v>50</v>
      </c>
      <c r="E366" s="944" t="s">
        <v>1832</v>
      </c>
      <c r="F366" s="1038" t="s">
        <v>119</v>
      </c>
      <c r="G366" s="126" t="s">
        <v>30</v>
      </c>
      <c r="H366" s="39">
        <v>2.0</v>
      </c>
      <c r="I366" s="1101">
        <f>VLOOKUP(G366,$Y$4:$Z$43,2,0)</f>
        <v>220000</v>
      </c>
      <c r="J366" s="1089">
        <f>I366*H366</f>
        <v>440000</v>
      </c>
      <c r="K366" s="1041">
        <f>SUM(J366)</f>
        <v>440000</v>
      </c>
      <c r="L366" s="1031"/>
      <c r="M366" s="1025">
        <f>K366*3%</f>
        <v>13200</v>
      </c>
      <c r="N366" s="1055"/>
      <c r="O366" s="53">
        <f>K366+L366-M366</f>
        <v>426800</v>
      </c>
      <c r="P366" s="1084"/>
      <c r="Q366" s="1084"/>
      <c r="R366" s="1008"/>
      <c r="S366" s="1053"/>
      <c r="T366" s="1085"/>
      <c r="U366" s="429" t="s">
        <v>75</v>
      </c>
      <c r="V366" s="694">
        <v>1.0</v>
      </c>
      <c r="W366" s="974"/>
      <c r="X366" s="974"/>
      <c r="Y366" s="106"/>
      <c r="Z366" s="427"/>
      <c r="AA366" s="106"/>
      <c r="AB366" s="106"/>
      <c r="AC366" s="106"/>
      <c r="AD366" s="106"/>
    </row>
    <row r="367" ht="28.5" customHeight="1">
      <c r="A367" s="62"/>
      <c r="B367" s="62"/>
      <c r="C367" s="62"/>
      <c r="D367" s="62"/>
      <c r="E367" s="62"/>
      <c r="F367" s="62"/>
      <c r="G367" s="62"/>
      <c r="H367" s="62"/>
      <c r="I367" s="62"/>
      <c r="J367" s="62"/>
      <c r="K367" s="62"/>
      <c r="L367" s="62"/>
      <c r="M367" s="62"/>
      <c r="N367" s="62"/>
      <c r="O367" s="62"/>
      <c r="P367" s="62"/>
      <c r="Q367" s="62"/>
      <c r="R367" s="62"/>
      <c r="S367" s="62"/>
      <c r="T367" s="62"/>
      <c r="U367" s="429" t="s">
        <v>457</v>
      </c>
      <c r="V367" s="694">
        <v>1.0</v>
      </c>
      <c r="W367" s="62"/>
      <c r="X367" s="62"/>
      <c r="Y367" s="106"/>
      <c r="Z367" s="427"/>
      <c r="AA367" s="106"/>
      <c r="AB367" s="106"/>
      <c r="AC367" s="106"/>
      <c r="AD367" s="106"/>
    </row>
    <row r="368" ht="28.5" customHeight="1">
      <c r="A368" s="67"/>
      <c r="B368" s="67"/>
      <c r="C368" s="67"/>
      <c r="D368" s="67"/>
      <c r="E368" s="67"/>
      <c r="F368" s="67"/>
      <c r="G368" s="67"/>
      <c r="H368" s="67"/>
      <c r="I368" s="67"/>
      <c r="J368" s="67"/>
      <c r="K368" s="67"/>
      <c r="L368" s="67"/>
      <c r="M368" s="67"/>
      <c r="N368" s="67"/>
      <c r="O368" s="67"/>
      <c r="P368" s="67"/>
      <c r="Q368" s="67"/>
      <c r="R368" s="67"/>
      <c r="S368" s="67"/>
      <c r="T368" s="67"/>
      <c r="U368" s="429" t="s">
        <v>456</v>
      </c>
      <c r="V368" s="694">
        <v>1.0</v>
      </c>
      <c r="W368" s="67"/>
      <c r="X368" s="67"/>
      <c r="Y368" s="106"/>
      <c r="Z368" s="427"/>
      <c r="AA368" s="106"/>
      <c r="AB368" s="106"/>
      <c r="AC368" s="106"/>
      <c r="AD368" s="106"/>
    </row>
    <row r="369" ht="28.5" customHeight="1">
      <c r="A369" s="942">
        <v>196.0</v>
      </c>
      <c r="B369" s="1022">
        <v>45132.0</v>
      </c>
      <c r="C369" s="942">
        <v>4885.0</v>
      </c>
      <c r="D369" s="1038" t="s">
        <v>50</v>
      </c>
      <c r="E369" s="944" t="s">
        <v>1833</v>
      </c>
      <c r="F369" s="1038" t="s">
        <v>180</v>
      </c>
      <c r="G369" s="126" t="s">
        <v>30</v>
      </c>
      <c r="H369" s="39">
        <v>1.0</v>
      </c>
      <c r="I369" s="1101">
        <f>VLOOKUP(G369,$Y$4:$Z$43,2,0)</f>
        <v>220000</v>
      </c>
      <c r="J369" s="1089">
        <f>I369*H369</f>
        <v>220000</v>
      </c>
      <c r="K369" s="1041">
        <f>SUM(J369)</f>
        <v>220000</v>
      </c>
      <c r="L369" s="1031"/>
      <c r="M369" s="1025">
        <f>K369*3%</f>
        <v>6600</v>
      </c>
      <c r="N369" s="1055"/>
      <c r="O369" s="53">
        <f>K369+L369-M369</f>
        <v>213400</v>
      </c>
      <c r="P369" s="1084"/>
      <c r="Q369" s="1084"/>
      <c r="R369" s="1008"/>
      <c r="S369" s="1053"/>
      <c r="T369" s="1085"/>
      <c r="U369" s="429" t="s">
        <v>75</v>
      </c>
      <c r="V369" s="694">
        <v>1.0</v>
      </c>
      <c r="W369" s="974"/>
      <c r="X369" s="974"/>
      <c r="Y369" s="106"/>
      <c r="Z369" s="427"/>
      <c r="AA369" s="106"/>
      <c r="AB369" s="106"/>
      <c r="AC369" s="106"/>
      <c r="AD369" s="106"/>
    </row>
    <row r="370" ht="28.5" customHeight="1">
      <c r="A370" s="62"/>
      <c r="B370" s="62"/>
      <c r="C370" s="62"/>
      <c r="D370" s="62"/>
      <c r="E370" s="62"/>
      <c r="F370" s="62"/>
      <c r="G370" s="62"/>
      <c r="H370" s="62"/>
      <c r="I370" s="62"/>
      <c r="J370" s="62"/>
      <c r="K370" s="62"/>
      <c r="L370" s="62"/>
      <c r="M370" s="62"/>
      <c r="N370" s="62"/>
      <c r="O370" s="62"/>
      <c r="P370" s="62"/>
      <c r="Q370" s="62"/>
      <c r="R370" s="62"/>
      <c r="S370" s="62"/>
      <c r="T370" s="62"/>
      <c r="U370" s="429" t="s">
        <v>457</v>
      </c>
      <c r="V370" s="694">
        <v>1.0</v>
      </c>
      <c r="W370" s="62"/>
      <c r="X370" s="62"/>
      <c r="Y370" s="106"/>
      <c r="Z370" s="427"/>
      <c r="AA370" s="106"/>
      <c r="AB370" s="106"/>
      <c r="AC370" s="106"/>
      <c r="AD370" s="106"/>
    </row>
    <row r="371" ht="28.5" customHeight="1">
      <c r="A371" s="67"/>
      <c r="B371" s="67"/>
      <c r="C371" s="67"/>
      <c r="D371" s="67"/>
      <c r="E371" s="67"/>
      <c r="F371" s="67"/>
      <c r="G371" s="67"/>
      <c r="H371" s="67"/>
      <c r="I371" s="67"/>
      <c r="J371" s="67"/>
      <c r="K371" s="67"/>
      <c r="L371" s="67"/>
      <c r="M371" s="67"/>
      <c r="N371" s="67"/>
      <c r="O371" s="67"/>
      <c r="P371" s="67"/>
      <c r="Q371" s="67"/>
      <c r="R371" s="67"/>
      <c r="S371" s="67"/>
      <c r="T371" s="67"/>
      <c r="U371" s="429" t="s">
        <v>456</v>
      </c>
      <c r="V371" s="694">
        <v>1.0</v>
      </c>
      <c r="W371" s="67"/>
      <c r="X371" s="67"/>
      <c r="Y371" s="106"/>
      <c r="Z371" s="427"/>
      <c r="AA371" s="106"/>
      <c r="AB371" s="106"/>
      <c r="AC371" s="106"/>
      <c r="AD371" s="106"/>
    </row>
    <row r="372" ht="28.5" customHeight="1">
      <c r="A372" s="942">
        <v>197.0</v>
      </c>
      <c r="B372" s="1022">
        <v>45132.0</v>
      </c>
      <c r="C372" s="944" t="s">
        <v>1834</v>
      </c>
      <c r="D372" s="1038" t="s">
        <v>50</v>
      </c>
      <c r="E372" s="944" t="s">
        <v>1835</v>
      </c>
      <c r="F372" s="1038" t="s">
        <v>74</v>
      </c>
      <c r="G372" s="126" t="s">
        <v>30</v>
      </c>
      <c r="H372" s="39">
        <v>1.0</v>
      </c>
      <c r="I372" s="1101">
        <f>VLOOKUP(G372,$Y$4:$Z$43,2,0)</f>
        <v>220000</v>
      </c>
      <c r="J372" s="1089">
        <f>I372*H372</f>
        <v>220000</v>
      </c>
      <c r="K372" s="1041">
        <f>SUM(J372)</f>
        <v>220000</v>
      </c>
      <c r="L372" s="1031"/>
      <c r="M372" s="1025">
        <f>K372*3%</f>
        <v>6600</v>
      </c>
      <c r="N372" s="1055"/>
      <c r="O372" s="53">
        <f>K372+L372-M372</f>
        <v>213400</v>
      </c>
      <c r="P372" s="1084"/>
      <c r="Q372" s="1084"/>
      <c r="R372" s="1008"/>
      <c r="S372" s="1053"/>
      <c r="T372" s="1085"/>
      <c r="U372" s="429" t="s">
        <v>75</v>
      </c>
      <c r="V372" s="694">
        <v>1.0</v>
      </c>
      <c r="W372" s="974"/>
      <c r="X372" s="974"/>
      <c r="Y372" s="106"/>
      <c r="Z372" s="427"/>
      <c r="AA372" s="106"/>
      <c r="AB372" s="106"/>
      <c r="AC372" s="106"/>
      <c r="AD372" s="106"/>
    </row>
    <row r="373" ht="28.5" customHeight="1">
      <c r="A373" s="62"/>
      <c r="B373" s="62"/>
      <c r="C373" s="62"/>
      <c r="D373" s="62"/>
      <c r="E373" s="62"/>
      <c r="F373" s="62"/>
      <c r="G373" s="62"/>
      <c r="H373" s="62"/>
      <c r="I373" s="62"/>
      <c r="J373" s="62"/>
      <c r="K373" s="62"/>
      <c r="L373" s="62"/>
      <c r="M373" s="62"/>
      <c r="N373" s="62"/>
      <c r="O373" s="62"/>
      <c r="P373" s="62"/>
      <c r="Q373" s="62"/>
      <c r="R373" s="62"/>
      <c r="S373" s="62"/>
      <c r="T373" s="62"/>
      <c r="U373" s="429" t="s">
        <v>457</v>
      </c>
      <c r="V373" s="694">
        <v>1.0</v>
      </c>
      <c r="W373" s="62"/>
      <c r="X373" s="62"/>
      <c r="Y373" s="106"/>
      <c r="Z373" s="427"/>
      <c r="AA373" s="106"/>
      <c r="AB373" s="106"/>
      <c r="AC373" s="106"/>
      <c r="AD373" s="106"/>
    </row>
    <row r="374" ht="28.5" customHeight="1">
      <c r="A374" s="67"/>
      <c r="B374" s="67"/>
      <c r="C374" s="67"/>
      <c r="D374" s="67"/>
      <c r="E374" s="67"/>
      <c r="F374" s="67"/>
      <c r="G374" s="67"/>
      <c r="H374" s="67"/>
      <c r="I374" s="67"/>
      <c r="J374" s="67"/>
      <c r="K374" s="67"/>
      <c r="L374" s="67"/>
      <c r="M374" s="67"/>
      <c r="N374" s="67"/>
      <c r="O374" s="67"/>
      <c r="P374" s="67"/>
      <c r="Q374" s="67"/>
      <c r="R374" s="67"/>
      <c r="S374" s="67"/>
      <c r="T374" s="67"/>
      <c r="U374" s="429" t="s">
        <v>456</v>
      </c>
      <c r="V374" s="694">
        <v>1.0</v>
      </c>
      <c r="W374" s="67"/>
      <c r="X374" s="67"/>
      <c r="Y374" s="106"/>
      <c r="Z374" s="427"/>
      <c r="AA374" s="106"/>
      <c r="AB374" s="106"/>
      <c r="AC374" s="106"/>
      <c r="AD374" s="106"/>
    </row>
    <row r="375" ht="28.5" customHeight="1">
      <c r="A375" s="694">
        <v>198.0</v>
      </c>
      <c r="B375" s="1032">
        <v>45132.0</v>
      </c>
      <c r="C375" s="694">
        <v>1.703928330924E12</v>
      </c>
      <c r="D375" s="429" t="s">
        <v>517</v>
      </c>
      <c r="E375" s="684" t="s">
        <v>518</v>
      </c>
      <c r="F375" s="429" t="s">
        <v>519</v>
      </c>
      <c r="G375" s="63" t="s">
        <v>30</v>
      </c>
      <c r="H375" s="64">
        <v>3.0</v>
      </c>
      <c r="I375" s="1094">
        <f t="shared" ref="I375:I396" si="73">VLOOKUP(G375,$Y$4:$Z$43,2,0)</f>
        <v>220000</v>
      </c>
      <c r="J375" s="961">
        <f t="shared" ref="J375:J396" si="74">I375*H375</f>
        <v>660000</v>
      </c>
      <c r="K375" s="686">
        <f t="shared" ref="K375:K378" si="75">SUM(J375)</f>
        <v>660000</v>
      </c>
      <c r="L375" s="693"/>
      <c r="M375" s="688"/>
      <c r="N375" s="1049"/>
      <c r="O375" s="80">
        <f t="shared" ref="O375:O379" si="76">K375+L375-N375</f>
        <v>660000</v>
      </c>
      <c r="P375" s="1082"/>
      <c r="Q375" s="1082"/>
      <c r="R375" s="806">
        <v>47999.0</v>
      </c>
      <c r="S375" s="1017" t="s">
        <v>32</v>
      </c>
      <c r="T375" s="691"/>
      <c r="U375" s="429" t="s">
        <v>30</v>
      </c>
      <c r="V375" s="694">
        <v>1.0</v>
      </c>
      <c r="W375" s="694" t="s">
        <v>1542</v>
      </c>
      <c r="X375" s="687"/>
      <c r="Y375" s="106"/>
      <c r="Z375" s="427"/>
      <c r="AA375" s="106"/>
      <c r="AB375" s="106"/>
      <c r="AC375" s="106"/>
      <c r="AD375" s="106"/>
    </row>
    <row r="376" ht="33.0" customHeight="1">
      <c r="A376" s="694">
        <v>199.0</v>
      </c>
      <c r="B376" s="1032">
        <v>45132.0</v>
      </c>
      <c r="C376" s="694">
        <v>1.704000311303E12</v>
      </c>
      <c r="D376" s="429" t="s">
        <v>216</v>
      </c>
      <c r="E376" s="684" t="s">
        <v>1836</v>
      </c>
      <c r="F376" s="1103" t="s">
        <v>1837</v>
      </c>
      <c r="G376" s="63" t="s">
        <v>30</v>
      </c>
      <c r="H376" s="64">
        <v>6.0</v>
      </c>
      <c r="I376" s="1094">
        <f t="shared" si="73"/>
        <v>220000</v>
      </c>
      <c r="J376" s="961">
        <f t="shared" si="74"/>
        <v>1320000</v>
      </c>
      <c r="K376" s="686">
        <f t="shared" si="75"/>
        <v>1320000</v>
      </c>
      <c r="L376" s="693"/>
      <c r="M376" s="688"/>
      <c r="N376" s="1049"/>
      <c r="O376" s="80">
        <f t="shared" si="76"/>
        <v>1320000</v>
      </c>
      <c r="P376" s="1082"/>
      <c r="Q376" s="690" t="s">
        <v>31</v>
      </c>
      <c r="R376" s="806">
        <v>74499.0</v>
      </c>
      <c r="S376" s="1017" t="s">
        <v>32</v>
      </c>
      <c r="T376" s="691"/>
      <c r="U376" s="429" t="s">
        <v>30</v>
      </c>
      <c r="V376" s="694">
        <v>2.0</v>
      </c>
      <c r="W376" s="694" t="s">
        <v>1838</v>
      </c>
      <c r="X376" s="687"/>
      <c r="Y376" s="106"/>
      <c r="Z376" s="427"/>
      <c r="AA376" s="106"/>
      <c r="AB376" s="106"/>
      <c r="AC376" s="106"/>
      <c r="AD376" s="106"/>
    </row>
    <row r="377" ht="34.5" customHeight="1">
      <c r="A377" s="694">
        <v>200.0</v>
      </c>
      <c r="B377" s="1032">
        <v>45132.0</v>
      </c>
      <c r="C377" s="694">
        <v>1.704093995014E12</v>
      </c>
      <c r="D377" s="429" t="s">
        <v>953</v>
      </c>
      <c r="E377" s="684" t="s">
        <v>954</v>
      </c>
      <c r="F377" s="133" t="s">
        <v>1839</v>
      </c>
      <c r="G377" s="63" t="s">
        <v>30</v>
      </c>
      <c r="H377" s="64">
        <v>1.0</v>
      </c>
      <c r="I377" s="1094">
        <f t="shared" si="73"/>
        <v>220000</v>
      </c>
      <c r="J377" s="961">
        <f t="shared" si="74"/>
        <v>220000</v>
      </c>
      <c r="K377" s="686">
        <f t="shared" si="75"/>
        <v>220000</v>
      </c>
      <c r="L377" s="806">
        <v>33000.0</v>
      </c>
      <c r="M377" s="688"/>
      <c r="N377" s="1011">
        <v>13000.0</v>
      </c>
      <c r="O377" s="80">
        <f t="shared" si="76"/>
        <v>240000</v>
      </c>
      <c r="P377" s="1082"/>
      <c r="Q377" s="1082"/>
      <c r="R377" s="806"/>
      <c r="S377" s="1013"/>
      <c r="T377" s="691"/>
      <c r="U377" s="693"/>
      <c r="V377" s="687"/>
      <c r="W377" s="687"/>
      <c r="X377" s="687"/>
      <c r="Y377" s="106"/>
      <c r="Z377" s="427"/>
      <c r="AA377" s="106"/>
      <c r="AB377" s="106"/>
      <c r="AC377" s="106"/>
      <c r="AD377" s="106"/>
    </row>
    <row r="378" ht="28.5" customHeight="1">
      <c r="A378" s="694">
        <v>201.0</v>
      </c>
      <c r="B378" s="1032">
        <v>45132.0</v>
      </c>
      <c r="C378" s="694">
        <v>1.70423903788E12</v>
      </c>
      <c r="D378" s="429" t="s">
        <v>1840</v>
      </c>
      <c r="E378" s="684" t="s">
        <v>1539</v>
      </c>
      <c r="F378" s="429" t="s">
        <v>1540</v>
      </c>
      <c r="G378" s="63" t="s">
        <v>290</v>
      </c>
      <c r="H378" s="64">
        <v>3.0</v>
      </c>
      <c r="I378" s="1094">
        <f t="shared" si="73"/>
        <v>220000</v>
      </c>
      <c r="J378" s="961">
        <f t="shared" si="74"/>
        <v>660000</v>
      </c>
      <c r="K378" s="686">
        <f t="shared" si="75"/>
        <v>660000</v>
      </c>
      <c r="L378" s="693"/>
      <c r="M378" s="688"/>
      <c r="N378" s="1049"/>
      <c r="O378" s="80">
        <f t="shared" si="76"/>
        <v>660000</v>
      </c>
      <c r="P378" s="1082"/>
      <c r="Q378" s="1082"/>
      <c r="R378" s="806">
        <v>54999.0</v>
      </c>
      <c r="S378" s="1017" t="s">
        <v>32</v>
      </c>
      <c r="T378" s="691"/>
      <c r="U378" s="429" t="s">
        <v>30</v>
      </c>
      <c r="V378" s="694">
        <v>1.0</v>
      </c>
      <c r="W378" s="694" t="s">
        <v>1542</v>
      </c>
      <c r="X378" s="687"/>
      <c r="Y378" s="106"/>
      <c r="Z378" s="427"/>
      <c r="AA378" s="106"/>
      <c r="AB378" s="106"/>
      <c r="AC378" s="106"/>
      <c r="AD378" s="106"/>
    </row>
    <row r="379" ht="28.5" customHeight="1">
      <c r="A379" s="942">
        <v>202.0</v>
      </c>
      <c r="B379" s="1022">
        <v>45132.0</v>
      </c>
      <c r="C379" s="942">
        <v>1.713478954423E12</v>
      </c>
      <c r="D379" s="1038" t="s">
        <v>39</v>
      </c>
      <c r="E379" s="944" t="s">
        <v>40</v>
      </c>
      <c r="F379" s="424" t="s">
        <v>1841</v>
      </c>
      <c r="G379" s="63" t="s">
        <v>30</v>
      </c>
      <c r="H379" s="64">
        <v>18.0</v>
      </c>
      <c r="I379" s="1094">
        <f t="shared" si="73"/>
        <v>220000</v>
      </c>
      <c r="J379" s="961">
        <f t="shared" si="74"/>
        <v>3960000</v>
      </c>
      <c r="K379" s="1041">
        <f>SUM(J379:J387)</f>
        <v>18600000</v>
      </c>
      <c r="L379" s="1031"/>
      <c r="M379" s="1025"/>
      <c r="N379" s="1055"/>
      <c r="O379" s="53">
        <f t="shared" si="76"/>
        <v>18600000</v>
      </c>
      <c r="P379" s="1084"/>
      <c r="Q379" s="1084"/>
      <c r="R379" s="1028">
        <v>881703.0</v>
      </c>
      <c r="S379" s="1029" t="s">
        <v>32</v>
      </c>
      <c r="T379" s="1085"/>
      <c r="U379" s="1038" t="s">
        <v>47</v>
      </c>
      <c r="V379" s="942">
        <v>19.0</v>
      </c>
      <c r="W379" s="942" t="s">
        <v>1542</v>
      </c>
      <c r="X379" s="974"/>
      <c r="Y379" s="106"/>
      <c r="Z379" s="427"/>
      <c r="AA379" s="106"/>
      <c r="AB379" s="106"/>
      <c r="AC379" s="106"/>
      <c r="AD379" s="106"/>
    </row>
    <row r="380" ht="28.5" customHeight="1">
      <c r="A380" s="62"/>
      <c r="B380" s="62"/>
      <c r="C380" s="62"/>
      <c r="D380" s="62"/>
      <c r="E380" s="62"/>
      <c r="F380" s="62"/>
      <c r="G380" s="63" t="s">
        <v>47</v>
      </c>
      <c r="H380" s="64">
        <v>5.0</v>
      </c>
      <c r="I380" s="1094">
        <f t="shared" si="73"/>
        <v>220000</v>
      </c>
      <c r="J380" s="961">
        <f t="shared" si="74"/>
        <v>1100000</v>
      </c>
      <c r="K380" s="62"/>
      <c r="L380" s="62"/>
      <c r="M380" s="62"/>
      <c r="N380" s="62"/>
      <c r="O380" s="62"/>
      <c r="P380" s="62"/>
      <c r="Q380" s="62"/>
      <c r="R380" s="62"/>
      <c r="S380" s="62"/>
      <c r="T380" s="62"/>
      <c r="U380" s="62"/>
      <c r="V380" s="62"/>
      <c r="W380" s="62"/>
      <c r="X380" s="62"/>
      <c r="Y380" s="106"/>
      <c r="Z380" s="427"/>
      <c r="AA380" s="106"/>
      <c r="AB380" s="106"/>
      <c r="AC380" s="106"/>
      <c r="AD380" s="106"/>
    </row>
    <row r="381" ht="28.5" customHeight="1">
      <c r="A381" s="62"/>
      <c r="B381" s="62"/>
      <c r="C381" s="62"/>
      <c r="D381" s="62"/>
      <c r="E381" s="62"/>
      <c r="F381" s="62"/>
      <c r="G381" s="63" t="s">
        <v>290</v>
      </c>
      <c r="H381" s="64">
        <v>22.0</v>
      </c>
      <c r="I381" s="1094">
        <f t="shared" si="73"/>
        <v>220000</v>
      </c>
      <c r="J381" s="961">
        <f t="shared" si="74"/>
        <v>4840000</v>
      </c>
      <c r="K381" s="62"/>
      <c r="L381" s="62"/>
      <c r="M381" s="62"/>
      <c r="N381" s="62"/>
      <c r="O381" s="62"/>
      <c r="P381" s="62"/>
      <c r="Q381" s="62"/>
      <c r="R381" s="62"/>
      <c r="S381" s="62"/>
      <c r="T381" s="62"/>
      <c r="U381" s="62"/>
      <c r="V381" s="62"/>
      <c r="W381" s="62"/>
      <c r="X381" s="62"/>
      <c r="Y381" s="106"/>
      <c r="Z381" s="427"/>
      <c r="AA381" s="106"/>
      <c r="AB381" s="106"/>
      <c r="AC381" s="106"/>
      <c r="AD381" s="106"/>
    </row>
    <row r="382" ht="28.5" customHeight="1">
      <c r="A382" s="62"/>
      <c r="B382" s="62"/>
      <c r="C382" s="62"/>
      <c r="D382" s="62"/>
      <c r="E382" s="62"/>
      <c r="F382" s="62"/>
      <c r="G382" s="63" t="s">
        <v>165</v>
      </c>
      <c r="H382" s="64">
        <v>6.0</v>
      </c>
      <c r="I382" s="1094">
        <f t="shared" si="73"/>
        <v>220000</v>
      </c>
      <c r="J382" s="961">
        <f t="shared" si="74"/>
        <v>1320000</v>
      </c>
      <c r="K382" s="62"/>
      <c r="L382" s="62"/>
      <c r="M382" s="62"/>
      <c r="N382" s="62"/>
      <c r="O382" s="62"/>
      <c r="P382" s="62"/>
      <c r="Q382" s="62"/>
      <c r="R382" s="62"/>
      <c r="S382" s="62"/>
      <c r="T382" s="62"/>
      <c r="U382" s="62"/>
      <c r="V382" s="62"/>
      <c r="W382" s="62"/>
      <c r="X382" s="62"/>
      <c r="Y382" s="106"/>
      <c r="Z382" s="427"/>
      <c r="AA382" s="106"/>
      <c r="AB382" s="106"/>
      <c r="AC382" s="106"/>
      <c r="AD382" s="106"/>
    </row>
    <row r="383" ht="28.5" customHeight="1">
      <c r="A383" s="62"/>
      <c r="B383" s="62"/>
      <c r="C383" s="62"/>
      <c r="D383" s="62"/>
      <c r="E383" s="62"/>
      <c r="F383" s="62"/>
      <c r="G383" s="63" t="s">
        <v>122</v>
      </c>
      <c r="H383" s="64">
        <v>6.0</v>
      </c>
      <c r="I383" s="1094">
        <f t="shared" si="73"/>
        <v>220000</v>
      </c>
      <c r="J383" s="961">
        <f t="shared" si="74"/>
        <v>1320000</v>
      </c>
      <c r="K383" s="62"/>
      <c r="L383" s="62"/>
      <c r="M383" s="62"/>
      <c r="N383" s="62"/>
      <c r="O383" s="62"/>
      <c r="P383" s="62"/>
      <c r="Q383" s="62"/>
      <c r="R383" s="62"/>
      <c r="S383" s="62"/>
      <c r="T383" s="62"/>
      <c r="U383" s="62"/>
      <c r="V383" s="62"/>
      <c r="W383" s="62"/>
      <c r="X383" s="62"/>
      <c r="Y383" s="106"/>
      <c r="Z383" s="427"/>
      <c r="AA383" s="106"/>
      <c r="AB383" s="106"/>
      <c r="AC383" s="106"/>
      <c r="AD383" s="106"/>
    </row>
    <row r="384" ht="28.5" customHeight="1">
      <c r="A384" s="62"/>
      <c r="B384" s="62"/>
      <c r="C384" s="62"/>
      <c r="D384" s="62"/>
      <c r="E384" s="62"/>
      <c r="F384" s="62"/>
      <c r="G384" s="72" t="s">
        <v>76</v>
      </c>
      <c r="H384" s="73">
        <v>18.0</v>
      </c>
      <c r="I384" s="1104">
        <f t="shared" si="73"/>
        <v>90000</v>
      </c>
      <c r="J384" s="1105">
        <f t="shared" si="74"/>
        <v>1620000</v>
      </c>
      <c r="K384" s="62"/>
      <c r="L384" s="62"/>
      <c r="M384" s="62"/>
      <c r="N384" s="62"/>
      <c r="O384" s="62"/>
      <c r="P384" s="62"/>
      <c r="Q384" s="62"/>
      <c r="R384" s="62"/>
      <c r="S384" s="62"/>
      <c r="T384" s="62"/>
      <c r="U384" s="62"/>
      <c r="V384" s="62"/>
      <c r="W384" s="62"/>
      <c r="X384" s="62"/>
      <c r="Y384" s="106"/>
      <c r="Z384" s="427"/>
      <c r="AA384" s="106"/>
      <c r="AB384" s="106"/>
      <c r="AC384" s="106"/>
      <c r="AD384" s="106"/>
    </row>
    <row r="385" ht="28.5" customHeight="1">
      <c r="A385" s="62"/>
      <c r="B385" s="62"/>
      <c r="C385" s="62"/>
      <c r="D385" s="62"/>
      <c r="E385" s="62"/>
      <c r="F385" s="62"/>
      <c r="G385" s="72" t="s">
        <v>478</v>
      </c>
      <c r="H385" s="73">
        <v>24.0</v>
      </c>
      <c r="I385" s="1104">
        <f t="shared" si="73"/>
        <v>65000</v>
      </c>
      <c r="J385" s="1105">
        <f t="shared" si="74"/>
        <v>1560000</v>
      </c>
      <c r="K385" s="62"/>
      <c r="L385" s="62"/>
      <c r="M385" s="62"/>
      <c r="N385" s="62"/>
      <c r="O385" s="62"/>
      <c r="P385" s="62"/>
      <c r="Q385" s="62"/>
      <c r="R385" s="62"/>
      <c r="S385" s="62"/>
      <c r="T385" s="62"/>
      <c r="U385" s="62"/>
      <c r="V385" s="62"/>
      <c r="W385" s="62"/>
      <c r="X385" s="62"/>
      <c r="Y385" s="106"/>
      <c r="Z385" s="427"/>
      <c r="AA385" s="106"/>
      <c r="AB385" s="106"/>
      <c r="AC385" s="106"/>
      <c r="AD385" s="106"/>
    </row>
    <row r="386" ht="28.5" customHeight="1">
      <c r="A386" s="62"/>
      <c r="B386" s="62"/>
      <c r="C386" s="62"/>
      <c r="D386" s="62"/>
      <c r="E386" s="62"/>
      <c r="F386" s="62"/>
      <c r="G386" s="72" t="s">
        <v>476</v>
      </c>
      <c r="H386" s="73">
        <v>24.0</v>
      </c>
      <c r="I386" s="1104">
        <f t="shared" si="73"/>
        <v>55000</v>
      </c>
      <c r="J386" s="1105">
        <f t="shared" si="74"/>
        <v>1320000</v>
      </c>
      <c r="K386" s="62"/>
      <c r="L386" s="62"/>
      <c r="M386" s="62"/>
      <c r="N386" s="62"/>
      <c r="O386" s="62"/>
      <c r="P386" s="62"/>
      <c r="Q386" s="62"/>
      <c r="R386" s="62"/>
      <c r="S386" s="62"/>
      <c r="T386" s="62"/>
      <c r="U386" s="62"/>
      <c r="V386" s="62"/>
      <c r="W386" s="62"/>
      <c r="X386" s="62"/>
      <c r="Y386" s="106"/>
      <c r="Z386" s="427"/>
      <c r="AA386" s="106"/>
      <c r="AB386" s="106"/>
      <c r="AC386" s="106"/>
      <c r="AD386" s="106"/>
    </row>
    <row r="387" ht="28.5" customHeight="1">
      <c r="A387" s="67"/>
      <c r="B387" s="67"/>
      <c r="C387" s="67"/>
      <c r="D387" s="67"/>
      <c r="E387" s="67"/>
      <c r="F387" s="67"/>
      <c r="G387" s="72" t="s">
        <v>477</v>
      </c>
      <c r="H387" s="73">
        <v>24.0</v>
      </c>
      <c r="I387" s="1104">
        <f t="shared" si="73"/>
        <v>65000</v>
      </c>
      <c r="J387" s="1105">
        <f t="shared" si="74"/>
        <v>1560000</v>
      </c>
      <c r="K387" s="67"/>
      <c r="L387" s="67"/>
      <c r="M387" s="67"/>
      <c r="N387" s="67"/>
      <c r="O387" s="67"/>
      <c r="P387" s="67"/>
      <c r="Q387" s="67"/>
      <c r="R387" s="62"/>
      <c r="S387" s="62"/>
      <c r="T387" s="62"/>
      <c r="U387" s="67"/>
      <c r="V387" s="67"/>
      <c r="W387" s="67"/>
      <c r="X387" s="67"/>
      <c r="Y387" s="106"/>
      <c r="Z387" s="427"/>
      <c r="AA387" s="106"/>
      <c r="AB387" s="106"/>
      <c r="AC387" s="106"/>
      <c r="AD387" s="106"/>
    </row>
    <row r="388" ht="28.5" customHeight="1">
      <c r="A388" s="942">
        <v>203.0</v>
      </c>
      <c r="B388" s="1022">
        <v>45132.0</v>
      </c>
      <c r="C388" s="942">
        <v>1.713478954423E12</v>
      </c>
      <c r="D388" s="1038" t="s">
        <v>1842</v>
      </c>
      <c r="E388" s="944" t="s">
        <v>40</v>
      </c>
      <c r="F388" s="424" t="s">
        <v>1841</v>
      </c>
      <c r="G388" s="63" t="s">
        <v>30</v>
      </c>
      <c r="H388" s="64">
        <v>3.0</v>
      </c>
      <c r="I388" s="1094">
        <f t="shared" si="73"/>
        <v>220000</v>
      </c>
      <c r="J388" s="961">
        <f t="shared" si="74"/>
        <v>660000</v>
      </c>
      <c r="K388" s="1041">
        <f>sum(J388:J396)</f>
        <v>3210000</v>
      </c>
      <c r="L388" s="1031"/>
      <c r="M388" s="1025"/>
      <c r="N388" s="1055"/>
      <c r="O388" s="53">
        <f>K388+L388-N388</f>
        <v>3210000</v>
      </c>
      <c r="P388" s="1084"/>
      <c r="Q388" s="1084"/>
      <c r="R388" s="62"/>
      <c r="S388" s="62"/>
      <c r="T388" s="62"/>
      <c r="U388" s="1038" t="s">
        <v>30</v>
      </c>
      <c r="V388" s="942">
        <v>3.0</v>
      </c>
      <c r="W388" s="942" t="s">
        <v>1542</v>
      </c>
      <c r="X388" s="974"/>
      <c r="Y388" s="106"/>
      <c r="Z388" s="427"/>
      <c r="AA388" s="106"/>
      <c r="AB388" s="106"/>
      <c r="AC388" s="106"/>
      <c r="AD388" s="106"/>
    </row>
    <row r="389" ht="28.5" customHeight="1">
      <c r="A389" s="62"/>
      <c r="B389" s="62"/>
      <c r="C389" s="62"/>
      <c r="D389" s="62"/>
      <c r="E389" s="62"/>
      <c r="F389" s="62"/>
      <c r="G389" s="63" t="s">
        <v>47</v>
      </c>
      <c r="H389" s="64">
        <v>2.0</v>
      </c>
      <c r="I389" s="1094">
        <f t="shared" si="73"/>
        <v>220000</v>
      </c>
      <c r="J389" s="961">
        <f t="shared" si="74"/>
        <v>440000</v>
      </c>
      <c r="K389" s="62"/>
      <c r="L389" s="62"/>
      <c r="M389" s="62"/>
      <c r="N389" s="62"/>
      <c r="O389" s="62"/>
      <c r="P389" s="62"/>
      <c r="Q389" s="62"/>
      <c r="R389" s="62"/>
      <c r="S389" s="62"/>
      <c r="T389" s="62"/>
      <c r="U389" s="62"/>
      <c r="V389" s="62"/>
      <c r="W389" s="62"/>
      <c r="X389" s="62"/>
      <c r="Y389" s="106"/>
      <c r="Z389" s="427"/>
      <c r="AA389" s="106"/>
      <c r="AB389" s="106"/>
      <c r="AC389" s="106"/>
      <c r="AD389" s="106"/>
    </row>
    <row r="390" ht="28.5" customHeight="1">
      <c r="A390" s="62"/>
      <c r="B390" s="62"/>
      <c r="C390" s="62"/>
      <c r="D390" s="62"/>
      <c r="E390" s="62"/>
      <c r="F390" s="62"/>
      <c r="G390" s="63" t="s">
        <v>290</v>
      </c>
      <c r="H390" s="64">
        <v>3.0</v>
      </c>
      <c r="I390" s="1094">
        <f t="shared" si="73"/>
        <v>220000</v>
      </c>
      <c r="J390" s="961">
        <f t="shared" si="74"/>
        <v>660000</v>
      </c>
      <c r="K390" s="62"/>
      <c r="L390" s="62"/>
      <c r="M390" s="62"/>
      <c r="N390" s="62"/>
      <c r="O390" s="62"/>
      <c r="P390" s="62"/>
      <c r="Q390" s="62"/>
      <c r="R390" s="62"/>
      <c r="S390" s="62"/>
      <c r="T390" s="62"/>
      <c r="U390" s="62"/>
      <c r="V390" s="62"/>
      <c r="W390" s="62"/>
      <c r="X390" s="62"/>
      <c r="Y390" s="106"/>
      <c r="Z390" s="427"/>
      <c r="AA390" s="106"/>
      <c r="AB390" s="106"/>
      <c r="AC390" s="106"/>
      <c r="AD390" s="106"/>
    </row>
    <row r="391" ht="28.5" customHeight="1">
      <c r="A391" s="62"/>
      <c r="B391" s="62"/>
      <c r="C391" s="62"/>
      <c r="D391" s="62"/>
      <c r="E391" s="62"/>
      <c r="F391" s="62"/>
      <c r="G391" s="63" t="s">
        <v>165</v>
      </c>
      <c r="H391" s="64">
        <v>1.0</v>
      </c>
      <c r="I391" s="1094">
        <f t="shared" si="73"/>
        <v>220000</v>
      </c>
      <c r="J391" s="961">
        <f t="shared" si="74"/>
        <v>220000</v>
      </c>
      <c r="K391" s="62"/>
      <c r="L391" s="62"/>
      <c r="M391" s="62"/>
      <c r="N391" s="62"/>
      <c r="O391" s="62"/>
      <c r="P391" s="62"/>
      <c r="Q391" s="62"/>
      <c r="R391" s="62"/>
      <c r="S391" s="62"/>
      <c r="T391" s="62"/>
      <c r="U391" s="62"/>
      <c r="V391" s="62"/>
      <c r="W391" s="62"/>
      <c r="X391" s="62"/>
      <c r="Y391" s="106"/>
      <c r="Z391" s="427"/>
      <c r="AA391" s="106"/>
      <c r="AB391" s="106"/>
      <c r="AC391" s="106"/>
      <c r="AD391" s="106"/>
    </row>
    <row r="392" ht="28.5" customHeight="1">
      <c r="A392" s="62"/>
      <c r="B392" s="62"/>
      <c r="C392" s="62"/>
      <c r="D392" s="62"/>
      <c r="E392" s="62"/>
      <c r="F392" s="62"/>
      <c r="G392" s="63" t="s">
        <v>122</v>
      </c>
      <c r="H392" s="64">
        <v>1.0</v>
      </c>
      <c r="I392" s="1094">
        <f t="shared" si="73"/>
        <v>220000</v>
      </c>
      <c r="J392" s="961">
        <f t="shared" si="74"/>
        <v>220000</v>
      </c>
      <c r="K392" s="62"/>
      <c r="L392" s="62"/>
      <c r="M392" s="62"/>
      <c r="N392" s="62"/>
      <c r="O392" s="62"/>
      <c r="P392" s="62"/>
      <c r="Q392" s="62"/>
      <c r="R392" s="62"/>
      <c r="S392" s="62"/>
      <c r="T392" s="62"/>
      <c r="U392" s="62"/>
      <c r="V392" s="62"/>
      <c r="W392" s="62"/>
      <c r="X392" s="62"/>
      <c r="Y392" s="106"/>
      <c r="Z392" s="427"/>
      <c r="AA392" s="106"/>
      <c r="AB392" s="106"/>
      <c r="AC392" s="106"/>
      <c r="AD392" s="106"/>
    </row>
    <row r="393" ht="28.5" customHeight="1">
      <c r="A393" s="62"/>
      <c r="B393" s="62"/>
      <c r="C393" s="62"/>
      <c r="D393" s="62"/>
      <c r="E393" s="62"/>
      <c r="F393" s="62"/>
      <c r="G393" s="72" t="s">
        <v>76</v>
      </c>
      <c r="H393" s="73">
        <v>3.0</v>
      </c>
      <c r="I393" s="1104">
        <f t="shared" si="73"/>
        <v>90000</v>
      </c>
      <c r="J393" s="1105">
        <f t="shared" si="74"/>
        <v>270000</v>
      </c>
      <c r="K393" s="62"/>
      <c r="L393" s="62"/>
      <c r="M393" s="62"/>
      <c r="N393" s="62"/>
      <c r="O393" s="62"/>
      <c r="P393" s="62"/>
      <c r="Q393" s="62"/>
      <c r="R393" s="62"/>
      <c r="S393" s="62"/>
      <c r="T393" s="62"/>
      <c r="U393" s="62"/>
      <c r="V393" s="62"/>
      <c r="W393" s="62"/>
      <c r="X393" s="62"/>
      <c r="Y393" s="106"/>
      <c r="Z393" s="427"/>
      <c r="AA393" s="106"/>
      <c r="AB393" s="106"/>
      <c r="AC393" s="106"/>
      <c r="AD393" s="106"/>
    </row>
    <row r="394" ht="28.5" customHeight="1">
      <c r="A394" s="62"/>
      <c r="B394" s="62"/>
      <c r="C394" s="62"/>
      <c r="D394" s="62"/>
      <c r="E394" s="62"/>
      <c r="F394" s="62"/>
      <c r="G394" s="72" t="s">
        <v>478</v>
      </c>
      <c r="H394" s="73">
        <v>4.0</v>
      </c>
      <c r="I394" s="1104">
        <f t="shared" si="73"/>
        <v>65000</v>
      </c>
      <c r="J394" s="1105">
        <f t="shared" si="74"/>
        <v>260000</v>
      </c>
      <c r="K394" s="62"/>
      <c r="L394" s="62"/>
      <c r="M394" s="62"/>
      <c r="N394" s="62"/>
      <c r="O394" s="62"/>
      <c r="P394" s="62"/>
      <c r="Q394" s="62"/>
      <c r="R394" s="62"/>
      <c r="S394" s="62"/>
      <c r="T394" s="62"/>
      <c r="U394" s="62"/>
      <c r="V394" s="62"/>
      <c r="W394" s="62"/>
      <c r="X394" s="62"/>
      <c r="Y394" s="106"/>
      <c r="Z394" s="427"/>
      <c r="AA394" s="106"/>
      <c r="AB394" s="106"/>
      <c r="AC394" s="106"/>
      <c r="AD394" s="106"/>
    </row>
    <row r="395" ht="28.5" customHeight="1">
      <c r="A395" s="62"/>
      <c r="B395" s="62"/>
      <c r="C395" s="62"/>
      <c r="D395" s="62"/>
      <c r="E395" s="62"/>
      <c r="F395" s="62"/>
      <c r="G395" s="72" t="s">
        <v>476</v>
      </c>
      <c r="H395" s="73">
        <v>4.0</v>
      </c>
      <c r="I395" s="1104">
        <f t="shared" si="73"/>
        <v>55000</v>
      </c>
      <c r="J395" s="1105">
        <f t="shared" si="74"/>
        <v>220000</v>
      </c>
      <c r="K395" s="62"/>
      <c r="L395" s="62"/>
      <c r="M395" s="62"/>
      <c r="N395" s="62"/>
      <c r="O395" s="62"/>
      <c r="P395" s="62"/>
      <c r="Q395" s="62"/>
      <c r="R395" s="62"/>
      <c r="S395" s="62"/>
      <c r="T395" s="62"/>
      <c r="U395" s="62"/>
      <c r="V395" s="62"/>
      <c r="W395" s="62"/>
      <c r="X395" s="62"/>
      <c r="Y395" s="106"/>
      <c r="Z395" s="427"/>
      <c r="AA395" s="106"/>
      <c r="AB395" s="106"/>
      <c r="AC395" s="106"/>
      <c r="AD395" s="106"/>
    </row>
    <row r="396" ht="28.5" customHeight="1">
      <c r="A396" s="67"/>
      <c r="B396" s="67"/>
      <c r="C396" s="67"/>
      <c r="D396" s="67"/>
      <c r="E396" s="67"/>
      <c r="F396" s="67"/>
      <c r="G396" s="72" t="s">
        <v>477</v>
      </c>
      <c r="H396" s="73">
        <v>4.0</v>
      </c>
      <c r="I396" s="1104">
        <f t="shared" si="73"/>
        <v>65000</v>
      </c>
      <c r="J396" s="1105">
        <f t="shared" si="74"/>
        <v>260000</v>
      </c>
      <c r="K396" s="67"/>
      <c r="L396" s="67"/>
      <c r="M396" s="67"/>
      <c r="N396" s="67"/>
      <c r="O396" s="67"/>
      <c r="P396" s="67"/>
      <c r="Q396" s="67"/>
      <c r="R396" s="67"/>
      <c r="S396" s="67"/>
      <c r="T396" s="67"/>
      <c r="U396" s="67"/>
      <c r="V396" s="67"/>
      <c r="W396" s="67"/>
      <c r="X396" s="67"/>
      <c r="Y396" s="106"/>
      <c r="Z396" s="427"/>
      <c r="AA396" s="106"/>
      <c r="AB396" s="106"/>
      <c r="AC396" s="106"/>
      <c r="AD396" s="106"/>
    </row>
    <row r="397" ht="28.5" customHeight="1">
      <c r="A397" s="687"/>
      <c r="B397" s="687"/>
      <c r="C397" s="687"/>
      <c r="D397" s="429"/>
      <c r="E397" s="687"/>
      <c r="F397" s="693"/>
      <c r="G397" s="457"/>
      <c r="H397" s="85"/>
      <c r="I397" s="1094"/>
      <c r="J397" s="961"/>
      <c r="K397" s="686"/>
      <c r="L397" s="693"/>
      <c r="M397" s="688"/>
      <c r="N397" s="1049"/>
      <c r="O397" s="80"/>
      <c r="P397" s="1082"/>
      <c r="Q397" s="1082"/>
      <c r="R397" s="805"/>
      <c r="S397" s="1013"/>
      <c r="T397" s="691"/>
      <c r="U397" s="693"/>
      <c r="V397" s="687"/>
      <c r="W397" s="687"/>
      <c r="X397" s="687"/>
      <c r="Y397" s="106"/>
      <c r="Z397" s="427"/>
      <c r="AA397" s="106"/>
      <c r="AB397" s="106"/>
      <c r="AC397" s="106"/>
      <c r="AD397" s="106"/>
    </row>
    <row r="398" ht="24.75" customHeight="1">
      <c r="A398" s="9"/>
      <c r="B398" s="1106" t="s">
        <v>384</v>
      </c>
      <c r="D398" s="429"/>
      <c r="J398" s="199">
        <f>sum(J4:J397)</f>
        <v>190800000</v>
      </c>
      <c r="K398" s="76">
        <f>SUM(J398)</f>
        <v>190800000</v>
      </c>
      <c r="L398" s="201">
        <f t="shared" ref="L398:N398" si="77">SUM(L4:L397)</f>
        <v>739998</v>
      </c>
      <c r="M398" s="202">
        <f t="shared" si="77"/>
        <v>863721</v>
      </c>
      <c r="N398" s="201">
        <f t="shared" si="77"/>
        <v>283998</v>
      </c>
      <c r="O398" s="80">
        <f>K398+L398-N398-M398</f>
        <v>190392279</v>
      </c>
      <c r="P398" s="201"/>
      <c r="Q398" s="201">
        <f t="shared" ref="Q398:X398" si="78">SUM(Q4:Q397)</f>
        <v>0</v>
      </c>
      <c r="R398" s="201">
        <f t="shared" si="78"/>
        <v>7011099</v>
      </c>
      <c r="S398" s="201">
        <f t="shared" si="78"/>
        <v>0</v>
      </c>
      <c r="T398" s="201">
        <f t="shared" si="78"/>
        <v>0</v>
      </c>
      <c r="U398" s="201">
        <f t="shared" si="78"/>
        <v>0</v>
      </c>
      <c r="V398" s="201">
        <f t="shared" si="78"/>
        <v>295</v>
      </c>
      <c r="W398" s="202">
        <f t="shared" si="78"/>
        <v>0</v>
      </c>
      <c r="X398" s="1107">
        <f t="shared" si="78"/>
        <v>12</v>
      </c>
      <c r="Y398" s="9"/>
      <c r="Z398" s="204"/>
      <c r="AA398" s="205"/>
      <c r="AB398" s="205"/>
      <c r="AC398" s="205"/>
      <c r="AD398" s="9"/>
    </row>
    <row r="399" ht="24.75" customHeight="1">
      <c r="A399" s="9"/>
      <c r="B399" s="463" t="s">
        <v>385</v>
      </c>
      <c r="C399" s="16"/>
      <c r="D399" s="16"/>
      <c r="E399" s="16"/>
      <c r="F399" s="16"/>
      <c r="G399" s="16"/>
      <c r="H399" s="16"/>
      <c r="I399" s="17"/>
      <c r="J399" s="207">
        <f>SUMIF(G4:G397, "&lt;&gt;*Omi*", J4:J397)</f>
        <v>14565000</v>
      </c>
      <c r="K399" s="208"/>
      <c r="L399" s="208"/>
      <c r="M399" s="209"/>
      <c r="N399" s="210"/>
      <c r="O399" s="211"/>
      <c r="P399" s="210"/>
      <c r="Q399" s="210"/>
      <c r="R399" s="23"/>
      <c r="S399" s="23"/>
      <c r="T399" s="23"/>
      <c r="U399" s="23"/>
      <c r="V399" s="1108"/>
      <c r="W399" s="209"/>
      <c r="X399" s="589"/>
      <c r="Y399" s="9"/>
      <c r="Z399" s="204"/>
      <c r="AA399" s="205"/>
      <c r="AB399" s="205"/>
      <c r="AC399" s="205"/>
      <c r="AD399" s="9"/>
    </row>
    <row r="400" ht="24.75" customHeight="1">
      <c r="A400" s="9"/>
      <c r="B400" s="214" t="s">
        <v>386</v>
      </c>
      <c r="C400" s="16"/>
      <c r="D400" s="16"/>
      <c r="E400" s="16"/>
      <c r="F400" s="16"/>
      <c r="G400" s="16"/>
      <c r="H400" s="16"/>
      <c r="I400" s="17"/>
      <c r="J400" s="215">
        <f>J398-J399</f>
        <v>176235000</v>
      </c>
      <c r="K400" s="208"/>
      <c r="L400" s="216"/>
      <c r="M400" s="216"/>
      <c r="N400" s="216"/>
      <c r="O400" s="216"/>
      <c r="P400" s="216"/>
      <c r="Q400" s="23"/>
      <c r="R400" s="23"/>
      <c r="S400" s="23"/>
      <c r="T400" s="23"/>
      <c r="U400" s="23"/>
      <c r="V400" s="1108"/>
      <c r="W400" s="209"/>
      <c r="X400" s="589"/>
      <c r="Y400" s="9"/>
      <c r="Z400" s="204"/>
      <c r="AA400" s="205"/>
      <c r="AB400" s="205"/>
      <c r="AC400" s="205"/>
      <c r="AD400" s="9"/>
    </row>
    <row r="401" ht="24.75" customHeight="1">
      <c r="A401" s="9"/>
      <c r="B401" s="217" t="s">
        <v>387</v>
      </c>
      <c r="C401" s="16"/>
      <c r="D401" s="16"/>
      <c r="E401" s="16"/>
      <c r="F401" s="16"/>
      <c r="G401" s="16"/>
      <c r="H401" s="16"/>
      <c r="I401" s="17"/>
      <c r="J401" s="207">
        <f>R398</f>
        <v>7011099</v>
      </c>
      <c r="K401" s="208"/>
      <c r="L401" s="216"/>
      <c r="M401" s="216"/>
      <c r="N401" s="216"/>
      <c r="O401" s="216"/>
      <c r="P401" s="216"/>
      <c r="Q401" s="23"/>
      <c r="R401" s="23"/>
      <c r="S401" s="23"/>
      <c r="T401" s="23"/>
      <c r="U401" s="23"/>
      <c r="V401" s="464"/>
      <c r="W401" s="1109"/>
      <c r="X401" s="589"/>
      <c r="Y401" s="218"/>
      <c r="Z401" s="219"/>
      <c r="AA401" s="205"/>
      <c r="AB401" s="205"/>
      <c r="AC401" s="205"/>
      <c r="AD401" s="9"/>
    </row>
    <row r="402" ht="24.75" customHeight="1">
      <c r="A402" s="9"/>
      <c r="B402" s="220" t="s">
        <v>388</v>
      </c>
      <c r="C402" s="16"/>
      <c r="D402" s="16"/>
      <c r="E402" s="16"/>
      <c r="F402" s="16"/>
      <c r="G402" s="16"/>
      <c r="H402" s="16"/>
      <c r="I402" s="17"/>
      <c r="J402" s="221">
        <f>N398+M398</f>
        <v>1147719</v>
      </c>
      <c r="K402" s="208"/>
      <c r="L402" s="208"/>
      <c r="M402" s="210"/>
      <c r="N402" s="210"/>
      <c r="O402" s="211"/>
      <c r="P402" s="210"/>
      <c r="Q402" s="210"/>
      <c r="R402" s="23"/>
      <c r="S402" s="23"/>
      <c r="T402" s="210"/>
      <c r="U402" s="210"/>
      <c r="V402" s="466"/>
      <c r="W402" s="1110"/>
      <c r="X402" s="1111"/>
      <c r="Y402" s="218"/>
      <c r="Z402" s="219"/>
      <c r="AA402" s="205"/>
      <c r="AB402" s="205"/>
      <c r="AC402" s="205"/>
      <c r="AD402" s="9"/>
    </row>
    <row r="403" ht="15.75" customHeight="1">
      <c r="A403" s="9"/>
      <c r="B403" s="9"/>
      <c r="C403" s="9"/>
      <c r="D403" s="9"/>
      <c r="E403" s="9"/>
      <c r="F403" s="222"/>
      <c r="G403" s="223"/>
      <c r="H403" s="224"/>
      <c r="I403" s="225"/>
      <c r="J403" s="225"/>
      <c r="K403" s="22"/>
      <c r="L403" s="556"/>
      <c r="M403" s="9"/>
      <c r="N403" s="9"/>
      <c r="O403" s="226"/>
      <c r="P403" s="9"/>
      <c r="Q403" s="9"/>
      <c r="R403" s="9"/>
      <c r="S403" s="9"/>
      <c r="T403" s="9"/>
      <c r="U403" s="9"/>
      <c r="V403" s="913"/>
      <c r="W403" s="1112"/>
      <c r="X403" s="589"/>
      <c r="Y403" s="9"/>
      <c r="Z403" s="204"/>
      <c r="AA403" s="205"/>
      <c r="AB403" s="205"/>
      <c r="AC403" s="205"/>
      <c r="AD403" s="9"/>
    </row>
    <row r="404" ht="15.75" customHeight="1">
      <c r="A404" s="218"/>
      <c r="B404" s="227"/>
      <c r="C404" s="228"/>
      <c r="D404" s="229"/>
      <c r="E404" s="230"/>
      <c r="F404" s="229"/>
      <c r="G404" s="231"/>
      <c r="H404" s="231"/>
      <c r="I404" s="231"/>
      <c r="J404" s="232"/>
      <c r="K404" s="233"/>
      <c r="L404" s="232"/>
      <c r="M404" s="232"/>
      <c r="N404" s="232"/>
      <c r="O404" s="234"/>
      <c r="P404" s="218"/>
      <c r="Q404" s="218"/>
      <c r="R404" s="218"/>
      <c r="S404" s="218"/>
      <c r="T404" s="218"/>
      <c r="U404" s="218"/>
      <c r="V404" s="601"/>
      <c r="W404" s="1113"/>
      <c r="X404" s="1111"/>
      <c r="Y404" s="218"/>
      <c r="Z404" s="219"/>
      <c r="AA404" s="205"/>
      <c r="AB404" s="205"/>
      <c r="AC404" s="205"/>
      <c r="AD404" s="9"/>
    </row>
    <row r="405" ht="15.75" customHeight="1">
      <c r="A405" s="218"/>
      <c r="B405" s="236"/>
      <c r="C405" s="16"/>
      <c r="D405" s="17"/>
      <c r="E405" s="237" t="s">
        <v>389</v>
      </c>
      <c r="F405" s="16"/>
      <c r="G405" s="16"/>
      <c r="H405" s="16"/>
      <c r="I405" s="16"/>
      <c r="J405" s="17"/>
      <c r="K405" s="23"/>
      <c r="L405" s="218"/>
      <c r="M405" s="238"/>
      <c r="N405" s="602" t="s">
        <v>864</v>
      </c>
      <c r="O405" s="16"/>
      <c r="P405" s="16"/>
      <c r="Q405" s="16"/>
      <c r="R405" s="16"/>
      <c r="S405" s="16"/>
      <c r="T405" s="17"/>
      <c r="U405" s="275"/>
      <c r="V405" s="603"/>
      <c r="W405" s="1110"/>
      <c r="X405" s="1111"/>
      <c r="Y405" s="218"/>
      <c r="Z405" s="219"/>
      <c r="AA405" s="205"/>
      <c r="AB405" s="205"/>
      <c r="AC405" s="205"/>
      <c r="AD405" s="9"/>
    </row>
    <row r="406" ht="15.75" customHeight="1">
      <c r="A406" s="218"/>
      <c r="B406" s="241" t="s">
        <v>391</v>
      </c>
      <c r="C406" s="242" t="s">
        <v>392</v>
      </c>
      <c r="D406" s="243" t="s">
        <v>393</v>
      </c>
      <c r="E406" s="244" t="s">
        <v>394</v>
      </c>
      <c r="F406" s="245" t="s">
        <v>395</v>
      </c>
      <c r="G406" s="201" t="s">
        <v>396</v>
      </c>
      <c r="H406" s="243" t="s">
        <v>397</v>
      </c>
      <c r="I406" s="246" t="s">
        <v>398</v>
      </c>
      <c r="J406" s="247" t="s">
        <v>399</v>
      </c>
      <c r="K406" s="23"/>
      <c r="L406" s="218"/>
      <c r="M406" s="248"/>
      <c r="N406" s="605" t="s">
        <v>400</v>
      </c>
      <c r="O406" s="250" t="s">
        <v>1843</v>
      </c>
      <c r="P406" s="250" t="s">
        <v>1529</v>
      </c>
      <c r="Q406" s="251" t="s">
        <v>1844</v>
      </c>
      <c r="R406" s="251" t="s">
        <v>1530</v>
      </c>
      <c r="S406" s="252" t="s">
        <v>405</v>
      </c>
      <c r="T406" s="253" t="s">
        <v>406</v>
      </c>
      <c r="U406" s="606"/>
      <c r="V406" s="607"/>
      <c r="W406" s="1112"/>
      <c r="X406" s="1111"/>
      <c r="Y406" s="218"/>
      <c r="Z406" s="219"/>
      <c r="AA406" s="205"/>
      <c r="AB406" s="205"/>
      <c r="AC406" s="205"/>
      <c r="AD406" s="9"/>
    </row>
    <row r="407" ht="15.75" customHeight="1">
      <c r="A407" s="218"/>
      <c r="B407" s="254" t="s">
        <v>407</v>
      </c>
      <c r="C407" s="85" t="s">
        <v>121</v>
      </c>
      <c r="D407" s="255">
        <f t="shared" ref="D407:D425" si="79">SUMIF($G$4:$G$400,C407,$H$4:$H$400)</f>
        <v>102</v>
      </c>
      <c r="E407" s="65"/>
      <c r="F407" s="613">
        <v>1.0</v>
      </c>
      <c r="G407" s="256">
        <f t="shared" ref="G407:G447" si="80">D407-E407-F407</f>
        <v>101</v>
      </c>
      <c r="H407" s="128">
        <v>220000.0</v>
      </c>
      <c r="I407" s="217">
        <f t="shared" ref="I407:I447" si="81">G407*H407</f>
        <v>22220000</v>
      </c>
      <c r="J407" s="774" t="s">
        <v>1845</v>
      </c>
      <c r="K407" s="23"/>
      <c r="L407" s="218"/>
      <c r="M407" s="258"/>
      <c r="N407" s="103">
        <v>45103.0</v>
      </c>
      <c r="O407" s="261">
        <f>660000+2200000+2200000+1180000+1760000</f>
        <v>8000000</v>
      </c>
      <c r="P407" s="261"/>
      <c r="Q407" s="263">
        <f>50759+65997+51999+134002+84999+49000+159115</f>
        <v>595871</v>
      </c>
      <c r="R407" s="263"/>
      <c r="S407" s="609">
        <f t="shared" ref="S407:S439" si="82">O407+P407-Q407-R407</f>
        <v>7404129</v>
      </c>
      <c r="T407" s="488"/>
      <c r="U407" s="282"/>
      <c r="V407" s="610"/>
      <c r="W407" s="1114"/>
      <c r="X407" s="1111"/>
      <c r="Y407" s="218"/>
      <c r="Z407" s="219"/>
      <c r="AA407" s="205"/>
      <c r="AB407" s="205"/>
      <c r="AC407" s="205"/>
      <c r="AD407" s="9"/>
    </row>
    <row r="408" ht="15.75" customHeight="1">
      <c r="A408" s="218"/>
      <c r="B408" s="62"/>
      <c r="C408" s="85" t="s">
        <v>123</v>
      </c>
      <c r="D408" s="255">
        <f t="shared" si="79"/>
        <v>5</v>
      </c>
      <c r="E408" s="65"/>
      <c r="F408" s="255"/>
      <c r="G408" s="256">
        <f t="shared" si="80"/>
        <v>5</v>
      </c>
      <c r="H408" s="128">
        <v>220000.0</v>
      </c>
      <c r="I408" s="217">
        <f t="shared" si="81"/>
        <v>1100000</v>
      </c>
      <c r="J408" s="257">
        <f t="shared" ref="J408:J426" si="83">SUMIF($U$4:$U$397,C408,$V$4:$V$397)</f>
        <v>0</v>
      </c>
      <c r="K408" s="23"/>
      <c r="L408" s="218"/>
      <c r="M408" s="258"/>
      <c r="N408" s="103">
        <v>45103.0</v>
      </c>
      <c r="O408" s="261">
        <f>212983+640512</f>
        <v>853495</v>
      </c>
      <c r="P408" s="261"/>
      <c r="Q408" s="487"/>
      <c r="R408" s="263"/>
      <c r="S408" s="609">
        <f t="shared" si="82"/>
        <v>853495</v>
      </c>
      <c r="T408" s="483" t="s">
        <v>1846</v>
      </c>
      <c r="U408" s="282"/>
      <c r="V408" s="610"/>
      <c r="W408" s="1110"/>
      <c r="X408" s="1111"/>
      <c r="Y408" s="218"/>
      <c r="Z408" s="219"/>
      <c r="AA408" s="205"/>
      <c r="AB408" s="205"/>
      <c r="AC408" s="205"/>
      <c r="AD408" s="9"/>
    </row>
    <row r="409" ht="15.75" customHeight="1">
      <c r="A409" s="218"/>
      <c r="B409" s="62"/>
      <c r="C409" s="85" t="s">
        <v>124</v>
      </c>
      <c r="D409" s="255">
        <f t="shared" si="79"/>
        <v>14</v>
      </c>
      <c r="E409" s="65"/>
      <c r="F409" s="255"/>
      <c r="G409" s="256">
        <f t="shared" si="80"/>
        <v>14</v>
      </c>
      <c r="H409" s="128">
        <v>220000.0</v>
      </c>
      <c r="I409" s="217">
        <f t="shared" si="81"/>
        <v>3080000</v>
      </c>
      <c r="J409" s="257">
        <f t="shared" si="83"/>
        <v>19</v>
      </c>
      <c r="K409" s="23"/>
      <c r="L409" s="218"/>
      <c r="M409" s="258"/>
      <c r="N409" s="103">
        <v>45105.0</v>
      </c>
      <c r="O409" s="261">
        <f>660000+1100000</f>
        <v>1760000</v>
      </c>
      <c r="P409" s="261"/>
      <c r="Q409" s="487">
        <f>57999+92000+49000+57999</f>
        <v>256998</v>
      </c>
      <c r="R409" s="263"/>
      <c r="S409" s="609">
        <f t="shared" si="82"/>
        <v>1503002</v>
      </c>
      <c r="T409" s="483"/>
      <c r="U409" s="282"/>
      <c r="V409" s="610"/>
      <c r="W409" s="1112"/>
      <c r="X409" s="1111"/>
      <c r="Y409" s="218"/>
      <c r="Z409" s="219"/>
      <c r="AA409" s="205"/>
      <c r="AB409" s="205"/>
      <c r="AC409" s="205"/>
      <c r="AD409" s="9"/>
    </row>
    <row r="410" ht="15.75" customHeight="1">
      <c r="A410" s="218"/>
      <c r="B410" s="62"/>
      <c r="C410" s="129" t="s">
        <v>125</v>
      </c>
      <c r="D410" s="255">
        <f t="shared" si="79"/>
        <v>0</v>
      </c>
      <c r="E410" s="65"/>
      <c r="F410" s="255"/>
      <c r="G410" s="256">
        <f t="shared" si="80"/>
        <v>0</v>
      </c>
      <c r="H410" s="80">
        <v>220000.0</v>
      </c>
      <c r="I410" s="217">
        <f t="shared" si="81"/>
        <v>0</v>
      </c>
      <c r="J410" s="257">
        <f t="shared" si="83"/>
        <v>0</v>
      </c>
      <c r="K410" s="23"/>
      <c r="L410" s="218"/>
      <c r="M410" s="258"/>
      <c r="N410" s="103">
        <v>45106.0</v>
      </c>
      <c r="O410" s="261">
        <f>213403+426800+213343+212743</f>
        <v>1066289</v>
      </c>
      <c r="P410" s="261"/>
      <c r="Q410" s="487"/>
      <c r="R410" s="263"/>
      <c r="S410" s="609">
        <f t="shared" si="82"/>
        <v>1066289</v>
      </c>
      <c r="T410" s="483" t="s">
        <v>1846</v>
      </c>
      <c r="U410" s="282"/>
      <c r="V410" s="610"/>
      <c r="W410" s="1114"/>
      <c r="X410" s="1111"/>
      <c r="Y410" s="218"/>
      <c r="Z410" s="219"/>
      <c r="AA410" s="205"/>
      <c r="AB410" s="205"/>
      <c r="AC410" s="205"/>
      <c r="AD410" s="9"/>
    </row>
    <row r="411" ht="15.75" customHeight="1">
      <c r="A411" s="218"/>
      <c r="B411" s="62"/>
      <c r="C411" s="129" t="s">
        <v>129</v>
      </c>
      <c r="D411" s="255">
        <f t="shared" si="79"/>
        <v>39</v>
      </c>
      <c r="E411" s="268"/>
      <c r="F411" s="269"/>
      <c r="G411" s="256">
        <f t="shared" si="80"/>
        <v>39</v>
      </c>
      <c r="H411" s="80">
        <v>220000.0</v>
      </c>
      <c r="I411" s="217">
        <f t="shared" si="81"/>
        <v>8580000</v>
      </c>
      <c r="J411" s="257">
        <f t="shared" si="83"/>
        <v>4</v>
      </c>
      <c r="K411" s="23"/>
      <c r="L411" s="218"/>
      <c r="M411" s="258"/>
      <c r="N411" s="103">
        <v>45107.0</v>
      </c>
      <c r="O411" s="261">
        <f>2600000</f>
        <v>2600000</v>
      </c>
      <c r="P411" s="261">
        <f>O4+O9+O7</f>
        <v>8550000</v>
      </c>
      <c r="Q411" s="487"/>
      <c r="R411" s="263">
        <f>L9+R8+R7+R4</f>
        <v>324004</v>
      </c>
      <c r="S411" s="609">
        <f t="shared" si="82"/>
        <v>10825996</v>
      </c>
      <c r="T411" s="488"/>
      <c r="U411" s="282"/>
      <c r="V411" s="610"/>
      <c r="W411" s="1110"/>
      <c r="X411" s="1111"/>
      <c r="Y411" s="218"/>
      <c r="Z411" s="219"/>
      <c r="AA411" s="205"/>
      <c r="AB411" s="205"/>
      <c r="AC411" s="205"/>
      <c r="AD411" s="9"/>
    </row>
    <row r="412" ht="15.75" customHeight="1">
      <c r="A412" s="218"/>
      <c r="B412" s="62"/>
      <c r="C412" s="85" t="s">
        <v>133</v>
      </c>
      <c r="D412" s="255">
        <f t="shared" si="79"/>
        <v>34</v>
      </c>
      <c r="E412" s="65"/>
      <c r="F412" s="269"/>
      <c r="G412" s="256">
        <f t="shared" si="80"/>
        <v>34</v>
      </c>
      <c r="H412" s="128">
        <v>220000.0</v>
      </c>
      <c r="I412" s="217">
        <f t="shared" si="81"/>
        <v>7480000</v>
      </c>
      <c r="J412" s="257">
        <f t="shared" si="83"/>
        <v>6</v>
      </c>
      <c r="K412" s="23"/>
      <c r="L412" s="218"/>
      <c r="M412" s="258"/>
      <c r="N412" s="103">
        <v>45108.0</v>
      </c>
      <c r="O412" s="261">
        <f>212743+212263</f>
        <v>425006</v>
      </c>
      <c r="P412" s="261"/>
      <c r="Q412" s="487"/>
      <c r="R412" s="263"/>
      <c r="S412" s="609">
        <f t="shared" si="82"/>
        <v>425006</v>
      </c>
      <c r="T412" s="483" t="s">
        <v>1846</v>
      </c>
      <c r="U412" s="282"/>
      <c r="V412" s="610"/>
      <c r="W412" s="1112"/>
      <c r="X412" s="1111"/>
      <c r="Y412" s="218"/>
      <c r="Z412" s="219"/>
      <c r="AA412" s="205"/>
      <c r="AB412" s="205"/>
      <c r="AC412" s="205"/>
      <c r="AD412" s="9"/>
    </row>
    <row r="413" ht="15.75" customHeight="1">
      <c r="A413" s="218"/>
      <c r="B413" s="62"/>
      <c r="C413" s="85" t="s">
        <v>135</v>
      </c>
      <c r="D413" s="255">
        <f t="shared" si="79"/>
        <v>0</v>
      </c>
      <c r="E413" s="268"/>
      <c r="F413" s="269"/>
      <c r="G413" s="256">
        <f t="shared" si="80"/>
        <v>0</v>
      </c>
      <c r="H413" s="128">
        <v>220000.0</v>
      </c>
      <c r="I413" s="217">
        <f t="shared" si="81"/>
        <v>0</v>
      </c>
      <c r="J413" s="257">
        <f t="shared" si="83"/>
        <v>3</v>
      </c>
      <c r="K413" s="23"/>
      <c r="L413" s="218"/>
      <c r="M413" s="258"/>
      <c r="N413" s="103">
        <v>45110.0</v>
      </c>
      <c r="O413" s="496">
        <f>212923+213343</f>
        <v>426266</v>
      </c>
      <c r="P413" s="261"/>
      <c r="Q413" s="487"/>
      <c r="R413" s="263"/>
      <c r="S413" s="609">
        <f t="shared" si="82"/>
        <v>426266</v>
      </c>
      <c r="T413" s="483" t="s">
        <v>1846</v>
      </c>
      <c r="U413" s="282"/>
      <c r="V413" s="610"/>
      <c r="W413" s="1114"/>
      <c r="X413" s="1111"/>
      <c r="Y413" s="218"/>
      <c r="Z413" s="219"/>
      <c r="AA413" s="205"/>
      <c r="AB413" s="205"/>
      <c r="AC413" s="205"/>
      <c r="AD413" s="9"/>
    </row>
    <row r="414" ht="15.75" customHeight="1">
      <c r="A414" s="218"/>
      <c r="B414" s="62"/>
      <c r="C414" s="85" t="s">
        <v>139</v>
      </c>
      <c r="D414" s="255">
        <f t="shared" si="79"/>
        <v>87</v>
      </c>
      <c r="E414" s="65"/>
      <c r="F414" s="269"/>
      <c r="G414" s="256">
        <f t="shared" si="80"/>
        <v>87</v>
      </c>
      <c r="H414" s="128">
        <v>80000.0</v>
      </c>
      <c r="I414" s="217">
        <f t="shared" si="81"/>
        <v>6960000</v>
      </c>
      <c r="J414" s="257">
        <f t="shared" si="83"/>
        <v>24</v>
      </c>
      <c r="K414" s="23"/>
      <c r="L414" s="218"/>
      <c r="M414" s="258"/>
      <c r="N414" s="103">
        <v>45110.0</v>
      </c>
      <c r="O414" s="261"/>
      <c r="P414" s="261">
        <f>O12+O27+O21</f>
        <v>4690000</v>
      </c>
      <c r="Q414" s="487"/>
      <c r="R414" s="263">
        <f>R12+R27+L21+R24+R28</f>
        <v>327498</v>
      </c>
      <c r="S414" s="609">
        <f t="shared" si="82"/>
        <v>4362502</v>
      </c>
      <c r="T414" s="488"/>
      <c r="U414" s="282"/>
      <c r="V414" s="610"/>
      <c r="W414" s="1110"/>
      <c r="X414" s="1111"/>
      <c r="Y414" s="218"/>
      <c r="Z414" s="219"/>
      <c r="AA414" s="205"/>
      <c r="AB414" s="205"/>
      <c r="AC414" s="205"/>
      <c r="AD414" s="9"/>
    </row>
    <row r="415" ht="15.75" customHeight="1">
      <c r="A415" s="218"/>
      <c r="B415" s="62"/>
      <c r="C415" s="85" t="s">
        <v>142</v>
      </c>
      <c r="D415" s="255">
        <f t="shared" si="79"/>
        <v>13</v>
      </c>
      <c r="E415" s="65"/>
      <c r="F415" s="269"/>
      <c r="G415" s="256">
        <f t="shared" si="80"/>
        <v>13</v>
      </c>
      <c r="H415" s="128">
        <v>220000.0</v>
      </c>
      <c r="I415" s="217">
        <f t="shared" si="81"/>
        <v>2860000</v>
      </c>
      <c r="J415" s="257">
        <f t="shared" si="83"/>
        <v>0</v>
      </c>
      <c r="K415" s="23"/>
      <c r="L415" s="218"/>
      <c r="M415" s="258"/>
      <c r="N415" s="103">
        <v>45112.0</v>
      </c>
      <c r="O415" s="261"/>
      <c r="P415" s="261">
        <f>O28+O43+O39</f>
        <v>3935000</v>
      </c>
      <c r="Q415" s="487"/>
      <c r="R415" s="263">
        <f>R43+R39</f>
        <v>87999</v>
      </c>
      <c r="S415" s="609">
        <f t="shared" si="82"/>
        <v>3847001</v>
      </c>
      <c r="T415" s="488"/>
      <c r="U415" s="282"/>
      <c r="V415" s="610"/>
      <c r="W415" s="1112"/>
      <c r="X415" s="1111"/>
      <c r="Y415" s="218"/>
      <c r="Z415" s="219"/>
      <c r="AA415" s="205"/>
      <c r="AB415" s="205"/>
      <c r="AC415" s="205"/>
      <c r="AD415" s="9"/>
    </row>
    <row r="416" ht="15.75" customHeight="1">
      <c r="A416" s="218"/>
      <c r="B416" s="62"/>
      <c r="C416" s="85" t="s">
        <v>145</v>
      </c>
      <c r="D416" s="255">
        <f t="shared" si="79"/>
        <v>506</v>
      </c>
      <c r="E416" s="93">
        <v>1.0</v>
      </c>
      <c r="F416" s="774">
        <v>3.0</v>
      </c>
      <c r="G416" s="256">
        <f t="shared" si="80"/>
        <v>502</v>
      </c>
      <c r="H416" s="128">
        <v>220000.0</v>
      </c>
      <c r="I416" s="217">
        <f t="shared" si="81"/>
        <v>110440000</v>
      </c>
      <c r="J416" s="257">
        <f t="shared" si="83"/>
        <v>70</v>
      </c>
      <c r="K416" s="23"/>
      <c r="L416" s="218"/>
      <c r="M416" s="258"/>
      <c r="N416" s="103">
        <v>45112.0</v>
      </c>
      <c r="O416" s="261"/>
      <c r="P416" s="261">
        <f>220000</f>
        <v>220000</v>
      </c>
      <c r="Q416" s="487"/>
      <c r="R416" s="263"/>
      <c r="S416" s="609">
        <f t="shared" si="82"/>
        <v>220000</v>
      </c>
      <c r="T416" s="483" t="s">
        <v>1847</v>
      </c>
      <c r="U416" s="282"/>
      <c r="V416" s="610"/>
      <c r="W416" s="1114"/>
      <c r="X416" s="1111"/>
      <c r="Y416" s="218"/>
      <c r="Z416" s="219"/>
      <c r="AA416" s="205"/>
      <c r="AB416" s="205"/>
      <c r="AC416" s="205"/>
      <c r="AD416" s="9"/>
    </row>
    <row r="417" ht="15.75" customHeight="1">
      <c r="A417" s="218"/>
      <c r="B417" s="62"/>
      <c r="C417" s="85" t="s">
        <v>153</v>
      </c>
      <c r="D417" s="255">
        <f t="shared" si="79"/>
        <v>3</v>
      </c>
      <c r="E417" s="65"/>
      <c r="F417" s="269"/>
      <c r="G417" s="256">
        <f t="shared" si="80"/>
        <v>3</v>
      </c>
      <c r="H417" s="128">
        <v>45000.0</v>
      </c>
      <c r="I417" s="217">
        <f t="shared" si="81"/>
        <v>135000</v>
      </c>
      <c r="J417" s="257">
        <f t="shared" si="83"/>
        <v>46</v>
      </c>
      <c r="K417" s="23"/>
      <c r="L417" s="218"/>
      <c r="M417" s="258"/>
      <c r="N417" s="103">
        <v>45114.0</v>
      </c>
      <c r="O417" s="261"/>
      <c r="P417" s="261">
        <f>660000</f>
        <v>660000</v>
      </c>
      <c r="Q417" s="487"/>
      <c r="R417" s="263"/>
      <c r="S417" s="609">
        <f t="shared" si="82"/>
        <v>660000</v>
      </c>
      <c r="T417" s="483" t="s">
        <v>1847</v>
      </c>
      <c r="U417" s="282"/>
      <c r="V417" s="610"/>
      <c r="W417" s="1110"/>
      <c r="X417" s="1111"/>
      <c r="Y417" s="218"/>
      <c r="Z417" s="219"/>
      <c r="AA417" s="205"/>
      <c r="AB417" s="205"/>
      <c r="AC417" s="205"/>
      <c r="AD417" s="9"/>
    </row>
    <row r="418" ht="15.75" customHeight="1">
      <c r="A418" s="218"/>
      <c r="B418" s="62"/>
      <c r="C418" s="273" t="s">
        <v>161</v>
      </c>
      <c r="D418" s="255">
        <f t="shared" si="79"/>
        <v>3</v>
      </c>
      <c r="E418" s="65"/>
      <c r="F418" s="269"/>
      <c r="G418" s="256">
        <f t="shared" si="80"/>
        <v>3</v>
      </c>
      <c r="H418" s="274">
        <v>220000.0</v>
      </c>
      <c r="I418" s="217">
        <f t="shared" si="81"/>
        <v>660000</v>
      </c>
      <c r="J418" s="257">
        <f t="shared" si="83"/>
        <v>0</v>
      </c>
      <c r="K418" s="23"/>
      <c r="L418" s="218"/>
      <c r="M418" s="258"/>
      <c r="N418" s="103">
        <v>45114.0</v>
      </c>
      <c r="O418" s="261"/>
      <c r="P418" s="261">
        <f>O24+O46+O58+O51+O45+O49+O60+O50</f>
        <v>3410000</v>
      </c>
      <c r="Q418" s="487"/>
      <c r="R418" s="263">
        <f>R46+R61+L49+L50+L51+R58+L60+R44+L45</f>
        <v>388000</v>
      </c>
      <c r="S418" s="609">
        <f t="shared" si="82"/>
        <v>3022000</v>
      </c>
      <c r="T418" s="488"/>
      <c r="U418" s="282"/>
      <c r="V418" s="610"/>
      <c r="W418" s="1112"/>
      <c r="X418" s="1111"/>
      <c r="Y418" s="218"/>
      <c r="Z418" s="219"/>
      <c r="AA418" s="205"/>
      <c r="AB418" s="205"/>
      <c r="AC418" s="205"/>
      <c r="AD418" s="9"/>
    </row>
    <row r="419" ht="15.75" customHeight="1">
      <c r="A419" s="218"/>
      <c r="B419" s="62"/>
      <c r="C419" s="273" t="s">
        <v>488</v>
      </c>
      <c r="D419" s="255">
        <f t="shared" si="79"/>
        <v>1</v>
      </c>
      <c r="E419" s="65"/>
      <c r="F419" s="269"/>
      <c r="G419" s="256">
        <f t="shared" si="80"/>
        <v>1</v>
      </c>
      <c r="H419" s="274">
        <v>45000.0</v>
      </c>
      <c r="I419" s="217">
        <f t="shared" si="81"/>
        <v>45000</v>
      </c>
      <c r="J419" s="257">
        <f t="shared" si="83"/>
        <v>46</v>
      </c>
      <c r="K419" s="23"/>
      <c r="L419" s="218"/>
      <c r="M419" s="258"/>
      <c r="N419" s="103">
        <v>45115.0</v>
      </c>
      <c r="O419" s="261"/>
      <c r="P419" s="261">
        <f>212743+213793</f>
        <v>426536</v>
      </c>
      <c r="Q419" s="487"/>
      <c r="R419" s="263"/>
      <c r="S419" s="609">
        <f t="shared" si="82"/>
        <v>426536</v>
      </c>
      <c r="T419" s="483" t="s">
        <v>1846</v>
      </c>
      <c r="U419" s="282"/>
      <c r="V419" s="610"/>
      <c r="W419" s="1114"/>
      <c r="X419" s="1111"/>
      <c r="Y419" s="218"/>
      <c r="Z419" s="219"/>
      <c r="AA419" s="205"/>
      <c r="AB419" s="205"/>
      <c r="AC419" s="205"/>
      <c r="AD419" s="9"/>
    </row>
    <row r="420" ht="15.75" customHeight="1">
      <c r="A420" s="218"/>
      <c r="B420" s="62"/>
      <c r="C420" s="273" t="s">
        <v>412</v>
      </c>
      <c r="D420" s="255">
        <f t="shared" si="79"/>
        <v>3</v>
      </c>
      <c r="E420" s="65"/>
      <c r="F420" s="269"/>
      <c r="G420" s="256">
        <f t="shared" si="80"/>
        <v>3</v>
      </c>
      <c r="H420" s="274">
        <v>45000.0</v>
      </c>
      <c r="I420" s="217">
        <f t="shared" si="81"/>
        <v>135000</v>
      </c>
      <c r="J420" s="257">
        <f t="shared" si="83"/>
        <v>46</v>
      </c>
      <c r="K420" s="23"/>
      <c r="L420" s="218"/>
      <c r="M420" s="258"/>
      <c r="N420" s="103">
        <v>45117.0</v>
      </c>
      <c r="O420" s="261"/>
      <c r="P420" s="496">
        <f>O83+O71+O66+O69+O61+O63+O68+O64+O70+O44+O88+O81</f>
        <v>9690000</v>
      </c>
      <c r="Q420" s="487"/>
      <c r="R420" s="263">
        <f>L88+R63+R68+L81+L83+L71+R91+R66+L64+L70+L87+R69</f>
        <v>639993</v>
      </c>
      <c r="S420" s="609">
        <f t="shared" si="82"/>
        <v>9050007</v>
      </c>
      <c r="T420" s="483"/>
      <c r="U420" s="282"/>
      <c r="V420" s="610"/>
      <c r="W420" s="1110"/>
      <c r="X420" s="1111"/>
      <c r="Y420" s="218"/>
      <c r="Z420" s="219"/>
      <c r="AA420" s="205"/>
      <c r="AB420" s="205"/>
      <c r="AC420" s="205"/>
      <c r="AD420" s="9"/>
    </row>
    <row r="421" ht="15.75" customHeight="1">
      <c r="A421" s="218"/>
      <c r="B421" s="62"/>
      <c r="C421" s="273" t="s">
        <v>151</v>
      </c>
      <c r="D421" s="255">
        <f t="shared" si="79"/>
        <v>34</v>
      </c>
      <c r="E421" s="65"/>
      <c r="F421" s="269"/>
      <c r="G421" s="256">
        <f t="shared" si="80"/>
        <v>34</v>
      </c>
      <c r="H421" s="274">
        <v>220000.0</v>
      </c>
      <c r="I421" s="217">
        <f t="shared" si="81"/>
        <v>7480000</v>
      </c>
      <c r="J421" s="257">
        <f t="shared" si="83"/>
        <v>1</v>
      </c>
      <c r="K421" s="23"/>
      <c r="L421" s="218"/>
      <c r="M421" s="258"/>
      <c r="N421" s="103">
        <v>45117.0</v>
      </c>
      <c r="O421" s="261"/>
      <c r="P421" s="261">
        <f>212923+426800+212893+1066949+212743+426800+427550+212743+638697+212263</f>
        <v>4050361</v>
      </c>
      <c r="Q421" s="487"/>
      <c r="R421" s="263"/>
      <c r="S421" s="609">
        <f t="shared" si="82"/>
        <v>4050361</v>
      </c>
      <c r="T421" s="483" t="s">
        <v>1846</v>
      </c>
      <c r="U421" s="282"/>
      <c r="V421" s="610"/>
      <c r="W421" s="1112"/>
      <c r="X421" s="1111"/>
      <c r="Y421" s="218"/>
      <c r="Z421" s="219"/>
      <c r="AA421" s="205"/>
      <c r="AB421" s="205"/>
      <c r="AC421" s="205"/>
      <c r="AD421" s="9"/>
    </row>
    <row r="422" ht="15.75" customHeight="1">
      <c r="A422" s="218"/>
      <c r="B422" s="62"/>
      <c r="C422" s="65" t="s">
        <v>148</v>
      </c>
      <c r="D422" s="255">
        <f t="shared" si="79"/>
        <v>23</v>
      </c>
      <c r="E422" s="65"/>
      <c r="F422" s="269"/>
      <c r="G422" s="256">
        <f t="shared" si="80"/>
        <v>23</v>
      </c>
      <c r="H422" s="66">
        <v>220000.0</v>
      </c>
      <c r="I422" s="217">
        <f t="shared" si="81"/>
        <v>5060000</v>
      </c>
      <c r="J422" s="257">
        <f t="shared" si="83"/>
        <v>2</v>
      </c>
      <c r="K422" s="23"/>
      <c r="L422" s="218"/>
      <c r="M422" s="258"/>
      <c r="N422" s="103">
        <v>45117.0</v>
      </c>
      <c r="O422" s="261"/>
      <c r="P422" s="261">
        <f>1760000</f>
        <v>1760000</v>
      </c>
      <c r="Q422" s="487"/>
      <c r="R422" s="263"/>
      <c r="S422" s="609">
        <f t="shared" si="82"/>
        <v>1760000</v>
      </c>
      <c r="T422" s="483" t="s">
        <v>1848</v>
      </c>
      <c r="U422" s="282"/>
      <c r="V422" s="610"/>
      <c r="W422" s="611"/>
      <c r="X422" s="1111"/>
      <c r="Y422" s="218"/>
      <c r="Z422" s="219"/>
      <c r="AA422" s="205"/>
      <c r="AB422" s="205"/>
      <c r="AC422" s="205"/>
      <c r="AD422" s="9"/>
    </row>
    <row r="423" ht="15.75" customHeight="1">
      <c r="A423" s="218"/>
      <c r="B423" s="254" t="s">
        <v>415</v>
      </c>
      <c r="C423" s="283" t="s">
        <v>34</v>
      </c>
      <c r="D423" s="255">
        <f t="shared" si="79"/>
        <v>40</v>
      </c>
      <c r="E423" s="284"/>
      <c r="F423" s="269"/>
      <c r="G423" s="256">
        <f t="shared" si="80"/>
        <v>40</v>
      </c>
      <c r="H423" s="61">
        <v>65000.0</v>
      </c>
      <c r="I423" s="217">
        <f t="shared" si="81"/>
        <v>2600000</v>
      </c>
      <c r="J423" s="257">
        <f t="shared" si="83"/>
        <v>0</v>
      </c>
      <c r="K423" s="23"/>
      <c r="L423" s="218"/>
      <c r="M423" s="258"/>
      <c r="N423" s="103">
        <v>45118.0</v>
      </c>
      <c r="O423" s="261"/>
      <c r="P423" s="261">
        <f>13950000</f>
        <v>13950000</v>
      </c>
      <c r="Q423" s="487"/>
      <c r="R423" s="263"/>
      <c r="S423" s="609">
        <f t="shared" si="82"/>
        <v>13950000</v>
      </c>
      <c r="T423" s="483" t="s">
        <v>661</v>
      </c>
      <c r="U423" s="615"/>
      <c r="V423" s="607"/>
      <c r="W423" s="616"/>
      <c r="X423" s="1111"/>
      <c r="Y423" s="218"/>
      <c r="Z423" s="219"/>
      <c r="AA423" s="205"/>
      <c r="AB423" s="205"/>
      <c r="AC423" s="205"/>
      <c r="AD423" s="9"/>
    </row>
    <row r="424" ht="15.75" customHeight="1">
      <c r="A424" s="218"/>
      <c r="B424" s="62"/>
      <c r="C424" s="285" t="s">
        <v>36</v>
      </c>
      <c r="D424" s="255">
        <f t="shared" si="79"/>
        <v>0</v>
      </c>
      <c r="E424" s="284"/>
      <c r="F424" s="269"/>
      <c r="G424" s="256">
        <f t="shared" si="80"/>
        <v>0</v>
      </c>
      <c r="H424" s="66">
        <v>180000.0</v>
      </c>
      <c r="I424" s="217">
        <f t="shared" si="81"/>
        <v>0</v>
      </c>
      <c r="J424" s="257">
        <f t="shared" si="83"/>
        <v>0</v>
      </c>
      <c r="K424" s="23"/>
      <c r="L424" s="218"/>
      <c r="M424" s="286"/>
      <c r="N424" s="188">
        <v>45119.0</v>
      </c>
      <c r="O424" s="1115"/>
      <c r="P424" s="261">
        <f>O87+O103+O91</f>
        <v>2910000</v>
      </c>
      <c r="Q424" s="487"/>
      <c r="R424" s="487">
        <f>L103</f>
        <v>46000</v>
      </c>
      <c r="S424" s="609">
        <f t="shared" si="82"/>
        <v>2864000</v>
      </c>
      <c r="T424" s="1116"/>
      <c r="U424" s="615"/>
      <c r="V424" s="607"/>
      <c r="W424" s="616"/>
      <c r="X424" s="1111"/>
      <c r="Y424" s="218"/>
      <c r="Z424" s="219"/>
      <c r="AA424" s="205"/>
      <c r="AB424" s="205"/>
      <c r="AC424" s="205"/>
      <c r="AD424" s="9"/>
    </row>
    <row r="425" ht="15.75" customHeight="1">
      <c r="A425" s="218"/>
      <c r="B425" s="62"/>
      <c r="C425" s="287" t="s">
        <v>62</v>
      </c>
      <c r="D425" s="255">
        <f t="shared" si="79"/>
        <v>3</v>
      </c>
      <c r="E425" s="284"/>
      <c r="F425" s="269"/>
      <c r="G425" s="256">
        <f t="shared" si="80"/>
        <v>3</v>
      </c>
      <c r="H425" s="87">
        <v>55000.0</v>
      </c>
      <c r="I425" s="217">
        <f t="shared" si="81"/>
        <v>165000</v>
      </c>
      <c r="J425" s="257">
        <f t="shared" si="83"/>
        <v>0</v>
      </c>
      <c r="K425" s="23"/>
      <c r="L425" s="218"/>
      <c r="M425" s="218"/>
      <c r="N425" s="1117">
        <v>45119.0</v>
      </c>
      <c r="O425" s="1118"/>
      <c r="P425" s="1119">
        <f>212263+426800+214990</f>
        <v>854053</v>
      </c>
      <c r="Q425" s="1120"/>
      <c r="R425" s="1120"/>
      <c r="S425" s="609">
        <f t="shared" si="82"/>
        <v>854053</v>
      </c>
      <c r="T425" s="483" t="s">
        <v>1846</v>
      </c>
      <c r="U425" s="617"/>
      <c r="V425" s="618"/>
      <c r="W425" s="616"/>
      <c r="X425" s="1111"/>
      <c r="Y425" s="218"/>
      <c r="Z425" s="219"/>
      <c r="AA425" s="205"/>
      <c r="AB425" s="205"/>
      <c r="AC425" s="205"/>
      <c r="AD425" s="9"/>
    </row>
    <row r="426" ht="15.75" customHeight="1">
      <c r="A426" s="218"/>
      <c r="B426" s="62"/>
      <c r="C426" s="1121" t="s">
        <v>1849</v>
      </c>
      <c r="D426" s="255">
        <f>4+3</f>
        <v>7</v>
      </c>
      <c r="E426" s="284"/>
      <c r="F426" s="269"/>
      <c r="G426" s="256">
        <f t="shared" si="80"/>
        <v>7</v>
      </c>
      <c r="H426" s="66">
        <v>80000.0</v>
      </c>
      <c r="I426" s="217">
        <f t="shared" si="81"/>
        <v>560000</v>
      </c>
      <c r="J426" s="257">
        <f t="shared" si="83"/>
        <v>0</v>
      </c>
      <c r="K426" s="23"/>
      <c r="L426" s="218"/>
      <c r="M426" s="218"/>
      <c r="N426" s="1117">
        <v>45121.0</v>
      </c>
      <c r="O426" s="1118"/>
      <c r="P426" s="1119">
        <f>212743+426800+212743+212263+212143</f>
        <v>1276692</v>
      </c>
      <c r="Q426" s="1120"/>
      <c r="R426" s="1120"/>
      <c r="S426" s="609">
        <f t="shared" si="82"/>
        <v>1276692</v>
      </c>
      <c r="T426" s="483" t="s">
        <v>1846</v>
      </c>
      <c r="U426" s="617"/>
      <c r="V426" s="618"/>
      <c r="W426" s="616"/>
      <c r="X426" s="1111"/>
      <c r="Y426" s="218"/>
      <c r="Z426" s="219"/>
      <c r="AA426" s="205"/>
      <c r="AB426" s="205"/>
      <c r="AC426" s="205"/>
      <c r="AD426" s="9"/>
    </row>
    <row r="427" ht="15.75" customHeight="1">
      <c r="A427" s="218"/>
      <c r="B427" s="62"/>
      <c r="C427" s="1121" t="s">
        <v>43</v>
      </c>
      <c r="D427" s="255">
        <f>SUMIF($G$4:$G$400,C427,$H$4:$H$400)-D426</f>
        <v>37</v>
      </c>
      <c r="E427" s="284"/>
      <c r="F427" s="269"/>
      <c r="G427" s="256">
        <f t="shared" si="80"/>
        <v>37</v>
      </c>
      <c r="H427" s="619">
        <v>65000.0</v>
      </c>
      <c r="I427" s="217">
        <f t="shared" si="81"/>
        <v>2405000</v>
      </c>
      <c r="J427" s="257"/>
      <c r="K427" s="23"/>
      <c r="L427" s="218"/>
      <c r="M427" s="218"/>
      <c r="N427" s="1117">
        <v>45121.0</v>
      </c>
      <c r="O427" s="1118"/>
      <c r="P427" s="1119">
        <f>O104+O84+O122</f>
        <v>1625000</v>
      </c>
      <c r="Q427" s="1120"/>
      <c r="R427" s="1120">
        <f>R104+R119+R139+R136+L122+R110+R133</f>
        <v>818191</v>
      </c>
      <c r="S427" s="609">
        <f t="shared" si="82"/>
        <v>806809</v>
      </c>
      <c r="T427" s="315"/>
      <c r="U427" s="617"/>
      <c r="V427" s="618"/>
      <c r="W427" s="616"/>
      <c r="X427" s="1111"/>
      <c r="Y427" s="218"/>
      <c r="Z427" s="219"/>
      <c r="AA427" s="205"/>
      <c r="AB427" s="205"/>
      <c r="AC427" s="205"/>
      <c r="AD427" s="9"/>
    </row>
    <row r="428" ht="15.75" customHeight="1">
      <c r="A428" s="218"/>
      <c r="B428" s="62"/>
      <c r="C428" s="285" t="s">
        <v>48</v>
      </c>
      <c r="D428" s="255">
        <f t="shared" ref="D428:D447" si="84">SUMIF($G$4:$G$400,C428,$H$4:$H$400)</f>
        <v>42</v>
      </c>
      <c r="E428" s="284"/>
      <c r="F428" s="269"/>
      <c r="G428" s="256">
        <f t="shared" si="80"/>
        <v>42</v>
      </c>
      <c r="H428" s="66">
        <v>55000.0</v>
      </c>
      <c r="I428" s="217">
        <f t="shared" si="81"/>
        <v>2310000</v>
      </c>
      <c r="J428" s="257">
        <f t="shared" ref="J428:J447" si="85">SUMIF($U$4:$U$397,C428,$V$4:$V$397)</f>
        <v>0</v>
      </c>
      <c r="K428" s="23"/>
      <c r="L428" s="218"/>
      <c r="M428" s="218"/>
      <c r="N428" s="1117">
        <v>45124.0</v>
      </c>
      <c r="O428" s="1118"/>
      <c r="P428" s="1119">
        <f>2988851</f>
        <v>2988851</v>
      </c>
      <c r="Q428" s="1120"/>
      <c r="R428" s="1120"/>
      <c r="S428" s="609">
        <f t="shared" si="82"/>
        <v>2988851</v>
      </c>
      <c r="T428" s="483" t="s">
        <v>1846</v>
      </c>
      <c r="U428" s="617"/>
      <c r="V428" s="618"/>
      <c r="W428" s="616"/>
      <c r="X428" s="1111"/>
      <c r="Y428" s="218"/>
      <c r="Z428" s="219"/>
      <c r="AA428" s="205"/>
      <c r="AB428" s="205"/>
      <c r="AC428" s="205"/>
      <c r="AD428" s="9"/>
    </row>
    <row r="429" ht="15.75" customHeight="1">
      <c r="A429" s="218"/>
      <c r="B429" s="62"/>
      <c r="C429" s="285" t="s">
        <v>60</v>
      </c>
      <c r="D429" s="255">
        <f t="shared" si="84"/>
        <v>0</v>
      </c>
      <c r="E429" s="284"/>
      <c r="F429" s="269"/>
      <c r="G429" s="256">
        <f t="shared" si="80"/>
        <v>0</v>
      </c>
      <c r="H429" s="66">
        <v>45000.0</v>
      </c>
      <c r="I429" s="217">
        <f t="shared" si="81"/>
        <v>0</v>
      </c>
      <c r="J429" s="257">
        <f t="shared" si="85"/>
        <v>0</v>
      </c>
      <c r="K429" s="23"/>
      <c r="L429" s="218"/>
      <c r="M429" s="218"/>
      <c r="N429" s="1117">
        <v>45124.0</v>
      </c>
      <c r="O429" s="1118"/>
      <c r="P429" s="1119">
        <f>O110+O159+O151+O150+O145+O133+O136</f>
        <v>9110000</v>
      </c>
      <c r="Q429" s="1120"/>
      <c r="R429" s="1120">
        <f>R145+R151+R159+L150</f>
        <v>195999</v>
      </c>
      <c r="S429" s="609">
        <f t="shared" si="82"/>
        <v>8914001</v>
      </c>
      <c r="T429" s="315"/>
      <c r="U429" s="617"/>
      <c r="V429" s="618"/>
      <c r="W429" s="616"/>
      <c r="X429" s="1111"/>
      <c r="Y429" s="218"/>
      <c r="Z429" s="219"/>
      <c r="AA429" s="205"/>
      <c r="AB429" s="205"/>
      <c r="AC429" s="205"/>
      <c r="AD429" s="9"/>
    </row>
    <row r="430" ht="15.75" customHeight="1">
      <c r="A430" s="218"/>
      <c r="B430" s="62"/>
      <c r="C430" s="285" t="s">
        <v>679</v>
      </c>
      <c r="D430" s="255">
        <f t="shared" si="84"/>
        <v>0</v>
      </c>
      <c r="E430" s="284"/>
      <c r="F430" s="269"/>
      <c r="G430" s="256">
        <f t="shared" si="80"/>
        <v>0</v>
      </c>
      <c r="H430" s="66">
        <v>110000.0</v>
      </c>
      <c r="I430" s="217">
        <f t="shared" si="81"/>
        <v>0</v>
      </c>
      <c r="J430" s="257">
        <f t="shared" si="85"/>
        <v>0</v>
      </c>
      <c r="K430" s="23"/>
      <c r="L430" s="218"/>
      <c r="M430" s="218"/>
      <c r="N430" s="1117">
        <v>45125.0</v>
      </c>
      <c r="O430" s="1118"/>
      <c r="P430" s="1119">
        <f>1491232</f>
        <v>1491232</v>
      </c>
      <c r="Q430" s="1120"/>
      <c r="R430" s="1120"/>
      <c r="S430" s="609">
        <f t="shared" si="82"/>
        <v>1491232</v>
      </c>
      <c r="T430" s="483" t="s">
        <v>1846</v>
      </c>
      <c r="U430" s="617"/>
      <c r="V430" s="618"/>
      <c r="W430" s="616"/>
      <c r="X430" s="1111"/>
      <c r="Y430" s="218"/>
      <c r="Z430" s="219"/>
      <c r="AA430" s="205"/>
      <c r="AB430" s="205"/>
      <c r="AC430" s="205"/>
      <c r="AD430" s="9"/>
    </row>
    <row r="431" ht="15.75" customHeight="1">
      <c r="A431" s="218"/>
      <c r="B431" s="62"/>
      <c r="C431" s="285" t="s">
        <v>66</v>
      </c>
      <c r="D431" s="255">
        <f t="shared" si="84"/>
        <v>0</v>
      </c>
      <c r="E431" s="284"/>
      <c r="F431" s="269"/>
      <c r="G431" s="256">
        <f t="shared" si="80"/>
        <v>0</v>
      </c>
      <c r="H431" s="66">
        <v>205000.0</v>
      </c>
      <c r="I431" s="217">
        <f t="shared" si="81"/>
        <v>0</v>
      </c>
      <c r="J431" s="257">
        <f t="shared" si="85"/>
        <v>0</v>
      </c>
      <c r="K431" s="23"/>
      <c r="L431" s="218"/>
      <c r="M431" s="218"/>
      <c r="N431" s="1117">
        <v>45126.0</v>
      </c>
      <c r="O431" s="1118"/>
      <c r="P431" s="1119">
        <f>3624790</f>
        <v>3624790</v>
      </c>
      <c r="Q431" s="1120"/>
      <c r="R431" s="1120"/>
      <c r="S431" s="609">
        <f t="shared" si="82"/>
        <v>3624790</v>
      </c>
      <c r="T431" s="483" t="s">
        <v>1846</v>
      </c>
      <c r="U431" s="617"/>
      <c r="V431" s="618"/>
      <c r="W431" s="616"/>
      <c r="X431" s="1111"/>
      <c r="Y431" s="218"/>
      <c r="Z431" s="219"/>
      <c r="AA431" s="205"/>
      <c r="AB431" s="205"/>
      <c r="AC431" s="205"/>
      <c r="AD431" s="9"/>
    </row>
    <row r="432" ht="15.75" customHeight="1">
      <c r="A432" s="218"/>
      <c r="B432" s="62"/>
      <c r="C432" s="285" t="s">
        <v>684</v>
      </c>
      <c r="D432" s="255">
        <f t="shared" si="84"/>
        <v>0</v>
      </c>
      <c r="E432" s="284"/>
      <c r="F432" s="269"/>
      <c r="G432" s="256">
        <f t="shared" si="80"/>
        <v>0</v>
      </c>
      <c r="H432" s="66">
        <v>150000.0</v>
      </c>
      <c r="I432" s="217">
        <f t="shared" si="81"/>
        <v>0</v>
      </c>
      <c r="J432" s="257">
        <f t="shared" si="85"/>
        <v>0</v>
      </c>
      <c r="K432" s="23"/>
      <c r="L432" s="218"/>
      <c r="M432" s="218"/>
      <c r="N432" s="1117">
        <v>45127.0</v>
      </c>
      <c r="O432" s="1118"/>
      <c r="P432" s="1119">
        <f>2640000</f>
        <v>2640000</v>
      </c>
      <c r="Q432" s="1120"/>
      <c r="R432" s="1120"/>
      <c r="S432" s="609">
        <f t="shared" si="82"/>
        <v>2640000</v>
      </c>
      <c r="T432" s="323" t="s">
        <v>1850</v>
      </c>
      <c r="U432" s="617"/>
      <c r="V432" s="618"/>
      <c r="W432" s="616"/>
      <c r="X432" s="1111"/>
      <c r="Y432" s="218"/>
      <c r="Z432" s="219"/>
      <c r="AA432" s="205"/>
      <c r="AB432" s="205"/>
      <c r="AC432" s="205"/>
      <c r="AD432" s="9"/>
    </row>
    <row r="433" ht="15.75" customHeight="1">
      <c r="A433" s="218"/>
      <c r="B433" s="62"/>
      <c r="C433" s="288" t="s">
        <v>71</v>
      </c>
      <c r="D433" s="255">
        <f t="shared" si="84"/>
        <v>0</v>
      </c>
      <c r="E433" s="284"/>
      <c r="F433" s="269"/>
      <c r="G433" s="256">
        <f t="shared" si="80"/>
        <v>0</v>
      </c>
      <c r="H433" s="66">
        <v>85000.0</v>
      </c>
      <c r="I433" s="217">
        <f t="shared" si="81"/>
        <v>0</v>
      </c>
      <c r="J433" s="257">
        <f t="shared" si="85"/>
        <v>0</v>
      </c>
      <c r="K433" s="23"/>
      <c r="L433" s="218"/>
      <c r="M433" s="218"/>
      <c r="N433" s="1117">
        <v>45128.0</v>
      </c>
      <c r="O433" s="1118"/>
      <c r="P433" s="1122">
        <f>2131834</f>
        <v>2131834</v>
      </c>
      <c r="Q433" s="1120"/>
      <c r="R433" s="1120"/>
      <c r="S433" s="609">
        <f t="shared" si="82"/>
        <v>2131834</v>
      </c>
      <c r="T433" s="483" t="s">
        <v>1846</v>
      </c>
      <c r="U433" s="617"/>
      <c r="V433" s="618"/>
      <c r="W433" s="616"/>
      <c r="X433" s="1111"/>
      <c r="Y433" s="218"/>
      <c r="Z433" s="219"/>
      <c r="AA433" s="205"/>
      <c r="AB433" s="205"/>
      <c r="AC433" s="205"/>
      <c r="AD433" s="9"/>
    </row>
    <row r="434" ht="15.75" customHeight="1">
      <c r="A434" s="218"/>
      <c r="B434" s="62"/>
      <c r="C434" s="285" t="s">
        <v>76</v>
      </c>
      <c r="D434" s="255">
        <f t="shared" si="84"/>
        <v>69</v>
      </c>
      <c r="E434" s="284"/>
      <c r="F434" s="269"/>
      <c r="G434" s="256">
        <f t="shared" si="80"/>
        <v>69</v>
      </c>
      <c r="H434" s="66">
        <v>90000.0</v>
      </c>
      <c r="I434" s="217">
        <f t="shared" si="81"/>
        <v>6210000</v>
      </c>
      <c r="J434" s="257">
        <f t="shared" si="85"/>
        <v>0</v>
      </c>
      <c r="K434" s="23"/>
      <c r="L434" s="218"/>
      <c r="M434" s="218"/>
      <c r="N434" s="1117">
        <v>45128.0</v>
      </c>
      <c r="O434" s="1118"/>
      <c r="P434" s="1122">
        <f>O170+O175+O167+O166</f>
        <v>4180000</v>
      </c>
      <c r="Q434" s="1120"/>
      <c r="R434" s="1120">
        <f>R170+R175+R167+R166</f>
        <v>254996</v>
      </c>
      <c r="S434" s="609">
        <f t="shared" si="82"/>
        <v>3925004</v>
      </c>
      <c r="T434" s="315"/>
      <c r="U434" s="617"/>
      <c r="V434" s="618"/>
      <c r="W434" s="616"/>
      <c r="X434" s="1111"/>
      <c r="Y434" s="218"/>
      <c r="Z434" s="219"/>
      <c r="AA434" s="205"/>
      <c r="AB434" s="205"/>
      <c r="AC434" s="205"/>
      <c r="AD434" s="9"/>
    </row>
    <row r="435" ht="15.75" customHeight="1">
      <c r="A435" s="218"/>
      <c r="B435" s="62"/>
      <c r="C435" s="285" t="s">
        <v>80</v>
      </c>
      <c r="D435" s="255">
        <f t="shared" si="84"/>
        <v>0</v>
      </c>
      <c r="E435" s="284"/>
      <c r="F435" s="269"/>
      <c r="G435" s="256">
        <f t="shared" si="80"/>
        <v>0</v>
      </c>
      <c r="H435" s="66">
        <v>85000.0</v>
      </c>
      <c r="I435" s="217">
        <f t="shared" si="81"/>
        <v>0</v>
      </c>
      <c r="J435" s="257">
        <f t="shared" si="85"/>
        <v>0</v>
      </c>
      <c r="K435" s="23"/>
      <c r="L435" s="218"/>
      <c r="M435" s="218"/>
      <c r="N435" s="1117">
        <v>45131.0</v>
      </c>
      <c r="O435" s="1118"/>
      <c r="P435" s="1122">
        <f>O194+O201+O211+O218+O193+O217+O196+O197+O229</f>
        <v>25780000</v>
      </c>
      <c r="Q435" s="1120"/>
      <c r="R435" s="1120">
        <f>R194+R196+R197+R201+R211+R218+R193+R217+R229+R216+R176</f>
        <v>1615085</v>
      </c>
      <c r="S435" s="609">
        <f t="shared" si="82"/>
        <v>24164915</v>
      </c>
      <c r="T435" s="315"/>
      <c r="U435" s="617"/>
      <c r="V435" s="618"/>
      <c r="W435" s="616"/>
      <c r="X435" s="1111"/>
      <c r="Y435" s="218"/>
      <c r="Z435" s="219"/>
      <c r="AA435" s="205"/>
      <c r="AB435" s="205"/>
      <c r="AC435" s="205"/>
      <c r="AD435" s="9"/>
    </row>
    <row r="436" ht="15.75" customHeight="1">
      <c r="A436" s="218"/>
      <c r="B436" s="62"/>
      <c r="C436" s="285" t="s">
        <v>81</v>
      </c>
      <c r="D436" s="255">
        <f t="shared" si="84"/>
        <v>0</v>
      </c>
      <c r="E436" s="284"/>
      <c r="F436" s="269"/>
      <c r="G436" s="256">
        <f t="shared" si="80"/>
        <v>0</v>
      </c>
      <c r="H436" s="66">
        <v>150000.0</v>
      </c>
      <c r="I436" s="217">
        <f t="shared" si="81"/>
        <v>0</v>
      </c>
      <c r="J436" s="257">
        <f t="shared" si="85"/>
        <v>0</v>
      </c>
      <c r="K436" s="23"/>
      <c r="L436" s="218"/>
      <c r="M436" s="218"/>
      <c r="N436" s="1117">
        <v>45131.0</v>
      </c>
      <c r="O436" s="1118"/>
      <c r="P436" s="1122">
        <f>838606</f>
        <v>838606</v>
      </c>
      <c r="Q436" s="1120"/>
      <c r="R436" s="1120"/>
      <c r="S436" s="609">
        <f t="shared" si="82"/>
        <v>838606</v>
      </c>
      <c r="T436" s="483" t="s">
        <v>1846</v>
      </c>
      <c r="U436" s="617"/>
      <c r="V436" s="618"/>
      <c r="W436" s="616"/>
      <c r="X436" s="1111"/>
      <c r="Y436" s="218"/>
      <c r="Z436" s="219"/>
      <c r="AA436" s="205"/>
      <c r="AB436" s="205"/>
      <c r="AC436" s="205"/>
      <c r="AD436" s="9"/>
    </row>
    <row r="437" ht="15.75" customHeight="1">
      <c r="A437" s="218"/>
      <c r="B437" s="62"/>
      <c r="C437" s="285" t="s">
        <v>85</v>
      </c>
      <c r="D437" s="255">
        <f t="shared" si="84"/>
        <v>0</v>
      </c>
      <c r="E437" s="284"/>
      <c r="F437" s="269"/>
      <c r="G437" s="256">
        <f t="shared" si="80"/>
        <v>0</v>
      </c>
      <c r="H437" s="66">
        <v>125000.0</v>
      </c>
      <c r="I437" s="217">
        <f t="shared" si="81"/>
        <v>0</v>
      </c>
      <c r="J437" s="257">
        <f t="shared" si="85"/>
        <v>0</v>
      </c>
      <c r="K437" s="23"/>
      <c r="L437" s="218"/>
      <c r="M437" s="218"/>
      <c r="N437" s="1117">
        <v>45132.0</v>
      </c>
      <c r="O437" s="1118"/>
      <c r="P437" s="1122">
        <f>1320000</f>
        <v>1320000</v>
      </c>
      <c r="Q437" s="1120"/>
      <c r="R437" s="1120"/>
      <c r="S437" s="609">
        <f t="shared" si="82"/>
        <v>1320000</v>
      </c>
      <c r="T437" s="323" t="s">
        <v>1850</v>
      </c>
      <c r="U437" s="617"/>
      <c r="V437" s="618"/>
      <c r="W437" s="622"/>
      <c r="X437" s="1111"/>
      <c r="Y437" s="218"/>
      <c r="Z437" s="219"/>
      <c r="AA437" s="205"/>
      <c r="AB437" s="205"/>
      <c r="AC437" s="205"/>
      <c r="AD437" s="9"/>
    </row>
    <row r="438" ht="36.0" customHeight="1">
      <c r="A438" s="218"/>
      <c r="B438" s="62"/>
      <c r="C438" s="285" t="s">
        <v>89</v>
      </c>
      <c r="D438" s="255">
        <f t="shared" si="84"/>
        <v>0</v>
      </c>
      <c r="E438" s="284"/>
      <c r="F438" s="269"/>
      <c r="G438" s="256">
        <f t="shared" si="80"/>
        <v>0</v>
      </c>
      <c r="H438" s="66">
        <v>35000.0</v>
      </c>
      <c r="I438" s="217">
        <f t="shared" si="81"/>
        <v>0</v>
      </c>
      <c r="J438" s="257">
        <f t="shared" si="85"/>
        <v>0</v>
      </c>
      <c r="K438" s="23"/>
      <c r="L438" s="218"/>
      <c r="M438" s="218"/>
      <c r="N438" s="1117">
        <v>45132.0</v>
      </c>
      <c r="O438" s="1118"/>
      <c r="P438" s="1122">
        <f>660000</f>
        <v>660000</v>
      </c>
      <c r="Q438" s="1120"/>
      <c r="R438" s="1120"/>
      <c r="S438" s="609">
        <f t="shared" si="82"/>
        <v>660000</v>
      </c>
      <c r="T438" s="774" t="s">
        <v>1851</v>
      </c>
      <c r="U438" s="617"/>
      <c r="V438" s="618"/>
      <c r="W438" s="616"/>
      <c r="X438" s="1111"/>
      <c r="Y438" s="218"/>
      <c r="Z438" s="219"/>
      <c r="AA438" s="205"/>
      <c r="AB438" s="205"/>
      <c r="AC438" s="205"/>
      <c r="AD438" s="9"/>
    </row>
    <row r="439" ht="25.5" customHeight="1">
      <c r="A439" s="218"/>
      <c r="B439" s="62"/>
      <c r="C439" s="285" t="s">
        <v>93</v>
      </c>
      <c r="D439" s="255">
        <f t="shared" si="84"/>
        <v>0</v>
      </c>
      <c r="E439" s="284"/>
      <c r="F439" s="269"/>
      <c r="G439" s="256">
        <f t="shared" si="80"/>
        <v>0</v>
      </c>
      <c r="H439" s="66">
        <v>90000.0</v>
      </c>
      <c r="I439" s="217">
        <f t="shared" si="81"/>
        <v>0</v>
      </c>
      <c r="J439" s="257">
        <f t="shared" si="85"/>
        <v>0</v>
      </c>
      <c r="K439" s="23"/>
      <c r="L439" s="218"/>
      <c r="M439" s="218"/>
      <c r="N439" s="1117">
        <v>45132.0</v>
      </c>
      <c r="O439" s="1118"/>
      <c r="P439" s="1122">
        <f>212293</f>
        <v>212293</v>
      </c>
      <c r="Q439" s="1120"/>
      <c r="R439" s="1120"/>
      <c r="S439" s="609">
        <f t="shared" si="82"/>
        <v>212293</v>
      </c>
      <c r="T439" s="483" t="s">
        <v>1846</v>
      </c>
      <c r="U439" s="617"/>
      <c r="V439" s="618"/>
      <c r="W439" s="616"/>
      <c r="X439" s="1111"/>
      <c r="Y439" s="218"/>
      <c r="Z439" s="219"/>
      <c r="AA439" s="205"/>
      <c r="AB439" s="205"/>
      <c r="AC439" s="205"/>
      <c r="AD439" s="9"/>
    </row>
    <row r="440" ht="15.75" customHeight="1">
      <c r="A440" s="218"/>
      <c r="B440" s="62"/>
      <c r="C440" s="285" t="s">
        <v>94</v>
      </c>
      <c r="D440" s="255">
        <f t="shared" si="84"/>
        <v>0</v>
      </c>
      <c r="E440" s="284"/>
      <c r="F440" s="269"/>
      <c r="G440" s="256">
        <f t="shared" si="80"/>
        <v>0</v>
      </c>
      <c r="H440" s="66">
        <v>140000.0</v>
      </c>
      <c r="I440" s="217">
        <f t="shared" si="81"/>
        <v>0</v>
      </c>
      <c r="J440" s="257">
        <f t="shared" si="85"/>
        <v>0</v>
      </c>
      <c r="K440" s="23"/>
      <c r="L440" s="218"/>
      <c r="M440" s="218"/>
      <c r="N440" s="621" t="s">
        <v>418</v>
      </c>
      <c r="O440" s="291">
        <f t="shared" ref="O440:S440" si="86">sum(O407:O439)</f>
        <v>15131056</v>
      </c>
      <c r="P440" s="291">
        <f t="shared" si="86"/>
        <v>112985248</v>
      </c>
      <c r="Q440" s="291">
        <f t="shared" si="86"/>
        <v>852869</v>
      </c>
      <c r="R440" s="291">
        <f t="shared" si="86"/>
        <v>4697765</v>
      </c>
      <c r="S440" s="291">
        <f t="shared" si="86"/>
        <v>122565670</v>
      </c>
      <c r="T440" s="1123"/>
      <c r="U440" s="617"/>
      <c r="V440" s="618"/>
      <c r="W440" s="611"/>
      <c r="X440" s="1111"/>
      <c r="Y440" s="218"/>
      <c r="Z440" s="219"/>
      <c r="AA440" s="205"/>
      <c r="AB440" s="205"/>
      <c r="AC440" s="205"/>
      <c r="AD440" s="9"/>
    </row>
    <row r="441" ht="15.75" customHeight="1">
      <c r="A441" s="218"/>
      <c r="B441" s="62"/>
      <c r="C441" s="285" t="s">
        <v>97</v>
      </c>
      <c r="D441" s="255">
        <f t="shared" si="84"/>
        <v>0</v>
      </c>
      <c r="E441" s="284"/>
      <c r="F441" s="269"/>
      <c r="G441" s="256">
        <f t="shared" si="80"/>
        <v>0</v>
      </c>
      <c r="H441" s="66">
        <v>95000.0</v>
      </c>
      <c r="I441" s="217">
        <f t="shared" si="81"/>
        <v>0</v>
      </c>
      <c r="J441" s="257">
        <f t="shared" si="85"/>
        <v>0</v>
      </c>
      <c r="K441" s="23"/>
      <c r="L441" s="218"/>
      <c r="M441" s="218"/>
      <c r="N441" s="218"/>
      <c r="O441" s="298"/>
      <c r="P441" s="299"/>
      <c r="Q441" s="299"/>
      <c r="R441" s="299"/>
      <c r="S441" s="299"/>
      <c r="T441" s="299"/>
      <c r="U441" s="617"/>
      <c r="V441" s="608"/>
      <c r="W441" s="611"/>
      <c r="X441" s="1111"/>
      <c r="Y441" s="218"/>
      <c r="Z441" s="219"/>
      <c r="AA441" s="205"/>
      <c r="AB441" s="205"/>
      <c r="AC441" s="205"/>
      <c r="AD441" s="9"/>
    </row>
    <row r="442" ht="15.75" customHeight="1">
      <c r="A442" s="218"/>
      <c r="B442" s="62"/>
      <c r="C442" s="285" t="s">
        <v>99</v>
      </c>
      <c r="D442" s="255">
        <f t="shared" si="84"/>
        <v>0</v>
      </c>
      <c r="E442" s="284"/>
      <c r="F442" s="269"/>
      <c r="G442" s="256">
        <f t="shared" si="80"/>
        <v>0</v>
      </c>
      <c r="H442" s="66">
        <v>140000.0</v>
      </c>
      <c r="I442" s="217">
        <f t="shared" si="81"/>
        <v>0</v>
      </c>
      <c r="J442" s="257">
        <f t="shared" si="85"/>
        <v>0</v>
      </c>
      <c r="K442" s="23"/>
      <c r="L442" s="218"/>
      <c r="M442" s="218"/>
      <c r="N442" s="218"/>
      <c r="O442" s="298"/>
      <c r="P442" s="299"/>
      <c r="Q442" s="299"/>
      <c r="R442" s="299"/>
      <c r="S442" s="299"/>
      <c r="T442" s="299"/>
      <c r="U442" s="218"/>
      <c r="V442" s="608"/>
      <c r="W442" s="611"/>
      <c r="X442" s="1111"/>
      <c r="Y442" s="218"/>
      <c r="Z442" s="219"/>
      <c r="AA442" s="205"/>
      <c r="AB442" s="205"/>
      <c r="AC442" s="205"/>
      <c r="AD442" s="9"/>
    </row>
    <row r="443" ht="15.75" customHeight="1">
      <c r="A443" s="218"/>
      <c r="B443" s="62"/>
      <c r="C443" s="285" t="s">
        <v>101</v>
      </c>
      <c r="D443" s="255">
        <f t="shared" si="84"/>
        <v>0</v>
      </c>
      <c r="E443" s="284"/>
      <c r="F443" s="269"/>
      <c r="G443" s="256">
        <f t="shared" si="80"/>
        <v>0</v>
      </c>
      <c r="H443" s="66">
        <v>150000.0</v>
      </c>
      <c r="I443" s="217">
        <f t="shared" si="81"/>
        <v>0</v>
      </c>
      <c r="J443" s="257">
        <f t="shared" si="85"/>
        <v>0</v>
      </c>
      <c r="K443" s="23"/>
      <c r="L443" s="218"/>
      <c r="M443" s="218"/>
      <c r="N443" s="218"/>
      <c r="O443" s="298"/>
      <c r="P443" s="299"/>
      <c r="Q443" s="299"/>
      <c r="R443" s="299"/>
      <c r="S443" s="299"/>
      <c r="T443" s="299"/>
      <c r="U443" s="218"/>
      <c r="V443" s="608"/>
      <c r="W443" s="611"/>
      <c r="X443" s="1111"/>
      <c r="Y443" s="218"/>
      <c r="Z443" s="219"/>
      <c r="AA443" s="205"/>
      <c r="AB443" s="205"/>
      <c r="AC443" s="205"/>
      <c r="AD443" s="9"/>
    </row>
    <row r="444" ht="15.75" customHeight="1">
      <c r="A444" s="218"/>
      <c r="B444" s="62"/>
      <c r="C444" s="285" t="s">
        <v>109</v>
      </c>
      <c r="D444" s="255">
        <f t="shared" si="84"/>
        <v>0</v>
      </c>
      <c r="E444" s="284"/>
      <c r="F444" s="269"/>
      <c r="G444" s="256">
        <f t="shared" si="80"/>
        <v>0</v>
      </c>
      <c r="H444" s="66">
        <v>125000.0</v>
      </c>
      <c r="I444" s="217">
        <f t="shared" si="81"/>
        <v>0</v>
      </c>
      <c r="J444" s="257">
        <f t="shared" si="85"/>
        <v>0</v>
      </c>
      <c r="K444" s="23"/>
      <c r="L444" s="218"/>
      <c r="M444" s="218"/>
      <c r="N444" s="218"/>
      <c r="O444" s="298"/>
      <c r="P444" s="299"/>
      <c r="Q444" s="299"/>
      <c r="R444" s="299"/>
      <c r="S444" s="299"/>
      <c r="T444" s="299"/>
      <c r="U444" s="218"/>
      <c r="V444" s="608"/>
      <c r="W444" s="622"/>
      <c r="X444" s="1111"/>
      <c r="Y444" s="218"/>
      <c r="Z444" s="219"/>
      <c r="AA444" s="205"/>
      <c r="AB444" s="205"/>
      <c r="AC444" s="205"/>
      <c r="AD444" s="9"/>
    </row>
    <row r="445" ht="15.75" customHeight="1">
      <c r="A445" s="218"/>
      <c r="B445" s="62"/>
      <c r="C445" s="285" t="s">
        <v>113</v>
      </c>
      <c r="D445" s="255">
        <f t="shared" si="84"/>
        <v>0</v>
      </c>
      <c r="E445" s="284"/>
      <c r="F445" s="269"/>
      <c r="G445" s="256">
        <f t="shared" si="80"/>
        <v>0</v>
      </c>
      <c r="H445" s="66">
        <v>75000.0</v>
      </c>
      <c r="I445" s="217">
        <f t="shared" si="81"/>
        <v>0</v>
      </c>
      <c r="J445" s="257">
        <f t="shared" si="85"/>
        <v>0</v>
      </c>
      <c r="K445" s="23"/>
      <c r="L445" s="218"/>
      <c r="M445" s="218"/>
      <c r="N445" s="218"/>
      <c r="O445" s="298"/>
      <c r="P445" s="299"/>
      <c r="Q445" s="299"/>
      <c r="R445" s="299"/>
      <c r="S445" s="299"/>
      <c r="T445" s="299"/>
      <c r="U445" s="218"/>
      <c r="V445" s="608"/>
      <c r="W445" s="622"/>
      <c r="X445" s="1111"/>
      <c r="Y445" s="218"/>
      <c r="Z445" s="219"/>
      <c r="AA445" s="205"/>
      <c r="AB445" s="205"/>
      <c r="AC445" s="205"/>
      <c r="AD445" s="9"/>
    </row>
    <row r="446" ht="15.75" customHeight="1">
      <c r="A446" s="218"/>
      <c r="B446" s="62"/>
      <c r="C446" s="303" t="s">
        <v>479</v>
      </c>
      <c r="D446" s="255">
        <f t="shared" si="84"/>
        <v>9</v>
      </c>
      <c r="E446" s="501"/>
      <c r="F446" s="305"/>
      <c r="G446" s="256">
        <f t="shared" si="80"/>
        <v>9</v>
      </c>
      <c r="H446" s="304">
        <v>35000.0</v>
      </c>
      <c r="I446" s="217">
        <f t="shared" si="81"/>
        <v>315000</v>
      </c>
      <c r="J446" s="257">
        <f t="shared" si="85"/>
        <v>0</v>
      </c>
      <c r="K446" s="23"/>
      <c r="L446" s="218"/>
      <c r="M446" s="218"/>
      <c r="N446" s="218"/>
      <c r="O446" s="298"/>
      <c r="P446" s="299"/>
      <c r="Q446" s="299"/>
      <c r="R446" s="299"/>
      <c r="S446" s="299"/>
      <c r="T446" s="299"/>
      <c r="U446" s="218"/>
      <c r="V446" s="608"/>
      <c r="W446" s="622"/>
      <c r="X446" s="1111"/>
      <c r="Y446" s="218"/>
      <c r="Z446" s="219"/>
      <c r="AA446" s="205"/>
      <c r="AB446" s="205"/>
      <c r="AC446" s="205"/>
      <c r="AD446" s="9"/>
    </row>
    <row r="447" ht="15.75" customHeight="1">
      <c r="A447" s="218"/>
      <c r="B447" s="67"/>
      <c r="C447" s="300" t="s">
        <v>116</v>
      </c>
      <c r="D447" s="301">
        <f t="shared" si="84"/>
        <v>0</v>
      </c>
      <c r="E447" s="501"/>
      <c r="F447" s="305"/>
      <c r="G447" s="624">
        <f t="shared" si="80"/>
        <v>0</v>
      </c>
      <c r="H447" s="302">
        <v>475000.0</v>
      </c>
      <c r="I447" s="217">
        <f t="shared" si="81"/>
        <v>0</v>
      </c>
      <c r="J447" s="257">
        <f t="shared" si="85"/>
        <v>0</v>
      </c>
      <c r="K447" s="23"/>
      <c r="L447" s="218"/>
      <c r="M447" s="218"/>
      <c r="N447" s="218"/>
      <c r="O447" s="298"/>
      <c r="P447" s="299"/>
      <c r="Q447" s="299"/>
      <c r="R447" s="299"/>
      <c r="S447" s="299"/>
      <c r="T447" s="299"/>
      <c r="U447" s="218"/>
      <c r="V447" s="608"/>
      <c r="W447" s="622"/>
      <c r="X447" s="1111"/>
      <c r="Y447" s="218"/>
      <c r="Z447" s="219"/>
      <c r="AA447" s="205"/>
      <c r="AB447" s="205"/>
      <c r="AC447" s="205"/>
      <c r="AD447" s="9"/>
    </row>
    <row r="448" ht="22.5" customHeight="1">
      <c r="A448" s="218"/>
      <c r="B448" s="308" t="s">
        <v>419</v>
      </c>
      <c r="C448" s="16"/>
      <c r="D448" s="16"/>
      <c r="E448" s="16"/>
      <c r="F448" s="16"/>
      <c r="G448" s="16"/>
      <c r="H448" s="17"/>
      <c r="I448" s="309">
        <f>SUM(I407:I422)</f>
        <v>176235000</v>
      </c>
      <c r="J448" s="23"/>
      <c r="K448" s="23"/>
      <c r="L448" s="218">
        <f>sumif(Q4:Q397,"&lt;&gt;Đã thu",K4:K397)</f>
        <v>78070000</v>
      </c>
      <c r="M448" s="218"/>
      <c r="N448" s="218"/>
      <c r="O448" s="298"/>
      <c r="P448" s="299"/>
      <c r="Q448" s="299"/>
      <c r="R448" s="299"/>
      <c r="S448" s="299"/>
      <c r="T448" s="299"/>
      <c r="U448" s="299"/>
      <c r="V448" s="608"/>
      <c r="W448" s="601"/>
      <c r="X448" s="1111"/>
      <c r="Y448" s="218"/>
      <c r="Z448" s="219"/>
      <c r="AA448" s="205"/>
      <c r="AB448" s="205"/>
      <c r="AC448" s="205"/>
      <c r="AD448" s="9"/>
    </row>
    <row r="449" ht="22.5" customHeight="1">
      <c r="A449" s="218"/>
      <c r="B449" s="308" t="s">
        <v>385</v>
      </c>
      <c r="C449" s="16"/>
      <c r="D449" s="16"/>
      <c r="E449" s="16"/>
      <c r="F449" s="16"/>
      <c r="G449" s="16"/>
      <c r="H449" s="17"/>
      <c r="I449" s="309">
        <f>SUM(I423:I447)</f>
        <v>14565000</v>
      </c>
      <c r="J449" s="23"/>
      <c r="K449" s="310" t="s">
        <v>420</v>
      </c>
      <c r="L449" s="16"/>
      <c r="M449" s="17"/>
      <c r="N449" s="311"/>
      <c r="O449" s="298"/>
      <c r="P449" s="299"/>
      <c r="Q449" s="299"/>
      <c r="R449" s="299"/>
      <c r="S449" s="299"/>
      <c r="T449" s="299"/>
      <c r="U449" s="299"/>
      <c r="V449" s="608"/>
      <c r="W449" s="601"/>
      <c r="X449" s="1111"/>
      <c r="Y449" s="218"/>
      <c r="Z449" s="219"/>
      <c r="AA449" s="205"/>
      <c r="AB449" s="205"/>
      <c r="AC449" s="205"/>
      <c r="AD449" s="9"/>
    </row>
    <row r="450" ht="22.5" customHeight="1">
      <c r="A450" s="218"/>
      <c r="B450" s="312" t="s">
        <v>421</v>
      </c>
      <c r="C450" s="16"/>
      <c r="D450" s="16"/>
      <c r="E450" s="16"/>
      <c r="F450" s="16"/>
      <c r="G450" s="16"/>
      <c r="H450" s="17"/>
      <c r="I450" s="313">
        <f>SUM(I448:I449)</f>
        <v>190800000</v>
      </c>
      <c r="J450" s="23"/>
      <c r="K450" s="314" t="s">
        <v>422</v>
      </c>
      <c r="L450" s="316">
        <f>15220000</f>
        <v>15220000</v>
      </c>
      <c r="M450" s="316"/>
      <c r="N450" s="218"/>
      <c r="O450" s="234"/>
      <c r="P450" s="218"/>
      <c r="Q450" s="218"/>
      <c r="R450" s="218"/>
      <c r="S450" s="218"/>
      <c r="T450" s="218"/>
      <c r="U450" s="218"/>
      <c r="V450" s="601"/>
      <c r="W450" s="601"/>
      <c r="X450" s="1111"/>
      <c r="Y450" s="218"/>
      <c r="Z450" s="219"/>
      <c r="AA450" s="205"/>
      <c r="AB450" s="205"/>
      <c r="AC450" s="205"/>
      <c r="AD450" s="9"/>
    </row>
    <row r="451" ht="22.5" customHeight="1">
      <c r="A451" s="218"/>
      <c r="B451" s="317"/>
      <c r="C451" s="16"/>
      <c r="D451" s="17"/>
      <c r="E451" s="318" t="s">
        <v>423</v>
      </c>
      <c r="F451" s="16"/>
      <c r="G451" s="16"/>
      <c r="H451" s="17"/>
      <c r="I451" s="319">
        <f>O398</f>
        <v>190392279</v>
      </c>
      <c r="J451" s="23"/>
      <c r="K451" s="320" t="s">
        <v>424</v>
      </c>
      <c r="L451" s="316">
        <f>sumif(Q4:Q397,"Đã thu",K4:K397)</f>
        <v>112730000</v>
      </c>
      <c r="M451" s="316"/>
      <c r="N451" s="218"/>
      <c r="O451" s="234"/>
      <c r="P451" s="218"/>
      <c r="Q451" s="218"/>
      <c r="R451" s="218"/>
      <c r="S451" s="218"/>
      <c r="T451" s="218"/>
      <c r="U451" s="218"/>
      <c r="V451" s="601"/>
      <c r="W451" s="601"/>
      <c r="X451" s="1111"/>
      <c r="Y451" s="218"/>
      <c r="Z451" s="219"/>
      <c r="AA451" s="205"/>
      <c r="AB451" s="205"/>
      <c r="AC451" s="205"/>
      <c r="AD451" s="9"/>
    </row>
    <row r="452" ht="22.5" customHeight="1">
      <c r="A452" s="218"/>
      <c r="B452" s="321" t="s">
        <v>425</v>
      </c>
      <c r="C452" s="16"/>
      <c r="D452" s="16"/>
      <c r="E452" s="16"/>
      <c r="F452" s="16"/>
      <c r="G452" s="16"/>
      <c r="H452" s="17"/>
      <c r="I452" s="322">
        <f>SUMIF(Q4:Q397,"Đã thu",O4:O397)</f>
        <v>112546279</v>
      </c>
      <c r="J452" s="23"/>
      <c r="K452" s="507" t="s">
        <v>415</v>
      </c>
      <c r="L452" s="315">
        <f>I449</f>
        <v>14565000</v>
      </c>
      <c r="M452" s="324"/>
      <c r="N452" s="235"/>
      <c r="O452" s="234"/>
      <c r="P452" s="218"/>
      <c r="Q452" s="218"/>
      <c r="R452" s="218"/>
      <c r="S452" s="218"/>
      <c r="T452" s="218"/>
      <c r="U452" s="218"/>
      <c r="V452" s="601"/>
      <c r="W452" s="601"/>
      <c r="X452" s="1111"/>
      <c r="Y452" s="218"/>
      <c r="Z452" s="219"/>
      <c r="AA452" s="205"/>
      <c r="AB452" s="205"/>
      <c r="AC452" s="205"/>
      <c r="AD452" s="9"/>
    </row>
    <row r="453" ht="22.5" customHeight="1">
      <c r="A453" s="325"/>
      <c r="B453" s="326" t="s">
        <v>426</v>
      </c>
      <c r="C453" s="16"/>
      <c r="D453" s="16"/>
      <c r="E453" s="16"/>
      <c r="F453" s="16"/>
      <c r="G453" s="16"/>
      <c r="H453" s="17"/>
      <c r="I453" s="327">
        <f>I451-I452</f>
        <v>77846000</v>
      </c>
      <c r="J453" s="23"/>
      <c r="K453" s="328" t="s">
        <v>407</v>
      </c>
      <c r="L453" s="315">
        <f>sum(L450:L451)-L452</f>
        <v>113385000</v>
      </c>
      <c r="M453" s="324"/>
      <c r="N453" s="235"/>
      <c r="O453" s="234"/>
      <c r="P453" s="218"/>
      <c r="Q453" s="218"/>
      <c r="R453" s="218"/>
      <c r="S453" s="218"/>
      <c r="T453" s="218"/>
      <c r="U453" s="218"/>
      <c r="V453" s="601"/>
      <c r="W453" s="601"/>
      <c r="X453" s="1111"/>
      <c r="Y453" s="218"/>
      <c r="Z453" s="219"/>
      <c r="AA453" s="205"/>
      <c r="AB453" s="205"/>
      <c r="AC453" s="205"/>
      <c r="AD453" s="9"/>
    </row>
    <row r="454" ht="22.5" customHeight="1">
      <c r="A454" s="325"/>
      <c r="B454" s="330" t="s">
        <v>427</v>
      </c>
      <c r="C454" s="16"/>
      <c r="D454" s="16"/>
      <c r="E454" s="16"/>
      <c r="F454" s="16"/>
      <c r="G454" s="16"/>
      <c r="H454" s="17"/>
      <c r="I454" s="331">
        <f>L398+R398</f>
        <v>7751097</v>
      </c>
      <c r="J454" s="23"/>
      <c r="K454" s="335"/>
      <c r="L454" s="299"/>
      <c r="M454" s="218"/>
      <c r="N454" s="218"/>
      <c r="O454" s="234"/>
      <c r="P454" s="218"/>
      <c r="Q454" s="218"/>
      <c r="R454" s="218"/>
      <c r="S454" s="218"/>
      <c r="T454" s="218"/>
      <c r="U454" s="218"/>
      <c r="V454" s="601"/>
      <c r="W454" s="601"/>
      <c r="X454" s="1111"/>
      <c r="Y454" s="218"/>
      <c r="Z454" s="219"/>
      <c r="AA454" s="205"/>
      <c r="AB454" s="205"/>
      <c r="AC454" s="205"/>
      <c r="AD454" s="9"/>
    </row>
    <row r="455" ht="22.5" customHeight="1">
      <c r="A455" s="218"/>
      <c r="B455" s="321" t="s">
        <v>428</v>
      </c>
      <c r="C455" s="16"/>
      <c r="D455" s="16"/>
      <c r="E455" s="16"/>
      <c r="F455" s="16"/>
      <c r="G455" s="16"/>
      <c r="H455" s="17"/>
      <c r="I455" s="207">
        <f>SUMIF($T$4:$T$397,"x",R4:R397)+SUMIF($T$4:$T$397,"x",$L$4:$L$397)</f>
        <v>4318239</v>
      </c>
      <c r="J455" s="23"/>
      <c r="K455" s="335"/>
      <c r="L455" s="299"/>
      <c r="M455" s="299"/>
      <c r="N455" s="299"/>
      <c r="O455" s="234"/>
      <c r="P455" s="218"/>
      <c r="Q455" s="218"/>
      <c r="R455" s="218"/>
      <c r="S455" s="218"/>
      <c r="T455" s="218"/>
      <c r="U455" s="218"/>
      <c r="V455" s="601"/>
      <c r="W455" s="601"/>
      <c r="X455" s="1111"/>
      <c r="Y455" s="218"/>
      <c r="Z455" s="219"/>
      <c r="AA455" s="205"/>
      <c r="AB455" s="205"/>
      <c r="AC455" s="205"/>
      <c r="AD455" s="9"/>
    </row>
    <row r="456" ht="22.5" customHeight="1">
      <c r="A456" s="218"/>
      <c r="B456" s="326" t="s">
        <v>429</v>
      </c>
      <c r="C456" s="16"/>
      <c r="D456" s="16"/>
      <c r="E456" s="16"/>
      <c r="F456" s="16"/>
      <c r="G456" s="16"/>
      <c r="H456" s="17"/>
      <c r="I456" s="327">
        <f>I454-I455</f>
        <v>3432858</v>
      </c>
      <c r="J456" s="23"/>
      <c r="K456" s="335">
        <f>I450-L451-7070000-660000</f>
        <v>70340000</v>
      </c>
      <c r="L456" s="930"/>
      <c r="M456" s="218"/>
      <c r="N456" s="218"/>
      <c r="O456" s="234"/>
      <c r="P456" s="218"/>
      <c r="Q456" s="218"/>
      <c r="R456" s="218"/>
      <c r="S456" s="218"/>
      <c r="T456" s="218"/>
      <c r="U456" s="218"/>
      <c r="V456" s="601"/>
      <c r="W456" s="601"/>
      <c r="X456" s="1111"/>
      <c r="Y456" s="218"/>
      <c r="Z456" s="219"/>
      <c r="AA456" s="205"/>
      <c r="AB456" s="205"/>
      <c r="AC456" s="205"/>
      <c r="AD456" s="9"/>
    </row>
    <row r="457" ht="15.75" customHeight="1">
      <c r="A457" s="218"/>
      <c r="B457" s="336"/>
      <c r="C457" s="336"/>
      <c r="D457" s="336"/>
      <c r="E457" s="337"/>
      <c r="F457" s="338"/>
      <c r="G457" s="218"/>
      <c r="H457" s="218"/>
      <c r="I457" s="218"/>
      <c r="J457" s="218"/>
      <c r="K457" s="23"/>
      <c r="L457" s="218"/>
      <c r="M457" s="218"/>
      <c r="N457" s="218"/>
      <c r="O457" s="234"/>
      <c r="P457" s="218"/>
      <c r="Q457" s="218"/>
      <c r="R457" s="218"/>
      <c r="S457" s="218"/>
      <c r="T457" s="218"/>
      <c r="U457" s="218"/>
      <c r="V457" s="601"/>
      <c r="W457" s="601"/>
      <c r="X457" s="1111"/>
      <c r="Y457" s="218"/>
      <c r="Z457" s="219"/>
      <c r="AA457" s="205"/>
      <c r="AB457" s="205"/>
      <c r="AC457" s="205"/>
      <c r="AD457" s="9"/>
    </row>
    <row r="458" ht="15.75" customHeight="1">
      <c r="A458" s="339" t="s">
        <v>430</v>
      </c>
      <c r="E458" s="337"/>
      <c r="F458" s="338"/>
      <c r="G458" s="218"/>
      <c r="H458" s="218"/>
      <c r="I458" s="218"/>
      <c r="J458" s="218"/>
      <c r="K458" s="23"/>
      <c r="L458" s="218"/>
      <c r="M458" s="218"/>
      <c r="N458" s="218"/>
      <c r="O458" s="234"/>
      <c r="P458" s="218"/>
      <c r="Q458" s="218"/>
      <c r="R458" s="218"/>
      <c r="S458" s="218"/>
      <c r="T458" s="218"/>
      <c r="U458" s="218"/>
      <c r="V458" s="601"/>
      <c r="W458" s="601"/>
      <c r="X458" s="1111"/>
      <c r="Y458" s="218"/>
      <c r="Z458" s="219"/>
      <c r="AA458" s="205"/>
      <c r="AB458" s="205"/>
      <c r="AC458" s="205"/>
      <c r="AD458" s="9"/>
    </row>
    <row r="459" ht="15.75" customHeight="1">
      <c r="A459" s="340"/>
      <c r="B459" s="341"/>
      <c r="C459" s="341"/>
      <c r="D459" s="341"/>
      <c r="E459" s="341"/>
      <c r="F459" s="341"/>
      <c r="G459" s="341"/>
      <c r="H459" s="341"/>
      <c r="I459" s="341"/>
      <c r="J459" s="341"/>
      <c r="K459" s="341"/>
      <c r="L459" s="341"/>
      <c r="M459" s="341"/>
      <c r="N459" s="341"/>
      <c r="O459" s="343"/>
      <c r="P459" s="344"/>
      <c r="Q459" s="344"/>
      <c r="R459" s="344"/>
      <c r="S459" s="344"/>
      <c r="T459" s="344"/>
      <c r="U459" s="344"/>
      <c r="V459" s="662"/>
      <c r="W459" s="662"/>
      <c r="X459" s="589"/>
      <c r="Y459" s="344"/>
      <c r="Z459" s="219"/>
      <c r="AA459" s="205"/>
      <c r="AB459" s="205"/>
      <c r="AC459" s="205"/>
      <c r="AD459" s="9"/>
    </row>
    <row r="460" ht="15.75" customHeight="1">
      <c r="A460" s="340"/>
      <c r="B460" s="346" t="s">
        <v>431</v>
      </c>
      <c r="C460" s="347" t="s">
        <v>432</v>
      </c>
      <c r="D460" s="348" t="s">
        <v>433</v>
      </c>
      <c r="E460" s="348" t="s">
        <v>434</v>
      </c>
      <c r="F460" s="349" t="s">
        <v>5</v>
      </c>
      <c r="G460" s="348" t="s">
        <v>435</v>
      </c>
      <c r="H460" s="348" t="s">
        <v>25</v>
      </c>
      <c r="I460" s="349" t="s">
        <v>26</v>
      </c>
      <c r="J460" s="349" t="s">
        <v>436</v>
      </c>
      <c r="K460" s="349" t="s">
        <v>437</v>
      </c>
      <c r="L460" s="349" t="s">
        <v>438</v>
      </c>
      <c r="M460" s="518"/>
      <c r="N460" s="932" t="s">
        <v>9</v>
      </c>
      <c r="O460" s="933" t="s">
        <v>439</v>
      </c>
      <c r="P460" s="17"/>
      <c r="Q460" s="344"/>
      <c r="R460" s="340"/>
      <c r="S460" s="340"/>
      <c r="T460" s="340"/>
      <c r="U460" s="340"/>
      <c r="V460" s="779"/>
      <c r="W460" s="780"/>
      <c r="X460" s="426"/>
      <c r="Y460" s="299"/>
      <c r="Z460" s="353"/>
      <c r="AA460" s="205"/>
      <c r="AB460" s="205"/>
      <c r="AC460" s="205"/>
      <c r="AD460" s="9"/>
    </row>
    <row r="461" ht="36.75" customHeight="1">
      <c r="A461" s="354"/>
      <c r="B461" s="355">
        <v>6.0</v>
      </c>
      <c r="C461" s="1124">
        <v>45107.0</v>
      </c>
      <c r="D461" s="366">
        <v>5906.0</v>
      </c>
      <c r="E461" s="69" t="s">
        <v>50</v>
      </c>
      <c r="F461" s="1125" t="s">
        <v>906</v>
      </c>
      <c r="G461" s="69" t="s">
        <v>70</v>
      </c>
      <c r="H461" s="366" t="s">
        <v>30</v>
      </c>
      <c r="I461" s="355">
        <v>1.0</v>
      </c>
      <c r="J461" s="367">
        <v>220000.0</v>
      </c>
      <c r="K461" s="368">
        <f t="shared" ref="K461:K464" si="87">J461*I461</f>
        <v>220000</v>
      </c>
      <c r="L461" s="358"/>
      <c r="M461" s="783"/>
      <c r="N461" s="1126"/>
      <c r="O461" s="1127" t="s">
        <v>875</v>
      </c>
      <c r="P461" s="17"/>
      <c r="Q461" s="344"/>
      <c r="R461" s="364"/>
      <c r="S461" s="364"/>
      <c r="T461" s="364"/>
      <c r="U461" s="364"/>
      <c r="V461" s="601"/>
      <c r="W461" s="622"/>
      <c r="X461" s="949"/>
      <c r="Y461" s="364"/>
      <c r="Z461" s="365"/>
      <c r="AA461" s="205"/>
      <c r="AB461" s="205"/>
      <c r="AC461" s="205"/>
      <c r="AD461" s="9"/>
    </row>
    <row r="462" ht="36.75" customHeight="1">
      <c r="A462" s="354"/>
      <c r="B462" s="355">
        <v>7.0</v>
      </c>
      <c r="C462" s="781">
        <v>45110.0</v>
      </c>
      <c r="D462" s="366">
        <v>9316.0</v>
      </c>
      <c r="E462" s="69" t="s">
        <v>50</v>
      </c>
      <c r="F462" s="71" t="s">
        <v>1599</v>
      </c>
      <c r="G462" s="366" t="s">
        <v>464</v>
      </c>
      <c r="H462" s="366" t="s">
        <v>30</v>
      </c>
      <c r="I462" s="355">
        <v>1.0</v>
      </c>
      <c r="J462" s="367">
        <v>220000.0</v>
      </c>
      <c r="K462" s="368">
        <f t="shared" si="87"/>
        <v>220000</v>
      </c>
      <c r="L462" s="358"/>
      <c r="M462" s="783"/>
      <c r="N462" s="1128"/>
      <c r="O462" s="1127" t="s">
        <v>875</v>
      </c>
      <c r="P462" s="17"/>
      <c r="Q462" s="642"/>
      <c r="R462" s="784"/>
      <c r="S462" s="364"/>
      <c r="T462" s="364"/>
      <c r="U462" s="364"/>
      <c r="V462" s="601"/>
      <c r="W462" s="601"/>
      <c r="X462" s="952"/>
      <c r="Y462" s="364"/>
      <c r="Z462" s="365"/>
      <c r="AA462" s="205"/>
      <c r="AB462" s="205"/>
      <c r="AC462" s="205"/>
      <c r="AD462" s="9"/>
    </row>
    <row r="463" ht="36.75" customHeight="1">
      <c r="A463" s="786"/>
      <c r="B463" s="355">
        <v>8.0</v>
      </c>
      <c r="C463" s="781">
        <v>45117.0</v>
      </c>
      <c r="D463" s="366">
        <v>3175.0</v>
      </c>
      <c r="E463" s="69" t="s">
        <v>50</v>
      </c>
      <c r="F463" s="1125" t="s">
        <v>1662</v>
      </c>
      <c r="G463" s="129" t="s">
        <v>193</v>
      </c>
      <c r="H463" s="69" t="s">
        <v>290</v>
      </c>
      <c r="I463" s="355">
        <v>1.0</v>
      </c>
      <c r="J463" s="367">
        <v>220000.0</v>
      </c>
      <c r="K463" s="368">
        <f t="shared" si="87"/>
        <v>220000</v>
      </c>
      <c r="L463" s="358"/>
      <c r="M463" s="783"/>
      <c r="N463" s="783"/>
      <c r="O463" s="1127" t="s">
        <v>875</v>
      </c>
      <c r="P463" s="17"/>
      <c r="Q463" s="642"/>
      <c r="R463" s="784"/>
      <c r="S463" s="364"/>
      <c r="T463" s="364"/>
      <c r="U463" s="364"/>
      <c r="V463" s="601"/>
      <c r="W463" s="601"/>
      <c r="X463" s="952"/>
      <c r="Y463" s="364"/>
      <c r="Z463" s="365"/>
      <c r="AA463" s="205"/>
      <c r="AB463" s="205"/>
      <c r="AC463" s="205"/>
      <c r="AD463" s="9"/>
    </row>
    <row r="464" ht="36.75" customHeight="1">
      <c r="A464" s="786"/>
      <c r="B464" s="355">
        <v>9.0</v>
      </c>
      <c r="C464" s="781">
        <v>45117.0</v>
      </c>
      <c r="D464" s="69">
        <v>2576.0</v>
      </c>
      <c r="E464" s="69" t="s">
        <v>50</v>
      </c>
      <c r="F464" s="1125" t="s">
        <v>1668</v>
      </c>
      <c r="G464" s="366" t="s">
        <v>119</v>
      </c>
      <c r="H464" s="366" t="s">
        <v>30</v>
      </c>
      <c r="I464" s="355">
        <v>1.0</v>
      </c>
      <c r="J464" s="367">
        <v>220000.0</v>
      </c>
      <c r="K464" s="368">
        <f t="shared" si="87"/>
        <v>220000</v>
      </c>
      <c r="L464" s="358"/>
      <c r="M464" s="783"/>
      <c r="N464" s="783"/>
      <c r="O464" s="1127" t="s">
        <v>875</v>
      </c>
      <c r="P464" s="17"/>
      <c r="Q464" s="642"/>
      <c r="R464" s="784"/>
      <c r="S464" s="364"/>
      <c r="T464" s="364"/>
      <c r="U464" s="364"/>
      <c r="V464" s="601"/>
      <c r="W464" s="601"/>
      <c r="X464" s="952"/>
      <c r="Y464" s="364"/>
      <c r="Z464" s="365"/>
      <c r="AA464" s="205"/>
      <c r="AB464" s="205"/>
      <c r="AC464" s="205"/>
      <c r="AD464" s="9"/>
    </row>
    <row r="465" ht="31.5" customHeight="1">
      <c r="A465" s="354"/>
      <c r="B465" s="389" t="s">
        <v>421</v>
      </c>
      <c r="C465" s="16"/>
      <c r="D465" s="16"/>
      <c r="E465" s="16"/>
      <c r="F465" s="16"/>
      <c r="G465" s="16"/>
      <c r="H465" s="16"/>
      <c r="I465" s="16"/>
      <c r="J465" s="17"/>
      <c r="K465" s="390">
        <f>SUM(K461:K464)</f>
        <v>880000</v>
      </c>
      <c r="L465" s="392"/>
      <c r="M465" s="542"/>
      <c r="N465" s="967"/>
      <c r="O465" s="542"/>
      <c r="P465" s="17"/>
      <c r="Q465" s="344"/>
      <c r="R465" s="364"/>
      <c r="S465" s="364"/>
      <c r="T465" s="364"/>
      <c r="U465" s="364"/>
      <c r="V465" s="601"/>
      <c r="W465" s="601"/>
      <c r="X465" s="952"/>
      <c r="Y465" s="364"/>
      <c r="Z465" s="365"/>
      <c r="AA465" s="205"/>
      <c r="AB465" s="205"/>
      <c r="AC465" s="205"/>
      <c r="AD465" s="9"/>
    </row>
    <row r="466" ht="15.75" customHeight="1">
      <c r="A466" s="344"/>
      <c r="B466" s="345"/>
      <c r="C466" s="394"/>
      <c r="D466" s="395"/>
      <c r="E466" s="395"/>
      <c r="F466" s="395"/>
      <c r="G466" s="396"/>
      <c r="H466" s="345"/>
      <c r="I466" s="344"/>
      <c r="J466" s="344"/>
      <c r="K466" s="107"/>
      <c r="L466" s="344"/>
      <c r="M466" s="344"/>
      <c r="N466" s="344"/>
      <c r="O466" s="343"/>
      <c r="P466" s="344"/>
      <c r="Q466" s="344"/>
      <c r="R466" s="344"/>
      <c r="S466" s="344"/>
      <c r="T466" s="344"/>
      <c r="U466" s="344"/>
      <c r="V466" s="662"/>
      <c r="W466" s="662"/>
      <c r="X466" s="589"/>
      <c r="Y466" s="344"/>
      <c r="Z466" s="219"/>
      <c r="AA466" s="205"/>
      <c r="AB466" s="205"/>
      <c r="AC466" s="205"/>
      <c r="AD466" s="9"/>
    </row>
    <row r="467" ht="15.75" customHeight="1">
      <c r="A467" s="9"/>
      <c r="B467" s="223"/>
      <c r="C467" s="394"/>
      <c r="D467" s="395"/>
      <c r="E467" s="395"/>
      <c r="F467" s="395"/>
      <c r="G467" s="396"/>
      <c r="H467" s="224"/>
      <c r="I467" s="225"/>
      <c r="J467" s="225"/>
      <c r="K467" s="22"/>
      <c r="L467" s="556"/>
      <c r="M467" s="9"/>
      <c r="N467" s="9"/>
      <c r="O467" s="226"/>
      <c r="P467" s="9"/>
      <c r="Q467" s="9"/>
      <c r="R467" s="9"/>
      <c r="S467" s="9"/>
      <c r="T467" s="9"/>
      <c r="U467" s="9"/>
      <c r="V467" s="913"/>
      <c r="W467" s="913"/>
      <c r="X467" s="589"/>
      <c r="Y467" s="9"/>
      <c r="Z467" s="204"/>
      <c r="AA467" s="205"/>
      <c r="AB467" s="205"/>
      <c r="AC467" s="205"/>
      <c r="AD467" s="9"/>
    </row>
    <row r="468" ht="15.75" customHeight="1">
      <c r="A468" s="9"/>
      <c r="B468" s="223"/>
      <c r="C468" s="397"/>
      <c r="D468" s="9"/>
      <c r="E468" s="9"/>
      <c r="F468" s="222"/>
      <c r="G468" s="223"/>
      <c r="H468" s="224"/>
      <c r="I468" s="225"/>
      <c r="J468" s="225"/>
      <c r="K468" s="22"/>
      <c r="L468" s="556"/>
      <c r="M468" s="9"/>
      <c r="N468" s="9"/>
      <c r="O468" s="226"/>
      <c r="P468" s="9"/>
      <c r="Q468" s="9"/>
      <c r="R468" s="9"/>
      <c r="S468" s="9"/>
      <c r="T468" s="9"/>
      <c r="U468" s="9"/>
      <c r="V468" s="913"/>
      <c r="W468" s="913"/>
      <c r="X468" s="589"/>
      <c r="Y468" s="9"/>
      <c r="Z468" s="204"/>
      <c r="AA468" s="9"/>
      <c r="AB468" s="9"/>
      <c r="AC468" s="9"/>
      <c r="AD468" s="9"/>
    </row>
    <row r="469" ht="15.75" customHeight="1">
      <c r="A469" s="9"/>
      <c r="B469" s="794" t="s">
        <v>1302</v>
      </c>
      <c r="E469" s="9"/>
      <c r="F469" s="222"/>
      <c r="G469" s="223"/>
      <c r="H469" s="224"/>
      <c r="I469" s="225"/>
      <c r="J469" s="225"/>
      <c r="K469" s="22"/>
      <c r="L469" s="556"/>
      <c r="M469" s="9"/>
      <c r="N469" s="9"/>
      <c r="O469" s="226"/>
      <c r="P469" s="9"/>
      <c r="Q469" s="9"/>
      <c r="R469" s="9"/>
      <c r="S469" s="9"/>
      <c r="T469" s="9"/>
      <c r="U469" s="9"/>
      <c r="V469" s="913"/>
      <c r="W469" s="913"/>
      <c r="X469" s="589"/>
      <c r="Y469" s="9"/>
      <c r="Z469" s="204"/>
      <c r="AA469" s="9"/>
      <c r="AB469" s="9"/>
      <c r="AC469" s="9"/>
      <c r="AD469" s="9"/>
    </row>
    <row r="470" ht="15.75" customHeight="1">
      <c r="A470" s="9"/>
      <c r="B470" s="223"/>
      <c r="C470" s="397"/>
      <c r="D470" s="9"/>
      <c r="E470" s="9"/>
      <c r="F470" s="222"/>
      <c r="G470" s="223"/>
      <c r="H470" s="224"/>
      <c r="I470" s="225"/>
      <c r="J470" s="225"/>
      <c r="K470" s="22"/>
      <c r="L470" s="556"/>
      <c r="M470" s="9"/>
      <c r="N470" s="9"/>
      <c r="O470" s="226"/>
      <c r="P470" s="9"/>
      <c r="Q470" s="9"/>
      <c r="R470" s="9"/>
      <c r="S470" s="9"/>
      <c r="T470" s="9"/>
      <c r="U470" s="9"/>
      <c r="V470" s="913"/>
      <c r="W470" s="913"/>
      <c r="X470" s="589"/>
      <c r="Y470" s="9"/>
      <c r="Z470" s="204"/>
      <c r="AA470" s="9"/>
      <c r="AB470" s="9"/>
      <c r="AC470" s="9"/>
      <c r="AD470" s="9"/>
    </row>
    <row r="471" ht="25.5" customHeight="1">
      <c r="A471" s="9"/>
      <c r="B471" s="795" t="s">
        <v>431</v>
      </c>
      <c r="C471" s="796" t="s">
        <v>432</v>
      </c>
      <c r="D471" s="795" t="s">
        <v>433</v>
      </c>
      <c r="E471" s="795" t="s">
        <v>434</v>
      </c>
      <c r="F471" s="797" t="s">
        <v>435</v>
      </c>
      <c r="G471" s="795" t="s">
        <v>5</v>
      </c>
      <c r="H471" s="797" t="s">
        <v>26</v>
      </c>
      <c r="I471" s="399"/>
      <c r="J471" s="399"/>
      <c r="K471" s="968"/>
      <c r="L471" s="556"/>
      <c r="M471" s="9"/>
      <c r="N471" s="9"/>
      <c r="O471" s="226"/>
      <c r="P471" s="9"/>
      <c r="Q471" s="9"/>
      <c r="R471" s="9"/>
      <c r="S471" s="9"/>
      <c r="T471" s="9"/>
      <c r="U471" s="9"/>
      <c r="V471" s="913"/>
      <c r="W471" s="913"/>
      <c r="X471" s="589"/>
      <c r="Y471" s="9"/>
      <c r="Z471" s="204"/>
      <c r="AA471" s="9"/>
      <c r="AB471" s="9"/>
      <c r="AC471" s="9"/>
      <c r="AD471" s="9"/>
    </row>
    <row r="472" ht="25.5" customHeight="1">
      <c r="A472" s="9"/>
      <c r="B472" s="694">
        <v>7.0</v>
      </c>
      <c r="C472" s="103">
        <v>45128.0</v>
      </c>
      <c r="D472" s="694">
        <v>1.712486727348E12</v>
      </c>
      <c r="E472" s="429" t="s">
        <v>44</v>
      </c>
      <c r="F472" s="429" t="s">
        <v>324</v>
      </c>
      <c r="G472" s="684" t="s">
        <v>45</v>
      </c>
      <c r="H472" s="93">
        <v>2.0</v>
      </c>
      <c r="I472" s="225"/>
      <c r="J472" s="225"/>
      <c r="K472" s="22"/>
      <c r="L472" s="556"/>
      <c r="M472" s="9"/>
      <c r="N472" s="9"/>
      <c r="O472" s="226"/>
      <c r="P472" s="9"/>
      <c r="Q472" s="9"/>
      <c r="R472" s="9"/>
      <c r="S472" s="9"/>
      <c r="T472" s="9"/>
      <c r="U472" s="9"/>
      <c r="V472" s="913"/>
      <c r="W472" s="913"/>
      <c r="X472" s="589"/>
      <c r="Y472" s="9"/>
      <c r="Z472" s="204"/>
      <c r="AA472" s="9"/>
      <c r="AB472" s="9"/>
      <c r="AC472" s="9"/>
      <c r="AD472" s="9"/>
    </row>
    <row r="473" ht="15.75" customHeight="1">
      <c r="A473" s="9"/>
      <c r="B473" s="223"/>
      <c r="C473" s="397"/>
      <c r="D473" s="9"/>
      <c r="E473" s="9"/>
      <c r="F473" s="222"/>
      <c r="G473" s="223"/>
      <c r="H473" s="224"/>
      <c r="I473" s="225"/>
      <c r="J473" s="225"/>
      <c r="K473" s="22"/>
      <c r="L473" s="556"/>
      <c r="M473" s="9"/>
      <c r="N473" s="9"/>
      <c r="O473" s="226"/>
      <c r="P473" s="9"/>
      <c r="Q473" s="9"/>
      <c r="R473" s="9"/>
      <c r="S473" s="9"/>
      <c r="T473" s="9"/>
      <c r="U473" s="9"/>
      <c r="V473" s="913"/>
      <c r="W473" s="913"/>
      <c r="X473" s="589"/>
      <c r="Y473" s="9"/>
      <c r="Z473" s="204"/>
      <c r="AA473" s="9"/>
      <c r="AB473" s="9"/>
      <c r="AC473" s="9"/>
      <c r="AD473" s="9"/>
    </row>
    <row r="474" ht="15.75" customHeight="1">
      <c r="A474" s="9"/>
      <c r="B474" s="223"/>
      <c r="C474" s="397"/>
      <c r="D474" s="9"/>
      <c r="E474" s="9"/>
      <c r="F474" s="222"/>
      <c r="G474" s="223"/>
      <c r="H474" s="224"/>
      <c r="I474" s="225"/>
      <c r="J474" s="225"/>
      <c r="K474" s="22"/>
      <c r="L474" s="556"/>
      <c r="M474" s="9"/>
      <c r="N474" s="9"/>
      <c r="O474" s="226"/>
      <c r="P474" s="9"/>
      <c r="Q474" s="9"/>
      <c r="R474" s="9"/>
      <c r="S474" s="9"/>
      <c r="T474" s="9"/>
      <c r="U474" s="9"/>
      <c r="V474" s="913"/>
      <c r="W474" s="913"/>
      <c r="X474" s="589"/>
      <c r="Y474" s="9"/>
      <c r="Z474" s="204"/>
      <c r="AA474" s="9"/>
      <c r="AB474" s="9"/>
      <c r="AC474" s="9"/>
      <c r="AD474" s="9"/>
    </row>
    <row r="475" ht="27.0" customHeight="1">
      <c r="A475" s="9"/>
      <c r="B475" s="1129" t="s">
        <v>1303</v>
      </c>
      <c r="E475" s="106"/>
      <c r="F475" s="222"/>
      <c r="G475" s="223"/>
      <c r="H475" s="224"/>
      <c r="I475" s="225"/>
      <c r="J475" s="225"/>
      <c r="K475" s="22"/>
      <c r="L475" s="556"/>
      <c r="M475" s="9"/>
      <c r="N475" s="9"/>
      <c r="O475" s="226"/>
      <c r="P475" s="9"/>
      <c r="Q475" s="9"/>
      <c r="R475" s="9"/>
      <c r="S475" s="9"/>
      <c r="T475" s="9"/>
      <c r="U475" s="9"/>
      <c r="V475" s="913"/>
      <c r="W475" s="913"/>
      <c r="X475" s="589"/>
      <c r="Y475" s="9"/>
      <c r="Z475" s="204"/>
      <c r="AA475" s="9"/>
      <c r="AB475" s="9"/>
      <c r="AC475" s="9"/>
      <c r="AD475" s="9"/>
    </row>
    <row r="476" ht="30.0" customHeight="1">
      <c r="A476" s="9"/>
      <c r="B476" s="795" t="s">
        <v>1304</v>
      </c>
      <c r="C476" s="796" t="s">
        <v>1305</v>
      </c>
      <c r="D476" s="795" t="s">
        <v>1306</v>
      </c>
      <c r="E476" s="795" t="s">
        <v>1307</v>
      </c>
      <c r="F476" s="797" t="s">
        <v>1308</v>
      </c>
      <c r="G476" s="223"/>
      <c r="H476" s="224"/>
      <c r="I476" s="225"/>
      <c r="J476" s="225"/>
      <c r="K476" s="22"/>
      <c r="L476" s="556"/>
      <c r="M476" s="9"/>
      <c r="N476" s="9"/>
      <c r="O476" s="226"/>
      <c r="P476" s="9"/>
      <c r="Q476" s="9"/>
      <c r="R476" s="9"/>
      <c r="S476" s="9"/>
      <c r="T476" s="9"/>
      <c r="U476" s="9"/>
      <c r="V476" s="913"/>
      <c r="W476" s="913"/>
      <c r="X476" s="589"/>
      <c r="Y476" s="9"/>
      <c r="Z476" s="204"/>
      <c r="AA476" s="9"/>
      <c r="AB476" s="9"/>
      <c r="AC476" s="9"/>
      <c r="AD476" s="9"/>
    </row>
    <row r="477" ht="27.75" customHeight="1">
      <c r="A477" s="9"/>
      <c r="B477" s="808">
        <v>45103.0</v>
      </c>
      <c r="C477" s="109">
        <f>660000+220000</f>
        <v>880000</v>
      </c>
      <c r="D477" s="805">
        <f>853495</f>
        <v>853495</v>
      </c>
      <c r="E477" s="805">
        <f t="shared" ref="E477:E480" si="88">C477*3%</f>
        <v>26400</v>
      </c>
      <c r="F477" s="109">
        <f t="shared" ref="F477:F490" si="89">C477-D477-E477</f>
        <v>105</v>
      </c>
      <c r="G477" s="223"/>
      <c r="H477" s="224"/>
      <c r="I477" s="225"/>
      <c r="J477" s="225"/>
      <c r="K477" s="22"/>
      <c r="L477" s="556"/>
      <c r="M477" s="9"/>
      <c r="N477" s="9"/>
      <c r="O477" s="226"/>
      <c r="P477" s="9"/>
      <c r="Q477" s="9"/>
      <c r="R477" s="9"/>
      <c r="S477" s="9"/>
      <c r="T477" s="9"/>
      <c r="U477" s="9"/>
      <c r="V477" s="913"/>
      <c r="W477" s="913"/>
      <c r="X477" s="589"/>
      <c r="Y477" s="9"/>
      <c r="Z477" s="204"/>
      <c r="AA477" s="9"/>
      <c r="AB477" s="9"/>
      <c r="AC477" s="9"/>
      <c r="AD477" s="9"/>
    </row>
    <row r="478" ht="27.75" customHeight="1">
      <c r="A478" s="9"/>
      <c r="B478" s="808">
        <v>45106.0</v>
      </c>
      <c r="C478" s="109">
        <f>440000+220000+220000+220000</f>
        <v>1100000</v>
      </c>
      <c r="D478" s="805">
        <f>1066289</f>
        <v>1066289</v>
      </c>
      <c r="E478" s="805">
        <f t="shared" si="88"/>
        <v>33000</v>
      </c>
      <c r="F478" s="109">
        <f t="shared" si="89"/>
        <v>711</v>
      </c>
      <c r="G478" s="223"/>
      <c r="H478" s="224"/>
      <c r="I478" s="225"/>
      <c r="J478" s="225"/>
      <c r="K478" s="22"/>
      <c r="L478" s="556"/>
      <c r="M478" s="9"/>
      <c r="N478" s="9"/>
      <c r="O478" s="226"/>
      <c r="P478" s="9"/>
      <c r="Q478" s="9"/>
      <c r="R478" s="9"/>
      <c r="S478" s="9"/>
      <c r="T478" s="9"/>
      <c r="U478" s="9"/>
      <c r="V478" s="913"/>
      <c r="W478" s="913"/>
      <c r="X478" s="589"/>
      <c r="Y478" s="9"/>
      <c r="Z478" s="204"/>
      <c r="AA478" s="9"/>
      <c r="AB478" s="9"/>
      <c r="AC478" s="9"/>
      <c r="AD478" s="9"/>
    </row>
    <row r="479" ht="27.75" customHeight="1">
      <c r="A479" s="9"/>
      <c r="B479" s="808">
        <v>45108.0</v>
      </c>
      <c r="C479" s="109">
        <f t="shared" ref="C479:C480" si="90">220000+220000</f>
        <v>440000</v>
      </c>
      <c r="D479" s="805">
        <f>425006</f>
        <v>425006</v>
      </c>
      <c r="E479" s="805">
        <f t="shared" si="88"/>
        <v>13200</v>
      </c>
      <c r="F479" s="109">
        <f t="shared" si="89"/>
        <v>1794</v>
      </c>
      <c r="G479" s="223"/>
      <c r="H479" s="224"/>
      <c r="I479" s="225"/>
      <c r="J479" s="225"/>
      <c r="K479" s="22"/>
      <c r="L479" s="556"/>
      <c r="M479" s="9"/>
      <c r="N479" s="9"/>
      <c r="O479" s="226"/>
      <c r="P479" s="9"/>
      <c r="Q479" s="9"/>
      <c r="R479" s="9"/>
      <c r="S479" s="9"/>
      <c r="T479" s="9"/>
      <c r="U479" s="9"/>
      <c r="V479" s="913"/>
      <c r="W479" s="913"/>
      <c r="X479" s="589"/>
      <c r="Y479" s="9"/>
      <c r="Z479" s="204"/>
      <c r="AA479" s="9"/>
      <c r="AB479" s="9"/>
      <c r="AC479" s="9"/>
      <c r="AD479" s="9"/>
    </row>
    <row r="480" ht="27.75" customHeight="1">
      <c r="A480" s="9"/>
      <c r="B480" s="808">
        <v>45110.0</v>
      </c>
      <c r="C480" s="109">
        <f t="shared" si="90"/>
        <v>440000</v>
      </c>
      <c r="D480" s="805">
        <f>426266</f>
        <v>426266</v>
      </c>
      <c r="E480" s="805">
        <f t="shared" si="88"/>
        <v>13200</v>
      </c>
      <c r="F480" s="109">
        <f t="shared" si="89"/>
        <v>534</v>
      </c>
      <c r="G480" s="223"/>
      <c r="H480" s="224"/>
      <c r="I480" s="225"/>
      <c r="J480" s="225"/>
      <c r="K480" s="22"/>
      <c r="L480" s="556"/>
      <c r="M480" s="9"/>
      <c r="N480" s="9"/>
      <c r="O480" s="226"/>
      <c r="P480" s="9"/>
      <c r="Q480" s="9"/>
      <c r="R480" s="9"/>
      <c r="S480" s="9"/>
      <c r="T480" s="9"/>
      <c r="U480" s="9"/>
      <c r="V480" s="913"/>
      <c r="W480" s="913"/>
      <c r="X480" s="589"/>
      <c r="Y480" s="9"/>
      <c r="Z480" s="204"/>
      <c r="AA480" s="9"/>
      <c r="AB480" s="9"/>
      <c r="AC480" s="9"/>
      <c r="AD480" s="9"/>
    </row>
    <row r="481" ht="27.75" customHeight="1">
      <c r="A481" s="9"/>
      <c r="B481" s="808">
        <v>45115.0</v>
      </c>
      <c r="C481" s="109">
        <f>K16+K20</f>
        <v>440000</v>
      </c>
      <c r="D481" s="805">
        <f>426536</f>
        <v>426536</v>
      </c>
      <c r="E481" s="805">
        <f>M16+M20</f>
        <v>13464</v>
      </c>
      <c r="F481" s="109">
        <f t="shared" si="89"/>
        <v>0</v>
      </c>
      <c r="G481" s="223"/>
      <c r="H481" s="224"/>
      <c r="I481" s="225"/>
      <c r="J481" s="225"/>
      <c r="K481" s="22"/>
      <c r="L481" s="556"/>
      <c r="M481" s="9"/>
      <c r="N481" s="9"/>
      <c r="O481" s="226"/>
      <c r="P481" s="9"/>
      <c r="Q481" s="9"/>
      <c r="R481" s="9"/>
      <c r="S481" s="9"/>
      <c r="T481" s="9"/>
      <c r="U481" s="9"/>
      <c r="V481" s="913"/>
      <c r="W481" s="913"/>
      <c r="X481" s="589"/>
      <c r="Y481" s="9"/>
      <c r="Z481" s="204"/>
      <c r="AA481" s="9"/>
      <c r="AB481" s="9"/>
      <c r="AC481" s="9"/>
      <c r="AD481" s="9"/>
    </row>
    <row r="482" ht="27.75" customHeight="1">
      <c r="A482" s="9"/>
      <c r="B482" s="808">
        <v>45117.0</v>
      </c>
      <c r="C482" s="109">
        <f>K17+K18+K19+K30+K31+K32+K35+K36+K37+K38</f>
        <v>4180000</v>
      </c>
      <c r="D482" s="805">
        <f>4050361</f>
        <v>4050361</v>
      </c>
      <c r="E482" s="805">
        <f>M17+M18+M19+M30+M31+M32+M35+M36+M37+M38</f>
        <v>129639</v>
      </c>
      <c r="F482" s="109">
        <f t="shared" si="89"/>
        <v>0</v>
      </c>
      <c r="G482" s="223"/>
      <c r="H482" s="224"/>
      <c r="I482" s="225"/>
      <c r="J482" s="225"/>
      <c r="K482" s="22"/>
      <c r="L482" s="556"/>
      <c r="M482" s="9"/>
      <c r="N482" s="9"/>
      <c r="O482" s="226"/>
      <c r="P482" s="9"/>
      <c r="Q482" s="9"/>
      <c r="R482" s="9"/>
      <c r="S482" s="9"/>
      <c r="T482" s="9"/>
      <c r="U482" s="9"/>
      <c r="V482" s="913"/>
      <c r="W482" s="913"/>
      <c r="X482" s="589"/>
      <c r="Y482" s="9"/>
      <c r="Z482" s="204"/>
      <c r="AA482" s="9"/>
      <c r="AB482" s="9"/>
      <c r="AC482" s="9"/>
      <c r="AD482" s="9"/>
    </row>
    <row r="483" ht="27.75" customHeight="1">
      <c r="A483" s="9"/>
      <c r="B483" s="808">
        <v>45119.0</v>
      </c>
      <c r="C483" s="109">
        <f>K33+K52+K57</f>
        <v>880000</v>
      </c>
      <c r="D483" s="805">
        <f>854053</f>
        <v>854053</v>
      </c>
      <c r="E483" s="805">
        <f>M33+M52+M57</f>
        <v>25947</v>
      </c>
      <c r="F483" s="109">
        <f t="shared" si="89"/>
        <v>0</v>
      </c>
      <c r="G483" s="223"/>
      <c r="H483" s="224"/>
      <c r="I483" s="225"/>
      <c r="J483" s="225"/>
      <c r="K483" s="22"/>
      <c r="L483" s="556"/>
      <c r="M483" s="9"/>
      <c r="N483" s="9"/>
      <c r="O483" s="226"/>
      <c r="P483" s="9"/>
      <c r="Q483" s="9"/>
      <c r="R483" s="9"/>
      <c r="S483" s="9"/>
      <c r="T483" s="9"/>
      <c r="U483" s="9"/>
      <c r="V483" s="913"/>
      <c r="W483" s="913"/>
      <c r="X483" s="589"/>
      <c r="Y483" s="9"/>
      <c r="Z483" s="204"/>
      <c r="AA483" s="9"/>
      <c r="AB483" s="9"/>
      <c r="AC483" s="9"/>
      <c r="AD483" s="9"/>
    </row>
    <row r="484" ht="27.75" customHeight="1">
      <c r="A484" s="9"/>
      <c r="B484" s="808">
        <v>45121.0</v>
      </c>
      <c r="C484" s="805">
        <f>K34+K53+K54+K55+K65</f>
        <v>1320000</v>
      </c>
      <c r="D484" s="805">
        <f>1276692</f>
        <v>1276692</v>
      </c>
      <c r="E484" s="805">
        <f>M34+M53+M54+M55+M65</f>
        <v>43308</v>
      </c>
      <c r="F484" s="109">
        <f t="shared" si="89"/>
        <v>0</v>
      </c>
      <c r="G484" s="9"/>
      <c r="H484" s="9"/>
      <c r="I484" s="9"/>
      <c r="J484" s="9"/>
      <c r="K484" s="9"/>
      <c r="L484" s="556"/>
      <c r="M484" s="9"/>
      <c r="N484" s="9"/>
      <c r="O484" s="9"/>
      <c r="P484" s="9"/>
      <c r="Q484" s="9"/>
      <c r="R484" s="9"/>
      <c r="S484" s="9"/>
      <c r="T484" s="9"/>
      <c r="U484" s="9"/>
      <c r="V484" s="9"/>
      <c r="W484" s="9"/>
      <c r="X484" s="589"/>
      <c r="Y484" s="9"/>
      <c r="Z484" s="204"/>
      <c r="AA484" s="9"/>
      <c r="AB484" s="9"/>
      <c r="AC484" s="9"/>
      <c r="AD484" s="9"/>
    </row>
    <row r="485" ht="27.75" customHeight="1">
      <c r="A485" s="9"/>
      <c r="B485" s="808">
        <v>45124.0</v>
      </c>
      <c r="C485" s="805">
        <f>K34+K53+K54+K55+K73+K75+K77+K90+K95+K96+K98+K74</f>
        <v>3080000</v>
      </c>
      <c r="D485" s="805">
        <f>2988851</f>
        <v>2988851</v>
      </c>
      <c r="E485" s="805">
        <f>M34+M53+M54+M55+M73+M74+M75+M77+M90+M95+M96+M98</f>
        <v>93096</v>
      </c>
      <c r="F485" s="109">
        <f t="shared" si="89"/>
        <v>-1947</v>
      </c>
      <c r="G485" s="9"/>
      <c r="H485" s="9"/>
      <c r="I485" s="9"/>
      <c r="J485" s="9"/>
      <c r="K485" s="9"/>
      <c r="L485" s="556"/>
      <c r="M485" s="9"/>
      <c r="N485" s="9"/>
      <c r="O485" s="9"/>
      <c r="P485" s="9"/>
      <c r="Q485" s="9"/>
      <c r="R485" s="9"/>
      <c r="S485" s="9"/>
      <c r="T485" s="9"/>
      <c r="U485" s="9"/>
      <c r="V485" s="9"/>
      <c r="W485" s="9"/>
      <c r="X485" s="589"/>
      <c r="Y485" s="9"/>
      <c r="Z485" s="204"/>
      <c r="AA485" s="9"/>
      <c r="AB485" s="9"/>
      <c r="AC485" s="9"/>
      <c r="AD485" s="9"/>
    </row>
    <row r="486" ht="27.75" customHeight="1">
      <c r="A486" s="9"/>
      <c r="B486" s="808">
        <v>45125.0</v>
      </c>
      <c r="C486" s="805">
        <f>K101+K93+K97+K94+K99+K102</f>
        <v>1540000</v>
      </c>
      <c r="D486" s="805">
        <f>1491232</f>
        <v>1491232</v>
      </c>
      <c r="E486" s="805">
        <f>M93+M94+M97+M99+M101+M102</f>
        <v>48768</v>
      </c>
      <c r="F486" s="109">
        <f t="shared" si="89"/>
        <v>0</v>
      </c>
      <c r="G486" s="9"/>
      <c r="H486" s="9"/>
      <c r="I486" s="9"/>
      <c r="J486" s="9"/>
      <c r="K486" s="9"/>
      <c r="L486" s="556"/>
      <c r="M486" s="9"/>
      <c r="N486" s="9"/>
      <c r="O486" s="9"/>
      <c r="P486" s="9"/>
      <c r="Q486" s="9"/>
      <c r="R486" s="9"/>
      <c r="S486" s="9"/>
      <c r="T486" s="9"/>
      <c r="U486" s="9"/>
      <c r="V486" s="9"/>
      <c r="W486" s="9"/>
      <c r="X486" s="589"/>
      <c r="Y486" s="9"/>
      <c r="Z486" s="204"/>
      <c r="AA486" s="9"/>
      <c r="AB486" s="9"/>
      <c r="AC486" s="9"/>
      <c r="AD486" s="9"/>
    </row>
    <row r="487" ht="27.75" customHeight="1">
      <c r="A487" s="9"/>
      <c r="B487" s="808">
        <v>45126.0</v>
      </c>
      <c r="C487" s="805">
        <f>K89+K100+K124+K126+K127+K128+K130+K131+K132+K134+K138+K165</f>
        <v>3740000</v>
      </c>
      <c r="D487" s="805">
        <f>3624790</f>
        <v>3624790</v>
      </c>
      <c r="E487" s="805">
        <f>M89+M100+M124+M126+M127+M128+M130+M131+M132+M134+M138+M165</f>
        <v>113620</v>
      </c>
      <c r="F487" s="109">
        <f t="shared" si="89"/>
        <v>1590</v>
      </c>
      <c r="G487" s="9"/>
      <c r="H487" s="9"/>
      <c r="I487" s="9"/>
      <c r="J487" s="9"/>
      <c r="K487" s="9"/>
      <c r="L487" s="556"/>
      <c r="M487" s="9"/>
      <c r="N487" s="9"/>
      <c r="O487" s="9"/>
      <c r="P487" s="9"/>
      <c r="Q487" s="9"/>
      <c r="R487" s="9"/>
      <c r="S487" s="9"/>
      <c r="T487" s="9"/>
      <c r="U487" s="9"/>
      <c r="V487" s="9"/>
      <c r="W487" s="9"/>
      <c r="X487" s="589"/>
      <c r="Y487" s="9"/>
      <c r="Z487" s="204"/>
      <c r="AA487" s="9"/>
      <c r="AB487" s="9"/>
      <c r="AC487" s="9"/>
      <c r="AD487" s="9"/>
    </row>
    <row r="488" ht="27.75" customHeight="1">
      <c r="A488" s="9"/>
      <c r="B488" s="808">
        <v>45128.0</v>
      </c>
      <c r="C488" s="805">
        <f>K137+K141+K142+K143+K144+K135+K147+K148+K149</f>
        <v>2200000</v>
      </c>
      <c r="D488" s="805">
        <f>2131834</f>
        <v>2131834</v>
      </c>
      <c r="E488" s="805">
        <f>M137+M141+M142+M143+M144+M135+M147+M148+M149</f>
        <v>68166</v>
      </c>
      <c r="F488" s="109">
        <f t="shared" si="89"/>
        <v>0</v>
      </c>
      <c r="G488" s="9"/>
      <c r="H488" s="9"/>
      <c r="I488" s="9"/>
      <c r="J488" s="9"/>
      <c r="K488" s="9"/>
      <c r="L488" s="556"/>
      <c r="M488" s="9"/>
      <c r="N488" s="9"/>
      <c r="O488" s="9"/>
      <c r="P488" s="9"/>
      <c r="Q488" s="9"/>
      <c r="R488" s="9"/>
      <c r="S488" s="9"/>
      <c r="T488" s="9"/>
      <c r="U488" s="9"/>
      <c r="V488" s="9"/>
      <c r="W488" s="9"/>
      <c r="X488" s="589"/>
      <c r="Y488" s="9"/>
      <c r="Z488" s="204"/>
      <c r="AA488" s="9"/>
      <c r="AB488" s="9"/>
      <c r="AC488" s="9"/>
      <c r="AD488" s="9"/>
    </row>
    <row r="489" ht="27.75" customHeight="1">
      <c r="A489" s="9"/>
      <c r="B489" s="808">
        <v>45131.0</v>
      </c>
      <c r="C489" s="805">
        <f>K146+K158+K161</f>
        <v>880000</v>
      </c>
      <c r="D489" s="805">
        <f>838606</f>
        <v>838606</v>
      </c>
      <c r="E489" s="805">
        <f>M146+M158+M161</f>
        <v>35857</v>
      </c>
      <c r="F489" s="109">
        <f t="shared" si="89"/>
        <v>5537</v>
      </c>
      <c r="G489" s="9"/>
      <c r="H489" s="9"/>
      <c r="I489" s="9"/>
      <c r="J489" s="9"/>
      <c r="K489" s="9"/>
      <c r="L489" s="556"/>
      <c r="M489" s="9"/>
      <c r="N489" s="9"/>
      <c r="O489" s="9"/>
      <c r="P489" s="9"/>
      <c r="Q489" s="9"/>
      <c r="R489" s="9"/>
      <c r="S489" s="9"/>
      <c r="T489" s="9"/>
      <c r="U489" s="9"/>
      <c r="V489" s="9"/>
      <c r="W489" s="9"/>
      <c r="X489" s="589"/>
      <c r="Y489" s="9"/>
      <c r="Z489" s="204"/>
      <c r="AA489" s="9"/>
      <c r="AB489" s="9"/>
      <c r="AC489" s="9"/>
      <c r="AD489" s="9"/>
    </row>
    <row r="490" ht="27.75" customHeight="1">
      <c r="A490" s="9"/>
      <c r="B490" s="808">
        <v>45132.0</v>
      </c>
      <c r="C490" s="805">
        <f>K157</f>
        <v>220000</v>
      </c>
      <c r="D490" s="805">
        <f>212293</f>
        <v>212293</v>
      </c>
      <c r="E490" s="805">
        <f>M157</f>
        <v>7707</v>
      </c>
      <c r="F490" s="109">
        <f t="shared" si="89"/>
        <v>0</v>
      </c>
      <c r="G490" s="9"/>
      <c r="H490" s="9"/>
      <c r="I490" s="9"/>
      <c r="J490" s="9"/>
      <c r="K490" s="9"/>
      <c r="L490" s="556"/>
      <c r="M490" s="9"/>
      <c r="N490" s="9"/>
      <c r="O490" s="9"/>
      <c r="P490" s="9"/>
      <c r="Q490" s="9"/>
      <c r="R490" s="9"/>
      <c r="S490" s="9"/>
      <c r="T490" s="9"/>
      <c r="U490" s="9"/>
      <c r="V490" s="9"/>
      <c r="W490" s="9"/>
      <c r="X490" s="589"/>
      <c r="Y490" s="9"/>
      <c r="Z490" s="204"/>
      <c r="AA490" s="9"/>
      <c r="AB490" s="9"/>
      <c r="AC490" s="9"/>
      <c r="AD490" s="9"/>
    </row>
    <row r="491" ht="27.75" customHeight="1">
      <c r="A491" s="9"/>
      <c r="B491" s="693"/>
      <c r="C491" s="972">
        <f t="shared" ref="C491:E491" si="91">SUM(C477:C490)</f>
        <v>21340000</v>
      </c>
      <c r="D491" s="972">
        <f t="shared" si="91"/>
        <v>20666304</v>
      </c>
      <c r="E491" s="972">
        <f t="shared" si="91"/>
        <v>665372</v>
      </c>
      <c r="F491" s="972">
        <f>sum(F477:F490)</f>
        <v>8324</v>
      </c>
      <c r="G491" s="9"/>
      <c r="H491" s="9"/>
      <c r="I491" s="9"/>
      <c r="J491" s="9"/>
      <c r="K491" s="9"/>
      <c r="L491" s="556"/>
      <c r="M491" s="9"/>
      <c r="N491" s="9"/>
      <c r="O491" s="9"/>
      <c r="P491" s="9"/>
      <c r="Q491" s="9"/>
      <c r="R491" s="9"/>
      <c r="S491" s="9"/>
      <c r="T491" s="9"/>
      <c r="U491" s="9"/>
      <c r="V491" s="9"/>
      <c r="W491" s="9"/>
      <c r="X491" s="589"/>
      <c r="Y491" s="9"/>
      <c r="Z491" s="204"/>
      <c r="AA491" s="9"/>
      <c r="AB491" s="9"/>
      <c r="AC491" s="9"/>
      <c r="AD491" s="9"/>
    </row>
    <row r="492" ht="15.75" customHeight="1">
      <c r="A492" s="9"/>
      <c r="B492" s="9"/>
      <c r="C492" s="9"/>
      <c r="D492" s="9"/>
      <c r="E492" s="9"/>
      <c r="F492" s="9"/>
      <c r="G492" s="9"/>
      <c r="H492" s="9"/>
      <c r="I492" s="9"/>
      <c r="J492" s="9"/>
      <c r="K492" s="9"/>
      <c r="L492" s="556"/>
      <c r="M492" s="9"/>
      <c r="N492" s="9"/>
      <c r="O492" s="9"/>
      <c r="P492" s="9"/>
      <c r="Q492" s="9"/>
      <c r="R492" s="9"/>
      <c r="S492" s="9"/>
      <c r="T492" s="9"/>
      <c r="U492" s="9"/>
      <c r="V492" s="9"/>
      <c r="W492" s="9"/>
      <c r="X492" s="589"/>
      <c r="Y492" s="9"/>
      <c r="Z492" s="204"/>
      <c r="AA492" s="9"/>
      <c r="AB492" s="9"/>
      <c r="AC492" s="9"/>
      <c r="AD492" s="9"/>
    </row>
    <row r="493" ht="15.75" customHeight="1">
      <c r="A493" s="9"/>
      <c r="B493" s="9"/>
      <c r="C493" s="9"/>
      <c r="D493" s="9"/>
      <c r="E493" s="9"/>
      <c r="F493" s="9"/>
      <c r="G493" s="9"/>
      <c r="H493" s="9"/>
      <c r="I493" s="9"/>
      <c r="J493" s="9"/>
      <c r="K493" s="9"/>
      <c r="L493" s="556"/>
      <c r="M493" s="9"/>
      <c r="N493" s="9"/>
      <c r="O493" s="9"/>
      <c r="P493" s="9"/>
      <c r="Q493" s="9"/>
      <c r="R493" s="9"/>
      <c r="S493" s="9"/>
      <c r="T493" s="9"/>
      <c r="U493" s="9"/>
      <c r="V493" s="9"/>
      <c r="W493" s="9"/>
      <c r="X493" s="589"/>
      <c r="Y493" s="9"/>
      <c r="Z493" s="204"/>
      <c r="AA493" s="9"/>
      <c r="AB493" s="9"/>
      <c r="AC493" s="9"/>
      <c r="AD493" s="9"/>
    </row>
    <row r="494" ht="15.75" customHeight="1">
      <c r="A494" s="9"/>
      <c r="B494" s="9"/>
      <c r="C494" s="9"/>
      <c r="D494" s="9"/>
      <c r="E494" s="9"/>
      <c r="F494" s="9"/>
      <c r="G494" s="9"/>
      <c r="H494" s="9"/>
      <c r="I494" s="9"/>
      <c r="J494" s="9"/>
      <c r="K494" s="9"/>
      <c r="L494" s="556"/>
      <c r="M494" s="9"/>
      <c r="N494" s="9"/>
      <c r="O494" s="9"/>
      <c r="P494" s="9"/>
      <c r="Q494" s="9"/>
      <c r="R494" s="9"/>
      <c r="S494" s="9"/>
      <c r="T494" s="9"/>
      <c r="U494" s="9"/>
      <c r="V494" s="9"/>
      <c r="W494" s="9"/>
      <c r="X494" s="589"/>
      <c r="Y494" s="9"/>
      <c r="Z494" s="204"/>
      <c r="AA494" s="9"/>
      <c r="AB494" s="9"/>
      <c r="AC494" s="9"/>
      <c r="AD494" s="9"/>
    </row>
    <row r="495" ht="15.75" customHeight="1">
      <c r="A495" s="9"/>
      <c r="B495" s="9"/>
      <c r="C495" s="9"/>
      <c r="D495" s="9"/>
      <c r="E495" s="9"/>
      <c r="F495" s="9"/>
      <c r="G495" s="9"/>
      <c r="H495" s="9"/>
      <c r="I495" s="9"/>
      <c r="J495" s="9"/>
      <c r="K495" s="9"/>
      <c r="L495" s="556"/>
      <c r="M495" s="9"/>
      <c r="N495" s="9"/>
      <c r="O495" s="9"/>
      <c r="P495" s="9"/>
      <c r="Q495" s="9"/>
      <c r="R495" s="9"/>
      <c r="S495" s="9"/>
      <c r="T495" s="9"/>
      <c r="U495" s="9"/>
      <c r="V495" s="9"/>
      <c r="W495" s="9"/>
      <c r="X495" s="589"/>
      <c r="Y495" s="9"/>
      <c r="Z495" s="204"/>
      <c r="AA495" s="9"/>
      <c r="AB495" s="9"/>
      <c r="AC495" s="9"/>
      <c r="AD495" s="9"/>
    </row>
    <row r="496" ht="15.75" customHeight="1">
      <c r="A496" s="9"/>
      <c r="B496" s="9"/>
      <c r="C496" s="9"/>
      <c r="D496" s="9"/>
      <c r="E496" s="9"/>
      <c r="F496" s="9"/>
      <c r="G496" s="9"/>
      <c r="H496" s="9"/>
      <c r="I496" s="9"/>
      <c r="J496" s="9"/>
      <c r="K496" s="9"/>
      <c r="L496" s="556"/>
      <c r="M496" s="9"/>
      <c r="N496" s="9"/>
      <c r="O496" s="9"/>
      <c r="P496" s="9"/>
      <c r="Q496" s="9"/>
      <c r="R496" s="9"/>
      <c r="S496" s="9"/>
      <c r="T496" s="9"/>
      <c r="U496" s="9"/>
      <c r="V496" s="9"/>
      <c r="W496" s="9"/>
      <c r="X496" s="589"/>
      <c r="Y496" s="9"/>
      <c r="Z496" s="204"/>
      <c r="AA496" s="9"/>
      <c r="AB496" s="9"/>
      <c r="AC496" s="9"/>
      <c r="AD496" s="9"/>
    </row>
    <row r="497" ht="15.75" customHeight="1">
      <c r="A497" s="9"/>
      <c r="B497" s="9"/>
      <c r="C497" s="9"/>
      <c r="D497" s="9"/>
      <c r="E497" s="9"/>
      <c r="F497" s="9"/>
      <c r="G497" s="9"/>
      <c r="H497" s="9"/>
      <c r="I497" s="9"/>
      <c r="J497" s="9"/>
      <c r="K497" s="9"/>
      <c r="L497" s="556"/>
      <c r="M497" s="9"/>
      <c r="N497" s="9"/>
      <c r="O497" s="9"/>
      <c r="P497" s="9"/>
      <c r="Q497" s="9"/>
      <c r="R497" s="9"/>
      <c r="S497" s="9"/>
      <c r="T497" s="9"/>
      <c r="U497" s="9"/>
      <c r="V497" s="9"/>
      <c r="W497" s="9"/>
      <c r="X497" s="589"/>
      <c r="Y497" s="9"/>
      <c r="Z497" s="204"/>
      <c r="AA497" s="9"/>
      <c r="AB497" s="9"/>
      <c r="AC497" s="9"/>
      <c r="AD497" s="9"/>
    </row>
    <row r="498" ht="15.75" customHeight="1">
      <c r="A498" s="9"/>
      <c r="B498" s="9"/>
      <c r="C498" s="9"/>
      <c r="D498" s="9"/>
      <c r="E498" s="9"/>
      <c r="F498" s="9"/>
      <c r="G498" s="9"/>
      <c r="H498" s="9"/>
      <c r="I498" s="9"/>
      <c r="J498" s="9"/>
      <c r="K498" s="9"/>
      <c r="L498" s="556"/>
      <c r="M498" s="9"/>
      <c r="N498" s="9"/>
      <c r="O498" s="9"/>
      <c r="P498" s="9"/>
      <c r="Q498" s="9"/>
      <c r="R498" s="9"/>
      <c r="S498" s="9"/>
      <c r="T498" s="9"/>
      <c r="U498" s="9"/>
      <c r="V498" s="9"/>
      <c r="W498" s="9"/>
      <c r="X498" s="589"/>
      <c r="Y498" s="9"/>
      <c r="Z498" s="204"/>
      <c r="AA498" s="9"/>
      <c r="AB498" s="9"/>
      <c r="AC498" s="9"/>
      <c r="AD498" s="9"/>
    </row>
    <row r="499" ht="15.75" customHeight="1">
      <c r="A499" s="9"/>
      <c r="B499" s="9"/>
      <c r="C499" s="9"/>
      <c r="D499" s="9"/>
      <c r="E499" s="9"/>
      <c r="F499" s="9"/>
      <c r="G499" s="9"/>
      <c r="H499" s="9"/>
      <c r="I499" s="9"/>
      <c r="J499" s="9"/>
      <c r="K499" s="9"/>
      <c r="L499" s="556"/>
      <c r="M499" s="9"/>
      <c r="N499" s="9"/>
      <c r="O499" s="9"/>
      <c r="P499" s="9"/>
      <c r="Q499" s="9"/>
      <c r="R499" s="9"/>
      <c r="S499" s="9"/>
      <c r="T499" s="9"/>
      <c r="U499" s="9"/>
      <c r="V499" s="9"/>
      <c r="W499" s="9"/>
      <c r="X499" s="589"/>
      <c r="Y499" s="9"/>
      <c r="Z499" s="204"/>
      <c r="AA499" s="9"/>
      <c r="AB499" s="9"/>
      <c r="AC499" s="9"/>
      <c r="AD499" s="9"/>
    </row>
    <row r="500" ht="15.75" customHeight="1">
      <c r="A500" s="9"/>
      <c r="B500" s="9"/>
      <c r="C500" s="9"/>
      <c r="D500" s="9"/>
      <c r="E500" s="9"/>
      <c r="F500" s="9"/>
      <c r="G500" s="9"/>
      <c r="H500" s="9"/>
      <c r="I500" s="9"/>
      <c r="J500" s="9"/>
      <c r="K500" s="9"/>
      <c r="L500" s="556"/>
      <c r="M500" s="9"/>
      <c r="N500" s="9"/>
      <c r="O500" s="9"/>
      <c r="P500" s="9"/>
      <c r="Q500" s="9"/>
      <c r="R500" s="9"/>
      <c r="S500" s="9"/>
      <c r="T500" s="9"/>
      <c r="U500" s="9"/>
      <c r="V500" s="9"/>
      <c r="W500" s="9"/>
      <c r="X500" s="589"/>
      <c r="Y500" s="9"/>
      <c r="Z500" s="204"/>
      <c r="AA500" s="9"/>
      <c r="AB500" s="9"/>
      <c r="AC500" s="9"/>
      <c r="AD500" s="9"/>
    </row>
    <row r="501" ht="15.75" customHeight="1">
      <c r="A501" s="9"/>
      <c r="B501" s="9"/>
      <c r="C501" s="9"/>
      <c r="D501" s="9"/>
      <c r="E501" s="9"/>
      <c r="F501" s="9"/>
      <c r="G501" s="9"/>
      <c r="H501" s="9"/>
      <c r="I501" s="9"/>
      <c r="J501" s="9"/>
      <c r="K501" s="9"/>
      <c r="L501" s="556"/>
      <c r="M501" s="9"/>
      <c r="N501" s="9"/>
      <c r="O501" s="9"/>
      <c r="P501" s="9"/>
      <c r="Q501" s="9"/>
      <c r="R501" s="9"/>
      <c r="S501" s="9"/>
      <c r="T501" s="9"/>
      <c r="U501" s="9"/>
      <c r="V501" s="9"/>
      <c r="W501" s="9"/>
      <c r="X501" s="589"/>
      <c r="Y501" s="9"/>
      <c r="Z501" s="204"/>
      <c r="AA501" s="9"/>
      <c r="AB501" s="9"/>
      <c r="AC501" s="9"/>
      <c r="AD501" s="9"/>
    </row>
    <row r="502" ht="15.75" customHeight="1">
      <c r="A502" s="9"/>
      <c r="B502" s="9"/>
      <c r="C502" s="9"/>
      <c r="D502" s="9"/>
      <c r="E502" s="9"/>
      <c r="F502" s="9"/>
      <c r="G502" s="9"/>
      <c r="H502" s="9"/>
      <c r="I502" s="9"/>
      <c r="J502" s="9"/>
      <c r="K502" s="9"/>
      <c r="L502" s="556"/>
      <c r="M502" s="9"/>
      <c r="N502" s="9"/>
      <c r="O502" s="9"/>
      <c r="P502" s="9"/>
      <c r="Q502" s="9"/>
      <c r="R502" s="9"/>
      <c r="S502" s="9"/>
      <c r="T502" s="9"/>
      <c r="U502" s="9"/>
      <c r="V502" s="9"/>
      <c r="W502" s="9"/>
      <c r="X502" s="589"/>
      <c r="Y502" s="9"/>
      <c r="Z502" s="204"/>
      <c r="AA502" s="9"/>
      <c r="AB502" s="9"/>
      <c r="AC502" s="9"/>
      <c r="AD502" s="9"/>
    </row>
    <row r="503" ht="15.75" customHeight="1">
      <c r="A503" s="9"/>
      <c r="B503" s="9"/>
      <c r="C503" s="9"/>
      <c r="D503" s="9"/>
      <c r="E503" s="9"/>
      <c r="F503" s="9"/>
      <c r="G503" s="9"/>
      <c r="H503" s="9"/>
      <c r="I503" s="9"/>
      <c r="J503" s="9"/>
      <c r="K503" s="9"/>
      <c r="L503" s="556"/>
      <c r="M503" s="9"/>
      <c r="N503" s="9"/>
      <c r="O503" s="9"/>
      <c r="P503" s="9"/>
      <c r="Q503" s="9"/>
      <c r="R503" s="9"/>
      <c r="S503" s="9"/>
      <c r="T503" s="9"/>
      <c r="U503" s="9"/>
      <c r="V503" s="9"/>
      <c r="W503" s="9"/>
      <c r="X503" s="589"/>
      <c r="Y503" s="9"/>
      <c r="Z503" s="204"/>
      <c r="AA503" s="9"/>
      <c r="AB503" s="9"/>
      <c r="AC503" s="9"/>
      <c r="AD503" s="9"/>
    </row>
    <row r="504" ht="15.75" customHeight="1">
      <c r="A504" s="9"/>
      <c r="B504" s="9"/>
      <c r="C504" s="9"/>
      <c r="D504" s="9"/>
      <c r="E504" s="9"/>
      <c r="F504" s="9"/>
      <c r="G504" s="9"/>
      <c r="H504" s="9"/>
      <c r="I504" s="9"/>
      <c r="J504" s="9"/>
      <c r="K504" s="9"/>
      <c r="L504" s="556"/>
      <c r="M504" s="9"/>
      <c r="N504" s="9"/>
      <c r="O504" s="9"/>
      <c r="P504" s="9"/>
      <c r="Q504" s="9"/>
      <c r="R504" s="9"/>
      <c r="S504" s="9"/>
      <c r="T504" s="9"/>
      <c r="U504" s="9"/>
      <c r="V504" s="9"/>
      <c r="W504" s="9"/>
      <c r="X504" s="589"/>
      <c r="Y504" s="9"/>
      <c r="Z504" s="204"/>
      <c r="AA504" s="9"/>
      <c r="AB504" s="9"/>
      <c r="AC504" s="9"/>
      <c r="AD504" s="9"/>
    </row>
    <row r="505" ht="15.75" customHeight="1">
      <c r="A505" s="9"/>
      <c r="B505" s="9"/>
      <c r="C505" s="9"/>
      <c r="D505" s="9"/>
      <c r="E505" s="9"/>
      <c r="F505" s="9"/>
      <c r="G505" s="9"/>
      <c r="H505" s="9"/>
      <c r="I505" s="9"/>
      <c r="J505" s="9"/>
      <c r="K505" s="9"/>
      <c r="L505" s="556"/>
      <c r="M505" s="9"/>
      <c r="N505" s="9"/>
      <c r="O505" s="9"/>
      <c r="P505" s="9"/>
      <c r="Q505" s="9"/>
      <c r="R505" s="9"/>
      <c r="S505" s="9"/>
      <c r="T505" s="9"/>
      <c r="U505" s="9"/>
      <c r="V505" s="9"/>
      <c r="W505" s="9"/>
      <c r="X505" s="589"/>
      <c r="Y505" s="9"/>
      <c r="Z505" s="204"/>
      <c r="AA505" s="9"/>
      <c r="AB505" s="9"/>
      <c r="AC505" s="9"/>
      <c r="AD505" s="9"/>
    </row>
    <row r="506" ht="15.75" customHeight="1">
      <c r="A506" s="9"/>
      <c r="B506" s="9"/>
      <c r="C506" s="9"/>
      <c r="D506" s="9"/>
      <c r="E506" s="9"/>
      <c r="F506" s="9"/>
      <c r="G506" s="9"/>
      <c r="H506" s="9"/>
      <c r="I506" s="9"/>
      <c r="J506" s="9"/>
      <c r="K506" s="9"/>
      <c r="L506" s="556"/>
      <c r="M506" s="9"/>
      <c r="N506" s="9"/>
      <c r="O506" s="9"/>
      <c r="P506" s="9"/>
      <c r="Q506" s="9"/>
      <c r="R506" s="9"/>
      <c r="S506" s="9"/>
      <c r="T506" s="9"/>
      <c r="U506" s="9"/>
      <c r="V506" s="9"/>
      <c r="W506" s="9"/>
      <c r="X506" s="589"/>
      <c r="Y506" s="9"/>
      <c r="Z506" s="204"/>
      <c r="AA506" s="9"/>
      <c r="AB506" s="9"/>
      <c r="AC506" s="9"/>
      <c r="AD506" s="9"/>
    </row>
    <row r="507" ht="15.75" customHeight="1">
      <c r="A507" s="9"/>
      <c r="B507" s="9"/>
      <c r="C507" s="9"/>
      <c r="D507" s="9"/>
      <c r="E507" s="9"/>
      <c r="F507" s="9"/>
      <c r="G507" s="9"/>
      <c r="H507" s="9"/>
      <c r="I507" s="9"/>
      <c r="J507" s="9"/>
      <c r="K507" s="9"/>
      <c r="L507" s="556"/>
      <c r="M507" s="9"/>
      <c r="N507" s="9"/>
      <c r="O507" s="9"/>
      <c r="P507" s="9"/>
      <c r="Q507" s="9"/>
      <c r="R507" s="9"/>
      <c r="S507" s="9"/>
      <c r="T507" s="9"/>
      <c r="U507" s="9"/>
      <c r="V507" s="9"/>
      <c r="W507" s="9"/>
      <c r="X507" s="589"/>
      <c r="Y507" s="9"/>
      <c r="Z507" s="204"/>
      <c r="AA507" s="9"/>
      <c r="AB507" s="9"/>
      <c r="AC507" s="9"/>
      <c r="AD507" s="9"/>
    </row>
    <row r="508" ht="15.75" customHeight="1">
      <c r="A508" s="9"/>
      <c r="B508" s="9"/>
      <c r="C508" s="9"/>
      <c r="D508" s="9"/>
      <c r="E508" s="9"/>
      <c r="F508" s="9"/>
      <c r="G508" s="9"/>
      <c r="H508" s="9"/>
      <c r="I508" s="9"/>
      <c r="J508" s="9"/>
      <c r="K508" s="9"/>
      <c r="L508" s="556"/>
      <c r="M508" s="9"/>
      <c r="N508" s="9"/>
      <c r="O508" s="9"/>
      <c r="P508" s="9"/>
      <c r="Q508" s="9"/>
      <c r="R508" s="9"/>
      <c r="S508" s="9"/>
      <c r="T508" s="9"/>
      <c r="U508" s="9"/>
      <c r="V508" s="9"/>
      <c r="W508" s="9"/>
      <c r="X508" s="589"/>
      <c r="Y508" s="9"/>
      <c r="Z508" s="204"/>
      <c r="AA508" s="9"/>
      <c r="AB508" s="9"/>
      <c r="AC508" s="9"/>
      <c r="AD508" s="9"/>
    </row>
    <row r="509" ht="15.75" customHeight="1">
      <c r="A509" s="9"/>
      <c r="B509" s="9"/>
      <c r="C509" s="9"/>
      <c r="D509" s="9"/>
      <c r="E509" s="9"/>
      <c r="F509" s="9"/>
      <c r="G509" s="9"/>
      <c r="H509" s="9"/>
      <c r="I509" s="9"/>
      <c r="J509" s="9"/>
      <c r="K509" s="9"/>
      <c r="L509" s="556"/>
      <c r="M509" s="9"/>
      <c r="N509" s="9"/>
      <c r="O509" s="9"/>
      <c r="P509" s="9"/>
      <c r="Q509" s="9"/>
      <c r="R509" s="9"/>
      <c r="S509" s="9"/>
      <c r="T509" s="9"/>
      <c r="U509" s="9"/>
      <c r="V509" s="9"/>
      <c r="W509" s="9"/>
      <c r="X509" s="589"/>
      <c r="Y509" s="9"/>
      <c r="Z509" s="204"/>
      <c r="AA509" s="9"/>
      <c r="AB509" s="9"/>
      <c r="AC509" s="9"/>
      <c r="AD509" s="9"/>
    </row>
    <row r="510" ht="15.75" customHeight="1">
      <c r="A510" s="9"/>
      <c r="B510" s="9"/>
      <c r="C510" s="9"/>
      <c r="D510" s="9"/>
      <c r="E510" s="9"/>
      <c r="F510" s="9"/>
      <c r="G510" s="9"/>
      <c r="H510" s="9"/>
      <c r="I510" s="9"/>
      <c r="J510" s="9"/>
      <c r="K510" s="9"/>
      <c r="L510" s="556"/>
      <c r="M510" s="9"/>
      <c r="N510" s="9"/>
      <c r="O510" s="9"/>
      <c r="P510" s="9"/>
      <c r="Q510" s="9"/>
      <c r="R510" s="9"/>
      <c r="S510" s="9"/>
      <c r="T510" s="9"/>
      <c r="U510" s="9"/>
      <c r="V510" s="9"/>
      <c r="W510" s="9"/>
      <c r="X510" s="589"/>
      <c r="Y510" s="9"/>
      <c r="Z510" s="204"/>
      <c r="AA510" s="9"/>
      <c r="AB510" s="9"/>
      <c r="AC510" s="9"/>
      <c r="AD510" s="9"/>
    </row>
    <row r="511" ht="15.75" customHeight="1">
      <c r="A511" s="9"/>
      <c r="B511" s="9"/>
      <c r="C511" s="9"/>
      <c r="D511" s="9"/>
      <c r="E511" s="9"/>
      <c r="F511" s="9"/>
      <c r="G511" s="9"/>
      <c r="H511" s="9"/>
      <c r="I511" s="9"/>
      <c r="J511" s="9"/>
      <c r="K511" s="9"/>
      <c r="L511" s="556"/>
      <c r="M511" s="9"/>
      <c r="N511" s="9"/>
      <c r="O511" s="9"/>
      <c r="P511" s="9"/>
      <c r="Q511" s="9"/>
      <c r="R511" s="9"/>
      <c r="S511" s="9"/>
      <c r="T511" s="9"/>
      <c r="U511" s="9"/>
      <c r="V511" s="9"/>
      <c r="W511" s="9"/>
      <c r="X511" s="589"/>
      <c r="Y511" s="9"/>
      <c r="Z511" s="204"/>
      <c r="AA511" s="9"/>
      <c r="AB511" s="9"/>
      <c r="AC511" s="9"/>
      <c r="AD511" s="9"/>
    </row>
    <row r="512" ht="15.75" customHeight="1">
      <c r="A512" s="9"/>
      <c r="B512" s="9"/>
      <c r="C512" s="9"/>
      <c r="D512" s="9"/>
      <c r="E512" s="9"/>
      <c r="F512" s="9"/>
      <c r="G512" s="9"/>
      <c r="H512" s="9"/>
      <c r="I512" s="9"/>
      <c r="J512" s="9"/>
      <c r="K512" s="9"/>
      <c r="L512" s="556"/>
      <c r="M512" s="9"/>
      <c r="N512" s="9"/>
      <c r="O512" s="9"/>
      <c r="P512" s="9"/>
      <c r="Q512" s="9"/>
      <c r="R512" s="9"/>
      <c r="S512" s="9"/>
      <c r="T512" s="9"/>
      <c r="U512" s="9"/>
      <c r="V512" s="9"/>
      <c r="W512" s="9"/>
      <c r="X512" s="589"/>
      <c r="Y512" s="9"/>
      <c r="Z512" s="204"/>
      <c r="AA512" s="9"/>
      <c r="AB512" s="9"/>
      <c r="AC512" s="9"/>
      <c r="AD512" s="9"/>
    </row>
    <row r="513" ht="15.75" customHeight="1">
      <c r="A513" s="9"/>
      <c r="B513" s="9"/>
      <c r="C513" s="9"/>
      <c r="D513" s="9"/>
      <c r="E513" s="9"/>
      <c r="F513" s="9"/>
      <c r="G513" s="9"/>
      <c r="H513" s="9"/>
      <c r="I513" s="9"/>
      <c r="J513" s="9"/>
      <c r="K513" s="9"/>
      <c r="L513" s="556"/>
      <c r="M513" s="9"/>
      <c r="N513" s="9"/>
      <c r="O513" s="9"/>
      <c r="P513" s="9"/>
      <c r="Q513" s="9"/>
      <c r="R513" s="9"/>
      <c r="S513" s="9"/>
      <c r="T513" s="9"/>
      <c r="U513" s="9"/>
      <c r="V513" s="9"/>
      <c r="W513" s="9"/>
      <c r="X513" s="589"/>
      <c r="Y513" s="9"/>
      <c r="Z513" s="204"/>
      <c r="AA513" s="9"/>
      <c r="AB513" s="9"/>
      <c r="AC513" s="9"/>
      <c r="AD513" s="9"/>
    </row>
    <row r="514" ht="15.75" customHeight="1">
      <c r="A514" s="9"/>
      <c r="B514" s="9"/>
      <c r="C514" s="9"/>
      <c r="D514" s="9"/>
      <c r="E514" s="9"/>
      <c r="F514" s="9"/>
      <c r="G514" s="9"/>
      <c r="H514" s="9"/>
      <c r="I514" s="9"/>
      <c r="J514" s="9"/>
      <c r="K514" s="9"/>
      <c r="L514" s="556"/>
      <c r="M514" s="9"/>
      <c r="N514" s="9"/>
      <c r="O514" s="9"/>
      <c r="P514" s="9"/>
      <c r="Q514" s="9"/>
      <c r="R514" s="9"/>
      <c r="S514" s="9"/>
      <c r="T514" s="9"/>
      <c r="U514" s="9"/>
      <c r="V514" s="9"/>
      <c r="W514" s="9"/>
      <c r="X514" s="589"/>
      <c r="Y514" s="9"/>
      <c r="Z514" s="204"/>
      <c r="AA514" s="9"/>
      <c r="AB514" s="9"/>
      <c r="AC514" s="9"/>
      <c r="AD514" s="9"/>
    </row>
    <row r="515" ht="15.75" customHeight="1">
      <c r="A515" s="9"/>
      <c r="B515" s="9"/>
      <c r="C515" s="9"/>
      <c r="D515" s="9"/>
      <c r="E515" s="9"/>
      <c r="F515" s="9"/>
      <c r="G515" s="9"/>
      <c r="H515" s="9"/>
      <c r="I515" s="9"/>
      <c r="J515" s="9"/>
      <c r="K515" s="9"/>
      <c r="L515" s="556"/>
      <c r="M515" s="9"/>
      <c r="N515" s="9"/>
      <c r="O515" s="9"/>
      <c r="P515" s="9"/>
      <c r="Q515" s="9"/>
      <c r="R515" s="9"/>
      <c r="S515" s="9"/>
      <c r="T515" s="9"/>
      <c r="U515" s="9"/>
      <c r="V515" s="9"/>
      <c r="W515" s="9"/>
      <c r="X515" s="589"/>
      <c r="Y515" s="9"/>
      <c r="Z515" s="204"/>
      <c r="AA515" s="9"/>
      <c r="AB515" s="9"/>
      <c r="AC515" s="9"/>
      <c r="AD515" s="9"/>
    </row>
    <row r="516" ht="15.75" customHeight="1">
      <c r="A516" s="9"/>
      <c r="B516" s="9"/>
      <c r="C516" s="9"/>
      <c r="D516" s="9"/>
      <c r="E516" s="9"/>
      <c r="F516" s="9"/>
      <c r="G516" s="9"/>
      <c r="H516" s="9"/>
      <c r="I516" s="9"/>
      <c r="J516" s="9"/>
      <c r="K516" s="9"/>
      <c r="L516" s="556"/>
      <c r="M516" s="9"/>
      <c r="N516" s="9"/>
      <c r="O516" s="9"/>
      <c r="P516" s="9"/>
      <c r="Q516" s="9"/>
      <c r="R516" s="9"/>
      <c r="S516" s="9"/>
      <c r="T516" s="9"/>
      <c r="U516" s="9"/>
      <c r="V516" s="9"/>
      <c r="W516" s="9"/>
      <c r="X516" s="589"/>
      <c r="Y516" s="9"/>
      <c r="Z516" s="204"/>
      <c r="AA516" s="9"/>
      <c r="AB516" s="9"/>
      <c r="AC516" s="9"/>
      <c r="AD516" s="9"/>
    </row>
    <row r="517" ht="15.75" customHeight="1">
      <c r="A517" s="9"/>
      <c r="B517" s="9"/>
      <c r="C517" s="9"/>
      <c r="D517" s="9"/>
      <c r="E517" s="9"/>
      <c r="F517" s="9"/>
      <c r="G517" s="9"/>
      <c r="H517" s="9"/>
      <c r="I517" s="9"/>
      <c r="J517" s="9"/>
      <c r="K517" s="9"/>
      <c r="L517" s="556"/>
      <c r="M517" s="9"/>
      <c r="N517" s="9"/>
      <c r="O517" s="9"/>
      <c r="P517" s="9"/>
      <c r="Q517" s="9"/>
      <c r="R517" s="9"/>
      <c r="S517" s="9"/>
      <c r="T517" s="9"/>
      <c r="U517" s="9"/>
      <c r="V517" s="9"/>
      <c r="W517" s="9"/>
      <c r="X517" s="589"/>
      <c r="Y517" s="9"/>
      <c r="Z517" s="204"/>
      <c r="AA517" s="9"/>
      <c r="AB517" s="9"/>
      <c r="AC517" s="9"/>
      <c r="AD517" s="9"/>
    </row>
    <row r="518" ht="15.75" customHeight="1">
      <c r="A518" s="9"/>
      <c r="B518" s="9"/>
      <c r="C518" s="9"/>
      <c r="D518" s="9"/>
      <c r="E518" s="9"/>
      <c r="F518" s="9"/>
      <c r="G518" s="9"/>
      <c r="H518" s="9"/>
      <c r="I518" s="9"/>
      <c r="J518" s="9"/>
      <c r="K518" s="9"/>
      <c r="L518" s="556"/>
      <c r="M518" s="9"/>
      <c r="N518" s="9"/>
      <c r="O518" s="9"/>
      <c r="P518" s="9"/>
      <c r="Q518" s="9"/>
      <c r="R518" s="9"/>
      <c r="S518" s="9"/>
      <c r="T518" s="9"/>
      <c r="U518" s="9"/>
      <c r="V518" s="9"/>
      <c r="W518" s="9"/>
      <c r="X518" s="589"/>
      <c r="Y518" s="9"/>
      <c r="Z518" s="204"/>
      <c r="AA518" s="9"/>
      <c r="AB518" s="9"/>
      <c r="AC518" s="9"/>
      <c r="AD518" s="9"/>
    </row>
    <row r="519" ht="15.75" customHeight="1">
      <c r="A519" s="9"/>
      <c r="B519" s="9"/>
      <c r="C519" s="9"/>
      <c r="D519" s="9"/>
      <c r="E519" s="9"/>
      <c r="F519" s="9"/>
      <c r="G519" s="9"/>
      <c r="H519" s="9"/>
      <c r="I519" s="9"/>
      <c r="J519" s="9"/>
      <c r="K519" s="9"/>
      <c r="L519" s="556"/>
      <c r="M519" s="9"/>
      <c r="N519" s="9"/>
      <c r="O519" s="9"/>
      <c r="P519" s="9"/>
      <c r="Q519" s="9"/>
      <c r="R519" s="9"/>
      <c r="S519" s="9"/>
      <c r="T519" s="9"/>
      <c r="U519" s="9"/>
      <c r="V519" s="9"/>
      <c r="W519" s="9"/>
      <c r="X519" s="589"/>
      <c r="Y519" s="9"/>
      <c r="Z519" s="204"/>
      <c r="AA519" s="9"/>
      <c r="AB519" s="9"/>
      <c r="AC519" s="9"/>
      <c r="AD519" s="9"/>
    </row>
    <row r="520" ht="15.75" customHeight="1">
      <c r="A520" s="9"/>
      <c r="B520" s="9"/>
      <c r="C520" s="9"/>
      <c r="D520" s="9"/>
      <c r="E520" s="9"/>
      <c r="F520" s="9"/>
      <c r="G520" s="9"/>
      <c r="H520" s="9"/>
      <c r="I520" s="9"/>
      <c r="J520" s="9"/>
      <c r="K520" s="9"/>
      <c r="L520" s="556"/>
      <c r="M520" s="9"/>
      <c r="N520" s="9"/>
      <c r="O520" s="9"/>
      <c r="P520" s="9"/>
      <c r="Q520" s="9"/>
      <c r="R520" s="9"/>
      <c r="S520" s="9"/>
      <c r="T520" s="9"/>
      <c r="U520" s="9"/>
      <c r="V520" s="9"/>
      <c r="W520" s="9"/>
      <c r="X520" s="589"/>
      <c r="Y520" s="9"/>
      <c r="Z520" s="204"/>
      <c r="AA520" s="9"/>
      <c r="AB520" s="9"/>
      <c r="AC520" s="9"/>
      <c r="AD520" s="9"/>
    </row>
    <row r="521" ht="15.75" customHeight="1">
      <c r="A521" s="9"/>
      <c r="B521" s="9"/>
      <c r="C521" s="9"/>
      <c r="D521" s="9"/>
      <c r="E521" s="9"/>
      <c r="F521" s="9"/>
      <c r="G521" s="9"/>
      <c r="H521" s="9"/>
      <c r="I521" s="9"/>
      <c r="J521" s="9"/>
      <c r="K521" s="9"/>
      <c r="L521" s="556"/>
      <c r="M521" s="9"/>
      <c r="N521" s="9"/>
      <c r="O521" s="9"/>
      <c r="P521" s="9"/>
      <c r="Q521" s="9"/>
      <c r="R521" s="9"/>
      <c r="S521" s="9"/>
      <c r="T521" s="9"/>
      <c r="U521" s="9"/>
      <c r="V521" s="9"/>
      <c r="W521" s="9"/>
      <c r="X521" s="589"/>
      <c r="Y521" s="9"/>
      <c r="Z521" s="204"/>
      <c r="AA521" s="9"/>
      <c r="AB521" s="9"/>
      <c r="AC521" s="9"/>
      <c r="AD521" s="9"/>
    </row>
    <row r="522" ht="15.75" customHeight="1">
      <c r="A522" s="9"/>
      <c r="B522" s="9"/>
      <c r="C522" s="9"/>
      <c r="D522" s="9"/>
      <c r="E522" s="9"/>
      <c r="F522" s="9"/>
      <c r="G522" s="9"/>
      <c r="H522" s="9"/>
      <c r="I522" s="9"/>
      <c r="J522" s="9"/>
      <c r="K522" s="9"/>
      <c r="L522" s="556"/>
      <c r="M522" s="9"/>
      <c r="N522" s="9"/>
      <c r="O522" s="9"/>
      <c r="P522" s="9"/>
      <c r="Q522" s="9"/>
      <c r="R522" s="9"/>
      <c r="S522" s="9"/>
      <c r="T522" s="9"/>
      <c r="U522" s="9"/>
      <c r="V522" s="9"/>
      <c r="W522" s="9"/>
      <c r="X522" s="589"/>
      <c r="Y522" s="9"/>
      <c r="Z522" s="204"/>
      <c r="AA522" s="9"/>
      <c r="AB522" s="9"/>
      <c r="AC522" s="9"/>
      <c r="AD522" s="9"/>
    </row>
    <row r="523" ht="15.75" customHeight="1">
      <c r="A523" s="9"/>
      <c r="B523" s="9"/>
      <c r="C523" s="9"/>
      <c r="D523" s="9"/>
      <c r="E523" s="9"/>
      <c r="F523" s="9"/>
      <c r="G523" s="9"/>
      <c r="H523" s="9"/>
      <c r="I523" s="9"/>
      <c r="J523" s="9"/>
      <c r="K523" s="9"/>
      <c r="L523" s="556"/>
      <c r="M523" s="9"/>
      <c r="N523" s="9"/>
      <c r="O523" s="9"/>
      <c r="P523" s="9"/>
      <c r="Q523" s="9"/>
      <c r="R523" s="9"/>
      <c r="S523" s="9"/>
      <c r="T523" s="9"/>
      <c r="U523" s="9"/>
      <c r="V523" s="9"/>
      <c r="W523" s="9"/>
      <c r="X523" s="589"/>
      <c r="Y523" s="9"/>
      <c r="Z523" s="204"/>
      <c r="AA523" s="9"/>
      <c r="AB523" s="9"/>
      <c r="AC523" s="9"/>
      <c r="AD523" s="9"/>
    </row>
    <row r="524" ht="15.75" customHeight="1">
      <c r="A524" s="9"/>
      <c r="B524" s="9"/>
      <c r="C524" s="9"/>
      <c r="D524" s="9"/>
      <c r="E524" s="9"/>
      <c r="F524" s="9"/>
      <c r="G524" s="9"/>
      <c r="H524" s="9"/>
      <c r="I524" s="9"/>
      <c r="J524" s="9"/>
      <c r="K524" s="9"/>
      <c r="L524" s="556"/>
      <c r="M524" s="9"/>
      <c r="N524" s="9"/>
      <c r="O524" s="9"/>
      <c r="P524" s="9"/>
      <c r="Q524" s="9"/>
      <c r="R524" s="9"/>
      <c r="S524" s="9"/>
      <c r="T524" s="9"/>
      <c r="U524" s="9"/>
      <c r="V524" s="9"/>
      <c r="W524" s="9"/>
      <c r="X524" s="589"/>
      <c r="Y524" s="9"/>
      <c r="Z524" s="204"/>
      <c r="AA524" s="9"/>
      <c r="AB524" s="9"/>
      <c r="AC524" s="9"/>
      <c r="AD524" s="9"/>
    </row>
    <row r="525" ht="15.75" customHeight="1">
      <c r="A525" s="9"/>
      <c r="B525" s="9"/>
      <c r="C525" s="9"/>
      <c r="D525" s="9"/>
      <c r="E525" s="9"/>
      <c r="F525" s="9"/>
      <c r="G525" s="9"/>
      <c r="H525" s="9"/>
      <c r="I525" s="9"/>
      <c r="J525" s="9"/>
      <c r="K525" s="9"/>
      <c r="L525" s="556"/>
      <c r="M525" s="9"/>
      <c r="N525" s="9"/>
      <c r="O525" s="9"/>
      <c r="P525" s="9"/>
      <c r="Q525" s="9"/>
      <c r="R525" s="9"/>
      <c r="S525" s="9"/>
      <c r="T525" s="9"/>
      <c r="U525" s="9"/>
      <c r="V525" s="9"/>
      <c r="W525" s="9"/>
      <c r="X525" s="589"/>
      <c r="Y525" s="9"/>
      <c r="Z525" s="204"/>
      <c r="AA525" s="9"/>
      <c r="AB525" s="9"/>
      <c r="AC525" s="9"/>
      <c r="AD525" s="9"/>
    </row>
    <row r="526" ht="15.75" customHeight="1">
      <c r="A526" s="9"/>
      <c r="B526" s="9"/>
      <c r="C526" s="9"/>
      <c r="D526" s="9"/>
      <c r="E526" s="9"/>
      <c r="F526" s="9"/>
      <c r="G526" s="9"/>
      <c r="H526" s="9"/>
      <c r="I526" s="9"/>
      <c r="J526" s="9"/>
      <c r="K526" s="9"/>
      <c r="L526" s="556"/>
      <c r="M526" s="9"/>
      <c r="N526" s="9"/>
      <c r="O526" s="9"/>
      <c r="P526" s="9"/>
      <c r="Q526" s="9"/>
      <c r="R526" s="9"/>
      <c r="S526" s="9"/>
      <c r="T526" s="9"/>
      <c r="U526" s="9"/>
      <c r="V526" s="9"/>
      <c r="W526" s="9"/>
      <c r="X526" s="589"/>
      <c r="Y526" s="9"/>
      <c r="Z526" s="204"/>
      <c r="AA526" s="9"/>
      <c r="AB526" s="9"/>
      <c r="AC526" s="9"/>
      <c r="AD526" s="9"/>
    </row>
    <row r="527" ht="15.75" customHeight="1">
      <c r="A527" s="9"/>
      <c r="B527" s="9"/>
      <c r="C527" s="9"/>
      <c r="D527" s="9"/>
      <c r="E527" s="9"/>
      <c r="F527" s="9"/>
      <c r="G527" s="9"/>
      <c r="H527" s="9"/>
      <c r="I527" s="9"/>
      <c r="J527" s="9"/>
      <c r="K527" s="9"/>
      <c r="L527" s="556"/>
      <c r="M527" s="9"/>
      <c r="N527" s="9"/>
      <c r="O527" s="9"/>
      <c r="P527" s="9"/>
      <c r="Q527" s="9"/>
      <c r="R527" s="9"/>
      <c r="S527" s="9"/>
      <c r="T527" s="9"/>
      <c r="U527" s="9"/>
      <c r="V527" s="9"/>
      <c r="W527" s="9"/>
      <c r="X527" s="589"/>
      <c r="Y527" s="9"/>
      <c r="Z527" s="204"/>
      <c r="AA527" s="9"/>
      <c r="AB527" s="9"/>
      <c r="AC527" s="9"/>
      <c r="AD527" s="9"/>
    </row>
    <row r="528" ht="15.75" customHeight="1">
      <c r="A528" s="9"/>
      <c r="B528" s="9"/>
      <c r="C528" s="9"/>
      <c r="D528" s="9"/>
      <c r="E528" s="9"/>
      <c r="F528" s="9"/>
      <c r="G528" s="9"/>
      <c r="H528" s="9"/>
      <c r="I528" s="9"/>
      <c r="J528" s="9"/>
      <c r="K528" s="9"/>
      <c r="L528" s="556"/>
      <c r="M528" s="9"/>
      <c r="N528" s="9"/>
      <c r="O528" s="9"/>
      <c r="P528" s="9"/>
      <c r="Q528" s="9"/>
      <c r="R528" s="9"/>
      <c r="S528" s="9"/>
      <c r="T528" s="9"/>
      <c r="U528" s="9"/>
      <c r="V528" s="9"/>
      <c r="W528" s="9"/>
      <c r="X528" s="589"/>
      <c r="Y528" s="9"/>
      <c r="Z528" s="204"/>
      <c r="AA528" s="9"/>
      <c r="AB528" s="9"/>
      <c r="AC528" s="9"/>
      <c r="AD528" s="9"/>
    </row>
    <row r="529" ht="15.75" customHeight="1">
      <c r="A529" s="9"/>
      <c r="B529" s="9"/>
      <c r="C529" s="9"/>
      <c r="D529" s="9"/>
      <c r="E529" s="9"/>
      <c r="F529" s="9"/>
      <c r="G529" s="9"/>
      <c r="H529" s="9"/>
      <c r="I529" s="9"/>
      <c r="J529" s="9"/>
      <c r="K529" s="9"/>
      <c r="L529" s="556"/>
      <c r="M529" s="9"/>
      <c r="N529" s="9"/>
      <c r="O529" s="9"/>
      <c r="P529" s="9"/>
      <c r="Q529" s="9"/>
      <c r="R529" s="9"/>
      <c r="S529" s="9"/>
      <c r="T529" s="9"/>
      <c r="U529" s="9"/>
      <c r="V529" s="9"/>
      <c r="W529" s="9"/>
      <c r="X529" s="589"/>
      <c r="Y529" s="9"/>
      <c r="Z529" s="204"/>
      <c r="AA529" s="9"/>
      <c r="AB529" s="9"/>
      <c r="AC529" s="9"/>
      <c r="AD529" s="9"/>
    </row>
    <row r="530" ht="15.75" customHeight="1">
      <c r="A530" s="9"/>
      <c r="B530" s="9"/>
      <c r="C530" s="9"/>
      <c r="D530" s="9"/>
      <c r="E530" s="9"/>
      <c r="F530" s="9"/>
      <c r="G530" s="9"/>
      <c r="H530" s="9"/>
      <c r="I530" s="9"/>
      <c r="J530" s="9"/>
      <c r="K530" s="9"/>
      <c r="L530" s="556"/>
      <c r="M530" s="9"/>
      <c r="N530" s="9"/>
      <c r="O530" s="9"/>
      <c r="P530" s="9"/>
      <c r="Q530" s="9"/>
      <c r="R530" s="9"/>
      <c r="S530" s="9"/>
      <c r="T530" s="9"/>
      <c r="U530" s="9"/>
      <c r="V530" s="9"/>
      <c r="W530" s="9"/>
      <c r="X530" s="589"/>
      <c r="Y530" s="9"/>
      <c r="Z530" s="204"/>
      <c r="AA530" s="9"/>
      <c r="AB530" s="9"/>
      <c r="AC530" s="9"/>
      <c r="AD530" s="9"/>
    </row>
    <row r="531" ht="15.75" customHeight="1">
      <c r="A531" s="9"/>
      <c r="B531" s="9"/>
      <c r="C531" s="9"/>
      <c r="D531" s="9"/>
      <c r="E531" s="9"/>
      <c r="F531" s="9"/>
      <c r="G531" s="9"/>
      <c r="H531" s="9"/>
      <c r="I531" s="9"/>
      <c r="J531" s="9"/>
      <c r="K531" s="9"/>
      <c r="L531" s="556"/>
      <c r="M531" s="9"/>
      <c r="N531" s="9"/>
      <c r="O531" s="9"/>
      <c r="P531" s="9"/>
      <c r="Q531" s="9"/>
      <c r="R531" s="9"/>
      <c r="S531" s="9"/>
      <c r="T531" s="9"/>
      <c r="U531" s="9"/>
      <c r="V531" s="9"/>
      <c r="W531" s="9"/>
      <c r="X531" s="589"/>
      <c r="Y531" s="9"/>
      <c r="Z531" s="204"/>
      <c r="AA531" s="9"/>
      <c r="AB531" s="9"/>
      <c r="AC531" s="9"/>
      <c r="AD531" s="9"/>
    </row>
    <row r="532" ht="15.75" customHeight="1">
      <c r="A532" s="9"/>
      <c r="B532" s="9"/>
      <c r="C532" s="9"/>
      <c r="D532" s="9"/>
      <c r="E532" s="9"/>
      <c r="F532" s="9"/>
      <c r="G532" s="9"/>
      <c r="H532" s="9"/>
      <c r="I532" s="9"/>
      <c r="J532" s="9"/>
      <c r="K532" s="9"/>
      <c r="L532" s="556"/>
      <c r="M532" s="9"/>
      <c r="N532" s="9"/>
      <c r="O532" s="9"/>
      <c r="P532" s="9"/>
      <c r="Q532" s="9"/>
      <c r="R532" s="9"/>
      <c r="S532" s="9"/>
      <c r="T532" s="9"/>
      <c r="U532" s="9"/>
      <c r="V532" s="9"/>
      <c r="W532" s="9"/>
      <c r="X532" s="589"/>
      <c r="Y532" s="9"/>
      <c r="Z532" s="204"/>
      <c r="AA532" s="9"/>
      <c r="AB532" s="9"/>
      <c r="AC532" s="9"/>
      <c r="AD532" s="9"/>
    </row>
    <row r="533" ht="15.75" customHeight="1">
      <c r="A533" s="9"/>
      <c r="B533" s="9"/>
      <c r="C533" s="9"/>
      <c r="D533" s="9"/>
      <c r="E533" s="9"/>
      <c r="F533" s="9"/>
      <c r="G533" s="9"/>
      <c r="H533" s="9"/>
      <c r="I533" s="9"/>
      <c r="J533" s="9"/>
      <c r="K533" s="9"/>
      <c r="L533" s="556"/>
      <c r="M533" s="9"/>
      <c r="N533" s="9"/>
      <c r="O533" s="9"/>
      <c r="P533" s="9"/>
      <c r="Q533" s="9"/>
      <c r="R533" s="9"/>
      <c r="S533" s="9"/>
      <c r="T533" s="9"/>
      <c r="U533" s="9"/>
      <c r="V533" s="9"/>
      <c r="W533" s="9"/>
      <c r="X533" s="589"/>
      <c r="Y533" s="9"/>
      <c r="Z533" s="204"/>
      <c r="AA533" s="9"/>
      <c r="AB533" s="9"/>
      <c r="AC533" s="9"/>
      <c r="AD533" s="9"/>
    </row>
    <row r="534" ht="15.75" customHeight="1">
      <c r="A534" s="9"/>
      <c r="B534" s="9"/>
      <c r="C534" s="9"/>
      <c r="D534" s="9"/>
      <c r="E534" s="9"/>
      <c r="F534" s="9"/>
      <c r="G534" s="9"/>
      <c r="H534" s="9"/>
      <c r="I534" s="9"/>
      <c r="J534" s="9"/>
      <c r="K534" s="9"/>
      <c r="L534" s="556"/>
      <c r="M534" s="9"/>
      <c r="N534" s="9"/>
      <c r="O534" s="9"/>
      <c r="P534" s="9"/>
      <c r="Q534" s="9"/>
      <c r="R534" s="9"/>
      <c r="S534" s="9"/>
      <c r="T534" s="9"/>
      <c r="U534" s="9"/>
      <c r="V534" s="9"/>
      <c r="W534" s="9"/>
      <c r="X534" s="589"/>
      <c r="Y534" s="9"/>
      <c r="Z534" s="204"/>
      <c r="AA534" s="9"/>
      <c r="AB534" s="9"/>
      <c r="AC534" s="9"/>
      <c r="AD534" s="9"/>
    </row>
    <row r="535" ht="15.75" customHeight="1">
      <c r="A535" s="9"/>
      <c r="B535" s="9"/>
      <c r="C535" s="9"/>
      <c r="D535" s="9"/>
      <c r="E535" s="9"/>
      <c r="F535" s="9"/>
      <c r="G535" s="9"/>
      <c r="H535" s="9"/>
      <c r="I535" s="9"/>
      <c r="J535" s="9"/>
      <c r="K535" s="9"/>
      <c r="L535" s="556"/>
      <c r="M535" s="9"/>
      <c r="N535" s="9"/>
      <c r="O535" s="9"/>
      <c r="P535" s="9"/>
      <c r="Q535" s="9"/>
      <c r="R535" s="9"/>
      <c r="S535" s="9"/>
      <c r="T535" s="9"/>
      <c r="U535" s="9"/>
      <c r="V535" s="9"/>
      <c r="W535" s="9"/>
      <c r="X535" s="589"/>
      <c r="Y535" s="9"/>
      <c r="Z535" s="204"/>
      <c r="AA535" s="9"/>
      <c r="AB535" s="9"/>
      <c r="AC535" s="9"/>
      <c r="AD535" s="9"/>
    </row>
    <row r="536" ht="15.75" customHeight="1">
      <c r="A536" s="9"/>
      <c r="B536" s="9"/>
      <c r="C536" s="9"/>
      <c r="D536" s="9"/>
      <c r="E536" s="9"/>
      <c r="F536" s="9"/>
      <c r="G536" s="9"/>
      <c r="H536" s="9"/>
      <c r="I536" s="9"/>
      <c r="J536" s="9"/>
      <c r="K536" s="9"/>
      <c r="L536" s="556"/>
      <c r="M536" s="9"/>
      <c r="N536" s="9"/>
      <c r="O536" s="9"/>
      <c r="P536" s="9"/>
      <c r="Q536" s="9"/>
      <c r="R536" s="9"/>
      <c r="S536" s="9"/>
      <c r="T536" s="9"/>
      <c r="U536" s="9"/>
      <c r="V536" s="9"/>
      <c r="W536" s="9"/>
      <c r="X536" s="589"/>
      <c r="Y536" s="9"/>
      <c r="Z536" s="204"/>
      <c r="AA536" s="9"/>
      <c r="AB536" s="9"/>
      <c r="AC536" s="9"/>
      <c r="AD536" s="9"/>
    </row>
    <row r="537" ht="15.75" customHeight="1">
      <c r="A537" s="9"/>
      <c r="B537" s="9"/>
      <c r="C537" s="9"/>
      <c r="D537" s="9"/>
      <c r="E537" s="9"/>
      <c r="F537" s="9"/>
      <c r="G537" s="9"/>
      <c r="H537" s="9"/>
      <c r="I537" s="9"/>
      <c r="J537" s="9"/>
      <c r="K537" s="9"/>
      <c r="L537" s="556"/>
      <c r="M537" s="9"/>
      <c r="N537" s="9"/>
      <c r="O537" s="9"/>
      <c r="P537" s="9"/>
      <c r="Q537" s="9"/>
      <c r="R537" s="9"/>
      <c r="S537" s="9"/>
      <c r="T537" s="9"/>
      <c r="U537" s="9"/>
      <c r="V537" s="9"/>
      <c r="W537" s="9"/>
      <c r="X537" s="589"/>
      <c r="Y537" s="9"/>
      <c r="Z537" s="204"/>
      <c r="AA537" s="9"/>
      <c r="AB537" s="9"/>
      <c r="AC537" s="9"/>
      <c r="AD537" s="9"/>
    </row>
    <row r="538" ht="15.75" customHeight="1">
      <c r="A538" s="9"/>
      <c r="B538" s="9"/>
      <c r="C538" s="9"/>
      <c r="D538" s="9"/>
      <c r="E538" s="9"/>
      <c r="F538" s="9"/>
      <c r="G538" s="9"/>
      <c r="H538" s="9"/>
      <c r="I538" s="9"/>
      <c r="J538" s="9"/>
      <c r="K538" s="9"/>
      <c r="L538" s="556"/>
      <c r="M538" s="9"/>
      <c r="N538" s="9"/>
      <c r="O538" s="9"/>
      <c r="P538" s="9"/>
      <c r="Q538" s="9"/>
      <c r="R538" s="9"/>
      <c r="S538" s="9"/>
      <c r="T538" s="9"/>
      <c r="U538" s="9"/>
      <c r="V538" s="9"/>
      <c r="W538" s="9"/>
      <c r="X538" s="589"/>
      <c r="Y538" s="9"/>
      <c r="Z538" s="204"/>
      <c r="AA538" s="9"/>
      <c r="AB538" s="9"/>
      <c r="AC538" s="9"/>
      <c r="AD538" s="9"/>
    </row>
    <row r="539" ht="15.75" customHeight="1">
      <c r="A539" s="9"/>
      <c r="B539" s="9"/>
      <c r="C539" s="9"/>
      <c r="D539" s="9"/>
      <c r="E539" s="9"/>
      <c r="F539" s="9"/>
      <c r="G539" s="9"/>
      <c r="H539" s="9"/>
      <c r="I539" s="9"/>
      <c r="J539" s="9"/>
      <c r="K539" s="9"/>
      <c r="L539" s="556"/>
      <c r="M539" s="9"/>
      <c r="N539" s="9"/>
      <c r="O539" s="9"/>
      <c r="P539" s="9"/>
      <c r="Q539" s="9"/>
      <c r="R539" s="9"/>
      <c r="S539" s="9"/>
      <c r="T539" s="9"/>
      <c r="U539" s="9"/>
      <c r="V539" s="9"/>
      <c r="W539" s="9"/>
      <c r="X539" s="589"/>
      <c r="Y539" s="9"/>
      <c r="Z539" s="204"/>
      <c r="AA539" s="9"/>
      <c r="AB539" s="9"/>
      <c r="AC539" s="9"/>
      <c r="AD539" s="9"/>
    </row>
    <row r="540" ht="15.75" customHeight="1">
      <c r="A540" s="9"/>
      <c r="B540" s="9"/>
      <c r="C540" s="9"/>
      <c r="D540" s="9"/>
      <c r="E540" s="9"/>
      <c r="F540" s="9"/>
      <c r="G540" s="9"/>
      <c r="H540" s="9"/>
      <c r="I540" s="9"/>
      <c r="J540" s="9"/>
      <c r="K540" s="9"/>
      <c r="L540" s="556"/>
      <c r="M540" s="9"/>
      <c r="N540" s="9"/>
      <c r="O540" s="9"/>
      <c r="P540" s="9"/>
      <c r="Q540" s="9"/>
      <c r="R540" s="9"/>
      <c r="S540" s="9"/>
      <c r="T540" s="9"/>
      <c r="U540" s="9"/>
      <c r="V540" s="9"/>
      <c r="W540" s="9"/>
      <c r="X540" s="589"/>
      <c r="Y540" s="9"/>
      <c r="Z540" s="204"/>
      <c r="AA540" s="9"/>
      <c r="AB540" s="9"/>
      <c r="AC540" s="9"/>
      <c r="AD540" s="9"/>
    </row>
    <row r="541" ht="15.75" customHeight="1">
      <c r="A541" s="9"/>
      <c r="B541" s="9"/>
      <c r="C541" s="9"/>
      <c r="D541" s="9"/>
      <c r="E541" s="9"/>
      <c r="F541" s="9"/>
      <c r="G541" s="9"/>
      <c r="H541" s="9"/>
      <c r="I541" s="9"/>
      <c r="J541" s="9"/>
      <c r="K541" s="9"/>
      <c r="L541" s="556"/>
      <c r="M541" s="9"/>
      <c r="N541" s="9"/>
      <c r="O541" s="9"/>
      <c r="P541" s="9"/>
      <c r="Q541" s="9"/>
      <c r="R541" s="9"/>
      <c r="S541" s="9"/>
      <c r="T541" s="9"/>
      <c r="U541" s="9"/>
      <c r="V541" s="9"/>
      <c r="W541" s="9"/>
      <c r="X541" s="589"/>
      <c r="Y541" s="9"/>
      <c r="Z541" s="204"/>
      <c r="AA541" s="9"/>
      <c r="AB541" s="9"/>
      <c r="AC541" s="9"/>
      <c r="AD541" s="9"/>
    </row>
    <row r="542" ht="15.75" customHeight="1">
      <c r="A542" s="9"/>
      <c r="B542" s="9"/>
      <c r="C542" s="9"/>
      <c r="D542" s="9"/>
      <c r="E542" s="9"/>
      <c r="F542" s="9"/>
      <c r="G542" s="9"/>
      <c r="H542" s="9"/>
      <c r="I542" s="9"/>
      <c r="J542" s="9"/>
      <c r="K542" s="9"/>
      <c r="L542" s="556"/>
      <c r="M542" s="9"/>
      <c r="N542" s="9"/>
      <c r="O542" s="9"/>
      <c r="P542" s="9"/>
      <c r="Q542" s="9"/>
      <c r="R542" s="9"/>
      <c r="S542" s="9"/>
      <c r="T542" s="9"/>
      <c r="U542" s="9"/>
      <c r="V542" s="9"/>
      <c r="W542" s="9"/>
      <c r="X542" s="589"/>
      <c r="Y542" s="9"/>
      <c r="Z542" s="204"/>
      <c r="AA542" s="9"/>
      <c r="AB542" s="9"/>
      <c r="AC542" s="9"/>
      <c r="AD542" s="9"/>
    </row>
    <row r="543" ht="15.75" customHeight="1">
      <c r="A543" s="9"/>
      <c r="B543" s="9"/>
      <c r="C543" s="9"/>
      <c r="D543" s="9"/>
      <c r="E543" s="9"/>
      <c r="F543" s="9"/>
      <c r="G543" s="9"/>
      <c r="H543" s="9"/>
      <c r="I543" s="9"/>
      <c r="J543" s="9"/>
      <c r="K543" s="9"/>
      <c r="L543" s="556"/>
      <c r="M543" s="9"/>
      <c r="N543" s="9"/>
      <c r="O543" s="9"/>
      <c r="P543" s="9"/>
      <c r="Q543" s="9"/>
      <c r="R543" s="9"/>
      <c r="S543" s="9"/>
      <c r="T543" s="9"/>
      <c r="U543" s="9"/>
      <c r="V543" s="9"/>
      <c r="W543" s="9"/>
      <c r="X543" s="589"/>
      <c r="Y543" s="9"/>
      <c r="Z543" s="204"/>
      <c r="AA543" s="9"/>
      <c r="AB543" s="9"/>
      <c r="AC543" s="9"/>
      <c r="AD543" s="9"/>
    </row>
    <row r="544" ht="15.75" customHeight="1">
      <c r="A544" s="9"/>
      <c r="B544" s="9"/>
      <c r="C544" s="9"/>
      <c r="D544" s="9"/>
      <c r="E544" s="9"/>
      <c r="F544" s="9"/>
      <c r="G544" s="9"/>
      <c r="H544" s="9"/>
      <c r="I544" s="9"/>
      <c r="J544" s="9"/>
      <c r="K544" s="9"/>
      <c r="L544" s="556"/>
      <c r="M544" s="9"/>
      <c r="N544" s="9"/>
      <c r="O544" s="9"/>
      <c r="P544" s="9"/>
      <c r="Q544" s="9"/>
      <c r="R544" s="9"/>
      <c r="S544" s="9"/>
      <c r="T544" s="9"/>
      <c r="U544" s="9"/>
      <c r="V544" s="9"/>
      <c r="W544" s="9"/>
      <c r="X544" s="589"/>
      <c r="Y544" s="9"/>
      <c r="Z544" s="204"/>
      <c r="AA544" s="9"/>
      <c r="AB544" s="9"/>
      <c r="AC544" s="9"/>
      <c r="AD544" s="9"/>
    </row>
    <row r="545" ht="15.75" customHeight="1">
      <c r="A545" s="9"/>
      <c r="B545" s="9"/>
      <c r="C545" s="9"/>
      <c r="D545" s="9"/>
      <c r="E545" s="9"/>
      <c r="F545" s="9"/>
      <c r="G545" s="9"/>
      <c r="H545" s="9"/>
      <c r="I545" s="9"/>
      <c r="J545" s="9"/>
      <c r="K545" s="9"/>
      <c r="L545" s="556"/>
      <c r="M545" s="9"/>
      <c r="N545" s="9"/>
      <c r="O545" s="9"/>
      <c r="P545" s="9"/>
      <c r="Q545" s="9"/>
      <c r="R545" s="9"/>
      <c r="S545" s="9"/>
      <c r="T545" s="9"/>
      <c r="U545" s="9"/>
      <c r="V545" s="9"/>
      <c r="W545" s="9"/>
      <c r="X545" s="589"/>
      <c r="Y545" s="9"/>
      <c r="Z545" s="204"/>
      <c r="AA545" s="9"/>
      <c r="AB545" s="9"/>
      <c r="AC545" s="9"/>
      <c r="AD545" s="9"/>
    </row>
    <row r="546" ht="15.75" customHeight="1">
      <c r="A546" s="9"/>
      <c r="B546" s="9"/>
      <c r="C546" s="9"/>
      <c r="D546" s="9"/>
      <c r="E546" s="9"/>
      <c r="F546" s="9"/>
      <c r="G546" s="9"/>
      <c r="H546" s="9"/>
      <c r="I546" s="9"/>
      <c r="J546" s="9"/>
      <c r="K546" s="9"/>
      <c r="L546" s="556"/>
      <c r="M546" s="9"/>
      <c r="N546" s="9"/>
      <c r="O546" s="9"/>
      <c r="P546" s="9"/>
      <c r="Q546" s="9"/>
      <c r="R546" s="9"/>
      <c r="S546" s="9"/>
      <c r="T546" s="9"/>
      <c r="U546" s="9"/>
      <c r="V546" s="9"/>
      <c r="W546" s="9"/>
      <c r="X546" s="589"/>
      <c r="Y546" s="9"/>
      <c r="Z546" s="204"/>
      <c r="AA546" s="9"/>
      <c r="AB546" s="9"/>
      <c r="AC546" s="9"/>
      <c r="AD546" s="9"/>
    </row>
    <row r="547" ht="15.75" customHeight="1">
      <c r="A547" s="9"/>
      <c r="B547" s="9"/>
      <c r="C547" s="9"/>
      <c r="D547" s="9"/>
      <c r="E547" s="9"/>
      <c r="F547" s="9"/>
      <c r="G547" s="9"/>
      <c r="H547" s="9"/>
      <c r="I547" s="9"/>
      <c r="J547" s="9"/>
      <c r="K547" s="9"/>
      <c r="L547" s="556"/>
      <c r="M547" s="9"/>
      <c r="N547" s="9"/>
      <c r="O547" s="9"/>
      <c r="P547" s="9"/>
      <c r="Q547" s="9"/>
      <c r="R547" s="9"/>
      <c r="S547" s="9"/>
      <c r="T547" s="9"/>
      <c r="U547" s="9"/>
      <c r="V547" s="9"/>
      <c r="W547" s="9"/>
      <c r="X547" s="589"/>
      <c r="Y547" s="9"/>
      <c r="Z547" s="204"/>
      <c r="AA547" s="9"/>
      <c r="AB547" s="9"/>
      <c r="AC547" s="9"/>
      <c r="AD547" s="9"/>
    </row>
    <row r="548" ht="15.75" customHeight="1">
      <c r="A548" s="9"/>
      <c r="B548" s="9"/>
      <c r="C548" s="9"/>
      <c r="D548" s="9"/>
      <c r="E548" s="9"/>
      <c r="F548" s="9"/>
      <c r="G548" s="9"/>
      <c r="H548" s="9"/>
      <c r="I548" s="9"/>
      <c r="J548" s="9"/>
      <c r="K548" s="9"/>
      <c r="L548" s="556"/>
      <c r="M548" s="9"/>
      <c r="N548" s="9"/>
      <c r="O548" s="9"/>
      <c r="P548" s="9"/>
      <c r="Q548" s="9"/>
      <c r="R548" s="9"/>
      <c r="S548" s="9"/>
      <c r="T548" s="9"/>
      <c r="U548" s="9"/>
      <c r="V548" s="9"/>
      <c r="W548" s="9"/>
      <c r="X548" s="589"/>
      <c r="Y548" s="9"/>
      <c r="Z548" s="204"/>
      <c r="AA548" s="9"/>
      <c r="AB548" s="9"/>
      <c r="AC548" s="9"/>
      <c r="AD548" s="9"/>
    </row>
    <row r="549" ht="15.75" customHeight="1">
      <c r="A549" s="9"/>
      <c r="B549" s="9"/>
      <c r="C549" s="9"/>
      <c r="D549" s="9"/>
      <c r="E549" s="9"/>
      <c r="F549" s="9"/>
      <c r="G549" s="9"/>
      <c r="H549" s="9"/>
      <c r="I549" s="9"/>
      <c r="J549" s="9"/>
      <c r="K549" s="9"/>
      <c r="L549" s="556"/>
      <c r="M549" s="9"/>
      <c r="N549" s="9"/>
      <c r="O549" s="9"/>
      <c r="P549" s="9"/>
      <c r="Q549" s="9"/>
      <c r="R549" s="9"/>
      <c r="S549" s="9"/>
      <c r="T549" s="9"/>
      <c r="U549" s="9"/>
      <c r="V549" s="9"/>
      <c r="W549" s="9"/>
      <c r="X549" s="589"/>
      <c r="Y549" s="9"/>
      <c r="Z549" s="204"/>
      <c r="AA549" s="9"/>
      <c r="AB549" s="9"/>
      <c r="AC549" s="9"/>
      <c r="AD549" s="9"/>
    </row>
    <row r="550" ht="15.75" customHeight="1">
      <c r="A550" s="9"/>
      <c r="B550" s="9"/>
      <c r="C550" s="9"/>
      <c r="D550" s="9"/>
      <c r="E550" s="9"/>
      <c r="F550" s="9"/>
      <c r="G550" s="9"/>
      <c r="H550" s="9"/>
      <c r="I550" s="9"/>
      <c r="J550" s="9"/>
      <c r="K550" s="9"/>
      <c r="L550" s="556"/>
      <c r="M550" s="9"/>
      <c r="N550" s="9"/>
      <c r="O550" s="9"/>
      <c r="P550" s="9"/>
      <c r="Q550" s="9"/>
      <c r="R550" s="9"/>
      <c r="S550" s="9"/>
      <c r="T550" s="9"/>
      <c r="U550" s="9"/>
      <c r="V550" s="9"/>
      <c r="W550" s="9"/>
      <c r="X550" s="589"/>
      <c r="Y550" s="9"/>
      <c r="Z550" s="204"/>
      <c r="AA550" s="9"/>
      <c r="AB550" s="9"/>
      <c r="AC550" s="9"/>
      <c r="AD550" s="9"/>
    </row>
    <row r="551" ht="15.75" customHeight="1">
      <c r="A551" s="9"/>
      <c r="B551" s="9"/>
      <c r="C551" s="9"/>
      <c r="D551" s="9"/>
      <c r="E551" s="9"/>
      <c r="F551" s="9"/>
      <c r="G551" s="9"/>
      <c r="H551" s="9"/>
      <c r="I551" s="9"/>
      <c r="J551" s="9"/>
      <c r="K551" s="9"/>
      <c r="L551" s="556"/>
      <c r="M551" s="9"/>
      <c r="N551" s="9"/>
      <c r="O551" s="9"/>
      <c r="P551" s="9"/>
      <c r="Q551" s="9"/>
      <c r="R551" s="9"/>
      <c r="S551" s="9"/>
      <c r="T551" s="9"/>
      <c r="U551" s="9"/>
      <c r="V551" s="9"/>
      <c r="W551" s="9"/>
      <c r="X551" s="589"/>
      <c r="Y551" s="9"/>
      <c r="Z551" s="204"/>
      <c r="AA551" s="9"/>
      <c r="AB551" s="9"/>
      <c r="AC551" s="9"/>
      <c r="AD551" s="9"/>
    </row>
    <row r="552" ht="15.75" customHeight="1">
      <c r="A552" s="9"/>
      <c r="B552" s="9"/>
      <c r="C552" s="9"/>
      <c r="D552" s="9"/>
      <c r="E552" s="9"/>
      <c r="F552" s="9"/>
      <c r="G552" s="9"/>
      <c r="H552" s="9"/>
      <c r="I552" s="9"/>
      <c r="J552" s="9"/>
      <c r="K552" s="9"/>
      <c r="L552" s="556"/>
      <c r="M552" s="9"/>
      <c r="N552" s="9"/>
      <c r="O552" s="9"/>
      <c r="P552" s="9"/>
      <c r="Q552" s="9"/>
      <c r="R552" s="9"/>
      <c r="S552" s="9"/>
      <c r="T552" s="9"/>
      <c r="U552" s="9"/>
      <c r="V552" s="9"/>
      <c r="W552" s="9"/>
      <c r="X552" s="589"/>
      <c r="Y552" s="9"/>
      <c r="Z552" s="204"/>
      <c r="AA552" s="9"/>
      <c r="AB552" s="9"/>
      <c r="AC552" s="9"/>
      <c r="AD552" s="9"/>
    </row>
    <row r="553" ht="15.75" customHeight="1">
      <c r="A553" s="9"/>
      <c r="B553" s="9"/>
      <c r="C553" s="9"/>
      <c r="D553" s="9"/>
      <c r="E553" s="9"/>
      <c r="F553" s="9"/>
      <c r="G553" s="9"/>
      <c r="H553" s="9"/>
      <c r="I553" s="9"/>
      <c r="J553" s="9"/>
      <c r="K553" s="9"/>
      <c r="L553" s="556"/>
      <c r="M553" s="9"/>
      <c r="N553" s="9"/>
      <c r="O553" s="9"/>
      <c r="P553" s="9"/>
      <c r="Q553" s="9"/>
      <c r="R553" s="9"/>
      <c r="S553" s="9"/>
      <c r="T553" s="9"/>
      <c r="U553" s="9"/>
      <c r="V553" s="9"/>
      <c r="W553" s="9"/>
      <c r="X553" s="589"/>
      <c r="Y553" s="9"/>
      <c r="Z553" s="204"/>
      <c r="AA553" s="9"/>
      <c r="AB553" s="9"/>
      <c r="AC553" s="9"/>
      <c r="AD553" s="9"/>
    </row>
    <row r="554" ht="15.75" customHeight="1">
      <c r="A554" s="9"/>
      <c r="B554" s="9"/>
      <c r="C554" s="9"/>
      <c r="D554" s="9"/>
      <c r="E554" s="9"/>
      <c r="F554" s="9"/>
      <c r="G554" s="9"/>
      <c r="H554" s="9"/>
      <c r="I554" s="9"/>
      <c r="J554" s="9"/>
      <c r="K554" s="9"/>
      <c r="L554" s="556"/>
      <c r="M554" s="9"/>
      <c r="N554" s="9"/>
      <c r="O554" s="9"/>
      <c r="P554" s="9"/>
      <c r="Q554" s="9"/>
      <c r="R554" s="9"/>
      <c r="S554" s="9"/>
      <c r="T554" s="9"/>
      <c r="U554" s="9"/>
      <c r="V554" s="9"/>
      <c r="W554" s="9"/>
      <c r="X554" s="589"/>
      <c r="Y554" s="9"/>
      <c r="Z554" s="204"/>
      <c r="AA554" s="9"/>
      <c r="AB554" s="9"/>
      <c r="AC554" s="9"/>
      <c r="AD554" s="9"/>
    </row>
    <row r="555" ht="15.75" customHeight="1">
      <c r="A555" s="9"/>
      <c r="B555" s="9"/>
      <c r="C555" s="9"/>
      <c r="D555" s="9"/>
      <c r="E555" s="9"/>
      <c r="F555" s="9"/>
      <c r="G555" s="9"/>
      <c r="H555" s="9"/>
      <c r="I555" s="9"/>
      <c r="J555" s="9"/>
      <c r="K555" s="9"/>
      <c r="L555" s="556"/>
      <c r="M555" s="9"/>
      <c r="N555" s="9"/>
      <c r="O555" s="9"/>
      <c r="P555" s="9"/>
      <c r="Q555" s="9"/>
      <c r="R555" s="9"/>
      <c r="S555" s="9"/>
      <c r="T555" s="9"/>
      <c r="U555" s="9"/>
      <c r="V555" s="9"/>
      <c r="W555" s="9"/>
      <c r="X555" s="589"/>
      <c r="Y555" s="9"/>
      <c r="Z555" s="204"/>
      <c r="AA555" s="9"/>
      <c r="AB555" s="9"/>
      <c r="AC555" s="9"/>
      <c r="AD555" s="9"/>
    </row>
    <row r="556" ht="15.75" customHeight="1">
      <c r="A556" s="9"/>
      <c r="B556" s="9"/>
      <c r="C556" s="9"/>
      <c r="D556" s="9"/>
      <c r="E556" s="9"/>
      <c r="F556" s="9"/>
      <c r="G556" s="9"/>
      <c r="H556" s="9"/>
      <c r="I556" s="9"/>
      <c r="J556" s="9"/>
      <c r="K556" s="9"/>
      <c r="L556" s="556"/>
      <c r="M556" s="9"/>
      <c r="N556" s="9"/>
      <c r="O556" s="9"/>
      <c r="P556" s="9"/>
      <c r="Q556" s="9"/>
      <c r="R556" s="9"/>
      <c r="S556" s="9"/>
      <c r="T556" s="9"/>
      <c r="U556" s="9"/>
      <c r="V556" s="9"/>
      <c r="W556" s="9"/>
      <c r="X556" s="589"/>
      <c r="Y556" s="9"/>
      <c r="Z556" s="204"/>
      <c r="AA556" s="9"/>
      <c r="AB556" s="9"/>
      <c r="AC556" s="9"/>
      <c r="AD556" s="9"/>
    </row>
    <row r="557" ht="15.75" customHeight="1">
      <c r="A557" s="9"/>
      <c r="B557" s="9"/>
      <c r="C557" s="9"/>
      <c r="D557" s="9"/>
      <c r="E557" s="9"/>
      <c r="F557" s="9"/>
      <c r="G557" s="9"/>
      <c r="H557" s="9"/>
      <c r="I557" s="9"/>
      <c r="J557" s="9"/>
      <c r="K557" s="9"/>
      <c r="L557" s="556"/>
      <c r="M557" s="9"/>
      <c r="N557" s="9"/>
      <c r="O557" s="9"/>
      <c r="P557" s="9"/>
      <c r="Q557" s="9"/>
      <c r="R557" s="9"/>
      <c r="S557" s="9"/>
      <c r="T557" s="9"/>
      <c r="U557" s="9"/>
      <c r="V557" s="9"/>
      <c r="W557" s="9"/>
      <c r="X557" s="589"/>
      <c r="Y557" s="9"/>
      <c r="Z557" s="204"/>
      <c r="AA557" s="9"/>
      <c r="AB557" s="9"/>
      <c r="AC557" s="9"/>
      <c r="AD557" s="9"/>
    </row>
    <row r="558" ht="15.75" customHeight="1">
      <c r="A558" s="9"/>
      <c r="B558" s="9"/>
      <c r="C558" s="9"/>
      <c r="D558" s="9"/>
      <c r="E558" s="9"/>
      <c r="F558" s="9"/>
      <c r="G558" s="9"/>
      <c r="H558" s="9"/>
      <c r="I558" s="9"/>
      <c r="J558" s="9"/>
      <c r="K558" s="9"/>
      <c r="L558" s="556"/>
      <c r="M558" s="9"/>
      <c r="N558" s="9"/>
      <c r="O558" s="9"/>
      <c r="P558" s="9"/>
      <c r="Q558" s="9"/>
      <c r="R558" s="9"/>
      <c r="S558" s="9"/>
      <c r="T558" s="9"/>
      <c r="U558" s="9"/>
      <c r="V558" s="9"/>
      <c r="W558" s="9"/>
      <c r="X558" s="589"/>
      <c r="Y558" s="9"/>
      <c r="Z558" s="204"/>
      <c r="AA558" s="9"/>
      <c r="AB558" s="9"/>
      <c r="AC558" s="9"/>
      <c r="AD558" s="9"/>
    </row>
    <row r="559" ht="15.75" customHeight="1">
      <c r="A559" s="9"/>
      <c r="B559" s="9"/>
      <c r="C559" s="9"/>
      <c r="D559" s="9"/>
      <c r="E559" s="9"/>
      <c r="F559" s="9"/>
      <c r="G559" s="9"/>
      <c r="H559" s="9"/>
      <c r="I559" s="9"/>
      <c r="J559" s="9"/>
      <c r="K559" s="9"/>
      <c r="L559" s="556"/>
      <c r="M559" s="9"/>
      <c r="N559" s="9"/>
      <c r="O559" s="9"/>
      <c r="P559" s="9"/>
      <c r="Q559" s="9"/>
      <c r="R559" s="9"/>
      <c r="S559" s="9"/>
      <c r="T559" s="9"/>
      <c r="U559" s="9"/>
      <c r="V559" s="9"/>
      <c r="W559" s="9"/>
      <c r="X559" s="589"/>
      <c r="Y559" s="9"/>
      <c r="Z559" s="204"/>
      <c r="AA559" s="9"/>
      <c r="AB559" s="9"/>
      <c r="AC559" s="9"/>
      <c r="AD559" s="9"/>
    </row>
    <row r="560" ht="15.75" customHeight="1">
      <c r="A560" s="9"/>
      <c r="B560" s="9"/>
      <c r="C560" s="9"/>
      <c r="D560" s="9"/>
      <c r="E560" s="9"/>
      <c r="F560" s="9"/>
      <c r="G560" s="9"/>
      <c r="H560" s="9"/>
      <c r="I560" s="9"/>
      <c r="J560" s="9"/>
      <c r="K560" s="9"/>
      <c r="L560" s="556"/>
      <c r="M560" s="9"/>
      <c r="N560" s="9"/>
      <c r="O560" s="9"/>
      <c r="P560" s="9"/>
      <c r="Q560" s="9"/>
      <c r="R560" s="9"/>
      <c r="S560" s="9"/>
      <c r="T560" s="9"/>
      <c r="U560" s="9"/>
      <c r="V560" s="9"/>
      <c r="W560" s="9"/>
      <c r="X560" s="589"/>
      <c r="Y560" s="9"/>
      <c r="Z560" s="204"/>
      <c r="AA560" s="9"/>
      <c r="AB560" s="9"/>
      <c r="AC560" s="9"/>
      <c r="AD560" s="9"/>
    </row>
    <row r="561" ht="15.75" customHeight="1">
      <c r="A561" s="9"/>
      <c r="B561" s="9"/>
      <c r="C561" s="9"/>
      <c r="D561" s="9"/>
      <c r="E561" s="9"/>
      <c r="F561" s="9"/>
      <c r="G561" s="9"/>
      <c r="H561" s="9"/>
      <c r="I561" s="9"/>
      <c r="J561" s="9"/>
      <c r="K561" s="9"/>
      <c r="L561" s="556"/>
      <c r="M561" s="9"/>
      <c r="N561" s="9"/>
      <c r="O561" s="9"/>
      <c r="P561" s="9"/>
      <c r="Q561" s="9"/>
      <c r="R561" s="9"/>
      <c r="S561" s="9"/>
      <c r="T561" s="9"/>
      <c r="U561" s="9"/>
      <c r="V561" s="9"/>
      <c r="W561" s="9"/>
      <c r="X561" s="589"/>
      <c r="Y561" s="9"/>
      <c r="Z561" s="204"/>
      <c r="AA561" s="9"/>
      <c r="AB561" s="9"/>
      <c r="AC561" s="9"/>
      <c r="AD561" s="9"/>
    </row>
    <row r="562" ht="15.75" customHeight="1">
      <c r="A562" s="9"/>
      <c r="B562" s="9"/>
      <c r="C562" s="9"/>
      <c r="D562" s="9"/>
      <c r="E562" s="9"/>
      <c r="F562" s="9"/>
      <c r="G562" s="9"/>
      <c r="H562" s="9"/>
      <c r="I562" s="9"/>
      <c r="J562" s="9"/>
      <c r="K562" s="9"/>
      <c r="L562" s="556"/>
      <c r="M562" s="9"/>
      <c r="N562" s="9"/>
      <c r="O562" s="9"/>
      <c r="P562" s="9"/>
      <c r="Q562" s="9"/>
      <c r="R562" s="9"/>
      <c r="S562" s="9"/>
      <c r="T562" s="9"/>
      <c r="U562" s="9"/>
      <c r="V562" s="9"/>
      <c r="W562" s="9"/>
      <c r="X562" s="589"/>
      <c r="Y562" s="9"/>
      <c r="Z562" s="204"/>
      <c r="AA562" s="9"/>
      <c r="AB562" s="9"/>
      <c r="AC562" s="9"/>
      <c r="AD562" s="9"/>
    </row>
    <row r="563" ht="15.75" customHeight="1">
      <c r="A563" s="9"/>
      <c r="B563" s="9"/>
      <c r="C563" s="9"/>
      <c r="D563" s="9"/>
      <c r="E563" s="9"/>
      <c r="F563" s="9"/>
      <c r="G563" s="9"/>
      <c r="H563" s="9"/>
      <c r="I563" s="9"/>
      <c r="J563" s="9"/>
      <c r="K563" s="9"/>
      <c r="L563" s="556"/>
      <c r="M563" s="9"/>
      <c r="N563" s="9"/>
      <c r="O563" s="9"/>
      <c r="P563" s="9"/>
      <c r="Q563" s="9"/>
      <c r="R563" s="9"/>
      <c r="S563" s="9"/>
      <c r="T563" s="9"/>
      <c r="U563" s="9"/>
      <c r="V563" s="9"/>
      <c r="W563" s="9"/>
      <c r="X563" s="589"/>
      <c r="Y563" s="9"/>
      <c r="Z563" s="204"/>
      <c r="AA563" s="9"/>
      <c r="AB563" s="9"/>
      <c r="AC563" s="9"/>
      <c r="AD563" s="9"/>
    </row>
    <row r="564" ht="15.75" customHeight="1">
      <c r="A564" s="9"/>
      <c r="B564" s="9"/>
      <c r="C564" s="9"/>
      <c r="D564" s="9"/>
      <c r="E564" s="9"/>
      <c r="F564" s="9"/>
      <c r="G564" s="9"/>
      <c r="H564" s="9"/>
      <c r="I564" s="9"/>
      <c r="J564" s="9"/>
      <c r="K564" s="9"/>
      <c r="L564" s="556"/>
      <c r="M564" s="9"/>
      <c r="N564" s="9"/>
      <c r="O564" s="9"/>
      <c r="P564" s="9"/>
      <c r="Q564" s="9"/>
      <c r="R564" s="9"/>
      <c r="S564" s="9"/>
      <c r="T564" s="9"/>
      <c r="U564" s="9"/>
      <c r="V564" s="9"/>
      <c r="W564" s="9"/>
      <c r="X564" s="589"/>
      <c r="Y564" s="9"/>
      <c r="Z564" s="204"/>
      <c r="AA564" s="9"/>
      <c r="AB564" s="9"/>
      <c r="AC564" s="9"/>
      <c r="AD564" s="9"/>
    </row>
    <row r="565" ht="15.75" customHeight="1">
      <c r="A565" s="9"/>
      <c r="B565" s="9"/>
      <c r="C565" s="9"/>
      <c r="D565" s="9"/>
      <c r="E565" s="9"/>
      <c r="F565" s="9"/>
      <c r="G565" s="9"/>
      <c r="H565" s="9"/>
      <c r="I565" s="9"/>
      <c r="J565" s="9"/>
      <c r="K565" s="9"/>
      <c r="L565" s="556"/>
      <c r="M565" s="9"/>
      <c r="N565" s="9"/>
      <c r="O565" s="9"/>
      <c r="P565" s="9"/>
      <c r="Q565" s="9"/>
      <c r="R565" s="9"/>
      <c r="S565" s="9"/>
      <c r="T565" s="9"/>
      <c r="U565" s="9"/>
      <c r="V565" s="9"/>
      <c r="W565" s="9"/>
      <c r="X565" s="589"/>
      <c r="Y565" s="9"/>
      <c r="Z565" s="204"/>
      <c r="AA565" s="9"/>
      <c r="AB565" s="9"/>
      <c r="AC565" s="9"/>
      <c r="AD565" s="9"/>
    </row>
    <row r="566" ht="15.75" customHeight="1">
      <c r="A566" s="9"/>
      <c r="B566" s="9"/>
      <c r="C566" s="9"/>
      <c r="D566" s="9"/>
      <c r="E566" s="9"/>
      <c r="F566" s="9"/>
      <c r="G566" s="9"/>
      <c r="H566" s="9"/>
      <c r="I566" s="9"/>
      <c r="J566" s="9"/>
      <c r="K566" s="9"/>
      <c r="L566" s="556"/>
      <c r="M566" s="9"/>
      <c r="N566" s="9"/>
      <c r="O566" s="9"/>
      <c r="P566" s="9"/>
      <c r="Q566" s="9"/>
      <c r="R566" s="9"/>
      <c r="S566" s="9"/>
      <c r="T566" s="9"/>
      <c r="U566" s="9"/>
      <c r="V566" s="9"/>
      <c r="W566" s="9"/>
      <c r="X566" s="589"/>
      <c r="Y566" s="9"/>
      <c r="Z566" s="204"/>
      <c r="AA566" s="9"/>
      <c r="AB566" s="9"/>
      <c r="AC566" s="9"/>
      <c r="AD566" s="9"/>
    </row>
    <row r="567" ht="15.75" customHeight="1">
      <c r="A567" s="9"/>
      <c r="B567" s="9"/>
      <c r="C567" s="9"/>
      <c r="D567" s="9"/>
      <c r="E567" s="9"/>
      <c r="F567" s="9"/>
      <c r="G567" s="9"/>
      <c r="H567" s="9"/>
      <c r="I567" s="9"/>
      <c r="J567" s="9"/>
      <c r="K567" s="9"/>
      <c r="L567" s="556"/>
      <c r="M567" s="9"/>
      <c r="N567" s="9"/>
      <c r="O567" s="9"/>
      <c r="P567" s="9"/>
      <c r="Q567" s="9"/>
      <c r="R567" s="9"/>
      <c r="S567" s="9"/>
      <c r="T567" s="9"/>
      <c r="U567" s="9"/>
      <c r="V567" s="9"/>
      <c r="W567" s="9"/>
      <c r="X567" s="589"/>
      <c r="Y567" s="9"/>
      <c r="Z567" s="204"/>
      <c r="AA567" s="9"/>
      <c r="AB567" s="9"/>
      <c r="AC567" s="9"/>
      <c r="AD567" s="9"/>
    </row>
    <row r="568" ht="15.75" customHeight="1">
      <c r="A568" s="9"/>
      <c r="B568" s="9"/>
      <c r="C568" s="9"/>
      <c r="D568" s="9"/>
      <c r="E568" s="9"/>
      <c r="F568" s="9"/>
      <c r="G568" s="9"/>
      <c r="H568" s="9"/>
      <c r="I568" s="9"/>
      <c r="J568" s="9"/>
      <c r="K568" s="9"/>
      <c r="L568" s="556"/>
      <c r="M568" s="9"/>
      <c r="N568" s="9"/>
      <c r="O568" s="9"/>
      <c r="P568" s="9"/>
      <c r="Q568" s="9"/>
      <c r="R568" s="9"/>
      <c r="S568" s="9"/>
      <c r="T568" s="9"/>
      <c r="U568" s="9"/>
      <c r="V568" s="9"/>
      <c r="W568" s="9"/>
      <c r="X568" s="589"/>
      <c r="Y568" s="9"/>
      <c r="Z568" s="204"/>
      <c r="AA568" s="9"/>
      <c r="AB568" s="9"/>
      <c r="AC568" s="9"/>
      <c r="AD568" s="9"/>
    </row>
    <row r="569" ht="15.75" customHeight="1">
      <c r="A569" s="9"/>
      <c r="B569" s="9"/>
      <c r="C569" s="9"/>
      <c r="D569" s="9"/>
      <c r="E569" s="9"/>
      <c r="F569" s="9"/>
      <c r="G569" s="9"/>
      <c r="H569" s="9"/>
      <c r="I569" s="9"/>
      <c r="J569" s="9"/>
      <c r="K569" s="9"/>
      <c r="L569" s="556"/>
      <c r="M569" s="9"/>
      <c r="N569" s="9"/>
      <c r="O569" s="9"/>
      <c r="P569" s="9"/>
      <c r="Q569" s="9"/>
      <c r="R569" s="9"/>
      <c r="S569" s="9"/>
      <c r="T569" s="9"/>
      <c r="U569" s="9"/>
      <c r="V569" s="9"/>
      <c r="W569" s="9"/>
      <c r="X569" s="589"/>
      <c r="Y569" s="9"/>
      <c r="Z569" s="204"/>
      <c r="AA569" s="9"/>
      <c r="AB569" s="9"/>
      <c r="AC569" s="9"/>
      <c r="AD569" s="9"/>
    </row>
    <row r="570" ht="15.75" customHeight="1">
      <c r="A570" s="9"/>
      <c r="B570" s="9"/>
      <c r="C570" s="9"/>
      <c r="D570" s="9"/>
      <c r="E570" s="9"/>
      <c r="F570" s="9"/>
      <c r="G570" s="9"/>
      <c r="H570" s="9"/>
      <c r="I570" s="9"/>
      <c r="J570" s="9"/>
      <c r="K570" s="9"/>
      <c r="L570" s="556"/>
      <c r="M570" s="9"/>
      <c r="N570" s="9"/>
      <c r="O570" s="9"/>
      <c r="P570" s="9"/>
      <c r="Q570" s="9"/>
      <c r="R570" s="9"/>
      <c r="S570" s="9"/>
      <c r="T570" s="9"/>
      <c r="U570" s="9"/>
      <c r="V570" s="9"/>
      <c r="W570" s="9"/>
      <c r="X570" s="589"/>
      <c r="Y570" s="9"/>
      <c r="Z570" s="204"/>
      <c r="AA570" s="9"/>
      <c r="AB570" s="9"/>
      <c r="AC570" s="9"/>
      <c r="AD570" s="9"/>
    </row>
    <row r="571" ht="15.75" customHeight="1">
      <c r="A571" s="9"/>
      <c r="B571" s="9"/>
      <c r="C571" s="9"/>
      <c r="D571" s="9"/>
      <c r="E571" s="9"/>
      <c r="F571" s="9"/>
      <c r="G571" s="9"/>
      <c r="H571" s="9"/>
      <c r="I571" s="9"/>
      <c r="J571" s="9"/>
      <c r="K571" s="9"/>
      <c r="L571" s="556"/>
      <c r="M571" s="9"/>
      <c r="N571" s="9"/>
      <c r="O571" s="9"/>
      <c r="P571" s="9"/>
      <c r="Q571" s="9"/>
      <c r="R571" s="9"/>
      <c r="S571" s="9"/>
      <c r="T571" s="9"/>
      <c r="U571" s="9"/>
      <c r="V571" s="9"/>
      <c r="W571" s="9"/>
      <c r="X571" s="589"/>
      <c r="Y571" s="9"/>
      <c r="Z571" s="204"/>
      <c r="AA571" s="9"/>
      <c r="AB571" s="9"/>
      <c r="AC571" s="9"/>
      <c r="AD571" s="9"/>
    </row>
    <row r="572" ht="15.75" customHeight="1">
      <c r="A572" s="9"/>
      <c r="B572" s="9"/>
      <c r="C572" s="9"/>
      <c r="D572" s="9"/>
      <c r="E572" s="9"/>
      <c r="F572" s="9"/>
      <c r="G572" s="9"/>
      <c r="H572" s="9"/>
      <c r="I572" s="9"/>
      <c r="J572" s="9"/>
      <c r="K572" s="9"/>
      <c r="L572" s="556"/>
      <c r="M572" s="9"/>
      <c r="N572" s="9"/>
      <c r="O572" s="9"/>
      <c r="P572" s="9"/>
      <c r="Q572" s="9"/>
      <c r="R572" s="9"/>
      <c r="S572" s="9"/>
      <c r="T572" s="9"/>
      <c r="U572" s="9"/>
      <c r="V572" s="9"/>
      <c r="W572" s="9"/>
      <c r="X572" s="589"/>
      <c r="Y572" s="9"/>
      <c r="Z572" s="204"/>
      <c r="AA572" s="9"/>
      <c r="AB572" s="9"/>
      <c r="AC572" s="9"/>
      <c r="AD572" s="9"/>
    </row>
    <row r="573" ht="15.75" customHeight="1">
      <c r="A573" s="9"/>
      <c r="B573" s="9"/>
      <c r="C573" s="9"/>
      <c r="D573" s="9"/>
      <c r="E573" s="9"/>
      <c r="F573" s="9"/>
      <c r="G573" s="9"/>
      <c r="H573" s="9"/>
      <c r="I573" s="9"/>
      <c r="J573" s="9"/>
      <c r="K573" s="9"/>
      <c r="L573" s="556"/>
      <c r="M573" s="9"/>
      <c r="N573" s="9"/>
      <c r="O573" s="9"/>
      <c r="P573" s="9"/>
      <c r="Q573" s="9"/>
      <c r="R573" s="9"/>
      <c r="S573" s="9"/>
      <c r="T573" s="9"/>
      <c r="U573" s="9"/>
      <c r="V573" s="9"/>
      <c r="W573" s="9"/>
      <c r="X573" s="589"/>
      <c r="Y573" s="9"/>
      <c r="Z573" s="204"/>
      <c r="AA573" s="9"/>
      <c r="AB573" s="9"/>
      <c r="AC573" s="9"/>
      <c r="AD573" s="9"/>
    </row>
    <row r="574" ht="15.75" customHeight="1">
      <c r="A574" s="9"/>
      <c r="B574" s="9"/>
      <c r="C574" s="9"/>
      <c r="D574" s="9"/>
      <c r="E574" s="9"/>
      <c r="F574" s="9"/>
      <c r="G574" s="9"/>
      <c r="H574" s="9"/>
      <c r="I574" s="9"/>
      <c r="J574" s="9"/>
      <c r="K574" s="9"/>
      <c r="L574" s="556"/>
      <c r="M574" s="9"/>
      <c r="N574" s="9"/>
      <c r="O574" s="9"/>
      <c r="P574" s="9"/>
      <c r="Q574" s="9"/>
      <c r="R574" s="9"/>
      <c r="S574" s="9"/>
      <c r="T574" s="9"/>
      <c r="U574" s="9"/>
      <c r="V574" s="9"/>
      <c r="W574" s="9"/>
      <c r="X574" s="589"/>
      <c r="Y574" s="9"/>
      <c r="Z574" s="204"/>
      <c r="AA574" s="9"/>
      <c r="AB574" s="9"/>
      <c r="AC574" s="9"/>
      <c r="AD574" s="9"/>
    </row>
    <row r="575" ht="15.75" customHeight="1">
      <c r="A575" s="9"/>
      <c r="B575" s="9"/>
      <c r="C575" s="9"/>
      <c r="D575" s="9"/>
      <c r="E575" s="9"/>
      <c r="F575" s="9"/>
      <c r="G575" s="9"/>
      <c r="H575" s="9"/>
      <c r="I575" s="9"/>
      <c r="J575" s="9"/>
      <c r="K575" s="9"/>
      <c r="L575" s="556"/>
      <c r="M575" s="9"/>
      <c r="N575" s="9"/>
      <c r="O575" s="9"/>
      <c r="P575" s="9"/>
      <c r="Q575" s="9"/>
      <c r="R575" s="9"/>
      <c r="S575" s="9"/>
      <c r="T575" s="9"/>
      <c r="U575" s="9"/>
      <c r="V575" s="9"/>
      <c r="W575" s="9"/>
      <c r="X575" s="589"/>
      <c r="Y575" s="9"/>
      <c r="Z575" s="204"/>
      <c r="AA575" s="9"/>
      <c r="AB575" s="9"/>
      <c r="AC575" s="9"/>
      <c r="AD575" s="9"/>
    </row>
    <row r="576" ht="15.75" customHeight="1">
      <c r="A576" s="9"/>
      <c r="B576" s="9"/>
      <c r="C576" s="9"/>
      <c r="D576" s="9"/>
      <c r="E576" s="9"/>
      <c r="F576" s="9"/>
      <c r="G576" s="9"/>
      <c r="H576" s="9"/>
      <c r="I576" s="9"/>
      <c r="J576" s="9"/>
      <c r="K576" s="9"/>
      <c r="L576" s="556"/>
      <c r="M576" s="9"/>
      <c r="N576" s="9"/>
      <c r="O576" s="9"/>
      <c r="P576" s="9"/>
      <c r="Q576" s="9"/>
      <c r="R576" s="9"/>
      <c r="S576" s="9"/>
      <c r="T576" s="9"/>
      <c r="U576" s="9"/>
      <c r="V576" s="9"/>
      <c r="W576" s="9"/>
      <c r="X576" s="589"/>
      <c r="Y576" s="9"/>
      <c r="Z576" s="204"/>
      <c r="AA576" s="9"/>
      <c r="AB576" s="9"/>
      <c r="AC576" s="9"/>
      <c r="AD576" s="9"/>
    </row>
    <row r="577" ht="15.75" customHeight="1">
      <c r="A577" s="9"/>
      <c r="B577" s="9"/>
      <c r="C577" s="9"/>
      <c r="D577" s="9"/>
      <c r="E577" s="9"/>
      <c r="F577" s="9"/>
      <c r="G577" s="9"/>
      <c r="H577" s="9"/>
      <c r="I577" s="9"/>
      <c r="J577" s="9"/>
      <c r="K577" s="9"/>
      <c r="L577" s="556"/>
      <c r="M577" s="9"/>
      <c r="N577" s="9"/>
      <c r="O577" s="9"/>
      <c r="P577" s="9"/>
      <c r="Q577" s="9"/>
      <c r="R577" s="9"/>
      <c r="S577" s="9"/>
      <c r="T577" s="9"/>
      <c r="U577" s="9"/>
      <c r="V577" s="9"/>
      <c r="W577" s="9"/>
      <c r="X577" s="589"/>
      <c r="Y577" s="9"/>
      <c r="Z577" s="204"/>
      <c r="AA577" s="9"/>
      <c r="AB577" s="9"/>
      <c r="AC577" s="9"/>
      <c r="AD577" s="9"/>
    </row>
    <row r="578" ht="15.75" customHeight="1">
      <c r="A578" s="9"/>
      <c r="B578" s="9"/>
      <c r="C578" s="9"/>
      <c r="D578" s="9"/>
      <c r="E578" s="9"/>
      <c r="F578" s="9"/>
      <c r="G578" s="9"/>
      <c r="H578" s="9"/>
      <c r="I578" s="9"/>
      <c r="J578" s="9"/>
      <c r="K578" s="9"/>
      <c r="L578" s="556"/>
      <c r="M578" s="9"/>
      <c r="N578" s="9"/>
      <c r="O578" s="9"/>
      <c r="P578" s="9"/>
      <c r="Q578" s="9"/>
      <c r="R578" s="9"/>
      <c r="S578" s="9"/>
      <c r="T578" s="9"/>
      <c r="U578" s="9"/>
      <c r="V578" s="9"/>
      <c r="W578" s="9"/>
      <c r="X578" s="589"/>
      <c r="Y578" s="9"/>
      <c r="Z578" s="204"/>
      <c r="AA578" s="9"/>
      <c r="AB578" s="9"/>
      <c r="AC578" s="9"/>
      <c r="AD578" s="9"/>
    </row>
    <row r="579" ht="15.75" customHeight="1">
      <c r="A579" s="9"/>
      <c r="B579" s="9"/>
      <c r="C579" s="9"/>
      <c r="D579" s="9"/>
      <c r="E579" s="9"/>
      <c r="F579" s="9"/>
      <c r="G579" s="9"/>
      <c r="H579" s="9"/>
      <c r="I579" s="9"/>
      <c r="J579" s="9"/>
      <c r="K579" s="9"/>
      <c r="L579" s="556"/>
      <c r="M579" s="9"/>
      <c r="N579" s="9"/>
      <c r="O579" s="9"/>
      <c r="P579" s="9"/>
      <c r="Q579" s="9"/>
      <c r="R579" s="9"/>
      <c r="S579" s="9"/>
      <c r="T579" s="9"/>
      <c r="U579" s="9"/>
      <c r="V579" s="9"/>
      <c r="W579" s="9"/>
      <c r="X579" s="589"/>
      <c r="Y579" s="9"/>
      <c r="Z579" s="204"/>
      <c r="AA579" s="9"/>
      <c r="AB579" s="9"/>
      <c r="AC579" s="9"/>
      <c r="AD579" s="9"/>
    </row>
    <row r="580" ht="15.75" customHeight="1">
      <c r="A580" s="9"/>
      <c r="B580" s="9"/>
      <c r="C580" s="9"/>
      <c r="D580" s="9"/>
      <c r="E580" s="9"/>
      <c r="F580" s="9"/>
      <c r="G580" s="9"/>
      <c r="H580" s="9"/>
      <c r="I580" s="9"/>
      <c r="J580" s="9"/>
      <c r="K580" s="9"/>
      <c r="L580" s="556"/>
      <c r="M580" s="9"/>
      <c r="N580" s="9"/>
      <c r="O580" s="9"/>
      <c r="P580" s="9"/>
      <c r="Q580" s="9"/>
      <c r="R580" s="9"/>
      <c r="S580" s="9"/>
      <c r="T580" s="9"/>
      <c r="U580" s="9"/>
      <c r="V580" s="9"/>
      <c r="W580" s="9"/>
      <c r="X580" s="589"/>
      <c r="Y580" s="9"/>
      <c r="Z580" s="204"/>
      <c r="AA580" s="9"/>
      <c r="AB580" s="9"/>
      <c r="AC580" s="9"/>
      <c r="AD580" s="9"/>
    </row>
    <row r="581" ht="15.75" customHeight="1">
      <c r="A581" s="9"/>
      <c r="B581" s="9"/>
      <c r="C581" s="9"/>
      <c r="D581" s="9"/>
      <c r="E581" s="9"/>
      <c r="F581" s="9"/>
      <c r="G581" s="9"/>
      <c r="H581" s="9"/>
      <c r="I581" s="9"/>
      <c r="J581" s="9"/>
      <c r="K581" s="9"/>
      <c r="L581" s="556"/>
      <c r="M581" s="9"/>
      <c r="N581" s="9"/>
      <c r="O581" s="9"/>
      <c r="P581" s="9"/>
      <c r="Q581" s="9"/>
      <c r="R581" s="9"/>
      <c r="S581" s="9"/>
      <c r="T581" s="9"/>
      <c r="U581" s="9"/>
      <c r="V581" s="9"/>
      <c r="W581" s="9"/>
      <c r="X581" s="589"/>
      <c r="Y581" s="9"/>
      <c r="Z581" s="204"/>
      <c r="AA581" s="9"/>
      <c r="AB581" s="9"/>
      <c r="AC581" s="9"/>
      <c r="AD581" s="9"/>
    </row>
    <row r="582" ht="15.75" customHeight="1">
      <c r="A582" s="9"/>
      <c r="B582" s="9"/>
      <c r="C582" s="9"/>
      <c r="D582" s="9"/>
      <c r="E582" s="9"/>
      <c r="F582" s="9"/>
      <c r="G582" s="9"/>
      <c r="H582" s="9"/>
      <c r="I582" s="9"/>
      <c r="J582" s="9"/>
      <c r="K582" s="9"/>
      <c r="L582" s="556"/>
      <c r="M582" s="9"/>
      <c r="N582" s="9"/>
      <c r="O582" s="9"/>
      <c r="P582" s="9"/>
      <c r="Q582" s="9"/>
      <c r="R582" s="9"/>
      <c r="S582" s="9"/>
      <c r="T582" s="9"/>
      <c r="U582" s="9"/>
      <c r="V582" s="9"/>
      <c r="W582" s="9"/>
      <c r="X582" s="589"/>
      <c r="Y582" s="9"/>
      <c r="Z582" s="204"/>
      <c r="AA582" s="9"/>
      <c r="AB582" s="9"/>
      <c r="AC582" s="9"/>
      <c r="AD582" s="9"/>
    </row>
    <row r="583" ht="15.75" customHeight="1">
      <c r="A583" s="9"/>
      <c r="B583" s="9"/>
      <c r="C583" s="9"/>
      <c r="D583" s="9"/>
      <c r="E583" s="9"/>
      <c r="F583" s="9"/>
      <c r="G583" s="9"/>
      <c r="H583" s="9"/>
      <c r="I583" s="9"/>
      <c r="J583" s="9"/>
      <c r="K583" s="9"/>
      <c r="L583" s="556"/>
      <c r="M583" s="9"/>
      <c r="N583" s="9"/>
      <c r="O583" s="9"/>
      <c r="P583" s="9"/>
      <c r="Q583" s="9"/>
      <c r="R583" s="9"/>
      <c r="S583" s="9"/>
      <c r="T583" s="9"/>
      <c r="U583" s="9"/>
      <c r="V583" s="9"/>
      <c r="W583" s="9"/>
      <c r="X583" s="589"/>
      <c r="Y583" s="9"/>
      <c r="Z583" s="204"/>
      <c r="AA583" s="9"/>
      <c r="AB583" s="9"/>
      <c r="AC583" s="9"/>
      <c r="AD583" s="9"/>
    </row>
    <row r="584" ht="15.75" customHeight="1">
      <c r="A584" s="9"/>
      <c r="B584" s="9"/>
      <c r="C584" s="9"/>
      <c r="D584" s="9"/>
      <c r="E584" s="9"/>
      <c r="F584" s="9"/>
      <c r="G584" s="9"/>
      <c r="H584" s="9"/>
      <c r="I584" s="9"/>
      <c r="J584" s="9"/>
      <c r="K584" s="9"/>
      <c r="L584" s="556"/>
      <c r="M584" s="9"/>
      <c r="N584" s="9"/>
      <c r="O584" s="9"/>
      <c r="P584" s="9"/>
      <c r="Q584" s="9"/>
      <c r="R584" s="9"/>
      <c r="S584" s="9"/>
      <c r="T584" s="9"/>
      <c r="U584" s="9"/>
      <c r="V584" s="9"/>
      <c r="W584" s="9"/>
      <c r="X584" s="589"/>
      <c r="Y584" s="9"/>
      <c r="Z584" s="204"/>
      <c r="AA584" s="9"/>
      <c r="AB584" s="9"/>
      <c r="AC584" s="9"/>
      <c r="AD584" s="9"/>
    </row>
    <row r="585" ht="15.75" customHeight="1">
      <c r="A585" s="9"/>
      <c r="B585" s="9"/>
      <c r="C585" s="9"/>
      <c r="D585" s="9"/>
      <c r="E585" s="9"/>
      <c r="F585" s="9"/>
      <c r="G585" s="9"/>
      <c r="H585" s="9"/>
      <c r="I585" s="9"/>
      <c r="J585" s="9"/>
      <c r="K585" s="9"/>
      <c r="L585" s="556"/>
      <c r="M585" s="9"/>
      <c r="N585" s="9"/>
      <c r="O585" s="9"/>
      <c r="P585" s="9"/>
      <c r="Q585" s="9"/>
      <c r="R585" s="9"/>
      <c r="S585" s="9"/>
      <c r="T585" s="9"/>
      <c r="U585" s="9"/>
      <c r="V585" s="9"/>
      <c r="W585" s="9"/>
      <c r="X585" s="589"/>
      <c r="Y585" s="9"/>
      <c r="Z585" s="204"/>
      <c r="AA585" s="9"/>
      <c r="AB585" s="9"/>
      <c r="AC585" s="9"/>
      <c r="AD585" s="9"/>
    </row>
    <row r="586" ht="15.75" customHeight="1">
      <c r="A586" s="9"/>
      <c r="B586" s="9"/>
      <c r="C586" s="9"/>
      <c r="D586" s="9"/>
      <c r="E586" s="9"/>
      <c r="F586" s="9"/>
      <c r="G586" s="9"/>
      <c r="H586" s="9"/>
      <c r="I586" s="9"/>
      <c r="J586" s="9"/>
      <c r="K586" s="9"/>
      <c r="L586" s="556"/>
      <c r="M586" s="9"/>
      <c r="N586" s="9"/>
      <c r="O586" s="9"/>
      <c r="P586" s="9"/>
      <c r="Q586" s="9"/>
      <c r="R586" s="9"/>
      <c r="S586" s="9"/>
      <c r="T586" s="9"/>
      <c r="U586" s="9"/>
      <c r="V586" s="9"/>
      <c r="W586" s="9"/>
      <c r="X586" s="589"/>
      <c r="Y586" s="9"/>
      <c r="Z586" s="204"/>
      <c r="AA586" s="9"/>
      <c r="AB586" s="9"/>
      <c r="AC586" s="9"/>
      <c r="AD586" s="9"/>
    </row>
    <row r="587" ht="15.75" customHeight="1">
      <c r="A587" s="9"/>
      <c r="B587" s="9"/>
      <c r="C587" s="9"/>
      <c r="D587" s="9"/>
      <c r="E587" s="9"/>
      <c r="F587" s="9"/>
      <c r="G587" s="9"/>
      <c r="H587" s="9"/>
      <c r="I587" s="9"/>
      <c r="J587" s="9"/>
      <c r="K587" s="9"/>
      <c r="L587" s="556"/>
      <c r="M587" s="9"/>
      <c r="N587" s="9"/>
      <c r="O587" s="9"/>
      <c r="P587" s="9"/>
      <c r="Q587" s="9"/>
      <c r="R587" s="9"/>
      <c r="S587" s="9"/>
      <c r="T587" s="9"/>
      <c r="U587" s="9"/>
      <c r="V587" s="9"/>
      <c r="W587" s="9"/>
      <c r="X587" s="589"/>
      <c r="Y587" s="9"/>
      <c r="Z587" s="204"/>
      <c r="AA587" s="9"/>
      <c r="AB587" s="9"/>
      <c r="AC587" s="9"/>
      <c r="AD587" s="9"/>
    </row>
    <row r="588" ht="15.75" customHeight="1">
      <c r="A588" s="9"/>
      <c r="B588" s="9"/>
      <c r="C588" s="9"/>
      <c r="D588" s="9"/>
      <c r="E588" s="9"/>
      <c r="F588" s="9"/>
      <c r="G588" s="9"/>
      <c r="H588" s="9"/>
      <c r="I588" s="9"/>
      <c r="J588" s="9"/>
      <c r="K588" s="9"/>
      <c r="L588" s="556"/>
      <c r="M588" s="9"/>
      <c r="N588" s="9"/>
      <c r="O588" s="9"/>
      <c r="P588" s="9"/>
      <c r="Q588" s="9"/>
      <c r="R588" s="9"/>
      <c r="S588" s="9"/>
      <c r="T588" s="9"/>
      <c r="U588" s="9"/>
      <c r="V588" s="9"/>
      <c r="W588" s="9"/>
      <c r="X588" s="589"/>
      <c r="Y588" s="9"/>
      <c r="Z588" s="204"/>
      <c r="AA588" s="9"/>
      <c r="AB588" s="9"/>
      <c r="AC588" s="9"/>
      <c r="AD588" s="9"/>
    </row>
    <row r="589" ht="15.75" customHeight="1">
      <c r="A589" s="9"/>
      <c r="B589" s="9"/>
      <c r="C589" s="9"/>
      <c r="D589" s="9"/>
      <c r="E589" s="9"/>
      <c r="F589" s="9"/>
      <c r="G589" s="9"/>
      <c r="H589" s="9"/>
      <c r="I589" s="9"/>
      <c r="J589" s="9"/>
      <c r="K589" s="9"/>
      <c r="L589" s="556"/>
      <c r="M589" s="9"/>
      <c r="N589" s="9"/>
      <c r="O589" s="9"/>
      <c r="P589" s="9"/>
      <c r="Q589" s="9"/>
      <c r="R589" s="9"/>
      <c r="S589" s="9"/>
      <c r="T589" s="9"/>
      <c r="U589" s="9"/>
      <c r="V589" s="9"/>
      <c r="W589" s="9"/>
      <c r="X589" s="589"/>
      <c r="Y589" s="9"/>
      <c r="Z589" s="204"/>
      <c r="AA589" s="9"/>
      <c r="AB589" s="9"/>
      <c r="AC589" s="9"/>
      <c r="AD589" s="9"/>
    </row>
    <row r="590" ht="15.75" customHeight="1">
      <c r="A590" s="9"/>
      <c r="B590" s="9"/>
      <c r="C590" s="9"/>
      <c r="D590" s="9"/>
      <c r="E590" s="9"/>
      <c r="F590" s="9"/>
      <c r="G590" s="9"/>
      <c r="H590" s="9"/>
      <c r="I590" s="9"/>
      <c r="J590" s="9"/>
      <c r="K590" s="9"/>
      <c r="L590" s="556"/>
      <c r="M590" s="9"/>
      <c r="N590" s="9"/>
      <c r="O590" s="9"/>
      <c r="P590" s="9"/>
      <c r="Q590" s="9"/>
      <c r="R590" s="9"/>
      <c r="S590" s="9"/>
      <c r="T590" s="9"/>
      <c r="U590" s="9"/>
      <c r="V590" s="9"/>
      <c r="W590" s="9"/>
      <c r="X590" s="589"/>
      <c r="Y590" s="9"/>
      <c r="Z590" s="204"/>
      <c r="AA590" s="9"/>
      <c r="AB590" s="9"/>
      <c r="AC590" s="9"/>
      <c r="AD590" s="9"/>
    </row>
    <row r="591" ht="15.75" customHeight="1">
      <c r="A591" s="9"/>
      <c r="B591" s="9"/>
      <c r="C591" s="9"/>
      <c r="D591" s="9"/>
      <c r="E591" s="9"/>
      <c r="F591" s="9"/>
      <c r="G591" s="9"/>
      <c r="H591" s="9"/>
      <c r="I591" s="9"/>
      <c r="J591" s="9"/>
      <c r="K591" s="9"/>
      <c r="L591" s="556"/>
      <c r="M591" s="9"/>
      <c r="N591" s="9"/>
      <c r="O591" s="9"/>
      <c r="P591" s="9"/>
      <c r="Q591" s="9"/>
      <c r="R591" s="9"/>
      <c r="S591" s="9"/>
      <c r="T591" s="9"/>
      <c r="U591" s="9"/>
      <c r="V591" s="9"/>
      <c r="W591" s="9"/>
      <c r="X591" s="589"/>
      <c r="Y591" s="9"/>
      <c r="Z591" s="204"/>
      <c r="AA591" s="9"/>
      <c r="AB591" s="9"/>
      <c r="AC591" s="9"/>
      <c r="AD591" s="9"/>
    </row>
    <row r="592" ht="15.75" customHeight="1">
      <c r="A592" s="9"/>
      <c r="B592" s="9"/>
      <c r="C592" s="9"/>
      <c r="D592" s="9"/>
      <c r="E592" s="9"/>
      <c r="F592" s="9"/>
      <c r="G592" s="9"/>
      <c r="H592" s="9"/>
      <c r="I592" s="9"/>
      <c r="J592" s="9"/>
      <c r="K592" s="9"/>
      <c r="L592" s="556"/>
      <c r="M592" s="9"/>
      <c r="N592" s="9"/>
      <c r="O592" s="9"/>
      <c r="P592" s="9"/>
      <c r="Q592" s="9"/>
      <c r="R592" s="9"/>
      <c r="S592" s="9"/>
      <c r="T592" s="9"/>
      <c r="U592" s="9"/>
      <c r="V592" s="9"/>
      <c r="W592" s="9"/>
      <c r="X592" s="589"/>
      <c r="Y592" s="9"/>
      <c r="Z592" s="204"/>
      <c r="AA592" s="9"/>
      <c r="AB592" s="9"/>
      <c r="AC592" s="9"/>
      <c r="AD592" s="9"/>
    </row>
    <row r="593" ht="15.75" customHeight="1">
      <c r="A593" s="9"/>
      <c r="B593" s="9"/>
      <c r="C593" s="9"/>
      <c r="D593" s="9"/>
      <c r="E593" s="9"/>
      <c r="F593" s="9"/>
      <c r="G593" s="9"/>
      <c r="H593" s="9"/>
      <c r="I593" s="9"/>
      <c r="J593" s="9"/>
      <c r="K593" s="9"/>
      <c r="L593" s="556"/>
      <c r="M593" s="9"/>
      <c r="N593" s="9"/>
      <c r="O593" s="9"/>
      <c r="P593" s="9"/>
      <c r="Q593" s="9"/>
      <c r="R593" s="9"/>
      <c r="S593" s="9"/>
      <c r="T593" s="9"/>
      <c r="U593" s="9"/>
      <c r="V593" s="9"/>
      <c r="W593" s="9"/>
      <c r="X593" s="589"/>
      <c r="Y593" s="9"/>
      <c r="Z593" s="204"/>
      <c r="AA593" s="9"/>
      <c r="AB593" s="9"/>
      <c r="AC593" s="9"/>
      <c r="AD593" s="9"/>
    </row>
    <row r="594" ht="15.75" customHeight="1">
      <c r="A594" s="9"/>
      <c r="B594" s="9"/>
      <c r="C594" s="9"/>
      <c r="D594" s="9"/>
      <c r="E594" s="9"/>
      <c r="F594" s="9"/>
      <c r="G594" s="9"/>
      <c r="H594" s="9"/>
      <c r="I594" s="9"/>
      <c r="J594" s="9"/>
      <c r="K594" s="9"/>
      <c r="L594" s="556"/>
      <c r="M594" s="9"/>
      <c r="N594" s="9"/>
      <c r="O594" s="9"/>
      <c r="P594" s="9"/>
      <c r="Q594" s="9"/>
      <c r="R594" s="9"/>
      <c r="S594" s="9"/>
      <c r="T594" s="9"/>
      <c r="U594" s="9"/>
      <c r="V594" s="9"/>
      <c r="W594" s="9"/>
      <c r="X594" s="589"/>
      <c r="Y594" s="9"/>
      <c r="Z594" s="204"/>
      <c r="AA594" s="9"/>
      <c r="AB594" s="9"/>
      <c r="AC594" s="9"/>
      <c r="AD594" s="9"/>
    </row>
    <row r="595" ht="15.75" customHeight="1">
      <c r="A595" s="9"/>
      <c r="B595" s="9"/>
      <c r="C595" s="9"/>
      <c r="D595" s="9"/>
      <c r="E595" s="9"/>
      <c r="F595" s="9"/>
      <c r="G595" s="9"/>
      <c r="H595" s="9"/>
      <c r="I595" s="9"/>
      <c r="J595" s="9"/>
      <c r="K595" s="9"/>
      <c r="L595" s="556"/>
      <c r="M595" s="9"/>
      <c r="N595" s="9"/>
      <c r="O595" s="9"/>
      <c r="P595" s="9"/>
      <c r="Q595" s="9"/>
      <c r="R595" s="9"/>
      <c r="S595" s="9"/>
      <c r="T595" s="9"/>
      <c r="U595" s="9"/>
      <c r="V595" s="9"/>
      <c r="W595" s="9"/>
      <c r="X595" s="589"/>
      <c r="Y595" s="9"/>
      <c r="Z595" s="204"/>
      <c r="AA595" s="9"/>
      <c r="AB595" s="9"/>
      <c r="AC595" s="9"/>
      <c r="AD595" s="9"/>
    </row>
    <row r="596" ht="15.75" customHeight="1">
      <c r="A596" s="9"/>
      <c r="B596" s="9"/>
      <c r="C596" s="9"/>
      <c r="D596" s="9"/>
      <c r="E596" s="9"/>
      <c r="F596" s="9"/>
      <c r="G596" s="9"/>
      <c r="H596" s="9"/>
      <c r="I596" s="9"/>
      <c r="J596" s="9"/>
      <c r="K596" s="9"/>
      <c r="L596" s="556"/>
      <c r="M596" s="9"/>
      <c r="N596" s="9"/>
      <c r="O596" s="9"/>
      <c r="P596" s="9"/>
      <c r="Q596" s="9"/>
      <c r="R596" s="9"/>
      <c r="S596" s="9"/>
      <c r="T596" s="9"/>
      <c r="U596" s="9"/>
      <c r="V596" s="9"/>
      <c r="W596" s="9"/>
      <c r="X596" s="589"/>
      <c r="Y596" s="9"/>
      <c r="Z596" s="204"/>
      <c r="AA596" s="9"/>
      <c r="AB596" s="9"/>
      <c r="AC596" s="9"/>
      <c r="AD596" s="9"/>
    </row>
    <row r="597" ht="15.75" customHeight="1">
      <c r="A597" s="9"/>
      <c r="B597" s="9"/>
      <c r="C597" s="9"/>
      <c r="D597" s="9"/>
      <c r="E597" s="9"/>
      <c r="F597" s="9"/>
      <c r="G597" s="9"/>
      <c r="H597" s="9"/>
      <c r="I597" s="9"/>
      <c r="J597" s="9"/>
      <c r="K597" s="9"/>
      <c r="L597" s="556"/>
      <c r="M597" s="9"/>
      <c r="N597" s="9"/>
      <c r="O597" s="9"/>
      <c r="P597" s="9"/>
      <c r="Q597" s="9"/>
      <c r="R597" s="9"/>
      <c r="S597" s="9"/>
      <c r="T597" s="9"/>
      <c r="U597" s="9"/>
      <c r="V597" s="9"/>
      <c r="W597" s="9"/>
      <c r="X597" s="589"/>
      <c r="Y597" s="9"/>
      <c r="Z597" s="204"/>
      <c r="AA597" s="9"/>
      <c r="AB597" s="9"/>
      <c r="AC597" s="9"/>
      <c r="AD597" s="9"/>
    </row>
    <row r="598" ht="15.75" customHeight="1">
      <c r="A598" s="9"/>
      <c r="B598" s="9"/>
      <c r="C598" s="9"/>
      <c r="D598" s="9"/>
      <c r="E598" s="9"/>
      <c r="F598" s="9"/>
      <c r="G598" s="9"/>
      <c r="H598" s="9"/>
      <c r="I598" s="9"/>
      <c r="J598" s="9"/>
      <c r="K598" s="9"/>
      <c r="L598" s="556"/>
      <c r="M598" s="9"/>
      <c r="N598" s="9"/>
      <c r="O598" s="9"/>
      <c r="P598" s="9"/>
      <c r="Q598" s="9"/>
      <c r="R598" s="9"/>
      <c r="S598" s="9"/>
      <c r="T598" s="9"/>
      <c r="U598" s="9"/>
      <c r="V598" s="9"/>
      <c r="W598" s="9"/>
      <c r="X598" s="589"/>
      <c r="Y598" s="9"/>
      <c r="Z598" s="204"/>
      <c r="AA598" s="9"/>
      <c r="AB598" s="9"/>
      <c r="AC598" s="9"/>
      <c r="AD598" s="9"/>
    </row>
    <row r="599" ht="15.75" customHeight="1">
      <c r="A599" s="9"/>
      <c r="B599" s="9"/>
      <c r="C599" s="9"/>
      <c r="D599" s="9"/>
      <c r="E599" s="9"/>
      <c r="F599" s="9"/>
      <c r="G599" s="9"/>
      <c r="H599" s="9"/>
      <c r="I599" s="9"/>
      <c r="J599" s="9"/>
      <c r="K599" s="9"/>
      <c r="L599" s="556"/>
      <c r="M599" s="9"/>
      <c r="N599" s="9"/>
      <c r="O599" s="9"/>
      <c r="P599" s="9"/>
      <c r="Q599" s="9"/>
      <c r="R599" s="9"/>
      <c r="S599" s="9"/>
      <c r="T599" s="9"/>
      <c r="U599" s="9"/>
      <c r="V599" s="9"/>
      <c r="W599" s="9"/>
      <c r="X599" s="589"/>
      <c r="Y599" s="9"/>
      <c r="Z599" s="204"/>
      <c r="AA599" s="9"/>
      <c r="AB599" s="9"/>
      <c r="AC599" s="9"/>
      <c r="AD599" s="9"/>
    </row>
    <row r="600" ht="15.75" customHeight="1">
      <c r="A600" s="9"/>
      <c r="B600" s="9"/>
      <c r="C600" s="9"/>
      <c r="D600" s="9"/>
      <c r="E600" s="9"/>
      <c r="F600" s="9"/>
      <c r="G600" s="9"/>
      <c r="H600" s="9"/>
      <c r="I600" s="9"/>
      <c r="J600" s="9"/>
      <c r="K600" s="9"/>
      <c r="L600" s="556"/>
      <c r="M600" s="9"/>
      <c r="N600" s="9"/>
      <c r="O600" s="9"/>
      <c r="P600" s="9"/>
      <c r="Q600" s="9"/>
      <c r="R600" s="9"/>
      <c r="S600" s="9"/>
      <c r="T600" s="9"/>
      <c r="U600" s="9"/>
      <c r="V600" s="9"/>
      <c r="W600" s="9"/>
      <c r="X600" s="589"/>
      <c r="Y600" s="9"/>
      <c r="Z600" s="204"/>
      <c r="AA600" s="9"/>
      <c r="AB600" s="9"/>
      <c r="AC600" s="9"/>
      <c r="AD600" s="9"/>
    </row>
    <row r="601" ht="15.75" customHeight="1">
      <c r="A601" s="9"/>
      <c r="B601" s="9"/>
      <c r="C601" s="9"/>
      <c r="D601" s="9"/>
      <c r="E601" s="9"/>
      <c r="F601" s="9"/>
      <c r="G601" s="9"/>
      <c r="H601" s="9"/>
      <c r="I601" s="9"/>
      <c r="J601" s="9"/>
      <c r="K601" s="9"/>
      <c r="L601" s="556"/>
      <c r="M601" s="9"/>
      <c r="N601" s="9"/>
      <c r="O601" s="9"/>
      <c r="P601" s="9"/>
      <c r="Q601" s="9"/>
      <c r="R601" s="9"/>
      <c r="S601" s="9"/>
      <c r="T601" s="9"/>
      <c r="U601" s="9"/>
      <c r="V601" s="9"/>
      <c r="W601" s="9"/>
      <c r="X601" s="589"/>
      <c r="Y601" s="9"/>
      <c r="Z601" s="204"/>
      <c r="AA601" s="9"/>
      <c r="AB601" s="9"/>
      <c r="AC601" s="9"/>
      <c r="AD601" s="9"/>
    </row>
    <row r="602" ht="15.75" customHeight="1">
      <c r="A602" s="9"/>
      <c r="B602" s="9"/>
      <c r="C602" s="9"/>
      <c r="D602" s="9"/>
      <c r="E602" s="9"/>
      <c r="F602" s="9"/>
      <c r="G602" s="9"/>
      <c r="H602" s="9"/>
      <c r="I602" s="9"/>
      <c r="J602" s="9"/>
      <c r="K602" s="9"/>
      <c r="L602" s="556"/>
      <c r="M602" s="9"/>
      <c r="N602" s="9"/>
      <c r="O602" s="9"/>
      <c r="P602" s="9"/>
      <c r="Q602" s="9"/>
      <c r="R602" s="9"/>
      <c r="S602" s="9"/>
      <c r="T602" s="9"/>
      <c r="U602" s="9"/>
      <c r="V602" s="9"/>
      <c r="W602" s="9"/>
      <c r="X602" s="589"/>
      <c r="Y602" s="9"/>
      <c r="Z602" s="204"/>
      <c r="AA602" s="9"/>
      <c r="AB602" s="9"/>
      <c r="AC602" s="9"/>
      <c r="AD602" s="9"/>
    </row>
    <row r="603" ht="15.75" customHeight="1">
      <c r="A603" s="9"/>
      <c r="B603" s="9"/>
      <c r="C603" s="9"/>
      <c r="D603" s="9"/>
      <c r="E603" s="9"/>
      <c r="F603" s="9"/>
      <c r="G603" s="9"/>
      <c r="H603" s="9"/>
      <c r="I603" s="9"/>
      <c r="J603" s="9"/>
      <c r="K603" s="9"/>
      <c r="L603" s="556"/>
      <c r="M603" s="9"/>
      <c r="N603" s="9"/>
      <c r="O603" s="9"/>
      <c r="P603" s="9"/>
      <c r="Q603" s="9"/>
      <c r="R603" s="9"/>
      <c r="S603" s="9"/>
      <c r="T603" s="9"/>
      <c r="U603" s="9"/>
      <c r="V603" s="9"/>
      <c r="W603" s="9"/>
      <c r="X603" s="589"/>
      <c r="Y603" s="9"/>
      <c r="Z603" s="204"/>
      <c r="AA603" s="9"/>
      <c r="AB603" s="9"/>
      <c r="AC603" s="9"/>
      <c r="AD603" s="9"/>
    </row>
    <row r="604" ht="15.75" customHeight="1">
      <c r="A604" s="9"/>
      <c r="B604" s="9"/>
      <c r="C604" s="9"/>
      <c r="D604" s="9"/>
      <c r="E604" s="9"/>
      <c r="F604" s="9"/>
      <c r="G604" s="9"/>
      <c r="H604" s="9"/>
      <c r="I604" s="9"/>
      <c r="J604" s="9"/>
      <c r="K604" s="9"/>
      <c r="L604" s="556"/>
      <c r="M604" s="9"/>
      <c r="N604" s="9"/>
      <c r="O604" s="9"/>
      <c r="P604" s="9"/>
      <c r="Q604" s="9"/>
      <c r="R604" s="9"/>
      <c r="S604" s="9"/>
      <c r="T604" s="9"/>
      <c r="U604" s="9"/>
      <c r="V604" s="9"/>
      <c r="W604" s="9"/>
      <c r="X604" s="589"/>
      <c r="Y604" s="9"/>
      <c r="Z604" s="204"/>
      <c r="AA604" s="9"/>
      <c r="AB604" s="9"/>
      <c r="AC604" s="9"/>
      <c r="AD604" s="9"/>
    </row>
    <row r="605" ht="15.75" customHeight="1">
      <c r="A605" s="9"/>
      <c r="B605" s="9"/>
      <c r="C605" s="9"/>
      <c r="D605" s="9"/>
      <c r="E605" s="9"/>
      <c r="F605" s="9"/>
      <c r="G605" s="9"/>
      <c r="H605" s="9"/>
      <c r="I605" s="9"/>
      <c r="J605" s="9"/>
      <c r="K605" s="9"/>
      <c r="L605" s="556"/>
      <c r="M605" s="9"/>
      <c r="N605" s="9"/>
      <c r="O605" s="9"/>
      <c r="P605" s="9"/>
      <c r="Q605" s="9"/>
      <c r="R605" s="9"/>
      <c r="S605" s="9"/>
      <c r="T605" s="9"/>
      <c r="U605" s="9"/>
      <c r="V605" s="9"/>
      <c r="W605" s="9"/>
      <c r="X605" s="589"/>
      <c r="Y605" s="9"/>
      <c r="Z605" s="204"/>
      <c r="AA605" s="9"/>
      <c r="AB605" s="9"/>
      <c r="AC605" s="9"/>
      <c r="AD605" s="9"/>
    </row>
    <row r="606" ht="15.75" customHeight="1">
      <c r="A606" s="9"/>
      <c r="B606" s="9"/>
      <c r="C606" s="9"/>
      <c r="D606" s="9"/>
      <c r="E606" s="9"/>
      <c r="F606" s="9"/>
      <c r="G606" s="9"/>
      <c r="H606" s="9"/>
      <c r="I606" s="9"/>
      <c r="J606" s="9"/>
      <c r="K606" s="9"/>
      <c r="L606" s="556"/>
      <c r="M606" s="9"/>
      <c r="N606" s="9"/>
      <c r="O606" s="9"/>
      <c r="P606" s="9"/>
      <c r="Q606" s="9"/>
      <c r="R606" s="9"/>
      <c r="S606" s="9"/>
      <c r="T606" s="9"/>
      <c r="U606" s="9"/>
      <c r="V606" s="9"/>
      <c r="W606" s="9"/>
      <c r="X606" s="589"/>
      <c r="Y606" s="9"/>
      <c r="Z606" s="204"/>
      <c r="AA606" s="9"/>
      <c r="AB606" s="9"/>
      <c r="AC606" s="9"/>
      <c r="AD606" s="9"/>
    </row>
    <row r="607" ht="15.75" customHeight="1">
      <c r="A607" s="9"/>
      <c r="B607" s="9"/>
      <c r="C607" s="9"/>
      <c r="D607" s="9"/>
      <c r="E607" s="9"/>
      <c r="F607" s="9"/>
      <c r="G607" s="9"/>
      <c r="H607" s="9"/>
      <c r="I607" s="9"/>
      <c r="J607" s="9"/>
      <c r="K607" s="9"/>
      <c r="L607" s="556"/>
      <c r="M607" s="9"/>
      <c r="N607" s="9"/>
      <c r="O607" s="9"/>
      <c r="P607" s="9"/>
      <c r="Q607" s="9"/>
      <c r="R607" s="9"/>
      <c r="S607" s="9"/>
      <c r="T607" s="9"/>
      <c r="U607" s="9"/>
      <c r="V607" s="9"/>
      <c r="W607" s="9"/>
      <c r="X607" s="589"/>
      <c r="Y607" s="9"/>
      <c r="Z607" s="204"/>
      <c r="AA607" s="9"/>
      <c r="AB607" s="9"/>
      <c r="AC607" s="9"/>
      <c r="AD607" s="9"/>
    </row>
    <row r="608" ht="15.75" customHeight="1">
      <c r="A608" s="9"/>
      <c r="B608" s="9"/>
      <c r="C608" s="9"/>
      <c r="D608" s="9"/>
      <c r="E608" s="9"/>
      <c r="F608" s="9"/>
      <c r="G608" s="9"/>
      <c r="H608" s="9"/>
      <c r="I608" s="9"/>
      <c r="J608" s="9"/>
      <c r="K608" s="9"/>
      <c r="L608" s="556"/>
      <c r="M608" s="9"/>
      <c r="N608" s="9"/>
      <c r="O608" s="9"/>
      <c r="P608" s="9"/>
      <c r="Q608" s="9"/>
      <c r="R608" s="9"/>
      <c r="S608" s="9"/>
      <c r="T608" s="9"/>
      <c r="U608" s="9"/>
      <c r="V608" s="9"/>
      <c r="W608" s="9"/>
      <c r="X608" s="589"/>
      <c r="Y608" s="9"/>
      <c r="Z608" s="204"/>
      <c r="AA608" s="9"/>
      <c r="AB608" s="9"/>
      <c r="AC608" s="9"/>
      <c r="AD608" s="9"/>
    </row>
    <row r="609" ht="15.75" customHeight="1">
      <c r="A609" s="9"/>
      <c r="B609" s="9"/>
      <c r="C609" s="9"/>
      <c r="D609" s="9"/>
      <c r="E609" s="9"/>
      <c r="F609" s="9"/>
      <c r="G609" s="9"/>
      <c r="H609" s="9"/>
      <c r="I609" s="9"/>
      <c r="J609" s="9"/>
      <c r="K609" s="9"/>
      <c r="L609" s="556"/>
      <c r="M609" s="9"/>
      <c r="N609" s="9"/>
      <c r="O609" s="9"/>
      <c r="P609" s="9"/>
      <c r="Q609" s="9"/>
      <c r="R609" s="9"/>
      <c r="S609" s="9"/>
      <c r="T609" s="9"/>
      <c r="U609" s="9"/>
      <c r="V609" s="9"/>
      <c r="W609" s="9"/>
      <c r="X609" s="589"/>
      <c r="Y609" s="9"/>
      <c r="Z609" s="204"/>
      <c r="AA609" s="9"/>
      <c r="AB609" s="9"/>
      <c r="AC609" s="9"/>
      <c r="AD609" s="9"/>
    </row>
    <row r="610" ht="15.75" customHeight="1">
      <c r="A610" s="9"/>
      <c r="B610" s="9"/>
      <c r="C610" s="9"/>
      <c r="D610" s="9"/>
      <c r="E610" s="9"/>
      <c r="F610" s="9"/>
      <c r="G610" s="9"/>
      <c r="H610" s="9"/>
      <c r="I610" s="9"/>
      <c r="J610" s="9"/>
      <c r="K610" s="9"/>
      <c r="L610" s="556"/>
      <c r="M610" s="9"/>
      <c r="N610" s="9"/>
      <c r="O610" s="9"/>
      <c r="P610" s="9"/>
      <c r="Q610" s="9"/>
      <c r="R610" s="9"/>
      <c r="S610" s="9"/>
      <c r="T610" s="9"/>
      <c r="U610" s="9"/>
      <c r="V610" s="9"/>
      <c r="W610" s="9"/>
      <c r="X610" s="589"/>
      <c r="Y610" s="9"/>
      <c r="Z610" s="204"/>
      <c r="AA610" s="9"/>
      <c r="AB610" s="9"/>
      <c r="AC610" s="9"/>
      <c r="AD610" s="9"/>
    </row>
    <row r="611" ht="15.75" customHeight="1">
      <c r="A611" s="9"/>
      <c r="B611" s="9"/>
      <c r="C611" s="9"/>
      <c r="D611" s="9"/>
      <c r="E611" s="9"/>
      <c r="F611" s="9"/>
      <c r="G611" s="9"/>
      <c r="H611" s="9"/>
      <c r="I611" s="9"/>
      <c r="J611" s="9"/>
      <c r="K611" s="9"/>
      <c r="L611" s="556"/>
      <c r="M611" s="9"/>
      <c r="N611" s="9"/>
      <c r="O611" s="9"/>
      <c r="P611" s="9"/>
      <c r="Q611" s="9"/>
      <c r="R611" s="9"/>
      <c r="S611" s="9"/>
      <c r="T611" s="9"/>
      <c r="U611" s="9"/>
      <c r="V611" s="9"/>
      <c r="W611" s="9"/>
      <c r="X611" s="589"/>
      <c r="Y611" s="9"/>
      <c r="Z611" s="204"/>
      <c r="AA611" s="9"/>
      <c r="AB611" s="9"/>
      <c r="AC611" s="9"/>
      <c r="AD611" s="9"/>
    </row>
    <row r="612" ht="15.75" customHeight="1">
      <c r="A612" s="9"/>
      <c r="B612" s="9"/>
      <c r="C612" s="9"/>
      <c r="D612" s="9"/>
      <c r="E612" s="9"/>
      <c r="F612" s="9"/>
      <c r="G612" s="9"/>
      <c r="H612" s="9"/>
      <c r="I612" s="9"/>
      <c r="J612" s="9"/>
      <c r="K612" s="9"/>
      <c r="L612" s="556"/>
      <c r="M612" s="9"/>
      <c r="N612" s="9"/>
      <c r="O612" s="9"/>
      <c r="P612" s="9"/>
      <c r="Q612" s="9"/>
      <c r="R612" s="9"/>
      <c r="S612" s="9"/>
      <c r="T612" s="9"/>
      <c r="U612" s="9"/>
      <c r="V612" s="9"/>
      <c r="W612" s="9"/>
      <c r="X612" s="589"/>
      <c r="Y612" s="9"/>
      <c r="Z612" s="204"/>
      <c r="AA612" s="9"/>
      <c r="AB612" s="9"/>
      <c r="AC612" s="9"/>
      <c r="AD612" s="9"/>
    </row>
    <row r="613" ht="15.75" customHeight="1">
      <c r="A613" s="9"/>
      <c r="B613" s="9"/>
      <c r="C613" s="9"/>
      <c r="D613" s="9"/>
      <c r="E613" s="9"/>
      <c r="F613" s="9"/>
      <c r="G613" s="9"/>
      <c r="H613" s="9"/>
      <c r="I613" s="9"/>
      <c r="J613" s="9"/>
      <c r="K613" s="9"/>
      <c r="L613" s="556"/>
      <c r="M613" s="9"/>
      <c r="N613" s="9"/>
      <c r="O613" s="9"/>
      <c r="P613" s="9"/>
      <c r="Q613" s="9"/>
      <c r="R613" s="9"/>
      <c r="S613" s="9"/>
      <c r="T613" s="9"/>
      <c r="U613" s="9"/>
      <c r="V613" s="9"/>
      <c r="W613" s="9"/>
      <c r="X613" s="589"/>
      <c r="Y613" s="9"/>
      <c r="Z613" s="204"/>
      <c r="AA613" s="9"/>
      <c r="AB613" s="9"/>
      <c r="AC613" s="9"/>
      <c r="AD613" s="9"/>
    </row>
    <row r="614" ht="15.75" customHeight="1">
      <c r="A614" s="9"/>
      <c r="B614" s="9"/>
      <c r="C614" s="9"/>
      <c r="D614" s="9"/>
      <c r="E614" s="9"/>
      <c r="F614" s="9"/>
      <c r="G614" s="9"/>
      <c r="H614" s="9"/>
      <c r="I614" s="9"/>
      <c r="J614" s="9"/>
      <c r="K614" s="9"/>
      <c r="L614" s="556"/>
      <c r="M614" s="9"/>
      <c r="N614" s="9"/>
      <c r="O614" s="9"/>
      <c r="P614" s="9"/>
      <c r="Q614" s="9"/>
      <c r="R614" s="9"/>
      <c r="S614" s="9"/>
      <c r="T614" s="9"/>
      <c r="U614" s="9"/>
      <c r="V614" s="9"/>
      <c r="W614" s="9"/>
      <c r="X614" s="589"/>
      <c r="Y614" s="9"/>
      <c r="Z614" s="204"/>
      <c r="AA614" s="9"/>
      <c r="AB614" s="9"/>
      <c r="AC614" s="9"/>
      <c r="AD614" s="9"/>
    </row>
    <row r="615" ht="15.75" customHeight="1">
      <c r="A615" s="9"/>
      <c r="B615" s="9"/>
      <c r="C615" s="9"/>
      <c r="D615" s="9"/>
      <c r="E615" s="9"/>
      <c r="F615" s="9"/>
      <c r="G615" s="9"/>
      <c r="H615" s="9"/>
      <c r="I615" s="9"/>
      <c r="J615" s="9"/>
      <c r="K615" s="9"/>
      <c r="L615" s="556"/>
      <c r="M615" s="9"/>
      <c r="N615" s="9"/>
      <c r="O615" s="9"/>
      <c r="P615" s="9"/>
      <c r="Q615" s="9"/>
      <c r="R615" s="9"/>
      <c r="S615" s="9"/>
      <c r="T615" s="9"/>
      <c r="U615" s="9"/>
      <c r="V615" s="9"/>
      <c r="W615" s="9"/>
      <c r="X615" s="589"/>
      <c r="Y615" s="9"/>
      <c r="Z615" s="204"/>
      <c r="AA615" s="9"/>
      <c r="AB615" s="9"/>
      <c r="AC615" s="9"/>
      <c r="AD615" s="9"/>
    </row>
    <row r="616" ht="15.75" customHeight="1">
      <c r="A616" s="9"/>
      <c r="B616" s="9"/>
      <c r="C616" s="9"/>
      <c r="D616" s="9"/>
      <c r="E616" s="9"/>
      <c r="F616" s="9"/>
      <c r="G616" s="9"/>
      <c r="H616" s="9"/>
      <c r="I616" s="9"/>
      <c r="J616" s="9"/>
      <c r="K616" s="9"/>
      <c r="L616" s="556"/>
      <c r="M616" s="9"/>
      <c r="N616" s="9"/>
      <c r="O616" s="9"/>
      <c r="P616" s="9"/>
      <c r="Q616" s="9"/>
      <c r="R616" s="9"/>
      <c r="S616" s="9"/>
      <c r="T616" s="9"/>
      <c r="U616" s="9"/>
      <c r="V616" s="9"/>
      <c r="W616" s="9"/>
      <c r="X616" s="589"/>
      <c r="Y616" s="9"/>
      <c r="Z616" s="204"/>
      <c r="AA616" s="9"/>
      <c r="AB616" s="9"/>
      <c r="AC616" s="9"/>
      <c r="AD616" s="9"/>
    </row>
    <row r="617" ht="15.75" customHeight="1">
      <c r="A617" s="9"/>
      <c r="B617" s="9"/>
      <c r="C617" s="9"/>
      <c r="D617" s="9"/>
      <c r="E617" s="9"/>
      <c r="F617" s="9"/>
      <c r="G617" s="9"/>
      <c r="H617" s="9"/>
      <c r="I617" s="9"/>
      <c r="J617" s="9"/>
      <c r="K617" s="9"/>
      <c r="L617" s="556"/>
      <c r="M617" s="9"/>
      <c r="N617" s="9"/>
      <c r="O617" s="9"/>
      <c r="P617" s="9"/>
      <c r="Q617" s="9"/>
      <c r="R617" s="9"/>
      <c r="S617" s="9"/>
      <c r="T617" s="9"/>
      <c r="U617" s="9"/>
      <c r="V617" s="9"/>
      <c r="W617" s="9"/>
      <c r="X617" s="589"/>
      <c r="Y617" s="9"/>
      <c r="Z617" s="204"/>
      <c r="AA617" s="9"/>
      <c r="AB617" s="9"/>
      <c r="AC617" s="9"/>
      <c r="AD617" s="9"/>
    </row>
    <row r="618" ht="15.75" customHeight="1">
      <c r="A618" s="9"/>
      <c r="B618" s="9"/>
      <c r="C618" s="9"/>
      <c r="D618" s="9"/>
      <c r="E618" s="9"/>
      <c r="F618" s="9"/>
      <c r="G618" s="9"/>
      <c r="H618" s="9"/>
      <c r="I618" s="9"/>
      <c r="J618" s="9"/>
      <c r="K618" s="9"/>
      <c r="L618" s="556"/>
      <c r="M618" s="9"/>
      <c r="N618" s="9"/>
      <c r="O618" s="9"/>
      <c r="P618" s="9"/>
      <c r="Q618" s="9"/>
      <c r="R618" s="9"/>
      <c r="S618" s="9"/>
      <c r="T618" s="9"/>
      <c r="U618" s="9"/>
      <c r="V618" s="9"/>
      <c r="W618" s="9"/>
      <c r="X618" s="589"/>
      <c r="Y618" s="9"/>
      <c r="Z618" s="204"/>
      <c r="AA618" s="9"/>
      <c r="AB618" s="9"/>
      <c r="AC618" s="9"/>
      <c r="AD618" s="9"/>
    </row>
    <row r="619" ht="15.75" customHeight="1">
      <c r="A619" s="9"/>
      <c r="B619" s="9"/>
      <c r="C619" s="9"/>
      <c r="D619" s="9"/>
      <c r="E619" s="9"/>
      <c r="F619" s="9"/>
      <c r="G619" s="9"/>
      <c r="H619" s="9"/>
      <c r="I619" s="9"/>
      <c r="J619" s="9"/>
      <c r="K619" s="9"/>
      <c r="L619" s="556"/>
      <c r="M619" s="9"/>
      <c r="N619" s="9"/>
      <c r="O619" s="9"/>
      <c r="P619" s="9"/>
      <c r="Q619" s="9"/>
      <c r="R619" s="9"/>
      <c r="S619" s="9"/>
      <c r="T619" s="9"/>
      <c r="U619" s="9"/>
      <c r="V619" s="9"/>
      <c r="W619" s="9"/>
      <c r="X619" s="589"/>
      <c r="Y619" s="9"/>
      <c r="Z619" s="204"/>
      <c r="AA619" s="9"/>
      <c r="AB619" s="9"/>
      <c r="AC619" s="9"/>
      <c r="AD619" s="9"/>
    </row>
    <row r="620" ht="15.75" customHeight="1">
      <c r="A620" s="9"/>
      <c r="B620" s="9"/>
      <c r="C620" s="9"/>
      <c r="D620" s="9"/>
      <c r="E620" s="9"/>
      <c r="F620" s="9"/>
      <c r="G620" s="9"/>
      <c r="H620" s="9"/>
      <c r="I620" s="9"/>
      <c r="J620" s="9"/>
      <c r="K620" s="9"/>
      <c r="L620" s="556"/>
      <c r="M620" s="9"/>
      <c r="N620" s="9"/>
      <c r="O620" s="9"/>
      <c r="P620" s="9"/>
      <c r="Q620" s="9"/>
      <c r="R620" s="9"/>
      <c r="S620" s="9"/>
      <c r="T620" s="9"/>
      <c r="U620" s="9"/>
      <c r="V620" s="9"/>
      <c r="W620" s="9"/>
      <c r="X620" s="589"/>
      <c r="Y620" s="9"/>
      <c r="Z620" s="204"/>
      <c r="AA620" s="9"/>
      <c r="AB620" s="9"/>
      <c r="AC620" s="9"/>
      <c r="AD620" s="9"/>
    </row>
    <row r="621" ht="15.75" customHeight="1">
      <c r="A621" s="9"/>
      <c r="B621" s="9"/>
      <c r="C621" s="9"/>
      <c r="D621" s="9"/>
      <c r="E621" s="9"/>
      <c r="F621" s="9"/>
      <c r="G621" s="9"/>
      <c r="H621" s="9"/>
      <c r="I621" s="9"/>
      <c r="J621" s="9"/>
      <c r="K621" s="9"/>
      <c r="L621" s="556"/>
      <c r="M621" s="9"/>
      <c r="N621" s="9"/>
      <c r="O621" s="9"/>
      <c r="P621" s="9"/>
      <c r="Q621" s="9"/>
      <c r="R621" s="9"/>
      <c r="S621" s="9"/>
      <c r="T621" s="9"/>
      <c r="U621" s="9"/>
      <c r="V621" s="9"/>
      <c r="W621" s="9"/>
      <c r="X621" s="589"/>
      <c r="Y621" s="9"/>
      <c r="Z621" s="204"/>
      <c r="AA621" s="9"/>
      <c r="AB621" s="9"/>
      <c r="AC621" s="9"/>
      <c r="AD621" s="9"/>
    </row>
    <row r="622" ht="15.75" customHeight="1">
      <c r="A622" s="9"/>
      <c r="B622" s="9"/>
      <c r="C622" s="9"/>
      <c r="D622" s="9"/>
      <c r="E622" s="9"/>
      <c r="F622" s="9"/>
      <c r="G622" s="9"/>
      <c r="H622" s="9"/>
      <c r="I622" s="9"/>
      <c r="J622" s="9"/>
      <c r="K622" s="9"/>
      <c r="L622" s="556"/>
      <c r="M622" s="9"/>
      <c r="N622" s="9"/>
      <c r="O622" s="9"/>
      <c r="P622" s="9"/>
      <c r="Q622" s="9"/>
      <c r="R622" s="9"/>
      <c r="S622" s="9"/>
      <c r="T622" s="9"/>
      <c r="U622" s="9"/>
      <c r="V622" s="9"/>
      <c r="W622" s="9"/>
      <c r="X622" s="589"/>
      <c r="Y622" s="9"/>
      <c r="Z622" s="204"/>
      <c r="AA622" s="9"/>
      <c r="AB622" s="9"/>
      <c r="AC622" s="9"/>
      <c r="AD622" s="9"/>
    </row>
    <row r="623" ht="15.75" customHeight="1">
      <c r="A623" s="9"/>
      <c r="B623" s="9"/>
      <c r="C623" s="9"/>
      <c r="D623" s="9"/>
      <c r="E623" s="9"/>
      <c r="F623" s="9"/>
      <c r="G623" s="9"/>
      <c r="H623" s="9"/>
      <c r="I623" s="9"/>
      <c r="J623" s="9"/>
      <c r="K623" s="9"/>
      <c r="L623" s="556"/>
      <c r="M623" s="9"/>
      <c r="N623" s="9"/>
      <c r="O623" s="9"/>
      <c r="P623" s="9"/>
      <c r="Q623" s="9"/>
      <c r="R623" s="9"/>
      <c r="S623" s="9"/>
      <c r="T623" s="9"/>
      <c r="U623" s="9"/>
      <c r="V623" s="9"/>
      <c r="W623" s="9"/>
      <c r="X623" s="589"/>
      <c r="Y623" s="9"/>
      <c r="Z623" s="204"/>
      <c r="AA623" s="9"/>
      <c r="AB623" s="9"/>
      <c r="AC623" s="9"/>
      <c r="AD623" s="9"/>
    </row>
    <row r="624" ht="15.75" customHeight="1">
      <c r="A624" s="9"/>
      <c r="B624" s="9"/>
      <c r="C624" s="9"/>
      <c r="D624" s="9"/>
      <c r="E624" s="9"/>
      <c r="F624" s="9"/>
      <c r="G624" s="9"/>
      <c r="H624" s="9"/>
      <c r="I624" s="9"/>
      <c r="J624" s="9"/>
      <c r="K624" s="9"/>
      <c r="L624" s="556"/>
      <c r="M624" s="9"/>
      <c r="N624" s="9"/>
      <c r="O624" s="9"/>
      <c r="P624" s="9"/>
      <c r="Q624" s="9"/>
      <c r="R624" s="9"/>
      <c r="S624" s="9"/>
      <c r="T624" s="9"/>
      <c r="U624" s="9"/>
      <c r="V624" s="9"/>
      <c r="W624" s="9"/>
      <c r="X624" s="589"/>
      <c r="Y624" s="9"/>
      <c r="Z624" s="204"/>
      <c r="AA624" s="9"/>
      <c r="AB624" s="9"/>
      <c r="AC624" s="9"/>
      <c r="AD624" s="9"/>
    </row>
    <row r="625" ht="15.75" customHeight="1">
      <c r="A625" s="9"/>
      <c r="B625" s="9"/>
      <c r="C625" s="9"/>
      <c r="D625" s="9"/>
      <c r="E625" s="9"/>
      <c r="F625" s="9"/>
      <c r="G625" s="9"/>
      <c r="H625" s="9"/>
      <c r="I625" s="9"/>
      <c r="J625" s="9"/>
      <c r="K625" s="9"/>
      <c r="L625" s="556"/>
      <c r="M625" s="9"/>
      <c r="N625" s="9"/>
      <c r="O625" s="9"/>
      <c r="P625" s="9"/>
      <c r="Q625" s="9"/>
      <c r="R625" s="9"/>
      <c r="S625" s="9"/>
      <c r="T625" s="9"/>
      <c r="U625" s="9"/>
      <c r="V625" s="9"/>
      <c r="W625" s="9"/>
      <c r="X625" s="589"/>
      <c r="Y625" s="9"/>
      <c r="Z625" s="204"/>
      <c r="AA625" s="9"/>
      <c r="AB625" s="9"/>
      <c r="AC625" s="9"/>
      <c r="AD625" s="9"/>
    </row>
    <row r="626" ht="15.75" customHeight="1">
      <c r="A626" s="9"/>
      <c r="B626" s="9"/>
      <c r="C626" s="9"/>
      <c r="D626" s="9"/>
      <c r="E626" s="9"/>
      <c r="F626" s="9"/>
      <c r="G626" s="9"/>
      <c r="H626" s="9"/>
      <c r="I626" s="9"/>
      <c r="J626" s="9"/>
      <c r="K626" s="9"/>
      <c r="L626" s="556"/>
      <c r="M626" s="9"/>
      <c r="N626" s="9"/>
      <c r="O626" s="9"/>
      <c r="P626" s="9"/>
      <c r="Q626" s="9"/>
      <c r="R626" s="9"/>
      <c r="S626" s="9"/>
      <c r="T626" s="9"/>
      <c r="U626" s="9"/>
      <c r="V626" s="9"/>
      <c r="W626" s="9"/>
      <c r="X626" s="589"/>
      <c r="Y626" s="9"/>
      <c r="Z626" s="204"/>
      <c r="AA626" s="9"/>
      <c r="AB626" s="9"/>
      <c r="AC626" s="9"/>
      <c r="AD626" s="9"/>
    </row>
    <row r="627" ht="15.75" customHeight="1">
      <c r="A627" s="9"/>
      <c r="B627" s="9"/>
      <c r="C627" s="9"/>
      <c r="D627" s="9"/>
      <c r="E627" s="9"/>
      <c r="F627" s="9"/>
      <c r="G627" s="9"/>
      <c r="H627" s="9"/>
      <c r="I627" s="9"/>
      <c r="J627" s="9"/>
      <c r="K627" s="9"/>
      <c r="L627" s="556"/>
      <c r="M627" s="9"/>
      <c r="N627" s="9"/>
      <c r="O627" s="9"/>
      <c r="P627" s="9"/>
      <c r="Q627" s="9"/>
      <c r="R627" s="9"/>
      <c r="S627" s="9"/>
      <c r="T627" s="9"/>
      <c r="U627" s="9"/>
      <c r="V627" s="9"/>
      <c r="W627" s="9"/>
      <c r="X627" s="589"/>
      <c r="Y627" s="9"/>
      <c r="Z627" s="204"/>
      <c r="AA627" s="9"/>
      <c r="AB627" s="9"/>
      <c r="AC627" s="9"/>
      <c r="AD627" s="9"/>
    </row>
    <row r="628" ht="15.75" customHeight="1">
      <c r="A628" s="9"/>
      <c r="B628" s="9"/>
      <c r="C628" s="9"/>
      <c r="D628" s="9"/>
      <c r="E628" s="9"/>
      <c r="F628" s="9"/>
      <c r="G628" s="9"/>
      <c r="H628" s="9"/>
      <c r="I628" s="9"/>
      <c r="J628" s="9"/>
      <c r="K628" s="9"/>
      <c r="L628" s="556"/>
      <c r="M628" s="9"/>
      <c r="N628" s="9"/>
      <c r="O628" s="9"/>
      <c r="P628" s="9"/>
      <c r="Q628" s="9"/>
      <c r="R628" s="9"/>
      <c r="S628" s="9"/>
      <c r="T628" s="9"/>
      <c r="U628" s="9"/>
      <c r="V628" s="9"/>
      <c r="W628" s="9"/>
      <c r="X628" s="589"/>
      <c r="Y628" s="9"/>
      <c r="Z628" s="204"/>
      <c r="AA628" s="9"/>
      <c r="AB628" s="9"/>
      <c r="AC628" s="9"/>
      <c r="AD628" s="9"/>
    </row>
    <row r="629" ht="15.75" customHeight="1">
      <c r="A629" s="9"/>
      <c r="B629" s="9"/>
      <c r="C629" s="9"/>
      <c r="D629" s="9"/>
      <c r="E629" s="9"/>
      <c r="F629" s="9"/>
      <c r="G629" s="9"/>
      <c r="H629" s="9"/>
      <c r="I629" s="9"/>
      <c r="J629" s="9"/>
      <c r="K629" s="9"/>
      <c r="L629" s="556"/>
      <c r="M629" s="9"/>
      <c r="N629" s="9"/>
      <c r="O629" s="9"/>
      <c r="P629" s="9"/>
      <c r="Q629" s="9"/>
      <c r="R629" s="9"/>
      <c r="S629" s="9"/>
      <c r="T629" s="9"/>
      <c r="U629" s="9"/>
      <c r="V629" s="9"/>
      <c r="W629" s="9"/>
      <c r="X629" s="589"/>
      <c r="Y629" s="9"/>
      <c r="Z629" s="204"/>
      <c r="AA629" s="9"/>
      <c r="AB629" s="9"/>
      <c r="AC629" s="9"/>
      <c r="AD629" s="9"/>
    </row>
    <row r="630" ht="15.75" customHeight="1">
      <c r="A630" s="9"/>
      <c r="B630" s="9"/>
      <c r="C630" s="9"/>
      <c r="D630" s="9"/>
      <c r="E630" s="9"/>
      <c r="F630" s="9"/>
      <c r="G630" s="9"/>
      <c r="H630" s="9"/>
      <c r="I630" s="9"/>
      <c r="J630" s="9"/>
      <c r="K630" s="9"/>
      <c r="L630" s="556"/>
      <c r="M630" s="9"/>
      <c r="N630" s="9"/>
      <c r="O630" s="9"/>
      <c r="P630" s="9"/>
      <c r="Q630" s="9"/>
      <c r="R630" s="9"/>
      <c r="S630" s="9"/>
      <c r="T630" s="9"/>
      <c r="U630" s="9"/>
      <c r="V630" s="9"/>
      <c r="W630" s="9"/>
      <c r="X630" s="589"/>
      <c r="Y630" s="9"/>
      <c r="Z630" s="204"/>
      <c r="AA630" s="9"/>
      <c r="AB630" s="9"/>
      <c r="AC630" s="9"/>
      <c r="AD630" s="9"/>
    </row>
    <row r="631" ht="15.75" customHeight="1">
      <c r="A631" s="9"/>
      <c r="B631" s="9"/>
      <c r="C631" s="9"/>
      <c r="D631" s="9"/>
      <c r="E631" s="9"/>
      <c r="F631" s="9"/>
      <c r="G631" s="9"/>
      <c r="H631" s="9"/>
      <c r="I631" s="9"/>
      <c r="J631" s="9"/>
      <c r="K631" s="9"/>
      <c r="L631" s="556"/>
      <c r="M631" s="9"/>
      <c r="N631" s="9"/>
      <c r="O631" s="9"/>
      <c r="P631" s="9"/>
      <c r="Q631" s="9"/>
      <c r="R631" s="9"/>
      <c r="S631" s="9"/>
      <c r="T631" s="9"/>
      <c r="U631" s="9"/>
      <c r="V631" s="9"/>
      <c r="W631" s="9"/>
      <c r="X631" s="589"/>
      <c r="Y631" s="9"/>
      <c r="Z631" s="204"/>
      <c r="AA631" s="9"/>
      <c r="AB631" s="9"/>
      <c r="AC631" s="9"/>
      <c r="AD631" s="9"/>
    </row>
    <row r="632" ht="15.75" customHeight="1">
      <c r="A632" s="9"/>
      <c r="B632" s="9"/>
      <c r="C632" s="9"/>
      <c r="D632" s="9"/>
      <c r="E632" s="9"/>
      <c r="F632" s="9"/>
      <c r="G632" s="9"/>
      <c r="H632" s="9"/>
      <c r="I632" s="9"/>
      <c r="J632" s="9"/>
      <c r="K632" s="9"/>
      <c r="L632" s="556"/>
      <c r="M632" s="9"/>
      <c r="N632" s="9"/>
      <c r="O632" s="9"/>
      <c r="P632" s="9"/>
      <c r="Q632" s="9"/>
      <c r="R632" s="9"/>
      <c r="S632" s="9"/>
      <c r="T632" s="9"/>
      <c r="U632" s="9"/>
      <c r="V632" s="9"/>
      <c r="W632" s="9"/>
      <c r="X632" s="589"/>
      <c r="Y632" s="9"/>
      <c r="Z632" s="204"/>
      <c r="AA632" s="9"/>
      <c r="AB632" s="9"/>
      <c r="AC632" s="9"/>
      <c r="AD632" s="9"/>
    </row>
    <row r="633" ht="15.75" customHeight="1">
      <c r="A633" s="9"/>
      <c r="B633" s="9"/>
      <c r="C633" s="9"/>
      <c r="D633" s="9"/>
      <c r="E633" s="9"/>
      <c r="F633" s="9"/>
      <c r="G633" s="9"/>
      <c r="H633" s="9"/>
      <c r="I633" s="9"/>
      <c r="J633" s="9"/>
      <c r="K633" s="9"/>
      <c r="L633" s="556"/>
      <c r="M633" s="9"/>
      <c r="N633" s="9"/>
      <c r="O633" s="9"/>
      <c r="P633" s="9"/>
      <c r="Q633" s="9"/>
      <c r="R633" s="9"/>
      <c r="S633" s="9"/>
      <c r="T633" s="9"/>
      <c r="U633" s="9"/>
      <c r="V633" s="9"/>
      <c r="W633" s="9"/>
      <c r="X633" s="589"/>
      <c r="Y633" s="9"/>
      <c r="Z633" s="204"/>
      <c r="AA633" s="9"/>
      <c r="AB633" s="9"/>
      <c r="AC633" s="9"/>
      <c r="AD633" s="9"/>
    </row>
    <row r="634" ht="15.75" customHeight="1">
      <c r="A634" s="9"/>
      <c r="B634" s="9"/>
      <c r="C634" s="9"/>
      <c r="D634" s="9"/>
      <c r="E634" s="9"/>
      <c r="F634" s="9"/>
      <c r="G634" s="9"/>
      <c r="H634" s="9"/>
      <c r="I634" s="9"/>
      <c r="J634" s="9"/>
      <c r="K634" s="9"/>
      <c r="L634" s="556"/>
      <c r="M634" s="9"/>
      <c r="N634" s="9"/>
      <c r="O634" s="9"/>
      <c r="P634" s="9"/>
      <c r="Q634" s="9"/>
      <c r="R634" s="9"/>
      <c r="S634" s="9"/>
      <c r="T634" s="9"/>
      <c r="U634" s="9"/>
      <c r="V634" s="9"/>
      <c r="W634" s="9"/>
      <c r="X634" s="589"/>
      <c r="Y634" s="9"/>
      <c r="Z634" s="204"/>
      <c r="AA634" s="9"/>
      <c r="AB634" s="9"/>
      <c r="AC634" s="9"/>
      <c r="AD634" s="9"/>
    </row>
    <row r="635" ht="15.75" customHeight="1">
      <c r="A635" s="9"/>
      <c r="B635" s="9"/>
      <c r="C635" s="9"/>
      <c r="D635" s="9"/>
      <c r="E635" s="9"/>
      <c r="F635" s="9"/>
      <c r="G635" s="9"/>
      <c r="H635" s="9"/>
      <c r="I635" s="9"/>
      <c r="J635" s="9"/>
      <c r="K635" s="9"/>
      <c r="L635" s="556"/>
      <c r="M635" s="9"/>
      <c r="N635" s="9"/>
      <c r="O635" s="9"/>
      <c r="P635" s="9"/>
      <c r="Q635" s="9"/>
      <c r="R635" s="9"/>
      <c r="S635" s="9"/>
      <c r="T635" s="9"/>
      <c r="U635" s="9"/>
      <c r="V635" s="9"/>
      <c r="W635" s="9"/>
      <c r="X635" s="589"/>
      <c r="Y635" s="9"/>
      <c r="Z635" s="204"/>
      <c r="AA635" s="9"/>
      <c r="AB635" s="9"/>
      <c r="AC635" s="9"/>
      <c r="AD635" s="9"/>
    </row>
    <row r="636" ht="15.75" customHeight="1">
      <c r="A636" s="9"/>
      <c r="B636" s="9"/>
      <c r="C636" s="9"/>
      <c r="D636" s="9"/>
      <c r="E636" s="9"/>
      <c r="F636" s="9"/>
      <c r="G636" s="9"/>
      <c r="H636" s="9"/>
      <c r="I636" s="9"/>
      <c r="J636" s="9"/>
      <c r="K636" s="9"/>
      <c r="L636" s="556"/>
      <c r="M636" s="9"/>
      <c r="N636" s="9"/>
      <c r="O636" s="9"/>
      <c r="P636" s="9"/>
      <c r="Q636" s="9"/>
      <c r="R636" s="9"/>
      <c r="S636" s="9"/>
      <c r="T636" s="9"/>
      <c r="U636" s="9"/>
      <c r="V636" s="9"/>
      <c r="W636" s="9"/>
      <c r="X636" s="589"/>
      <c r="Y636" s="9"/>
      <c r="Z636" s="204"/>
      <c r="AA636" s="9"/>
      <c r="AB636" s="9"/>
      <c r="AC636" s="9"/>
      <c r="AD636" s="9"/>
    </row>
    <row r="637" ht="15.75" customHeight="1">
      <c r="A637" s="9"/>
      <c r="B637" s="9"/>
      <c r="C637" s="9"/>
      <c r="D637" s="9"/>
      <c r="E637" s="9"/>
      <c r="F637" s="9"/>
      <c r="G637" s="9"/>
      <c r="H637" s="9"/>
      <c r="I637" s="9"/>
      <c r="J637" s="9"/>
      <c r="K637" s="9"/>
      <c r="L637" s="556"/>
      <c r="M637" s="9"/>
      <c r="N637" s="9"/>
      <c r="O637" s="9"/>
      <c r="P637" s="9"/>
      <c r="Q637" s="9"/>
      <c r="R637" s="9"/>
      <c r="S637" s="9"/>
      <c r="T637" s="9"/>
      <c r="U637" s="9"/>
      <c r="V637" s="9"/>
      <c r="W637" s="9"/>
      <c r="X637" s="589"/>
      <c r="Y637" s="9"/>
      <c r="Z637" s="204"/>
      <c r="AA637" s="9"/>
      <c r="AB637" s="9"/>
      <c r="AC637" s="9"/>
      <c r="AD637" s="9"/>
    </row>
    <row r="638" ht="15.75" customHeight="1">
      <c r="A638" s="9"/>
      <c r="B638" s="9"/>
      <c r="C638" s="9"/>
      <c r="D638" s="9"/>
      <c r="E638" s="9"/>
      <c r="F638" s="9"/>
      <c r="G638" s="9"/>
      <c r="H638" s="9"/>
      <c r="I638" s="9"/>
      <c r="J638" s="9"/>
      <c r="K638" s="9"/>
      <c r="L638" s="556"/>
      <c r="M638" s="9"/>
      <c r="N638" s="9"/>
      <c r="O638" s="9"/>
      <c r="P638" s="9"/>
      <c r="Q638" s="9"/>
      <c r="R638" s="9"/>
      <c r="S638" s="9"/>
      <c r="T638" s="9"/>
      <c r="U638" s="9"/>
      <c r="V638" s="9"/>
      <c r="W638" s="9"/>
      <c r="X638" s="589"/>
      <c r="Y638" s="9"/>
      <c r="Z638" s="204"/>
      <c r="AA638" s="9"/>
      <c r="AB638" s="9"/>
      <c r="AC638" s="9"/>
      <c r="AD638" s="9"/>
    </row>
    <row r="639" ht="15.75" customHeight="1">
      <c r="A639" s="9"/>
      <c r="B639" s="9"/>
      <c r="C639" s="9"/>
      <c r="D639" s="9"/>
      <c r="E639" s="9"/>
      <c r="F639" s="9"/>
      <c r="G639" s="9"/>
      <c r="H639" s="9"/>
      <c r="I639" s="9"/>
      <c r="J639" s="9"/>
      <c r="K639" s="9"/>
      <c r="L639" s="556"/>
      <c r="M639" s="9"/>
      <c r="N639" s="9"/>
      <c r="O639" s="9"/>
      <c r="P639" s="9"/>
      <c r="Q639" s="9"/>
      <c r="R639" s="9"/>
      <c r="S639" s="9"/>
      <c r="T639" s="9"/>
      <c r="U639" s="9"/>
      <c r="V639" s="9"/>
      <c r="W639" s="9"/>
      <c r="X639" s="589"/>
      <c r="Y639" s="9"/>
      <c r="Z639" s="204"/>
      <c r="AA639" s="9"/>
      <c r="AB639" s="9"/>
      <c r="AC639" s="9"/>
      <c r="AD639" s="9"/>
    </row>
    <row r="640" ht="15.75" customHeight="1">
      <c r="A640" s="9"/>
      <c r="B640" s="9"/>
      <c r="C640" s="9"/>
      <c r="D640" s="9"/>
      <c r="E640" s="9"/>
      <c r="F640" s="9"/>
      <c r="G640" s="9"/>
      <c r="H640" s="9"/>
      <c r="I640" s="9"/>
      <c r="J640" s="9"/>
      <c r="K640" s="9"/>
      <c r="L640" s="556"/>
      <c r="M640" s="9"/>
      <c r="N640" s="9"/>
      <c r="O640" s="9"/>
      <c r="P640" s="9"/>
      <c r="Q640" s="9"/>
      <c r="R640" s="9"/>
      <c r="S640" s="9"/>
      <c r="T640" s="9"/>
      <c r="U640" s="9"/>
      <c r="V640" s="9"/>
      <c r="W640" s="9"/>
      <c r="X640" s="589"/>
      <c r="Y640" s="9"/>
      <c r="Z640" s="204"/>
      <c r="AA640" s="9"/>
      <c r="AB640" s="9"/>
      <c r="AC640" s="9"/>
      <c r="AD640" s="9"/>
    </row>
    <row r="641" ht="15.75" customHeight="1">
      <c r="A641" s="9"/>
      <c r="B641" s="9"/>
      <c r="C641" s="9"/>
      <c r="D641" s="9"/>
      <c r="E641" s="9"/>
      <c r="F641" s="9"/>
      <c r="G641" s="9"/>
      <c r="H641" s="9"/>
      <c r="I641" s="9"/>
      <c r="J641" s="9"/>
      <c r="K641" s="9"/>
      <c r="L641" s="556"/>
      <c r="M641" s="9"/>
      <c r="N641" s="9"/>
      <c r="O641" s="9"/>
      <c r="P641" s="9"/>
      <c r="Q641" s="9"/>
      <c r="R641" s="9"/>
      <c r="S641" s="9"/>
      <c r="T641" s="9"/>
      <c r="U641" s="9"/>
      <c r="V641" s="9"/>
      <c r="W641" s="9"/>
      <c r="X641" s="589"/>
      <c r="Y641" s="9"/>
      <c r="Z641" s="204"/>
      <c r="AA641" s="9"/>
      <c r="AB641" s="9"/>
      <c r="AC641" s="9"/>
      <c r="AD641" s="9"/>
    </row>
    <row r="642" ht="15.75" customHeight="1">
      <c r="A642" s="9"/>
      <c r="B642" s="9"/>
      <c r="C642" s="9"/>
      <c r="D642" s="9"/>
      <c r="E642" s="9"/>
      <c r="F642" s="9"/>
      <c r="G642" s="9"/>
      <c r="H642" s="9"/>
      <c r="I642" s="9"/>
      <c r="J642" s="9"/>
      <c r="K642" s="9"/>
      <c r="L642" s="556"/>
      <c r="M642" s="9"/>
      <c r="N642" s="9"/>
      <c r="O642" s="9"/>
      <c r="P642" s="9"/>
      <c r="Q642" s="9"/>
      <c r="R642" s="9"/>
      <c r="S642" s="9"/>
      <c r="T642" s="9"/>
      <c r="U642" s="9"/>
      <c r="V642" s="9"/>
      <c r="W642" s="9"/>
      <c r="X642" s="589"/>
      <c r="Y642" s="9"/>
      <c r="Z642" s="204"/>
      <c r="AA642" s="9"/>
      <c r="AB642" s="9"/>
      <c r="AC642" s="9"/>
      <c r="AD642" s="9"/>
    </row>
    <row r="643" ht="15.75" customHeight="1">
      <c r="A643" s="9"/>
      <c r="B643" s="9"/>
      <c r="C643" s="9"/>
      <c r="D643" s="9"/>
      <c r="E643" s="9"/>
      <c r="F643" s="9"/>
      <c r="G643" s="9"/>
      <c r="H643" s="9"/>
      <c r="I643" s="9"/>
      <c r="J643" s="9"/>
      <c r="K643" s="9"/>
      <c r="L643" s="556"/>
      <c r="M643" s="9"/>
      <c r="N643" s="9"/>
      <c r="O643" s="9"/>
      <c r="P643" s="9"/>
      <c r="Q643" s="9"/>
      <c r="R643" s="9"/>
      <c r="S643" s="9"/>
      <c r="T643" s="9"/>
      <c r="U643" s="9"/>
      <c r="V643" s="9"/>
      <c r="W643" s="9"/>
      <c r="X643" s="589"/>
      <c r="Y643" s="9"/>
      <c r="Z643" s="204"/>
      <c r="AA643" s="9"/>
      <c r="AB643" s="9"/>
      <c r="AC643" s="9"/>
      <c r="AD643" s="9"/>
    </row>
    <row r="644" ht="15.75" customHeight="1">
      <c r="A644" s="9"/>
      <c r="B644" s="9"/>
      <c r="C644" s="9"/>
      <c r="D644" s="9"/>
      <c r="E644" s="9"/>
      <c r="F644" s="9"/>
      <c r="G644" s="9"/>
      <c r="H644" s="9"/>
      <c r="I644" s="9"/>
      <c r="J644" s="9"/>
      <c r="K644" s="9"/>
      <c r="L644" s="556"/>
      <c r="M644" s="9"/>
      <c r="N644" s="9"/>
      <c r="O644" s="9"/>
      <c r="P644" s="9"/>
      <c r="Q644" s="9"/>
      <c r="R644" s="9"/>
      <c r="S644" s="9"/>
      <c r="T644" s="9"/>
      <c r="U644" s="9"/>
      <c r="V644" s="9"/>
      <c r="W644" s="9"/>
      <c r="X644" s="589"/>
      <c r="Y644" s="9"/>
      <c r="Z644" s="204"/>
      <c r="AA644" s="9"/>
      <c r="AB644" s="9"/>
      <c r="AC644" s="9"/>
      <c r="AD644" s="9"/>
    </row>
    <row r="645" ht="15.75" customHeight="1">
      <c r="A645" s="9"/>
      <c r="B645" s="9"/>
      <c r="C645" s="9"/>
      <c r="D645" s="9"/>
      <c r="E645" s="9"/>
      <c r="F645" s="9"/>
      <c r="G645" s="9"/>
      <c r="H645" s="9"/>
      <c r="I645" s="9"/>
      <c r="J645" s="9"/>
      <c r="K645" s="9"/>
      <c r="L645" s="556"/>
      <c r="M645" s="9"/>
      <c r="N645" s="9"/>
      <c r="O645" s="9"/>
      <c r="P645" s="9"/>
      <c r="Q645" s="9"/>
      <c r="R645" s="9"/>
      <c r="S645" s="9"/>
      <c r="T645" s="9"/>
      <c r="U645" s="9"/>
      <c r="V645" s="9"/>
      <c r="W645" s="9"/>
      <c r="X645" s="589"/>
      <c r="Y645" s="9"/>
      <c r="Z645" s="204"/>
      <c r="AA645" s="9"/>
      <c r="AB645" s="9"/>
      <c r="AC645" s="9"/>
      <c r="AD645" s="9"/>
    </row>
    <row r="646" ht="15.75" customHeight="1">
      <c r="A646" s="9"/>
      <c r="B646" s="9"/>
      <c r="C646" s="9"/>
      <c r="D646" s="9"/>
      <c r="E646" s="9"/>
      <c r="F646" s="9"/>
      <c r="G646" s="9"/>
      <c r="H646" s="9"/>
      <c r="I646" s="9"/>
      <c r="J646" s="9"/>
      <c r="K646" s="9"/>
      <c r="L646" s="556"/>
      <c r="M646" s="9"/>
      <c r="N646" s="9"/>
      <c r="O646" s="9"/>
      <c r="P646" s="9"/>
      <c r="Q646" s="9"/>
      <c r="R646" s="9"/>
      <c r="S646" s="9"/>
      <c r="T646" s="9"/>
      <c r="U646" s="9"/>
      <c r="V646" s="9"/>
      <c r="W646" s="9"/>
      <c r="X646" s="589"/>
      <c r="Y646" s="9"/>
      <c r="Z646" s="204"/>
      <c r="AA646" s="9"/>
      <c r="AB646" s="9"/>
      <c r="AC646" s="9"/>
      <c r="AD646" s="9"/>
    </row>
    <row r="647" ht="15.75" customHeight="1">
      <c r="A647" s="9"/>
      <c r="B647" s="9"/>
      <c r="C647" s="9"/>
      <c r="D647" s="9"/>
      <c r="E647" s="9"/>
      <c r="F647" s="9"/>
      <c r="G647" s="9"/>
      <c r="H647" s="9"/>
      <c r="I647" s="9"/>
      <c r="J647" s="9"/>
      <c r="K647" s="9"/>
      <c r="L647" s="556"/>
      <c r="M647" s="9"/>
      <c r="N647" s="9"/>
      <c r="O647" s="9"/>
      <c r="P647" s="9"/>
      <c r="Q647" s="9"/>
      <c r="R647" s="9"/>
      <c r="S647" s="9"/>
      <c r="T647" s="9"/>
      <c r="U647" s="9"/>
      <c r="V647" s="9"/>
      <c r="W647" s="9"/>
      <c r="X647" s="589"/>
      <c r="Y647" s="9"/>
      <c r="Z647" s="204"/>
      <c r="AA647" s="9"/>
      <c r="AB647" s="9"/>
      <c r="AC647" s="9"/>
      <c r="AD647" s="9"/>
    </row>
    <row r="648" ht="15.75" customHeight="1">
      <c r="A648" s="9"/>
      <c r="B648" s="9"/>
      <c r="C648" s="9"/>
      <c r="D648" s="9"/>
      <c r="E648" s="9"/>
      <c r="F648" s="9"/>
      <c r="G648" s="9"/>
      <c r="H648" s="9"/>
      <c r="I648" s="9"/>
      <c r="J648" s="9"/>
      <c r="K648" s="9"/>
      <c r="L648" s="556"/>
      <c r="M648" s="9"/>
      <c r="N648" s="9"/>
      <c r="O648" s="9"/>
      <c r="P648" s="9"/>
      <c r="Q648" s="9"/>
      <c r="R648" s="9"/>
      <c r="S648" s="9"/>
      <c r="T648" s="9"/>
      <c r="U648" s="9"/>
      <c r="V648" s="9"/>
      <c r="W648" s="9"/>
      <c r="X648" s="589"/>
      <c r="Y648" s="9"/>
      <c r="Z648" s="204"/>
      <c r="AA648" s="9"/>
      <c r="AB648" s="9"/>
      <c r="AC648" s="9"/>
      <c r="AD648" s="9"/>
    </row>
    <row r="649" ht="15.75" customHeight="1">
      <c r="A649" s="9"/>
      <c r="B649" s="9"/>
      <c r="C649" s="9"/>
      <c r="D649" s="9"/>
      <c r="E649" s="9"/>
      <c r="F649" s="9"/>
      <c r="G649" s="9"/>
      <c r="H649" s="9"/>
      <c r="I649" s="9"/>
      <c r="J649" s="9"/>
      <c r="K649" s="9"/>
      <c r="L649" s="556"/>
      <c r="M649" s="9"/>
      <c r="N649" s="9"/>
      <c r="O649" s="9"/>
      <c r="P649" s="9"/>
      <c r="Q649" s="9"/>
      <c r="R649" s="9"/>
      <c r="S649" s="9"/>
      <c r="T649" s="9"/>
      <c r="U649" s="9"/>
      <c r="V649" s="9"/>
      <c r="W649" s="9"/>
      <c r="X649" s="589"/>
      <c r="Y649" s="9"/>
      <c r="Z649" s="204"/>
      <c r="AA649" s="9"/>
      <c r="AB649" s="9"/>
      <c r="AC649" s="9"/>
      <c r="AD649" s="9"/>
    </row>
    <row r="650" ht="15.75" customHeight="1">
      <c r="A650" s="9"/>
      <c r="B650" s="9"/>
      <c r="C650" s="9"/>
      <c r="D650" s="9"/>
      <c r="E650" s="9"/>
      <c r="F650" s="9"/>
      <c r="G650" s="9"/>
      <c r="H650" s="9"/>
      <c r="I650" s="9"/>
      <c r="J650" s="9"/>
      <c r="K650" s="9"/>
      <c r="L650" s="556"/>
      <c r="M650" s="9"/>
      <c r="N650" s="9"/>
      <c r="O650" s="9"/>
      <c r="P650" s="9"/>
      <c r="Q650" s="9"/>
      <c r="R650" s="9"/>
      <c r="S650" s="9"/>
      <c r="T650" s="9"/>
      <c r="U650" s="9"/>
      <c r="V650" s="9"/>
      <c r="W650" s="9"/>
      <c r="X650" s="589"/>
      <c r="Y650" s="9"/>
      <c r="Z650" s="204"/>
      <c r="AA650" s="9"/>
      <c r="AB650" s="9"/>
      <c r="AC650" s="9"/>
      <c r="AD650" s="9"/>
    </row>
    <row r="651" ht="15.75" customHeight="1">
      <c r="A651" s="9"/>
      <c r="B651" s="9"/>
      <c r="C651" s="9"/>
      <c r="D651" s="9"/>
      <c r="E651" s="9"/>
      <c r="F651" s="9"/>
      <c r="G651" s="9"/>
      <c r="H651" s="9"/>
      <c r="I651" s="9"/>
      <c r="J651" s="9"/>
      <c r="K651" s="9"/>
      <c r="L651" s="556"/>
      <c r="M651" s="9"/>
      <c r="N651" s="9"/>
      <c r="O651" s="9"/>
      <c r="P651" s="9"/>
      <c r="Q651" s="9"/>
      <c r="R651" s="9"/>
      <c r="S651" s="9"/>
      <c r="T651" s="9"/>
      <c r="U651" s="9"/>
      <c r="V651" s="9"/>
      <c r="W651" s="9"/>
      <c r="X651" s="589"/>
      <c r="Y651" s="9"/>
      <c r="Z651" s="204"/>
      <c r="AA651" s="9"/>
      <c r="AB651" s="9"/>
      <c r="AC651" s="9"/>
      <c r="AD651" s="9"/>
    </row>
    <row r="652" ht="15.75" customHeight="1">
      <c r="A652" s="9"/>
      <c r="B652" s="9"/>
      <c r="C652" s="9"/>
      <c r="D652" s="9"/>
      <c r="E652" s="9"/>
      <c r="F652" s="9"/>
      <c r="G652" s="9"/>
      <c r="H652" s="9"/>
      <c r="I652" s="9"/>
      <c r="J652" s="9"/>
      <c r="K652" s="9"/>
      <c r="L652" s="556"/>
      <c r="M652" s="9"/>
      <c r="N652" s="9"/>
      <c r="O652" s="9"/>
      <c r="P652" s="9"/>
      <c r="Q652" s="9"/>
      <c r="R652" s="9"/>
      <c r="S652" s="9"/>
      <c r="T652" s="9"/>
      <c r="U652" s="9"/>
      <c r="V652" s="9"/>
      <c r="W652" s="9"/>
      <c r="X652" s="589"/>
      <c r="Y652" s="9"/>
      <c r="Z652" s="204"/>
      <c r="AA652" s="9"/>
      <c r="AB652" s="9"/>
      <c r="AC652" s="9"/>
      <c r="AD652" s="9"/>
    </row>
    <row r="653" ht="15.75" customHeight="1">
      <c r="A653" s="9"/>
      <c r="B653" s="9"/>
      <c r="C653" s="9"/>
      <c r="D653" s="9"/>
      <c r="E653" s="9"/>
      <c r="F653" s="9"/>
      <c r="G653" s="9"/>
      <c r="H653" s="9"/>
      <c r="I653" s="9"/>
      <c r="J653" s="9"/>
      <c r="K653" s="9"/>
      <c r="L653" s="556"/>
      <c r="M653" s="9"/>
      <c r="N653" s="9"/>
      <c r="O653" s="9"/>
      <c r="P653" s="9"/>
      <c r="Q653" s="9"/>
      <c r="R653" s="9"/>
      <c r="S653" s="9"/>
      <c r="T653" s="9"/>
      <c r="U653" s="9"/>
      <c r="V653" s="9"/>
      <c r="W653" s="9"/>
      <c r="X653" s="589"/>
      <c r="Y653" s="9"/>
      <c r="Z653" s="204"/>
      <c r="AA653" s="9"/>
      <c r="AB653" s="9"/>
      <c r="AC653" s="9"/>
      <c r="AD653" s="9"/>
    </row>
    <row r="654" ht="15.75" customHeight="1">
      <c r="A654" s="9"/>
      <c r="B654" s="9"/>
      <c r="C654" s="9"/>
      <c r="D654" s="9"/>
      <c r="E654" s="9"/>
      <c r="F654" s="9"/>
      <c r="G654" s="9"/>
      <c r="H654" s="9"/>
      <c r="I654" s="9"/>
      <c r="J654" s="9"/>
      <c r="K654" s="9"/>
      <c r="L654" s="556"/>
      <c r="M654" s="9"/>
      <c r="N654" s="9"/>
      <c r="O654" s="9"/>
      <c r="P654" s="9"/>
      <c r="Q654" s="9"/>
      <c r="R654" s="9"/>
      <c r="S654" s="9"/>
      <c r="T654" s="9"/>
      <c r="U654" s="9"/>
      <c r="V654" s="9"/>
      <c r="W654" s="9"/>
      <c r="X654" s="589"/>
      <c r="Y654" s="9"/>
      <c r="Z654" s="204"/>
      <c r="AA654" s="9"/>
      <c r="AB654" s="9"/>
      <c r="AC654" s="9"/>
      <c r="AD654" s="9"/>
    </row>
    <row r="655" ht="15.75" customHeight="1">
      <c r="A655" s="9"/>
      <c r="B655" s="9"/>
      <c r="C655" s="9"/>
      <c r="D655" s="9"/>
      <c r="E655" s="9"/>
      <c r="F655" s="9"/>
      <c r="G655" s="9"/>
      <c r="H655" s="9"/>
      <c r="I655" s="9"/>
      <c r="J655" s="9"/>
      <c r="K655" s="9"/>
      <c r="L655" s="556"/>
      <c r="M655" s="9"/>
      <c r="N655" s="9"/>
      <c r="O655" s="9"/>
      <c r="P655" s="9"/>
      <c r="Q655" s="9"/>
      <c r="R655" s="9"/>
      <c r="S655" s="9"/>
      <c r="T655" s="9"/>
      <c r="U655" s="9"/>
      <c r="V655" s="9"/>
      <c r="W655" s="9"/>
      <c r="X655" s="589"/>
      <c r="Y655" s="9"/>
      <c r="Z655" s="204"/>
      <c r="AA655" s="9"/>
      <c r="AB655" s="9"/>
      <c r="AC655" s="9"/>
      <c r="AD655" s="9"/>
    </row>
    <row r="656" ht="15.75" customHeight="1">
      <c r="A656" s="9"/>
      <c r="B656" s="9"/>
      <c r="C656" s="9"/>
      <c r="D656" s="9"/>
      <c r="E656" s="9"/>
      <c r="F656" s="9"/>
      <c r="G656" s="9"/>
      <c r="H656" s="9"/>
      <c r="I656" s="9"/>
      <c r="J656" s="9"/>
      <c r="K656" s="9"/>
      <c r="L656" s="556"/>
      <c r="M656" s="9"/>
      <c r="N656" s="9"/>
      <c r="O656" s="9"/>
      <c r="P656" s="9"/>
      <c r="Q656" s="9"/>
      <c r="R656" s="9"/>
      <c r="S656" s="9"/>
      <c r="T656" s="9"/>
      <c r="U656" s="9"/>
      <c r="V656" s="9"/>
      <c r="W656" s="9"/>
      <c r="X656" s="589"/>
      <c r="Y656" s="9"/>
      <c r="Z656" s="204"/>
      <c r="AA656" s="9"/>
      <c r="AB656" s="9"/>
      <c r="AC656" s="9"/>
      <c r="AD656" s="9"/>
    </row>
    <row r="657" ht="15.75" customHeight="1">
      <c r="A657" s="9"/>
      <c r="B657" s="9"/>
      <c r="C657" s="9"/>
      <c r="D657" s="9"/>
      <c r="E657" s="9"/>
      <c r="F657" s="9"/>
      <c r="G657" s="9"/>
      <c r="H657" s="9"/>
      <c r="I657" s="9"/>
      <c r="J657" s="9"/>
      <c r="K657" s="9"/>
      <c r="L657" s="556"/>
      <c r="M657" s="9"/>
      <c r="N657" s="9"/>
      <c r="O657" s="9"/>
      <c r="P657" s="9"/>
      <c r="Q657" s="9"/>
      <c r="R657" s="9"/>
      <c r="S657" s="9"/>
      <c r="T657" s="9"/>
      <c r="U657" s="9"/>
      <c r="V657" s="9"/>
      <c r="W657" s="9"/>
      <c r="X657" s="589"/>
      <c r="Y657" s="9"/>
      <c r="Z657" s="204"/>
      <c r="AA657" s="9"/>
      <c r="AB657" s="9"/>
      <c r="AC657" s="9"/>
      <c r="AD657" s="9"/>
    </row>
    <row r="658" ht="15.75" customHeight="1">
      <c r="A658" s="9"/>
      <c r="B658" s="9"/>
      <c r="C658" s="9"/>
      <c r="D658" s="9"/>
      <c r="E658" s="9"/>
      <c r="F658" s="9"/>
      <c r="G658" s="9"/>
      <c r="H658" s="9"/>
      <c r="I658" s="9"/>
      <c r="J658" s="9"/>
      <c r="K658" s="9"/>
      <c r="L658" s="556"/>
      <c r="M658" s="9"/>
      <c r="N658" s="9"/>
      <c r="O658" s="9"/>
      <c r="P658" s="9"/>
      <c r="Q658" s="9"/>
      <c r="R658" s="9"/>
      <c r="S658" s="9"/>
      <c r="T658" s="9"/>
      <c r="U658" s="9"/>
      <c r="V658" s="9"/>
      <c r="W658" s="9"/>
      <c r="X658" s="589"/>
      <c r="Y658" s="9"/>
      <c r="Z658" s="204"/>
      <c r="AA658" s="9"/>
      <c r="AB658" s="9"/>
      <c r="AC658" s="9"/>
      <c r="AD658" s="9"/>
    </row>
    <row r="659" ht="15.75" customHeight="1">
      <c r="A659" s="9"/>
      <c r="B659" s="9"/>
      <c r="C659" s="9"/>
      <c r="D659" s="9"/>
      <c r="E659" s="9"/>
      <c r="F659" s="9"/>
      <c r="G659" s="9"/>
      <c r="H659" s="9"/>
      <c r="I659" s="9"/>
      <c r="J659" s="9"/>
      <c r="K659" s="9"/>
      <c r="L659" s="556"/>
      <c r="M659" s="9"/>
      <c r="N659" s="9"/>
      <c r="O659" s="9"/>
      <c r="P659" s="9"/>
      <c r="Q659" s="9"/>
      <c r="R659" s="9"/>
      <c r="S659" s="9"/>
      <c r="T659" s="9"/>
      <c r="U659" s="9"/>
      <c r="V659" s="9"/>
      <c r="W659" s="9"/>
      <c r="X659" s="589"/>
      <c r="Y659" s="9"/>
      <c r="Z659" s="204"/>
      <c r="AA659" s="9"/>
      <c r="AB659" s="9"/>
      <c r="AC659" s="9"/>
      <c r="AD659" s="9"/>
    </row>
    <row r="660" ht="15.75" customHeight="1">
      <c r="A660" s="9"/>
      <c r="B660" s="9"/>
      <c r="C660" s="9"/>
      <c r="D660" s="9"/>
      <c r="E660" s="9"/>
      <c r="F660" s="9"/>
      <c r="G660" s="9"/>
      <c r="H660" s="9"/>
      <c r="I660" s="9"/>
      <c r="J660" s="9"/>
      <c r="K660" s="9"/>
      <c r="L660" s="556"/>
      <c r="M660" s="9"/>
      <c r="N660" s="9"/>
      <c r="O660" s="9"/>
      <c r="P660" s="9"/>
      <c r="Q660" s="9"/>
      <c r="R660" s="9"/>
      <c r="S660" s="9"/>
      <c r="T660" s="9"/>
      <c r="U660" s="9"/>
      <c r="V660" s="9"/>
      <c r="W660" s="9"/>
      <c r="X660" s="589"/>
      <c r="Y660" s="9"/>
      <c r="Z660" s="204"/>
      <c r="AA660" s="9"/>
      <c r="AB660" s="9"/>
      <c r="AC660" s="9"/>
      <c r="AD660" s="9"/>
    </row>
    <row r="661" ht="15.75" customHeight="1">
      <c r="A661" s="9"/>
      <c r="B661" s="9"/>
      <c r="C661" s="9"/>
      <c r="D661" s="9"/>
      <c r="E661" s="9"/>
      <c r="F661" s="9"/>
      <c r="G661" s="9"/>
      <c r="H661" s="9"/>
      <c r="I661" s="9"/>
      <c r="J661" s="9"/>
      <c r="K661" s="9"/>
      <c r="L661" s="556"/>
      <c r="M661" s="9"/>
      <c r="N661" s="9"/>
      <c r="O661" s="9"/>
      <c r="P661" s="9"/>
      <c r="Q661" s="9"/>
      <c r="R661" s="9"/>
      <c r="S661" s="9"/>
      <c r="T661" s="9"/>
      <c r="U661" s="9"/>
      <c r="V661" s="9"/>
      <c r="W661" s="9"/>
      <c r="X661" s="589"/>
      <c r="Y661" s="9"/>
      <c r="Z661" s="204"/>
      <c r="AA661" s="9"/>
      <c r="AB661" s="9"/>
      <c r="AC661" s="9"/>
      <c r="AD661" s="9"/>
    </row>
    <row r="662" ht="15.75" customHeight="1">
      <c r="A662" s="9"/>
      <c r="B662" s="9"/>
      <c r="C662" s="9"/>
      <c r="D662" s="9"/>
      <c r="E662" s="9"/>
      <c r="F662" s="9"/>
      <c r="G662" s="9"/>
      <c r="H662" s="9"/>
      <c r="I662" s="9"/>
      <c r="J662" s="9"/>
      <c r="K662" s="9"/>
      <c r="L662" s="556"/>
      <c r="M662" s="9"/>
      <c r="N662" s="9"/>
      <c r="O662" s="9"/>
      <c r="P662" s="9"/>
      <c r="Q662" s="9"/>
      <c r="R662" s="9"/>
      <c r="S662" s="9"/>
      <c r="T662" s="9"/>
      <c r="U662" s="9"/>
      <c r="V662" s="9"/>
      <c r="W662" s="9"/>
      <c r="X662" s="589"/>
      <c r="Y662" s="9"/>
      <c r="Z662" s="204"/>
      <c r="AA662" s="9"/>
      <c r="AB662" s="9"/>
      <c r="AC662" s="9"/>
      <c r="AD662" s="9"/>
    </row>
    <row r="663" ht="15.75" customHeight="1">
      <c r="A663" s="9"/>
      <c r="B663" s="9"/>
      <c r="C663" s="9"/>
      <c r="D663" s="9"/>
      <c r="E663" s="9"/>
      <c r="F663" s="9"/>
      <c r="G663" s="9"/>
      <c r="H663" s="9"/>
      <c r="I663" s="9"/>
      <c r="J663" s="9"/>
      <c r="K663" s="9"/>
      <c r="L663" s="556"/>
      <c r="M663" s="9"/>
      <c r="N663" s="9"/>
      <c r="O663" s="9"/>
      <c r="P663" s="9"/>
      <c r="Q663" s="9"/>
      <c r="R663" s="9"/>
      <c r="S663" s="9"/>
      <c r="T663" s="9"/>
      <c r="U663" s="9"/>
      <c r="V663" s="9"/>
      <c r="W663" s="9"/>
      <c r="X663" s="589"/>
      <c r="Y663" s="9"/>
      <c r="Z663" s="204"/>
      <c r="AA663" s="9"/>
      <c r="AB663" s="9"/>
      <c r="AC663" s="9"/>
      <c r="AD663" s="9"/>
    </row>
    <row r="664" ht="15.75" customHeight="1">
      <c r="A664" s="9"/>
      <c r="B664" s="9"/>
      <c r="C664" s="9"/>
      <c r="D664" s="9"/>
      <c r="E664" s="9"/>
      <c r="F664" s="9"/>
      <c r="G664" s="9"/>
      <c r="H664" s="9"/>
      <c r="I664" s="9"/>
      <c r="J664" s="9"/>
      <c r="K664" s="9"/>
      <c r="L664" s="556"/>
      <c r="M664" s="9"/>
      <c r="N664" s="9"/>
      <c r="O664" s="9"/>
      <c r="P664" s="9"/>
      <c r="Q664" s="9"/>
      <c r="R664" s="9"/>
      <c r="S664" s="9"/>
      <c r="T664" s="9"/>
      <c r="U664" s="9"/>
      <c r="V664" s="9"/>
      <c r="W664" s="9"/>
      <c r="X664" s="589"/>
      <c r="Y664" s="9"/>
      <c r="Z664" s="204"/>
      <c r="AA664" s="9"/>
      <c r="AB664" s="9"/>
      <c r="AC664" s="9"/>
      <c r="AD664" s="9"/>
    </row>
    <row r="665" ht="15.75" customHeight="1">
      <c r="A665" s="9"/>
      <c r="B665" s="9"/>
      <c r="C665" s="9"/>
      <c r="D665" s="9"/>
      <c r="E665" s="9"/>
      <c r="F665" s="9"/>
      <c r="G665" s="9"/>
      <c r="H665" s="9"/>
      <c r="I665" s="9"/>
      <c r="J665" s="9"/>
      <c r="K665" s="9"/>
      <c r="L665" s="556"/>
      <c r="M665" s="9"/>
      <c r="N665" s="9"/>
      <c r="O665" s="9"/>
      <c r="P665" s="9"/>
      <c r="Q665" s="9"/>
      <c r="R665" s="9"/>
      <c r="S665" s="9"/>
      <c r="T665" s="9"/>
      <c r="U665" s="9"/>
      <c r="V665" s="9"/>
      <c r="W665" s="9"/>
      <c r="X665" s="589"/>
      <c r="Y665" s="9"/>
      <c r="Z665" s="204"/>
      <c r="AA665" s="9"/>
      <c r="AB665" s="9"/>
      <c r="AC665" s="9"/>
      <c r="AD665" s="9"/>
    </row>
    <row r="666" ht="15.75" customHeight="1">
      <c r="A666" s="9"/>
      <c r="B666" s="9"/>
      <c r="C666" s="9"/>
      <c r="D666" s="9"/>
      <c r="E666" s="9"/>
      <c r="F666" s="9"/>
      <c r="G666" s="9"/>
      <c r="H666" s="9"/>
      <c r="I666" s="9"/>
      <c r="J666" s="9"/>
      <c r="K666" s="9"/>
      <c r="L666" s="556"/>
      <c r="M666" s="9"/>
      <c r="N666" s="9"/>
      <c r="O666" s="9"/>
      <c r="P666" s="9"/>
      <c r="Q666" s="9"/>
      <c r="R666" s="9"/>
      <c r="S666" s="9"/>
      <c r="T666" s="9"/>
      <c r="U666" s="9"/>
      <c r="V666" s="9"/>
      <c r="W666" s="9"/>
      <c r="X666" s="589"/>
      <c r="Y666" s="9"/>
      <c r="Z666" s="204"/>
      <c r="AA666" s="9"/>
      <c r="AB666" s="9"/>
      <c r="AC666" s="9"/>
      <c r="AD666" s="9"/>
    </row>
    <row r="667" ht="15.75" customHeight="1">
      <c r="A667" s="9"/>
      <c r="B667" s="9"/>
      <c r="C667" s="9"/>
      <c r="D667" s="9"/>
      <c r="E667" s="9"/>
      <c r="F667" s="9"/>
      <c r="G667" s="9"/>
      <c r="H667" s="9"/>
      <c r="I667" s="9"/>
      <c r="J667" s="9"/>
      <c r="K667" s="9"/>
      <c r="L667" s="556"/>
      <c r="M667" s="9"/>
      <c r="N667" s="9"/>
      <c r="O667" s="9"/>
      <c r="P667" s="9"/>
      <c r="Q667" s="9"/>
      <c r="R667" s="9"/>
      <c r="S667" s="9"/>
      <c r="T667" s="9"/>
      <c r="U667" s="9"/>
      <c r="V667" s="9"/>
      <c r="W667" s="9"/>
      <c r="X667" s="589"/>
      <c r="Y667" s="9"/>
      <c r="Z667" s="204"/>
      <c r="AA667" s="9"/>
      <c r="AB667" s="9"/>
      <c r="AC667" s="9"/>
      <c r="AD667" s="9"/>
    </row>
    <row r="668" ht="15.75" customHeight="1">
      <c r="A668" s="9"/>
      <c r="B668" s="9"/>
      <c r="C668" s="9"/>
      <c r="D668" s="9"/>
      <c r="E668" s="9"/>
      <c r="F668" s="9"/>
      <c r="G668" s="9"/>
      <c r="H668" s="9"/>
      <c r="I668" s="9"/>
      <c r="J668" s="9"/>
      <c r="K668" s="9"/>
      <c r="L668" s="556"/>
      <c r="M668" s="9"/>
      <c r="N668" s="9"/>
      <c r="O668" s="9"/>
      <c r="P668" s="9"/>
      <c r="Q668" s="9"/>
      <c r="R668" s="9"/>
      <c r="S668" s="9"/>
      <c r="T668" s="9"/>
      <c r="U668" s="9"/>
      <c r="V668" s="9"/>
      <c r="W668" s="9"/>
      <c r="X668" s="589"/>
      <c r="Y668" s="9"/>
      <c r="Z668" s="204"/>
      <c r="AA668" s="9"/>
      <c r="AB668" s="9"/>
      <c r="AC668" s="9"/>
      <c r="AD668" s="9"/>
    </row>
    <row r="669" ht="15.75" customHeight="1">
      <c r="A669" s="9"/>
      <c r="B669" s="9"/>
      <c r="C669" s="9"/>
      <c r="D669" s="9"/>
      <c r="E669" s="9"/>
      <c r="F669" s="9"/>
      <c r="G669" s="9"/>
      <c r="H669" s="9"/>
      <c r="I669" s="9"/>
      <c r="J669" s="9"/>
      <c r="K669" s="9"/>
      <c r="L669" s="556"/>
      <c r="M669" s="9"/>
      <c r="N669" s="9"/>
      <c r="O669" s="9"/>
      <c r="P669" s="9"/>
      <c r="Q669" s="9"/>
      <c r="R669" s="9"/>
      <c r="S669" s="9"/>
      <c r="T669" s="9"/>
      <c r="U669" s="9"/>
      <c r="V669" s="9"/>
      <c r="W669" s="9"/>
      <c r="X669" s="589"/>
      <c r="Y669" s="9"/>
      <c r="Z669" s="204"/>
      <c r="AA669" s="9"/>
      <c r="AB669" s="9"/>
      <c r="AC669" s="9"/>
      <c r="AD669" s="9"/>
    </row>
    <row r="670" ht="15.75" customHeight="1">
      <c r="A670" s="9"/>
      <c r="B670" s="9"/>
      <c r="C670" s="9"/>
      <c r="D670" s="9"/>
      <c r="E670" s="9"/>
      <c r="F670" s="9"/>
      <c r="G670" s="9"/>
      <c r="H670" s="9"/>
      <c r="I670" s="9"/>
      <c r="J670" s="9"/>
      <c r="K670" s="9"/>
      <c r="L670" s="556"/>
      <c r="M670" s="9"/>
      <c r="N670" s="9"/>
      <c r="O670" s="9"/>
      <c r="P670" s="9"/>
      <c r="Q670" s="9"/>
      <c r="R670" s="9"/>
      <c r="S670" s="9"/>
      <c r="T670" s="9"/>
      <c r="U670" s="9"/>
      <c r="V670" s="9"/>
      <c r="W670" s="9"/>
      <c r="X670" s="589"/>
      <c r="Y670" s="9"/>
      <c r="Z670" s="204"/>
      <c r="AA670" s="9"/>
      <c r="AB670" s="9"/>
      <c r="AC670" s="9"/>
      <c r="AD670" s="9"/>
    </row>
    <row r="671" ht="15.75" customHeight="1">
      <c r="A671" s="9"/>
      <c r="B671" s="9"/>
      <c r="C671" s="9"/>
      <c r="D671" s="9"/>
      <c r="E671" s="9"/>
      <c r="F671" s="9"/>
      <c r="G671" s="9"/>
      <c r="H671" s="9"/>
      <c r="I671" s="9"/>
      <c r="J671" s="9"/>
      <c r="K671" s="9"/>
      <c r="L671" s="556"/>
      <c r="M671" s="9"/>
      <c r="N671" s="9"/>
      <c r="O671" s="9"/>
      <c r="P671" s="9"/>
      <c r="Q671" s="9"/>
      <c r="R671" s="9"/>
      <c r="S671" s="9"/>
      <c r="T671" s="9"/>
      <c r="U671" s="9"/>
      <c r="V671" s="9"/>
      <c r="W671" s="9"/>
      <c r="X671" s="589"/>
      <c r="Y671" s="9"/>
      <c r="Z671" s="204"/>
      <c r="AA671" s="9"/>
      <c r="AB671" s="9"/>
      <c r="AC671" s="9"/>
      <c r="AD671" s="9"/>
    </row>
    <row r="672" ht="15.75" customHeight="1">
      <c r="A672" s="9"/>
      <c r="B672" s="9"/>
      <c r="C672" s="9"/>
      <c r="D672" s="9"/>
      <c r="E672" s="9"/>
      <c r="F672" s="9"/>
      <c r="G672" s="9"/>
      <c r="H672" s="9"/>
      <c r="I672" s="9"/>
      <c r="J672" s="9"/>
      <c r="K672" s="9"/>
      <c r="L672" s="556"/>
      <c r="M672" s="9"/>
      <c r="N672" s="9"/>
      <c r="O672" s="9"/>
      <c r="P672" s="9"/>
      <c r="Q672" s="9"/>
      <c r="R672" s="9"/>
      <c r="S672" s="9"/>
      <c r="T672" s="9"/>
      <c r="U672" s="9"/>
      <c r="V672" s="9"/>
      <c r="W672" s="9"/>
      <c r="X672" s="589"/>
      <c r="Y672" s="9"/>
      <c r="Z672" s="204"/>
      <c r="AA672" s="9"/>
      <c r="AB672" s="9"/>
      <c r="AC672" s="9"/>
      <c r="AD672" s="9"/>
    </row>
    <row r="673" ht="15.75" customHeight="1">
      <c r="A673" s="9"/>
      <c r="B673" s="9"/>
      <c r="C673" s="9"/>
      <c r="D673" s="9"/>
      <c r="E673" s="9"/>
      <c r="F673" s="9"/>
      <c r="G673" s="9"/>
      <c r="H673" s="9"/>
      <c r="I673" s="9"/>
      <c r="J673" s="9"/>
      <c r="K673" s="9"/>
      <c r="L673" s="556"/>
      <c r="M673" s="9"/>
      <c r="N673" s="9"/>
      <c r="O673" s="9"/>
      <c r="P673" s="9"/>
      <c r="Q673" s="9"/>
      <c r="R673" s="9"/>
      <c r="S673" s="9"/>
      <c r="T673" s="9"/>
      <c r="U673" s="9"/>
      <c r="V673" s="9"/>
      <c r="W673" s="9"/>
      <c r="X673" s="589"/>
      <c r="Y673" s="9"/>
      <c r="Z673" s="204"/>
      <c r="AA673" s="9"/>
      <c r="AB673" s="9"/>
      <c r="AC673" s="9"/>
      <c r="AD673" s="9"/>
    </row>
    <row r="674" ht="15.75" customHeight="1">
      <c r="A674" s="9"/>
      <c r="B674" s="9"/>
      <c r="C674" s="9"/>
      <c r="D674" s="9"/>
      <c r="E674" s="9"/>
      <c r="F674" s="9"/>
      <c r="G674" s="9"/>
      <c r="H674" s="9"/>
      <c r="I674" s="9"/>
      <c r="J674" s="9"/>
      <c r="K674" s="9"/>
      <c r="L674" s="556"/>
      <c r="M674" s="9"/>
      <c r="N674" s="9"/>
      <c r="O674" s="9"/>
      <c r="P674" s="9"/>
      <c r="Q674" s="9"/>
      <c r="R674" s="9"/>
      <c r="S674" s="9"/>
      <c r="T674" s="9"/>
      <c r="U674" s="9"/>
      <c r="V674" s="9"/>
      <c r="W674" s="9"/>
      <c r="X674" s="589"/>
      <c r="Y674" s="9"/>
      <c r="Z674" s="204"/>
      <c r="AA674" s="9"/>
      <c r="AB674" s="9"/>
      <c r="AC674" s="9"/>
      <c r="AD674" s="9"/>
    </row>
    <row r="675" ht="15.75" customHeight="1">
      <c r="A675" s="9"/>
      <c r="B675" s="9"/>
      <c r="C675" s="9"/>
      <c r="D675" s="9"/>
      <c r="E675" s="9"/>
      <c r="F675" s="9"/>
      <c r="G675" s="9"/>
      <c r="H675" s="9"/>
      <c r="I675" s="9"/>
      <c r="J675" s="9"/>
      <c r="K675" s="9"/>
      <c r="L675" s="556"/>
      <c r="M675" s="9"/>
      <c r="N675" s="9"/>
      <c r="O675" s="9"/>
      <c r="P675" s="9"/>
      <c r="Q675" s="9"/>
      <c r="R675" s="9"/>
      <c r="S675" s="9"/>
      <c r="T675" s="9"/>
      <c r="U675" s="9"/>
      <c r="V675" s="9"/>
      <c r="W675" s="9"/>
      <c r="X675" s="589"/>
      <c r="Y675" s="9"/>
      <c r="Z675" s="204"/>
      <c r="AA675" s="9"/>
      <c r="AB675" s="9"/>
      <c r="AC675" s="9"/>
      <c r="AD675" s="9"/>
    </row>
    <row r="676" ht="15.75" customHeight="1">
      <c r="A676" s="9"/>
      <c r="B676" s="9"/>
      <c r="C676" s="9"/>
      <c r="D676" s="9"/>
      <c r="E676" s="9"/>
      <c r="F676" s="9"/>
      <c r="G676" s="9"/>
      <c r="H676" s="9"/>
      <c r="I676" s="9"/>
      <c r="J676" s="9"/>
      <c r="K676" s="9"/>
      <c r="L676" s="556"/>
      <c r="M676" s="9"/>
      <c r="N676" s="9"/>
      <c r="O676" s="9"/>
      <c r="P676" s="9"/>
      <c r="Q676" s="9"/>
      <c r="R676" s="9"/>
      <c r="S676" s="9"/>
      <c r="T676" s="9"/>
      <c r="U676" s="9"/>
      <c r="V676" s="9"/>
      <c r="W676" s="9"/>
      <c r="X676" s="589"/>
      <c r="Y676" s="9"/>
      <c r="Z676" s="204"/>
      <c r="AA676" s="9"/>
      <c r="AB676" s="9"/>
      <c r="AC676" s="9"/>
      <c r="AD676" s="9"/>
    </row>
    <row r="677" ht="15.75" customHeight="1">
      <c r="A677" s="9"/>
      <c r="B677" s="9"/>
      <c r="C677" s="9"/>
      <c r="D677" s="9"/>
      <c r="E677" s="9"/>
      <c r="F677" s="9"/>
      <c r="G677" s="9"/>
      <c r="H677" s="9"/>
      <c r="I677" s="9"/>
      <c r="J677" s="9"/>
      <c r="K677" s="9"/>
      <c r="L677" s="556"/>
      <c r="M677" s="9"/>
      <c r="N677" s="9"/>
      <c r="O677" s="9"/>
      <c r="P677" s="9"/>
      <c r="Q677" s="9"/>
      <c r="R677" s="9"/>
      <c r="S677" s="9"/>
      <c r="T677" s="9"/>
      <c r="U677" s="9"/>
      <c r="V677" s="9"/>
      <c r="W677" s="9"/>
      <c r="X677" s="589"/>
      <c r="Y677" s="9"/>
      <c r="Z677" s="204"/>
      <c r="AA677" s="9"/>
      <c r="AB677" s="9"/>
      <c r="AC677" s="9"/>
      <c r="AD677" s="9"/>
    </row>
    <row r="678" ht="15.75" customHeight="1">
      <c r="A678" s="9"/>
      <c r="B678" s="9"/>
      <c r="C678" s="9"/>
      <c r="D678" s="9"/>
      <c r="E678" s="9"/>
      <c r="F678" s="9"/>
      <c r="G678" s="9"/>
      <c r="H678" s="9"/>
      <c r="I678" s="9"/>
      <c r="J678" s="9"/>
      <c r="K678" s="9"/>
      <c r="L678" s="556"/>
      <c r="M678" s="9"/>
      <c r="N678" s="9"/>
      <c r="O678" s="9"/>
      <c r="P678" s="9"/>
      <c r="Q678" s="9"/>
      <c r="R678" s="9"/>
      <c r="S678" s="9"/>
      <c r="T678" s="9"/>
      <c r="U678" s="9"/>
      <c r="V678" s="9"/>
      <c r="W678" s="9"/>
      <c r="X678" s="589"/>
      <c r="Y678" s="9"/>
      <c r="Z678" s="204"/>
      <c r="AA678" s="9"/>
      <c r="AB678" s="9"/>
      <c r="AC678" s="9"/>
      <c r="AD678" s="9"/>
    </row>
    <row r="679" ht="15.75" customHeight="1">
      <c r="A679" s="9"/>
      <c r="B679" s="9"/>
      <c r="C679" s="9"/>
      <c r="D679" s="9"/>
      <c r="E679" s="9"/>
      <c r="F679" s="9"/>
      <c r="G679" s="9"/>
      <c r="H679" s="9"/>
      <c r="I679" s="9"/>
      <c r="J679" s="9"/>
      <c r="K679" s="9"/>
      <c r="L679" s="556"/>
      <c r="M679" s="9"/>
      <c r="N679" s="9"/>
      <c r="O679" s="9"/>
      <c r="P679" s="9"/>
      <c r="Q679" s="9"/>
      <c r="R679" s="9"/>
      <c r="S679" s="9"/>
      <c r="T679" s="9"/>
      <c r="U679" s="9"/>
      <c r="V679" s="9"/>
      <c r="W679" s="9"/>
      <c r="X679" s="589"/>
      <c r="Y679" s="9"/>
      <c r="Z679" s="204"/>
      <c r="AA679" s="9"/>
      <c r="AB679" s="9"/>
      <c r="AC679" s="9"/>
      <c r="AD679" s="9"/>
    </row>
    <row r="680" ht="15.75" customHeight="1">
      <c r="A680" s="9"/>
      <c r="B680" s="9"/>
      <c r="C680" s="9"/>
      <c r="D680" s="9"/>
      <c r="E680" s="9"/>
      <c r="F680" s="9"/>
      <c r="G680" s="9"/>
      <c r="H680" s="9"/>
      <c r="I680" s="9"/>
      <c r="J680" s="9"/>
      <c r="K680" s="9"/>
      <c r="L680" s="556"/>
      <c r="M680" s="9"/>
      <c r="N680" s="9"/>
      <c r="O680" s="9"/>
      <c r="P680" s="9"/>
      <c r="Q680" s="9"/>
      <c r="R680" s="9"/>
      <c r="S680" s="9"/>
      <c r="T680" s="9"/>
      <c r="U680" s="9"/>
      <c r="V680" s="9"/>
      <c r="W680" s="9"/>
      <c r="X680" s="589"/>
      <c r="Y680" s="9"/>
      <c r="Z680" s="204"/>
      <c r="AA680" s="9"/>
      <c r="AB680" s="9"/>
      <c r="AC680" s="9"/>
      <c r="AD680" s="9"/>
    </row>
    <row r="681" ht="15.75" customHeight="1">
      <c r="A681" s="9"/>
      <c r="B681" s="9"/>
      <c r="C681" s="9"/>
      <c r="D681" s="9"/>
      <c r="E681" s="9"/>
      <c r="F681" s="9"/>
      <c r="G681" s="9"/>
      <c r="H681" s="9"/>
      <c r="I681" s="9"/>
      <c r="J681" s="9"/>
      <c r="K681" s="9"/>
      <c r="L681" s="556"/>
      <c r="M681" s="9"/>
      <c r="N681" s="9"/>
      <c r="O681" s="9"/>
      <c r="P681" s="9"/>
      <c r="Q681" s="9"/>
      <c r="R681" s="9"/>
      <c r="S681" s="9"/>
      <c r="T681" s="9"/>
      <c r="U681" s="9"/>
      <c r="V681" s="9"/>
      <c r="W681" s="9"/>
      <c r="X681" s="589"/>
      <c r="Y681" s="9"/>
      <c r="Z681" s="204"/>
      <c r="AA681" s="9"/>
      <c r="AB681" s="9"/>
      <c r="AC681" s="9"/>
      <c r="AD681" s="9"/>
    </row>
    <row r="682" ht="15.75" customHeight="1">
      <c r="A682" s="9"/>
      <c r="B682" s="9"/>
      <c r="C682" s="9"/>
      <c r="D682" s="9"/>
      <c r="E682" s="9"/>
      <c r="F682" s="9"/>
      <c r="G682" s="9"/>
      <c r="H682" s="9"/>
      <c r="I682" s="9"/>
      <c r="J682" s="9"/>
      <c r="K682" s="9"/>
      <c r="L682" s="556"/>
      <c r="M682" s="9"/>
      <c r="N682" s="9"/>
      <c r="O682" s="9"/>
      <c r="P682" s="9"/>
      <c r="Q682" s="9"/>
      <c r="R682" s="9"/>
      <c r="S682" s="9"/>
      <c r="T682" s="9"/>
      <c r="U682" s="9"/>
      <c r="V682" s="9"/>
      <c r="W682" s="9"/>
      <c r="X682" s="589"/>
      <c r="Y682" s="9"/>
      <c r="Z682" s="204"/>
      <c r="AA682" s="9"/>
      <c r="AB682" s="9"/>
      <c r="AC682" s="9"/>
      <c r="AD682" s="9"/>
    </row>
    <row r="683" ht="15.75" customHeight="1">
      <c r="A683" s="9"/>
      <c r="B683" s="9"/>
      <c r="C683" s="9"/>
      <c r="D683" s="9"/>
      <c r="E683" s="9"/>
      <c r="F683" s="9"/>
      <c r="G683" s="9"/>
      <c r="H683" s="9"/>
      <c r="I683" s="9"/>
      <c r="J683" s="9"/>
      <c r="K683" s="9"/>
      <c r="L683" s="556"/>
      <c r="M683" s="9"/>
      <c r="N683" s="9"/>
      <c r="O683" s="9"/>
      <c r="P683" s="9"/>
      <c r="Q683" s="9"/>
      <c r="R683" s="9"/>
      <c r="S683" s="9"/>
      <c r="T683" s="9"/>
      <c r="U683" s="9"/>
      <c r="V683" s="9"/>
      <c r="W683" s="9"/>
      <c r="X683" s="589"/>
      <c r="Y683" s="9"/>
      <c r="Z683" s="204"/>
      <c r="AA683" s="9"/>
      <c r="AB683" s="9"/>
      <c r="AC683" s="9"/>
      <c r="AD683" s="9"/>
    </row>
    <row r="684" ht="15.75" customHeight="1">
      <c r="A684" s="9"/>
      <c r="B684" s="9"/>
      <c r="C684" s="9"/>
      <c r="D684" s="9"/>
      <c r="E684" s="9"/>
      <c r="F684" s="9"/>
      <c r="G684" s="9"/>
      <c r="H684" s="9"/>
      <c r="I684" s="9"/>
      <c r="J684" s="9"/>
      <c r="K684" s="9"/>
      <c r="L684" s="556"/>
      <c r="M684" s="9"/>
      <c r="N684" s="9"/>
      <c r="O684" s="9"/>
      <c r="P684" s="9"/>
      <c r="Q684" s="9"/>
      <c r="R684" s="9"/>
      <c r="S684" s="9"/>
      <c r="T684" s="9"/>
      <c r="U684" s="9"/>
      <c r="V684" s="9"/>
      <c r="W684" s="9"/>
      <c r="X684" s="589"/>
      <c r="Y684" s="9"/>
      <c r="Z684" s="204"/>
      <c r="AA684" s="9"/>
      <c r="AB684" s="9"/>
      <c r="AC684" s="9"/>
      <c r="AD684" s="9"/>
    </row>
    <row r="685" ht="15.75" customHeight="1">
      <c r="A685" s="9"/>
      <c r="B685" s="9"/>
      <c r="C685" s="9"/>
      <c r="D685" s="9"/>
      <c r="E685" s="9"/>
      <c r="F685" s="9"/>
      <c r="G685" s="9"/>
      <c r="H685" s="9"/>
      <c r="I685" s="9"/>
      <c r="J685" s="9"/>
      <c r="K685" s="9"/>
      <c r="L685" s="556"/>
      <c r="M685" s="9"/>
      <c r="N685" s="9"/>
      <c r="O685" s="9"/>
      <c r="P685" s="9"/>
      <c r="Q685" s="9"/>
      <c r="R685" s="9"/>
      <c r="S685" s="9"/>
      <c r="T685" s="9"/>
      <c r="U685" s="9"/>
      <c r="V685" s="9"/>
      <c r="W685" s="9"/>
      <c r="X685" s="589"/>
      <c r="Y685" s="9"/>
      <c r="Z685" s="204"/>
      <c r="AA685" s="9"/>
      <c r="AB685" s="9"/>
      <c r="AC685" s="9"/>
      <c r="AD685" s="9"/>
    </row>
    <row r="686" ht="15.75" customHeight="1">
      <c r="A686" s="9"/>
      <c r="B686" s="9"/>
      <c r="C686" s="9"/>
      <c r="D686" s="9"/>
      <c r="E686" s="9"/>
      <c r="F686" s="9"/>
      <c r="G686" s="9"/>
      <c r="H686" s="9"/>
      <c r="I686" s="9"/>
      <c r="J686" s="9"/>
      <c r="K686" s="9"/>
      <c r="L686" s="556"/>
      <c r="M686" s="9"/>
      <c r="N686" s="9"/>
      <c r="O686" s="9"/>
      <c r="P686" s="9"/>
      <c r="Q686" s="9"/>
      <c r="R686" s="9"/>
      <c r="S686" s="9"/>
      <c r="T686" s="9"/>
      <c r="U686" s="9"/>
      <c r="V686" s="9"/>
      <c r="W686" s="9"/>
      <c r="X686" s="589"/>
      <c r="Y686" s="9"/>
      <c r="Z686" s="204"/>
      <c r="AA686" s="9"/>
      <c r="AB686" s="9"/>
      <c r="AC686" s="9"/>
      <c r="AD686" s="9"/>
    </row>
    <row r="687" ht="15.75" customHeight="1">
      <c r="A687" s="9"/>
      <c r="B687" s="9"/>
      <c r="C687" s="9"/>
      <c r="D687" s="9"/>
      <c r="E687" s="9"/>
      <c r="F687" s="9"/>
      <c r="G687" s="9"/>
      <c r="H687" s="9"/>
      <c r="I687" s="9"/>
      <c r="J687" s="9"/>
      <c r="K687" s="9"/>
      <c r="L687" s="556"/>
      <c r="M687" s="9"/>
      <c r="N687" s="9"/>
      <c r="O687" s="9"/>
      <c r="P687" s="9"/>
      <c r="Q687" s="9"/>
      <c r="R687" s="9"/>
      <c r="S687" s="9"/>
      <c r="T687" s="9"/>
      <c r="U687" s="9"/>
      <c r="V687" s="9"/>
      <c r="W687" s="9"/>
      <c r="X687" s="589"/>
      <c r="Y687" s="9"/>
      <c r="Z687" s="204"/>
      <c r="AA687" s="9"/>
      <c r="AB687" s="9"/>
      <c r="AC687" s="9"/>
      <c r="AD687" s="9"/>
    </row>
    <row r="688" ht="15.75" customHeight="1">
      <c r="A688" s="9"/>
      <c r="B688" s="9"/>
      <c r="C688" s="9"/>
      <c r="D688" s="9"/>
      <c r="E688" s="9"/>
      <c r="F688" s="9"/>
      <c r="G688" s="9"/>
      <c r="H688" s="9"/>
      <c r="I688" s="9"/>
      <c r="J688" s="9"/>
      <c r="K688" s="9"/>
      <c r="L688" s="556"/>
      <c r="M688" s="9"/>
      <c r="N688" s="9"/>
      <c r="O688" s="9"/>
      <c r="P688" s="9"/>
      <c r="Q688" s="9"/>
      <c r="R688" s="9"/>
      <c r="S688" s="9"/>
      <c r="T688" s="9"/>
      <c r="U688" s="9"/>
      <c r="V688" s="9"/>
      <c r="W688" s="9"/>
      <c r="X688" s="589"/>
      <c r="Y688" s="9"/>
      <c r="Z688" s="204"/>
      <c r="AA688" s="9"/>
      <c r="AB688" s="9"/>
      <c r="AC688" s="9"/>
      <c r="AD688" s="9"/>
    </row>
    <row r="689" ht="15.75" customHeight="1">
      <c r="A689" s="9"/>
      <c r="B689" s="9"/>
      <c r="C689" s="9"/>
      <c r="D689" s="9"/>
      <c r="E689" s="9"/>
      <c r="F689" s="9"/>
      <c r="G689" s="9"/>
      <c r="H689" s="9"/>
      <c r="I689" s="9"/>
      <c r="J689" s="9"/>
      <c r="K689" s="9"/>
      <c r="L689" s="556"/>
      <c r="M689" s="9"/>
      <c r="N689" s="9"/>
      <c r="O689" s="9"/>
      <c r="P689" s="9"/>
      <c r="Q689" s="9"/>
      <c r="R689" s="9"/>
      <c r="S689" s="9"/>
      <c r="T689" s="9"/>
      <c r="U689" s="9"/>
      <c r="V689" s="9"/>
      <c r="W689" s="9"/>
      <c r="X689" s="589"/>
      <c r="Y689" s="9"/>
      <c r="Z689" s="204"/>
      <c r="AA689" s="9"/>
      <c r="AB689" s="9"/>
      <c r="AC689" s="9"/>
      <c r="AD689" s="9"/>
    </row>
    <row r="690" ht="15.75" customHeight="1">
      <c r="A690" s="9"/>
      <c r="B690" s="9"/>
      <c r="C690" s="9"/>
      <c r="D690" s="9"/>
      <c r="E690" s="9"/>
      <c r="F690" s="9"/>
      <c r="G690" s="9"/>
      <c r="H690" s="9"/>
      <c r="I690" s="9"/>
      <c r="J690" s="9"/>
      <c r="K690" s="9"/>
      <c r="L690" s="556"/>
      <c r="M690" s="9"/>
      <c r="N690" s="9"/>
      <c r="O690" s="9"/>
      <c r="P690" s="9"/>
      <c r="Q690" s="9"/>
      <c r="R690" s="9"/>
      <c r="S690" s="9"/>
      <c r="T690" s="9"/>
      <c r="U690" s="9"/>
      <c r="V690" s="9"/>
      <c r="W690" s="9"/>
      <c r="X690" s="589"/>
      <c r="Y690" s="9"/>
      <c r="Z690" s="204"/>
      <c r="AA690" s="9"/>
      <c r="AB690" s="9"/>
      <c r="AC690" s="9"/>
      <c r="AD690" s="9"/>
    </row>
    <row r="691" ht="15.75" customHeight="1">
      <c r="A691" s="9"/>
      <c r="B691" s="9"/>
      <c r="C691" s="9"/>
      <c r="D691" s="9"/>
      <c r="E691" s="9"/>
      <c r="F691" s="9"/>
      <c r="G691" s="9"/>
      <c r="H691" s="9"/>
      <c r="I691" s="9"/>
      <c r="J691" s="9"/>
      <c r="K691" s="9"/>
      <c r="L691" s="556"/>
      <c r="M691" s="9"/>
      <c r="N691" s="9"/>
      <c r="O691" s="9"/>
      <c r="P691" s="9"/>
      <c r="Q691" s="9"/>
      <c r="R691" s="9"/>
      <c r="S691" s="9"/>
      <c r="T691" s="9"/>
      <c r="U691" s="9"/>
      <c r="V691" s="9"/>
      <c r="W691" s="9"/>
      <c r="X691" s="589"/>
      <c r="Y691" s="9"/>
      <c r="Z691" s="204"/>
      <c r="AA691" s="9"/>
      <c r="AB691" s="9"/>
      <c r="AC691" s="9"/>
      <c r="AD691" s="9"/>
    </row>
    <row r="692" ht="15.75" customHeight="1">
      <c r="A692" s="9"/>
      <c r="B692" s="9"/>
      <c r="C692" s="9"/>
      <c r="D692" s="9"/>
      <c r="E692" s="9"/>
      <c r="F692" s="9"/>
      <c r="G692" s="9"/>
      <c r="H692" s="9"/>
      <c r="I692" s="9"/>
      <c r="J692" s="9"/>
      <c r="K692" s="9"/>
      <c r="L692" s="556"/>
      <c r="M692" s="9"/>
      <c r="N692" s="9"/>
      <c r="O692" s="9"/>
      <c r="P692" s="9"/>
      <c r="Q692" s="9"/>
      <c r="R692" s="9"/>
      <c r="S692" s="9"/>
      <c r="T692" s="9"/>
      <c r="U692" s="9"/>
      <c r="V692" s="9"/>
      <c r="W692" s="9"/>
      <c r="X692" s="589"/>
      <c r="Y692" s="9"/>
      <c r="Z692" s="204"/>
      <c r="AA692" s="9"/>
      <c r="AB692" s="9"/>
      <c r="AC692" s="9"/>
      <c r="AD692" s="9"/>
    </row>
    <row r="693" ht="15.75" customHeight="1">
      <c r="A693" s="9"/>
      <c r="B693" s="9"/>
      <c r="C693" s="9"/>
      <c r="D693" s="9"/>
      <c r="E693" s="9"/>
      <c r="F693" s="9"/>
      <c r="G693" s="9"/>
      <c r="H693" s="9"/>
      <c r="I693" s="9"/>
      <c r="J693" s="9"/>
      <c r="K693" s="9"/>
      <c r="L693" s="556"/>
      <c r="M693" s="9"/>
      <c r="N693" s="9"/>
      <c r="O693" s="9"/>
      <c r="P693" s="9"/>
      <c r="Q693" s="9"/>
      <c r="R693" s="9"/>
      <c r="S693" s="9"/>
      <c r="T693" s="9"/>
      <c r="U693" s="9"/>
      <c r="V693" s="9"/>
      <c r="W693" s="9"/>
      <c r="X693" s="589"/>
      <c r="Y693" s="9"/>
      <c r="Z693" s="204"/>
      <c r="AA693" s="9"/>
      <c r="AB693" s="9"/>
      <c r="AC693" s="9"/>
      <c r="AD693" s="9"/>
    </row>
    <row r="694" ht="15.75" customHeight="1">
      <c r="A694" s="9"/>
      <c r="B694" s="9"/>
      <c r="C694" s="9"/>
      <c r="D694" s="9"/>
      <c r="E694" s="9"/>
      <c r="F694" s="9"/>
      <c r="G694" s="9"/>
      <c r="H694" s="9"/>
      <c r="I694" s="9"/>
      <c r="J694" s="9"/>
      <c r="K694" s="9"/>
      <c r="L694" s="556"/>
      <c r="M694" s="9"/>
      <c r="N694" s="9"/>
      <c r="O694" s="9"/>
      <c r="P694" s="9"/>
      <c r="Q694" s="9"/>
      <c r="R694" s="9"/>
      <c r="S694" s="9"/>
      <c r="T694" s="9"/>
      <c r="U694" s="9"/>
      <c r="V694" s="9"/>
      <c r="W694" s="9"/>
      <c r="X694" s="589"/>
      <c r="Y694" s="9"/>
      <c r="Z694" s="204"/>
      <c r="AA694" s="9"/>
      <c r="AB694" s="9"/>
      <c r="AC694" s="9"/>
      <c r="AD694" s="9"/>
    </row>
    <row r="695" ht="15.75" customHeight="1">
      <c r="A695" s="9"/>
      <c r="B695" s="9"/>
      <c r="C695" s="9"/>
      <c r="D695" s="9"/>
      <c r="E695" s="9"/>
      <c r="F695" s="9"/>
      <c r="G695" s="9"/>
      <c r="H695" s="9"/>
      <c r="I695" s="9"/>
      <c r="J695" s="9"/>
      <c r="K695" s="9"/>
      <c r="L695" s="556"/>
      <c r="M695" s="9"/>
      <c r="N695" s="9"/>
      <c r="O695" s="9"/>
      <c r="P695" s="9"/>
      <c r="Q695" s="9"/>
      <c r="R695" s="9"/>
      <c r="S695" s="9"/>
      <c r="T695" s="9"/>
      <c r="U695" s="9"/>
      <c r="V695" s="9"/>
      <c r="W695" s="9"/>
      <c r="X695" s="589"/>
      <c r="Y695" s="9"/>
      <c r="Z695" s="204"/>
      <c r="AA695" s="9"/>
      <c r="AB695" s="9"/>
      <c r="AC695" s="9"/>
      <c r="AD695" s="9"/>
    </row>
    <row r="696" ht="15.75" customHeight="1">
      <c r="A696" s="9"/>
      <c r="B696" s="9"/>
      <c r="C696" s="9"/>
      <c r="D696" s="9"/>
      <c r="E696" s="9"/>
      <c r="F696" s="9"/>
      <c r="G696" s="9"/>
      <c r="H696" s="9"/>
      <c r="I696" s="9"/>
      <c r="J696" s="9"/>
      <c r="K696" s="9"/>
      <c r="L696" s="556"/>
      <c r="M696" s="9"/>
      <c r="N696" s="9"/>
      <c r="O696" s="9"/>
      <c r="P696" s="9"/>
      <c r="Q696" s="9"/>
      <c r="R696" s="9"/>
      <c r="S696" s="9"/>
      <c r="T696" s="9"/>
      <c r="U696" s="9"/>
      <c r="V696" s="9"/>
      <c r="W696" s="9"/>
      <c r="X696" s="589"/>
      <c r="Y696" s="9"/>
      <c r="Z696" s="204"/>
      <c r="AA696" s="9"/>
      <c r="AB696" s="9"/>
      <c r="AC696" s="9"/>
      <c r="AD696" s="9"/>
    </row>
    <row r="697" ht="15.75" customHeight="1">
      <c r="A697" s="9"/>
      <c r="B697" s="9"/>
      <c r="C697" s="9"/>
      <c r="D697" s="9"/>
      <c r="E697" s="9"/>
      <c r="F697" s="9"/>
      <c r="G697" s="9"/>
      <c r="H697" s="9"/>
      <c r="I697" s="9"/>
      <c r="J697" s="9"/>
      <c r="K697" s="9"/>
      <c r="L697" s="556"/>
      <c r="M697" s="9"/>
      <c r="N697" s="9"/>
      <c r="O697" s="9"/>
      <c r="P697" s="9"/>
      <c r="Q697" s="9"/>
      <c r="R697" s="9"/>
      <c r="S697" s="9"/>
      <c r="T697" s="9"/>
      <c r="U697" s="9"/>
      <c r="V697" s="9"/>
      <c r="W697" s="9"/>
      <c r="X697" s="589"/>
      <c r="Y697" s="9"/>
      <c r="Z697" s="204"/>
      <c r="AA697" s="9"/>
      <c r="AB697" s="9"/>
      <c r="AC697" s="9"/>
      <c r="AD697" s="9"/>
    </row>
    <row r="698" ht="15.75" customHeight="1">
      <c r="A698" s="9"/>
      <c r="B698" s="9"/>
      <c r="C698" s="9"/>
      <c r="D698" s="9"/>
      <c r="E698" s="9"/>
      <c r="F698" s="9"/>
      <c r="G698" s="9"/>
      <c r="H698" s="9"/>
      <c r="I698" s="9"/>
      <c r="J698" s="9"/>
      <c r="K698" s="9"/>
      <c r="L698" s="556"/>
      <c r="M698" s="9"/>
      <c r="N698" s="9"/>
      <c r="O698" s="9"/>
      <c r="P698" s="9"/>
      <c r="Q698" s="9"/>
      <c r="R698" s="9"/>
      <c r="S698" s="9"/>
      <c r="T698" s="9"/>
      <c r="U698" s="9"/>
      <c r="V698" s="9"/>
      <c r="W698" s="9"/>
      <c r="X698" s="589"/>
      <c r="Y698" s="9"/>
      <c r="Z698" s="204"/>
      <c r="AA698" s="9"/>
      <c r="AB698" s="9"/>
      <c r="AC698" s="9"/>
      <c r="AD698" s="9"/>
    </row>
    <row r="699" ht="15.75" customHeight="1">
      <c r="A699" s="9"/>
      <c r="B699" s="9"/>
      <c r="C699" s="9"/>
      <c r="D699" s="9"/>
      <c r="E699" s="9"/>
      <c r="F699" s="9"/>
      <c r="G699" s="9"/>
      <c r="H699" s="9"/>
      <c r="I699" s="9"/>
      <c r="J699" s="9"/>
      <c r="K699" s="9"/>
      <c r="L699" s="556"/>
      <c r="M699" s="9"/>
      <c r="N699" s="9"/>
      <c r="O699" s="9"/>
      <c r="P699" s="9"/>
      <c r="Q699" s="9"/>
      <c r="R699" s="9"/>
      <c r="S699" s="9"/>
      <c r="T699" s="9"/>
      <c r="U699" s="9"/>
      <c r="V699" s="9"/>
      <c r="W699" s="9"/>
      <c r="X699" s="589"/>
      <c r="Y699" s="9"/>
      <c r="Z699" s="204"/>
      <c r="AA699" s="9"/>
      <c r="AB699" s="9"/>
      <c r="AC699" s="9"/>
      <c r="AD699" s="9"/>
    </row>
    <row r="700" ht="15.75" customHeight="1">
      <c r="A700" s="9"/>
      <c r="B700" s="9"/>
      <c r="C700" s="9"/>
      <c r="D700" s="9"/>
      <c r="E700" s="9"/>
      <c r="F700" s="9"/>
      <c r="G700" s="9"/>
      <c r="H700" s="9"/>
      <c r="I700" s="9"/>
      <c r="J700" s="9"/>
      <c r="K700" s="9"/>
      <c r="L700" s="556"/>
      <c r="M700" s="9"/>
      <c r="N700" s="9"/>
      <c r="O700" s="9"/>
      <c r="P700" s="9"/>
      <c r="Q700" s="9"/>
      <c r="R700" s="9"/>
      <c r="S700" s="9"/>
      <c r="T700" s="9"/>
      <c r="U700" s="9"/>
      <c r="V700" s="9"/>
      <c r="W700" s="9"/>
      <c r="X700" s="589"/>
      <c r="Y700" s="9"/>
      <c r="Z700" s="204"/>
      <c r="AA700" s="9"/>
      <c r="AB700" s="9"/>
      <c r="AC700" s="9"/>
      <c r="AD700" s="9"/>
    </row>
    <row r="701" ht="15.75" customHeight="1">
      <c r="A701" s="9"/>
      <c r="B701" s="9"/>
      <c r="C701" s="9"/>
      <c r="D701" s="9"/>
      <c r="E701" s="9"/>
      <c r="F701" s="9"/>
      <c r="G701" s="9"/>
      <c r="H701" s="9"/>
      <c r="I701" s="9"/>
      <c r="J701" s="9"/>
      <c r="K701" s="9"/>
      <c r="L701" s="556"/>
      <c r="M701" s="9"/>
      <c r="N701" s="9"/>
      <c r="O701" s="9"/>
      <c r="P701" s="9"/>
      <c r="Q701" s="9"/>
      <c r="R701" s="9"/>
      <c r="S701" s="9"/>
      <c r="T701" s="9"/>
      <c r="U701" s="9"/>
      <c r="V701" s="9"/>
      <c r="W701" s="9"/>
      <c r="X701" s="589"/>
      <c r="Y701" s="9"/>
      <c r="Z701" s="204"/>
      <c r="AA701" s="9"/>
      <c r="AB701" s="9"/>
      <c r="AC701" s="9"/>
      <c r="AD701" s="9"/>
    </row>
    <row r="702" ht="15.75" customHeight="1">
      <c r="A702" s="9"/>
      <c r="B702" s="9"/>
      <c r="C702" s="9"/>
      <c r="D702" s="9"/>
      <c r="E702" s="9"/>
      <c r="F702" s="9"/>
      <c r="G702" s="9"/>
      <c r="H702" s="9"/>
      <c r="I702" s="9"/>
      <c r="J702" s="9"/>
      <c r="K702" s="9"/>
      <c r="L702" s="556"/>
      <c r="M702" s="9"/>
      <c r="N702" s="9"/>
      <c r="O702" s="9"/>
      <c r="P702" s="9"/>
      <c r="Q702" s="9"/>
      <c r="R702" s="9"/>
      <c r="S702" s="9"/>
      <c r="T702" s="9"/>
      <c r="U702" s="9"/>
      <c r="V702" s="9"/>
      <c r="W702" s="9"/>
      <c r="X702" s="589"/>
      <c r="Y702" s="9"/>
      <c r="Z702" s="204"/>
      <c r="AA702" s="9"/>
      <c r="AB702" s="9"/>
      <c r="AC702" s="9"/>
      <c r="AD702" s="9"/>
    </row>
    <row r="703" ht="15.75" customHeight="1">
      <c r="A703" s="9"/>
      <c r="B703" s="9"/>
      <c r="C703" s="9"/>
      <c r="D703" s="9"/>
      <c r="E703" s="9"/>
      <c r="F703" s="9"/>
      <c r="G703" s="9"/>
      <c r="H703" s="9"/>
      <c r="I703" s="9"/>
      <c r="J703" s="9"/>
      <c r="K703" s="9"/>
      <c r="L703" s="556"/>
      <c r="M703" s="9"/>
      <c r="N703" s="9"/>
      <c r="O703" s="9"/>
      <c r="P703" s="9"/>
      <c r="Q703" s="9"/>
      <c r="R703" s="9"/>
      <c r="S703" s="9"/>
      <c r="T703" s="9"/>
      <c r="U703" s="9"/>
      <c r="V703" s="9"/>
      <c r="W703" s="9"/>
      <c r="X703" s="589"/>
      <c r="Y703" s="9"/>
      <c r="Z703" s="204"/>
      <c r="AA703" s="9"/>
      <c r="AB703" s="9"/>
      <c r="AC703" s="9"/>
      <c r="AD703" s="9"/>
    </row>
    <row r="704" ht="15.75" customHeight="1">
      <c r="A704" s="9"/>
      <c r="B704" s="9"/>
      <c r="C704" s="9"/>
      <c r="D704" s="9"/>
      <c r="E704" s="9"/>
      <c r="F704" s="9"/>
      <c r="G704" s="9"/>
      <c r="H704" s="9"/>
      <c r="I704" s="9"/>
      <c r="J704" s="9"/>
      <c r="K704" s="9"/>
      <c r="L704" s="556"/>
      <c r="M704" s="9"/>
      <c r="N704" s="9"/>
      <c r="O704" s="9"/>
      <c r="P704" s="9"/>
      <c r="Q704" s="9"/>
      <c r="R704" s="9"/>
      <c r="S704" s="9"/>
      <c r="T704" s="9"/>
      <c r="U704" s="9"/>
      <c r="V704" s="9"/>
      <c r="W704" s="9"/>
      <c r="X704" s="589"/>
      <c r="Y704" s="9"/>
      <c r="Z704" s="204"/>
      <c r="AA704" s="9"/>
      <c r="AB704" s="9"/>
      <c r="AC704" s="9"/>
      <c r="AD704" s="9"/>
    </row>
    <row r="705" ht="15.75" customHeight="1">
      <c r="A705" s="9"/>
      <c r="B705" s="9"/>
      <c r="C705" s="9"/>
      <c r="D705" s="9"/>
      <c r="E705" s="9"/>
      <c r="F705" s="9"/>
      <c r="G705" s="9"/>
      <c r="H705" s="9"/>
      <c r="I705" s="9"/>
      <c r="J705" s="9"/>
      <c r="K705" s="9"/>
      <c r="L705" s="556"/>
      <c r="M705" s="9"/>
      <c r="N705" s="9"/>
      <c r="O705" s="9"/>
      <c r="P705" s="9"/>
      <c r="Q705" s="9"/>
      <c r="R705" s="9"/>
      <c r="S705" s="9"/>
      <c r="T705" s="9"/>
      <c r="U705" s="9"/>
      <c r="V705" s="9"/>
      <c r="W705" s="9"/>
      <c r="X705" s="589"/>
      <c r="Y705" s="9"/>
      <c r="Z705" s="204"/>
      <c r="AA705" s="9"/>
      <c r="AB705" s="9"/>
      <c r="AC705" s="9"/>
      <c r="AD705" s="9"/>
    </row>
    <row r="706" ht="15.75" customHeight="1">
      <c r="A706" s="9"/>
      <c r="B706" s="9"/>
      <c r="C706" s="9"/>
      <c r="D706" s="9"/>
      <c r="E706" s="9"/>
      <c r="F706" s="9"/>
      <c r="G706" s="9"/>
      <c r="H706" s="9"/>
      <c r="I706" s="9"/>
      <c r="J706" s="9"/>
      <c r="K706" s="9"/>
      <c r="L706" s="556"/>
      <c r="M706" s="9"/>
      <c r="N706" s="9"/>
      <c r="O706" s="9"/>
      <c r="P706" s="9"/>
      <c r="Q706" s="9"/>
      <c r="R706" s="9"/>
      <c r="S706" s="9"/>
      <c r="T706" s="9"/>
      <c r="U706" s="9"/>
      <c r="V706" s="9"/>
      <c r="W706" s="9"/>
      <c r="X706" s="589"/>
      <c r="Y706" s="9"/>
      <c r="Z706" s="204"/>
      <c r="AA706" s="9"/>
      <c r="AB706" s="9"/>
      <c r="AC706" s="9"/>
      <c r="AD706" s="9"/>
    </row>
    <row r="707" ht="15.75" customHeight="1">
      <c r="A707" s="9"/>
      <c r="B707" s="9"/>
      <c r="C707" s="9"/>
      <c r="D707" s="9"/>
      <c r="E707" s="9"/>
      <c r="F707" s="9"/>
      <c r="G707" s="9"/>
      <c r="H707" s="9"/>
      <c r="I707" s="9"/>
      <c r="J707" s="9"/>
      <c r="K707" s="9"/>
      <c r="L707" s="556"/>
      <c r="M707" s="9"/>
      <c r="N707" s="9"/>
      <c r="O707" s="9"/>
      <c r="P707" s="9"/>
      <c r="Q707" s="9"/>
      <c r="R707" s="9"/>
      <c r="S707" s="9"/>
      <c r="T707" s="9"/>
      <c r="U707" s="9"/>
      <c r="V707" s="9"/>
      <c r="W707" s="9"/>
      <c r="X707" s="589"/>
      <c r="Y707" s="9"/>
      <c r="Z707" s="204"/>
      <c r="AA707" s="9"/>
      <c r="AB707" s="9"/>
      <c r="AC707" s="9"/>
      <c r="AD707" s="9"/>
    </row>
    <row r="708" ht="15.75" customHeight="1">
      <c r="A708" s="9"/>
      <c r="B708" s="9"/>
      <c r="C708" s="9"/>
      <c r="D708" s="9"/>
      <c r="E708" s="9"/>
      <c r="F708" s="9"/>
      <c r="G708" s="9"/>
      <c r="H708" s="9"/>
      <c r="I708" s="9"/>
      <c r="J708" s="9"/>
      <c r="K708" s="9"/>
      <c r="L708" s="556"/>
      <c r="M708" s="9"/>
      <c r="N708" s="9"/>
      <c r="O708" s="9"/>
      <c r="P708" s="9"/>
      <c r="Q708" s="9"/>
      <c r="R708" s="9"/>
      <c r="S708" s="9"/>
      <c r="T708" s="9"/>
      <c r="U708" s="9"/>
      <c r="V708" s="9"/>
      <c r="W708" s="9"/>
      <c r="X708" s="589"/>
      <c r="Y708" s="9"/>
      <c r="Z708" s="204"/>
      <c r="AA708" s="9"/>
      <c r="AB708" s="9"/>
      <c r="AC708" s="9"/>
      <c r="AD708" s="9"/>
    </row>
    <row r="709" ht="15.75" customHeight="1">
      <c r="A709" s="9"/>
      <c r="B709" s="9"/>
      <c r="C709" s="9"/>
      <c r="D709" s="9"/>
      <c r="E709" s="9"/>
      <c r="F709" s="9"/>
      <c r="G709" s="9"/>
      <c r="H709" s="9"/>
      <c r="I709" s="9"/>
      <c r="J709" s="9"/>
      <c r="K709" s="9"/>
      <c r="L709" s="556"/>
      <c r="M709" s="9"/>
      <c r="N709" s="9"/>
      <c r="O709" s="9"/>
      <c r="P709" s="9"/>
      <c r="Q709" s="9"/>
      <c r="R709" s="9"/>
      <c r="S709" s="9"/>
      <c r="T709" s="9"/>
      <c r="U709" s="9"/>
      <c r="V709" s="9"/>
      <c r="W709" s="9"/>
      <c r="X709" s="589"/>
      <c r="Y709" s="9"/>
      <c r="Z709" s="204"/>
      <c r="AA709" s="9"/>
      <c r="AB709" s="9"/>
      <c r="AC709" s="9"/>
      <c r="AD709" s="9"/>
    </row>
    <row r="710" ht="15.75" customHeight="1">
      <c r="A710" s="9"/>
      <c r="B710" s="9"/>
      <c r="C710" s="9"/>
      <c r="D710" s="9"/>
      <c r="E710" s="9"/>
      <c r="F710" s="9"/>
      <c r="G710" s="9"/>
      <c r="H710" s="9"/>
      <c r="I710" s="9"/>
      <c r="J710" s="9"/>
      <c r="K710" s="9"/>
      <c r="L710" s="556"/>
      <c r="M710" s="9"/>
      <c r="N710" s="9"/>
      <c r="O710" s="9"/>
      <c r="P710" s="9"/>
      <c r="Q710" s="9"/>
      <c r="R710" s="9"/>
      <c r="S710" s="9"/>
      <c r="T710" s="9"/>
      <c r="U710" s="9"/>
      <c r="V710" s="9"/>
      <c r="W710" s="9"/>
      <c r="X710" s="589"/>
      <c r="Y710" s="9"/>
      <c r="Z710" s="204"/>
      <c r="AA710" s="9"/>
      <c r="AB710" s="9"/>
      <c r="AC710" s="9"/>
      <c r="AD710" s="9"/>
    </row>
    <row r="711" ht="15.75" customHeight="1">
      <c r="A711" s="9"/>
      <c r="B711" s="9"/>
      <c r="C711" s="9"/>
      <c r="D711" s="9"/>
      <c r="E711" s="9"/>
      <c r="F711" s="9"/>
      <c r="G711" s="9"/>
      <c r="H711" s="9"/>
      <c r="I711" s="9"/>
      <c r="J711" s="9"/>
      <c r="K711" s="9"/>
      <c r="L711" s="556"/>
      <c r="M711" s="9"/>
      <c r="N711" s="9"/>
      <c r="O711" s="9"/>
      <c r="P711" s="9"/>
      <c r="Q711" s="9"/>
      <c r="R711" s="9"/>
      <c r="S711" s="9"/>
      <c r="T711" s="9"/>
      <c r="U711" s="9"/>
      <c r="V711" s="9"/>
      <c r="W711" s="9"/>
      <c r="X711" s="589"/>
      <c r="Y711" s="9"/>
      <c r="Z711" s="204"/>
      <c r="AA711" s="9"/>
      <c r="AB711" s="9"/>
      <c r="AC711" s="9"/>
      <c r="AD711" s="9"/>
    </row>
    <row r="712" ht="15.75" customHeight="1">
      <c r="A712" s="9"/>
      <c r="B712" s="9"/>
      <c r="C712" s="9"/>
      <c r="D712" s="9"/>
      <c r="E712" s="9"/>
      <c r="F712" s="9"/>
      <c r="G712" s="9"/>
      <c r="H712" s="9"/>
      <c r="I712" s="9"/>
      <c r="J712" s="9"/>
      <c r="K712" s="9"/>
      <c r="L712" s="556"/>
      <c r="M712" s="9"/>
      <c r="N712" s="9"/>
      <c r="O712" s="9"/>
      <c r="P712" s="9"/>
      <c r="Q712" s="9"/>
      <c r="R712" s="9"/>
      <c r="S712" s="9"/>
      <c r="T712" s="9"/>
      <c r="U712" s="9"/>
      <c r="V712" s="9"/>
      <c r="W712" s="9"/>
      <c r="X712" s="589"/>
      <c r="Y712" s="9"/>
      <c r="Z712" s="204"/>
      <c r="AA712" s="9"/>
      <c r="AB712" s="9"/>
      <c r="AC712" s="9"/>
      <c r="AD712" s="9"/>
    </row>
    <row r="713" ht="15.75" customHeight="1">
      <c r="A713" s="9"/>
      <c r="B713" s="9"/>
      <c r="C713" s="9"/>
      <c r="D713" s="9"/>
      <c r="E713" s="9"/>
      <c r="F713" s="9"/>
      <c r="G713" s="9"/>
      <c r="H713" s="9"/>
      <c r="I713" s="9"/>
      <c r="J713" s="9"/>
      <c r="K713" s="9"/>
      <c r="L713" s="556"/>
      <c r="M713" s="9"/>
      <c r="N713" s="9"/>
      <c r="O713" s="9"/>
      <c r="P713" s="9"/>
      <c r="Q713" s="9"/>
      <c r="R713" s="9"/>
      <c r="S713" s="9"/>
      <c r="T713" s="9"/>
      <c r="U713" s="9"/>
      <c r="V713" s="9"/>
      <c r="W713" s="9"/>
      <c r="X713" s="589"/>
      <c r="Y713" s="9"/>
      <c r="Z713" s="204"/>
      <c r="AA713" s="9"/>
      <c r="AB713" s="9"/>
      <c r="AC713" s="9"/>
      <c r="AD713" s="9"/>
    </row>
    <row r="714" ht="15.75" customHeight="1">
      <c r="A714" s="9"/>
      <c r="B714" s="9"/>
      <c r="C714" s="9"/>
      <c r="D714" s="9"/>
      <c r="E714" s="9"/>
      <c r="F714" s="9"/>
      <c r="G714" s="9"/>
      <c r="H714" s="9"/>
      <c r="I714" s="9"/>
      <c r="J714" s="9"/>
      <c r="K714" s="9"/>
      <c r="L714" s="556"/>
      <c r="M714" s="9"/>
      <c r="N714" s="9"/>
      <c r="O714" s="9"/>
      <c r="P714" s="9"/>
      <c r="Q714" s="9"/>
      <c r="R714" s="9"/>
      <c r="S714" s="9"/>
      <c r="T714" s="9"/>
      <c r="U714" s="9"/>
      <c r="V714" s="9"/>
      <c r="W714" s="9"/>
      <c r="X714" s="589"/>
      <c r="Y714" s="9"/>
      <c r="Z714" s="204"/>
      <c r="AA714" s="9"/>
      <c r="AB714" s="9"/>
      <c r="AC714" s="9"/>
      <c r="AD714" s="9"/>
    </row>
    <row r="715" ht="15.75" customHeight="1">
      <c r="A715" s="9"/>
      <c r="B715" s="9"/>
      <c r="C715" s="9"/>
      <c r="D715" s="9"/>
      <c r="E715" s="9"/>
      <c r="F715" s="9"/>
      <c r="G715" s="9"/>
      <c r="H715" s="9"/>
      <c r="I715" s="9"/>
      <c r="J715" s="9"/>
      <c r="K715" s="9"/>
      <c r="L715" s="556"/>
      <c r="M715" s="9"/>
      <c r="N715" s="9"/>
      <c r="O715" s="9"/>
      <c r="P715" s="9"/>
      <c r="Q715" s="9"/>
      <c r="R715" s="9"/>
      <c r="S715" s="9"/>
      <c r="T715" s="9"/>
      <c r="U715" s="9"/>
      <c r="V715" s="9"/>
      <c r="W715" s="9"/>
      <c r="X715" s="589"/>
      <c r="Y715" s="9"/>
      <c r="Z715" s="204"/>
      <c r="AA715" s="9"/>
      <c r="AB715" s="9"/>
      <c r="AC715" s="9"/>
      <c r="AD715" s="9"/>
    </row>
    <row r="716" ht="15.75" customHeight="1">
      <c r="A716" s="9"/>
      <c r="B716" s="9"/>
      <c r="C716" s="9"/>
      <c r="D716" s="9"/>
      <c r="E716" s="9"/>
      <c r="F716" s="9"/>
      <c r="G716" s="9"/>
      <c r="H716" s="9"/>
      <c r="I716" s="9"/>
      <c r="J716" s="9"/>
      <c r="K716" s="9"/>
      <c r="L716" s="556"/>
      <c r="M716" s="9"/>
      <c r="N716" s="9"/>
      <c r="O716" s="9"/>
      <c r="P716" s="9"/>
      <c r="Q716" s="9"/>
      <c r="R716" s="9"/>
      <c r="S716" s="9"/>
      <c r="T716" s="9"/>
      <c r="U716" s="9"/>
      <c r="V716" s="9"/>
      <c r="W716" s="9"/>
      <c r="X716" s="589"/>
      <c r="Y716" s="9"/>
      <c r="Z716" s="204"/>
      <c r="AA716" s="9"/>
      <c r="AB716" s="9"/>
      <c r="AC716" s="9"/>
      <c r="AD716" s="9"/>
    </row>
    <row r="717" ht="15.75" customHeight="1">
      <c r="A717" s="9"/>
      <c r="B717" s="9"/>
      <c r="C717" s="9"/>
      <c r="D717" s="9"/>
      <c r="E717" s="9"/>
      <c r="F717" s="9"/>
      <c r="G717" s="9"/>
      <c r="H717" s="9"/>
      <c r="I717" s="9"/>
      <c r="J717" s="9"/>
      <c r="K717" s="9"/>
      <c r="L717" s="556"/>
      <c r="M717" s="9"/>
      <c r="N717" s="9"/>
      <c r="O717" s="9"/>
      <c r="P717" s="9"/>
      <c r="Q717" s="9"/>
      <c r="R717" s="9"/>
      <c r="S717" s="9"/>
      <c r="T717" s="9"/>
      <c r="U717" s="9"/>
      <c r="V717" s="9"/>
      <c r="W717" s="9"/>
      <c r="X717" s="589"/>
      <c r="Y717" s="9"/>
      <c r="Z717" s="204"/>
      <c r="AA717" s="9"/>
      <c r="AB717" s="9"/>
      <c r="AC717" s="9"/>
      <c r="AD717" s="9"/>
    </row>
    <row r="718" ht="15.75" customHeight="1">
      <c r="A718" s="9"/>
      <c r="B718" s="9"/>
      <c r="C718" s="9"/>
      <c r="D718" s="9"/>
      <c r="E718" s="9"/>
      <c r="F718" s="9"/>
      <c r="G718" s="9"/>
      <c r="H718" s="9"/>
      <c r="I718" s="9"/>
      <c r="J718" s="9"/>
      <c r="K718" s="9"/>
      <c r="L718" s="556"/>
      <c r="M718" s="9"/>
      <c r="N718" s="9"/>
      <c r="O718" s="9"/>
      <c r="P718" s="9"/>
      <c r="Q718" s="9"/>
      <c r="R718" s="9"/>
      <c r="S718" s="9"/>
      <c r="T718" s="9"/>
      <c r="U718" s="9"/>
      <c r="V718" s="9"/>
      <c r="W718" s="9"/>
      <c r="X718" s="589"/>
      <c r="Y718" s="9"/>
      <c r="Z718" s="204"/>
      <c r="AA718" s="9"/>
      <c r="AB718" s="9"/>
      <c r="AC718" s="9"/>
      <c r="AD718" s="9"/>
    </row>
    <row r="719" ht="15.75" customHeight="1">
      <c r="A719" s="9"/>
      <c r="B719" s="9"/>
      <c r="C719" s="9"/>
      <c r="D719" s="9"/>
      <c r="E719" s="9"/>
      <c r="F719" s="9"/>
      <c r="G719" s="9"/>
      <c r="H719" s="9"/>
      <c r="I719" s="9"/>
      <c r="J719" s="9"/>
      <c r="K719" s="9"/>
      <c r="L719" s="556"/>
      <c r="M719" s="9"/>
      <c r="N719" s="9"/>
      <c r="O719" s="9"/>
      <c r="P719" s="9"/>
      <c r="Q719" s="9"/>
      <c r="R719" s="9"/>
      <c r="S719" s="9"/>
      <c r="T719" s="9"/>
      <c r="U719" s="9"/>
      <c r="V719" s="9"/>
      <c r="W719" s="9"/>
      <c r="X719" s="589"/>
      <c r="Y719" s="9"/>
      <c r="Z719" s="204"/>
      <c r="AA719" s="9"/>
      <c r="AB719" s="9"/>
      <c r="AC719" s="9"/>
      <c r="AD719" s="9"/>
    </row>
    <row r="720" ht="15.75" customHeight="1">
      <c r="A720" s="9"/>
      <c r="B720" s="9"/>
      <c r="C720" s="9"/>
      <c r="D720" s="9"/>
      <c r="E720" s="9"/>
      <c r="F720" s="9"/>
      <c r="G720" s="9"/>
      <c r="H720" s="9"/>
      <c r="I720" s="9"/>
      <c r="J720" s="9"/>
      <c r="K720" s="9"/>
      <c r="L720" s="556"/>
      <c r="M720" s="9"/>
      <c r="N720" s="9"/>
      <c r="O720" s="9"/>
      <c r="P720" s="9"/>
      <c r="Q720" s="9"/>
      <c r="R720" s="9"/>
      <c r="S720" s="9"/>
      <c r="T720" s="9"/>
      <c r="U720" s="9"/>
      <c r="V720" s="9"/>
      <c r="W720" s="9"/>
      <c r="X720" s="589"/>
      <c r="Y720" s="9"/>
      <c r="Z720" s="204"/>
      <c r="AA720" s="9"/>
      <c r="AB720" s="9"/>
      <c r="AC720" s="9"/>
      <c r="AD720" s="9"/>
    </row>
    <row r="721" ht="15.75" customHeight="1">
      <c r="A721" s="9"/>
      <c r="B721" s="9"/>
      <c r="C721" s="9"/>
      <c r="D721" s="9"/>
      <c r="E721" s="9"/>
      <c r="F721" s="9"/>
      <c r="G721" s="9"/>
      <c r="H721" s="9"/>
      <c r="I721" s="9"/>
      <c r="J721" s="9"/>
      <c r="K721" s="9"/>
      <c r="L721" s="556"/>
      <c r="M721" s="9"/>
      <c r="N721" s="9"/>
      <c r="O721" s="9"/>
      <c r="P721" s="9"/>
      <c r="Q721" s="9"/>
      <c r="R721" s="9"/>
      <c r="S721" s="9"/>
      <c r="T721" s="9"/>
      <c r="U721" s="9"/>
      <c r="V721" s="9"/>
      <c r="W721" s="9"/>
      <c r="X721" s="589"/>
      <c r="Y721" s="9"/>
      <c r="Z721" s="204"/>
      <c r="AA721" s="9"/>
      <c r="AB721" s="9"/>
      <c r="AC721" s="9"/>
      <c r="AD721" s="9"/>
    </row>
    <row r="722" ht="15.75" customHeight="1">
      <c r="A722" s="9"/>
      <c r="B722" s="9"/>
      <c r="C722" s="9"/>
      <c r="D722" s="9"/>
      <c r="E722" s="9"/>
      <c r="F722" s="9"/>
      <c r="G722" s="9"/>
      <c r="H722" s="9"/>
      <c r="I722" s="9"/>
      <c r="J722" s="9"/>
      <c r="K722" s="9"/>
      <c r="L722" s="556"/>
      <c r="M722" s="9"/>
      <c r="N722" s="9"/>
      <c r="O722" s="9"/>
      <c r="P722" s="9"/>
      <c r="Q722" s="9"/>
      <c r="R722" s="9"/>
      <c r="S722" s="9"/>
      <c r="T722" s="9"/>
      <c r="U722" s="9"/>
      <c r="V722" s="9"/>
      <c r="W722" s="9"/>
      <c r="X722" s="589"/>
      <c r="Y722" s="9"/>
      <c r="Z722" s="204"/>
      <c r="AA722" s="9"/>
      <c r="AB722" s="9"/>
      <c r="AC722" s="9"/>
      <c r="AD722" s="9"/>
    </row>
    <row r="723" ht="15.75" customHeight="1">
      <c r="A723" s="9"/>
      <c r="B723" s="9"/>
      <c r="C723" s="9"/>
      <c r="D723" s="9"/>
      <c r="E723" s="9"/>
      <c r="F723" s="9"/>
      <c r="G723" s="9"/>
      <c r="H723" s="9"/>
      <c r="I723" s="9"/>
      <c r="J723" s="9"/>
      <c r="K723" s="9"/>
      <c r="L723" s="556"/>
      <c r="M723" s="9"/>
      <c r="N723" s="9"/>
      <c r="O723" s="9"/>
      <c r="P723" s="9"/>
      <c r="Q723" s="9"/>
      <c r="R723" s="9"/>
      <c r="S723" s="9"/>
      <c r="T723" s="9"/>
      <c r="U723" s="9"/>
      <c r="V723" s="9"/>
      <c r="W723" s="9"/>
      <c r="X723" s="589"/>
      <c r="Y723" s="9"/>
      <c r="Z723" s="204"/>
      <c r="AA723" s="9"/>
      <c r="AB723" s="9"/>
      <c r="AC723" s="9"/>
      <c r="AD723" s="9"/>
    </row>
    <row r="724" ht="15.75" customHeight="1">
      <c r="A724" s="9"/>
      <c r="B724" s="9"/>
      <c r="C724" s="9"/>
      <c r="D724" s="9"/>
      <c r="E724" s="9"/>
      <c r="F724" s="9"/>
      <c r="G724" s="9"/>
      <c r="H724" s="9"/>
      <c r="I724" s="9"/>
      <c r="J724" s="9"/>
      <c r="K724" s="9"/>
      <c r="L724" s="556"/>
      <c r="M724" s="9"/>
      <c r="N724" s="9"/>
      <c r="O724" s="9"/>
      <c r="P724" s="9"/>
      <c r="Q724" s="9"/>
      <c r="R724" s="9"/>
      <c r="S724" s="9"/>
      <c r="T724" s="9"/>
      <c r="U724" s="9"/>
      <c r="V724" s="9"/>
      <c r="W724" s="9"/>
      <c r="X724" s="589"/>
      <c r="Y724" s="9"/>
      <c r="Z724" s="204"/>
      <c r="AA724" s="9"/>
      <c r="AB724" s="9"/>
      <c r="AC724" s="9"/>
      <c r="AD724" s="9"/>
    </row>
    <row r="725" ht="15.75" customHeight="1">
      <c r="A725" s="9"/>
      <c r="B725" s="9"/>
      <c r="C725" s="9"/>
      <c r="D725" s="9"/>
      <c r="E725" s="9"/>
      <c r="F725" s="9"/>
      <c r="G725" s="9"/>
      <c r="H725" s="9"/>
      <c r="I725" s="9"/>
      <c r="J725" s="9"/>
      <c r="K725" s="9"/>
      <c r="L725" s="556"/>
      <c r="M725" s="9"/>
      <c r="N725" s="9"/>
      <c r="O725" s="9"/>
      <c r="P725" s="9"/>
      <c r="Q725" s="9"/>
      <c r="R725" s="9"/>
      <c r="S725" s="9"/>
      <c r="T725" s="9"/>
      <c r="U725" s="9"/>
      <c r="V725" s="9"/>
      <c r="W725" s="9"/>
      <c r="X725" s="589"/>
      <c r="Y725" s="9"/>
      <c r="Z725" s="204"/>
      <c r="AA725" s="9"/>
      <c r="AB725" s="9"/>
      <c r="AC725" s="9"/>
      <c r="AD725" s="9"/>
    </row>
    <row r="726" ht="15.75" customHeight="1">
      <c r="A726" s="9"/>
      <c r="B726" s="9"/>
      <c r="C726" s="9"/>
      <c r="D726" s="9"/>
      <c r="E726" s="9"/>
      <c r="F726" s="9"/>
      <c r="G726" s="9"/>
      <c r="H726" s="9"/>
      <c r="I726" s="9"/>
      <c r="J726" s="9"/>
      <c r="K726" s="9"/>
      <c r="L726" s="556"/>
      <c r="M726" s="9"/>
      <c r="N726" s="9"/>
      <c r="O726" s="9"/>
      <c r="P726" s="9"/>
      <c r="Q726" s="9"/>
      <c r="R726" s="9"/>
      <c r="S726" s="9"/>
      <c r="T726" s="9"/>
      <c r="U726" s="9"/>
      <c r="V726" s="9"/>
      <c r="W726" s="9"/>
      <c r="X726" s="589"/>
      <c r="Y726" s="9"/>
      <c r="Z726" s="204"/>
      <c r="AA726" s="9"/>
      <c r="AB726" s="9"/>
      <c r="AC726" s="9"/>
      <c r="AD726" s="9"/>
    </row>
    <row r="727" ht="15.75" customHeight="1">
      <c r="A727" s="9"/>
      <c r="B727" s="9"/>
      <c r="C727" s="9"/>
      <c r="D727" s="9"/>
      <c r="E727" s="9"/>
      <c r="F727" s="9"/>
      <c r="G727" s="9"/>
      <c r="H727" s="9"/>
      <c r="I727" s="9"/>
      <c r="J727" s="9"/>
      <c r="K727" s="9"/>
      <c r="L727" s="556"/>
      <c r="M727" s="9"/>
      <c r="N727" s="9"/>
      <c r="O727" s="9"/>
      <c r="P727" s="9"/>
      <c r="Q727" s="9"/>
      <c r="R727" s="9"/>
      <c r="S727" s="9"/>
      <c r="T727" s="9"/>
      <c r="U727" s="9"/>
      <c r="V727" s="9"/>
      <c r="W727" s="9"/>
      <c r="X727" s="589"/>
      <c r="Y727" s="9"/>
      <c r="Z727" s="204"/>
      <c r="AA727" s="9"/>
      <c r="AB727" s="9"/>
      <c r="AC727" s="9"/>
      <c r="AD727" s="9"/>
    </row>
    <row r="728" ht="15.75" customHeight="1">
      <c r="A728" s="9"/>
      <c r="B728" s="9"/>
      <c r="C728" s="9"/>
      <c r="D728" s="9"/>
      <c r="E728" s="9"/>
      <c r="F728" s="9"/>
      <c r="G728" s="9"/>
      <c r="H728" s="9"/>
      <c r="I728" s="9"/>
      <c r="J728" s="9"/>
      <c r="K728" s="9"/>
      <c r="L728" s="556"/>
      <c r="M728" s="9"/>
      <c r="N728" s="9"/>
      <c r="O728" s="9"/>
      <c r="P728" s="9"/>
      <c r="Q728" s="9"/>
      <c r="R728" s="9"/>
      <c r="S728" s="9"/>
      <c r="T728" s="9"/>
      <c r="U728" s="9"/>
      <c r="V728" s="9"/>
      <c r="W728" s="9"/>
      <c r="X728" s="589"/>
      <c r="Y728" s="9"/>
      <c r="Z728" s="204"/>
      <c r="AA728" s="9"/>
      <c r="AB728" s="9"/>
      <c r="AC728" s="9"/>
      <c r="AD728" s="9"/>
    </row>
    <row r="729" ht="15.75" customHeight="1">
      <c r="A729" s="9"/>
      <c r="B729" s="9"/>
      <c r="C729" s="9"/>
      <c r="D729" s="9"/>
      <c r="E729" s="9"/>
      <c r="F729" s="9"/>
      <c r="G729" s="9"/>
      <c r="H729" s="9"/>
      <c r="I729" s="9"/>
      <c r="J729" s="9"/>
      <c r="K729" s="9"/>
      <c r="L729" s="556"/>
      <c r="M729" s="9"/>
      <c r="N729" s="9"/>
      <c r="O729" s="9"/>
      <c r="P729" s="9"/>
      <c r="Q729" s="9"/>
      <c r="R729" s="9"/>
      <c r="S729" s="9"/>
      <c r="T729" s="9"/>
      <c r="U729" s="9"/>
      <c r="V729" s="9"/>
      <c r="W729" s="9"/>
      <c r="X729" s="589"/>
      <c r="Y729" s="9"/>
      <c r="Z729" s="204"/>
      <c r="AA729" s="9"/>
      <c r="AB729" s="9"/>
      <c r="AC729" s="9"/>
      <c r="AD729" s="9"/>
    </row>
    <row r="730" ht="15.75" customHeight="1">
      <c r="A730" s="9"/>
      <c r="B730" s="9"/>
      <c r="C730" s="9"/>
      <c r="D730" s="9"/>
      <c r="E730" s="9"/>
      <c r="F730" s="9"/>
      <c r="G730" s="9"/>
      <c r="H730" s="9"/>
      <c r="I730" s="9"/>
      <c r="J730" s="9"/>
      <c r="K730" s="9"/>
      <c r="L730" s="556"/>
      <c r="M730" s="9"/>
      <c r="N730" s="9"/>
      <c r="O730" s="9"/>
      <c r="P730" s="9"/>
      <c r="Q730" s="9"/>
      <c r="R730" s="9"/>
      <c r="S730" s="9"/>
      <c r="T730" s="9"/>
      <c r="U730" s="9"/>
      <c r="V730" s="9"/>
      <c r="W730" s="9"/>
      <c r="X730" s="589"/>
      <c r="Y730" s="9"/>
      <c r="Z730" s="204"/>
      <c r="AA730" s="9"/>
      <c r="AB730" s="9"/>
      <c r="AC730" s="9"/>
      <c r="AD730" s="9"/>
    </row>
    <row r="731" ht="15.75" customHeight="1">
      <c r="A731" s="9"/>
      <c r="B731" s="9"/>
      <c r="C731" s="9"/>
      <c r="D731" s="9"/>
      <c r="E731" s="9"/>
      <c r="F731" s="9"/>
      <c r="G731" s="9"/>
      <c r="H731" s="9"/>
      <c r="I731" s="9"/>
      <c r="J731" s="9"/>
      <c r="K731" s="9"/>
      <c r="L731" s="556"/>
      <c r="M731" s="9"/>
      <c r="N731" s="9"/>
      <c r="O731" s="9"/>
      <c r="P731" s="9"/>
      <c r="Q731" s="9"/>
      <c r="R731" s="9"/>
      <c r="S731" s="9"/>
      <c r="T731" s="9"/>
      <c r="U731" s="9"/>
      <c r="V731" s="9"/>
      <c r="W731" s="9"/>
      <c r="X731" s="589"/>
      <c r="Y731" s="9"/>
      <c r="Z731" s="204"/>
      <c r="AA731" s="9"/>
      <c r="AB731" s="9"/>
      <c r="AC731" s="9"/>
      <c r="AD731" s="9"/>
    </row>
    <row r="732" ht="15.75" customHeight="1">
      <c r="A732" s="9"/>
      <c r="B732" s="9"/>
      <c r="C732" s="9"/>
      <c r="D732" s="9"/>
      <c r="E732" s="9"/>
      <c r="F732" s="9"/>
      <c r="G732" s="9"/>
      <c r="H732" s="9"/>
      <c r="I732" s="9"/>
      <c r="J732" s="9"/>
      <c r="K732" s="9"/>
      <c r="L732" s="556"/>
      <c r="M732" s="9"/>
      <c r="N732" s="9"/>
      <c r="O732" s="9"/>
      <c r="P732" s="9"/>
      <c r="Q732" s="9"/>
      <c r="R732" s="9"/>
      <c r="S732" s="9"/>
      <c r="T732" s="9"/>
      <c r="U732" s="9"/>
      <c r="V732" s="9"/>
      <c r="W732" s="9"/>
      <c r="X732" s="589"/>
      <c r="Y732" s="9"/>
      <c r="Z732" s="204"/>
      <c r="AA732" s="9"/>
      <c r="AB732" s="9"/>
      <c r="AC732" s="9"/>
      <c r="AD732" s="9"/>
    </row>
    <row r="733" ht="15.75" customHeight="1">
      <c r="A733" s="9"/>
      <c r="B733" s="9"/>
      <c r="C733" s="9"/>
      <c r="D733" s="9"/>
      <c r="E733" s="9"/>
      <c r="F733" s="9"/>
      <c r="G733" s="9"/>
      <c r="H733" s="9"/>
      <c r="I733" s="9"/>
      <c r="J733" s="9"/>
      <c r="K733" s="9"/>
      <c r="L733" s="556"/>
      <c r="M733" s="9"/>
      <c r="N733" s="9"/>
      <c r="O733" s="9"/>
      <c r="P733" s="9"/>
      <c r="Q733" s="9"/>
      <c r="R733" s="9"/>
      <c r="S733" s="9"/>
      <c r="T733" s="9"/>
      <c r="U733" s="9"/>
      <c r="V733" s="9"/>
      <c r="W733" s="9"/>
      <c r="X733" s="589"/>
      <c r="Y733" s="9"/>
      <c r="Z733" s="204"/>
      <c r="AA733" s="9"/>
      <c r="AB733" s="9"/>
      <c r="AC733" s="9"/>
      <c r="AD733" s="9"/>
    </row>
    <row r="734" ht="15.75" customHeight="1">
      <c r="A734" s="9"/>
      <c r="B734" s="9"/>
      <c r="C734" s="9"/>
      <c r="D734" s="9"/>
      <c r="E734" s="9"/>
      <c r="F734" s="9"/>
      <c r="G734" s="9"/>
      <c r="H734" s="9"/>
      <c r="I734" s="9"/>
      <c r="J734" s="9"/>
      <c r="K734" s="9"/>
      <c r="L734" s="556"/>
      <c r="M734" s="9"/>
      <c r="N734" s="9"/>
      <c r="O734" s="9"/>
      <c r="P734" s="9"/>
      <c r="Q734" s="9"/>
      <c r="R734" s="9"/>
      <c r="S734" s="9"/>
      <c r="T734" s="9"/>
      <c r="U734" s="9"/>
      <c r="V734" s="9"/>
      <c r="W734" s="9"/>
      <c r="X734" s="589"/>
      <c r="Y734" s="9"/>
      <c r="Z734" s="204"/>
      <c r="AA734" s="9"/>
      <c r="AB734" s="9"/>
      <c r="AC734" s="9"/>
      <c r="AD734" s="9"/>
    </row>
    <row r="735" ht="15.75" customHeight="1">
      <c r="A735" s="9"/>
      <c r="B735" s="9"/>
      <c r="C735" s="9"/>
      <c r="D735" s="9"/>
      <c r="E735" s="9"/>
      <c r="F735" s="9"/>
      <c r="G735" s="9"/>
      <c r="H735" s="9"/>
      <c r="I735" s="9"/>
      <c r="J735" s="9"/>
      <c r="K735" s="9"/>
      <c r="L735" s="556"/>
      <c r="M735" s="9"/>
      <c r="N735" s="9"/>
      <c r="O735" s="9"/>
      <c r="P735" s="9"/>
      <c r="Q735" s="9"/>
      <c r="R735" s="9"/>
      <c r="S735" s="9"/>
      <c r="T735" s="9"/>
      <c r="U735" s="9"/>
      <c r="V735" s="9"/>
      <c r="W735" s="9"/>
      <c r="X735" s="589"/>
      <c r="Y735" s="9"/>
      <c r="Z735" s="204"/>
      <c r="AA735" s="9"/>
      <c r="AB735" s="9"/>
      <c r="AC735" s="9"/>
      <c r="AD735" s="9"/>
    </row>
    <row r="736" ht="15.75" customHeight="1">
      <c r="A736" s="9"/>
      <c r="B736" s="9"/>
      <c r="C736" s="9"/>
      <c r="D736" s="9"/>
      <c r="E736" s="9"/>
      <c r="F736" s="9"/>
      <c r="G736" s="9"/>
      <c r="H736" s="9"/>
      <c r="I736" s="9"/>
      <c r="J736" s="9"/>
      <c r="K736" s="9"/>
      <c r="L736" s="556"/>
      <c r="M736" s="9"/>
      <c r="N736" s="9"/>
      <c r="O736" s="9"/>
      <c r="P736" s="9"/>
      <c r="Q736" s="9"/>
      <c r="R736" s="9"/>
      <c r="S736" s="9"/>
      <c r="T736" s="9"/>
      <c r="U736" s="9"/>
      <c r="V736" s="9"/>
      <c r="W736" s="9"/>
      <c r="X736" s="589"/>
      <c r="Y736" s="9"/>
      <c r="Z736" s="204"/>
      <c r="AA736" s="9"/>
      <c r="AB736" s="9"/>
      <c r="AC736" s="9"/>
      <c r="AD736" s="9"/>
    </row>
    <row r="737" ht="15.75" customHeight="1">
      <c r="A737" s="9"/>
      <c r="B737" s="9"/>
      <c r="C737" s="9"/>
      <c r="D737" s="9"/>
      <c r="E737" s="9"/>
      <c r="F737" s="9"/>
      <c r="G737" s="9"/>
      <c r="H737" s="9"/>
      <c r="I737" s="9"/>
      <c r="J737" s="9"/>
      <c r="K737" s="9"/>
      <c r="L737" s="556"/>
      <c r="M737" s="9"/>
      <c r="N737" s="9"/>
      <c r="O737" s="9"/>
      <c r="P737" s="9"/>
      <c r="Q737" s="9"/>
      <c r="R737" s="9"/>
      <c r="S737" s="9"/>
      <c r="T737" s="9"/>
      <c r="U737" s="9"/>
      <c r="V737" s="9"/>
      <c r="W737" s="9"/>
      <c r="X737" s="589"/>
      <c r="Y737" s="9"/>
      <c r="Z737" s="204"/>
      <c r="AA737" s="9"/>
      <c r="AB737" s="9"/>
      <c r="AC737" s="9"/>
      <c r="AD737" s="9"/>
    </row>
    <row r="738" ht="15.75" customHeight="1">
      <c r="A738" s="9"/>
      <c r="B738" s="9"/>
      <c r="C738" s="9"/>
      <c r="D738" s="9"/>
      <c r="E738" s="9"/>
      <c r="F738" s="9"/>
      <c r="G738" s="9"/>
      <c r="H738" s="9"/>
      <c r="I738" s="9"/>
      <c r="J738" s="9"/>
      <c r="K738" s="9"/>
      <c r="L738" s="556"/>
      <c r="M738" s="9"/>
      <c r="N738" s="9"/>
      <c r="O738" s="9"/>
      <c r="P738" s="9"/>
      <c r="Q738" s="9"/>
      <c r="R738" s="9"/>
      <c r="S738" s="9"/>
      <c r="T738" s="9"/>
      <c r="U738" s="9"/>
      <c r="V738" s="9"/>
      <c r="W738" s="9"/>
      <c r="X738" s="589"/>
      <c r="Y738" s="9"/>
      <c r="Z738" s="204"/>
      <c r="AA738" s="9"/>
      <c r="AB738" s="9"/>
      <c r="AC738" s="9"/>
      <c r="AD738" s="9"/>
    </row>
    <row r="739" ht="15.75" customHeight="1">
      <c r="A739" s="9"/>
      <c r="B739" s="9"/>
      <c r="C739" s="9"/>
      <c r="D739" s="9"/>
      <c r="E739" s="9"/>
      <c r="F739" s="9"/>
      <c r="G739" s="9"/>
      <c r="H739" s="9"/>
      <c r="I739" s="9"/>
      <c r="J739" s="9"/>
      <c r="K739" s="9"/>
      <c r="L739" s="556"/>
      <c r="M739" s="9"/>
      <c r="N739" s="9"/>
      <c r="O739" s="9"/>
      <c r="P739" s="9"/>
      <c r="Q739" s="9"/>
      <c r="R739" s="9"/>
      <c r="S739" s="9"/>
      <c r="T739" s="9"/>
      <c r="U739" s="9"/>
      <c r="V739" s="9"/>
      <c r="W739" s="9"/>
      <c r="X739" s="589"/>
      <c r="Y739" s="9"/>
      <c r="Z739" s="204"/>
      <c r="AA739" s="9"/>
      <c r="AB739" s="9"/>
      <c r="AC739" s="9"/>
      <c r="AD739" s="9"/>
    </row>
    <row r="740" ht="15.75" customHeight="1">
      <c r="A740" s="9"/>
      <c r="B740" s="9"/>
      <c r="C740" s="9"/>
      <c r="D740" s="9"/>
      <c r="E740" s="9"/>
      <c r="F740" s="9"/>
      <c r="G740" s="9"/>
      <c r="H740" s="9"/>
      <c r="I740" s="9"/>
      <c r="J740" s="9"/>
      <c r="K740" s="9"/>
      <c r="L740" s="556"/>
      <c r="M740" s="9"/>
      <c r="N740" s="9"/>
      <c r="O740" s="9"/>
      <c r="P740" s="9"/>
      <c r="Q740" s="9"/>
      <c r="R740" s="9"/>
      <c r="S740" s="9"/>
      <c r="T740" s="9"/>
      <c r="U740" s="9"/>
      <c r="V740" s="9"/>
      <c r="W740" s="9"/>
      <c r="X740" s="589"/>
      <c r="Y740" s="9"/>
      <c r="Z740" s="204"/>
      <c r="AA740" s="9"/>
      <c r="AB740" s="9"/>
      <c r="AC740" s="9"/>
      <c r="AD740" s="9"/>
    </row>
    <row r="741" ht="15.75" customHeight="1">
      <c r="A741" s="9"/>
      <c r="B741" s="9"/>
      <c r="C741" s="9"/>
      <c r="D741" s="9"/>
      <c r="E741" s="9"/>
      <c r="F741" s="9"/>
      <c r="G741" s="9"/>
      <c r="H741" s="9"/>
      <c r="I741" s="9"/>
      <c r="J741" s="9"/>
      <c r="K741" s="9"/>
      <c r="L741" s="556"/>
      <c r="M741" s="9"/>
      <c r="N741" s="9"/>
      <c r="O741" s="9"/>
      <c r="P741" s="9"/>
      <c r="Q741" s="9"/>
      <c r="R741" s="9"/>
      <c r="S741" s="9"/>
      <c r="T741" s="9"/>
      <c r="U741" s="9"/>
      <c r="V741" s="9"/>
      <c r="W741" s="9"/>
      <c r="X741" s="589"/>
      <c r="Y741" s="9"/>
      <c r="Z741" s="204"/>
      <c r="AA741" s="9"/>
      <c r="AB741" s="9"/>
      <c r="AC741" s="9"/>
      <c r="AD741" s="9"/>
    </row>
    <row r="742" ht="15.75" customHeight="1">
      <c r="A742" s="9"/>
      <c r="B742" s="9"/>
      <c r="C742" s="9"/>
      <c r="D742" s="9"/>
      <c r="E742" s="9"/>
      <c r="F742" s="9"/>
      <c r="G742" s="9"/>
      <c r="H742" s="9"/>
      <c r="I742" s="9"/>
      <c r="J742" s="9"/>
      <c r="K742" s="9"/>
      <c r="L742" s="556"/>
      <c r="M742" s="9"/>
      <c r="N742" s="9"/>
      <c r="O742" s="9"/>
      <c r="P742" s="9"/>
      <c r="Q742" s="9"/>
      <c r="R742" s="9"/>
      <c r="S742" s="9"/>
      <c r="T742" s="9"/>
      <c r="U742" s="9"/>
      <c r="V742" s="9"/>
      <c r="W742" s="9"/>
      <c r="X742" s="589"/>
      <c r="Y742" s="9"/>
      <c r="Z742" s="204"/>
      <c r="AA742" s="9"/>
      <c r="AB742" s="9"/>
      <c r="AC742" s="9"/>
      <c r="AD742" s="9"/>
    </row>
    <row r="743" ht="15.75" customHeight="1">
      <c r="A743" s="9"/>
      <c r="B743" s="9"/>
      <c r="C743" s="9"/>
      <c r="D743" s="9"/>
      <c r="E743" s="9"/>
      <c r="F743" s="9"/>
      <c r="G743" s="9"/>
      <c r="H743" s="9"/>
      <c r="I743" s="9"/>
      <c r="J743" s="9"/>
      <c r="K743" s="9"/>
      <c r="L743" s="556"/>
      <c r="M743" s="9"/>
      <c r="N743" s="9"/>
      <c r="O743" s="9"/>
      <c r="P743" s="9"/>
      <c r="Q743" s="9"/>
      <c r="R743" s="9"/>
      <c r="S743" s="9"/>
      <c r="T743" s="9"/>
      <c r="U743" s="9"/>
      <c r="V743" s="9"/>
      <c r="W743" s="9"/>
      <c r="X743" s="589"/>
      <c r="Y743" s="9"/>
      <c r="Z743" s="204"/>
      <c r="AA743" s="9"/>
      <c r="AB743" s="9"/>
      <c r="AC743" s="9"/>
      <c r="AD743" s="9"/>
    </row>
    <row r="744" ht="15.75" customHeight="1">
      <c r="A744" s="9"/>
      <c r="B744" s="9"/>
      <c r="C744" s="9"/>
      <c r="D744" s="9"/>
      <c r="E744" s="9"/>
      <c r="F744" s="9"/>
      <c r="G744" s="9"/>
      <c r="H744" s="9"/>
      <c r="I744" s="9"/>
      <c r="J744" s="9"/>
      <c r="K744" s="9"/>
      <c r="L744" s="556"/>
      <c r="M744" s="9"/>
      <c r="N744" s="9"/>
      <c r="O744" s="9"/>
      <c r="P744" s="9"/>
      <c r="Q744" s="9"/>
      <c r="R744" s="9"/>
      <c r="S744" s="9"/>
      <c r="T744" s="9"/>
      <c r="U744" s="9"/>
      <c r="V744" s="9"/>
      <c r="W744" s="9"/>
      <c r="X744" s="589"/>
      <c r="Y744" s="9"/>
      <c r="Z744" s="204"/>
      <c r="AA744" s="9"/>
      <c r="AB744" s="9"/>
      <c r="AC744" s="9"/>
      <c r="AD744" s="9"/>
    </row>
    <row r="745" ht="15.75" customHeight="1">
      <c r="A745" s="9"/>
      <c r="B745" s="9"/>
      <c r="C745" s="9"/>
      <c r="D745" s="9"/>
      <c r="E745" s="9"/>
      <c r="F745" s="9"/>
      <c r="G745" s="9"/>
      <c r="H745" s="9"/>
      <c r="I745" s="9"/>
      <c r="J745" s="9"/>
      <c r="K745" s="9"/>
      <c r="L745" s="556"/>
      <c r="M745" s="9"/>
      <c r="N745" s="9"/>
      <c r="O745" s="9"/>
      <c r="P745" s="9"/>
      <c r="Q745" s="9"/>
      <c r="R745" s="9"/>
      <c r="S745" s="9"/>
      <c r="T745" s="9"/>
      <c r="U745" s="9"/>
      <c r="V745" s="9"/>
      <c r="W745" s="9"/>
      <c r="X745" s="589"/>
      <c r="Y745" s="9"/>
      <c r="Z745" s="204"/>
      <c r="AA745" s="9"/>
      <c r="AB745" s="9"/>
      <c r="AC745" s="9"/>
      <c r="AD745" s="9"/>
    </row>
    <row r="746" ht="15.75" customHeight="1">
      <c r="A746" s="9"/>
      <c r="B746" s="9"/>
      <c r="C746" s="9"/>
      <c r="D746" s="9"/>
      <c r="E746" s="9"/>
      <c r="F746" s="9"/>
      <c r="G746" s="9"/>
      <c r="H746" s="9"/>
      <c r="I746" s="9"/>
      <c r="J746" s="9"/>
      <c r="K746" s="9"/>
      <c r="L746" s="556"/>
      <c r="M746" s="9"/>
      <c r="N746" s="9"/>
      <c r="O746" s="9"/>
      <c r="P746" s="9"/>
      <c r="Q746" s="9"/>
      <c r="R746" s="9"/>
      <c r="S746" s="9"/>
      <c r="T746" s="9"/>
      <c r="U746" s="9"/>
      <c r="V746" s="9"/>
      <c r="W746" s="9"/>
      <c r="X746" s="589"/>
      <c r="Y746" s="9"/>
      <c r="Z746" s="204"/>
      <c r="AA746" s="9"/>
      <c r="AB746" s="9"/>
      <c r="AC746" s="9"/>
      <c r="AD746" s="9"/>
    </row>
    <row r="747" ht="15.75" customHeight="1">
      <c r="A747" s="9"/>
      <c r="B747" s="9"/>
      <c r="C747" s="9"/>
      <c r="D747" s="9"/>
      <c r="E747" s="9"/>
      <c r="F747" s="9"/>
      <c r="G747" s="9"/>
      <c r="H747" s="9"/>
      <c r="I747" s="9"/>
      <c r="J747" s="9"/>
      <c r="K747" s="9"/>
      <c r="L747" s="556"/>
      <c r="M747" s="9"/>
      <c r="N747" s="9"/>
      <c r="O747" s="9"/>
      <c r="P747" s="9"/>
      <c r="Q747" s="9"/>
      <c r="R747" s="9"/>
      <c r="S747" s="9"/>
      <c r="T747" s="9"/>
      <c r="U747" s="9"/>
      <c r="V747" s="9"/>
      <c r="W747" s="9"/>
      <c r="X747" s="589"/>
      <c r="Y747" s="9"/>
      <c r="Z747" s="204"/>
      <c r="AA747" s="9"/>
      <c r="AB747" s="9"/>
      <c r="AC747" s="9"/>
      <c r="AD747" s="9"/>
    </row>
    <row r="748" ht="15.75" customHeight="1">
      <c r="A748" s="9"/>
      <c r="B748" s="9"/>
      <c r="C748" s="9"/>
      <c r="D748" s="9"/>
      <c r="E748" s="9"/>
      <c r="F748" s="9"/>
      <c r="G748" s="9"/>
      <c r="H748" s="9"/>
      <c r="I748" s="9"/>
      <c r="J748" s="9"/>
      <c r="K748" s="9"/>
      <c r="L748" s="556"/>
      <c r="M748" s="9"/>
      <c r="N748" s="9"/>
      <c r="O748" s="9"/>
      <c r="P748" s="9"/>
      <c r="Q748" s="9"/>
      <c r="R748" s="9"/>
      <c r="S748" s="9"/>
      <c r="T748" s="9"/>
      <c r="U748" s="9"/>
      <c r="V748" s="9"/>
      <c r="W748" s="9"/>
      <c r="X748" s="589"/>
      <c r="Y748" s="9"/>
      <c r="Z748" s="204"/>
      <c r="AA748" s="9"/>
      <c r="AB748" s="9"/>
      <c r="AC748" s="9"/>
      <c r="AD748" s="9"/>
    </row>
    <row r="749" ht="15.75" customHeight="1">
      <c r="A749" s="9"/>
      <c r="B749" s="9"/>
      <c r="C749" s="9"/>
      <c r="D749" s="9"/>
      <c r="E749" s="9"/>
      <c r="F749" s="9"/>
      <c r="G749" s="9"/>
      <c r="H749" s="9"/>
      <c r="I749" s="9"/>
      <c r="J749" s="9"/>
      <c r="K749" s="9"/>
      <c r="L749" s="556"/>
      <c r="M749" s="9"/>
      <c r="N749" s="9"/>
      <c r="O749" s="9"/>
      <c r="P749" s="9"/>
      <c r="Q749" s="9"/>
      <c r="R749" s="9"/>
      <c r="S749" s="9"/>
      <c r="T749" s="9"/>
      <c r="U749" s="9"/>
      <c r="V749" s="9"/>
      <c r="W749" s="9"/>
      <c r="X749" s="589"/>
      <c r="Y749" s="9"/>
      <c r="Z749" s="204"/>
      <c r="AA749" s="9"/>
      <c r="AB749" s="9"/>
      <c r="AC749" s="9"/>
      <c r="AD749" s="9"/>
    </row>
    <row r="750" ht="15.75" customHeight="1">
      <c r="A750" s="9"/>
      <c r="B750" s="9"/>
      <c r="C750" s="9"/>
      <c r="D750" s="9"/>
      <c r="E750" s="9"/>
      <c r="F750" s="9"/>
      <c r="G750" s="9"/>
      <c r="H750" s="9"/>
      <c r="I750" s="9"/>
      <c r="J750" s="9"/>
      <c r="K750" s="9"/>
      <c r="L750" s="556"/>
      <c r="M750" s="9"/>
      <c r="N750" s="9"/>
      <c r="O750" s="9"/>
      <c r="P750" s="9"/>
      <c r="Q750" s="9"/>
      <c r="R750" s="9"/>
      <c r="S750" s="9"/>
      <c r="T750" s="9"/>
      <c r="U750" s="9"/>
      <c r="V750" s="9"/>
      <c r="W750" s="9"/>
      <c r="X750" s="589"/>
      <c r="Y750" s="9"/>
      <c r="Z750" s="204"/>
      <c r="AA750" s="9"/>
      <c r="AB750" s="9"/>
      <c r="AC750" s="9"/>
      <c r="AD750" s="9"/>
    </row>
    <row r="751" ht="15.75" customHeight="1">
      <c r="A751" s="9"/>
      <c r="B751" s="9"/>
      <c r="C751" s="9"/>
      <c r="D751" s="9"/>
      <c r="E751" s="9"/>
      <c r="F751" s="9"/>
      <c r="G751" s="9"/>
      <c r="H751" s="9"/>
      <c r="I751" s="9"/>
      <c r="J751" s="9"/>
      <c r="K751" s="9"/>
      <c r="L751" s="556"/>
      <c r="M751" s="9"/>
      <c r="N751" s="9"/>
      <c r="O751" s="9"/>
      <c r="P751" s="9"/>
      <c r="Q751" s="9"/>
      <c r="R751" s="9"/>
      <c r="S751" s="9"/>
      <c r="T751" s="9"/>
      <c r="U751" s="9"/>
      <c r="V751" s="9"/>
      <c r="W751" s="9"/>
      <c r="X751" s="589"/>
      <c r="Y751" s="9"/>
      <c r="Z751" s="204"/>
      <c r="AA751" s="9"/>
      <c r="AB751" s="9"/>
      <c r="AC751" s="9"/>
      <c r="AD751" s="9"/>
    </row>
    <row r="752" ht="15.75" customHeight="1">
      <c r="A752" s="9"/>
      <c r="B752" s="9"/>
      <c r="C752" s="9"/>
      <c r="D752" s="9"/>
      <c r="E752" s="9"/>
      <c r="F752" s="9"/>
      <c r="G752" s="9"/>
      <c r="H752" s="9"/>
      <c r="I752" s="9"/>
      <c r="J752" s="9"/>
      <c r="K752" s="9"/>
      <c r="L752" s="556"/>
      <c r="M752" s="9"/>
      <c r="N752" s="9"/>
      <c r="O752" s="9"/>
      <c r="P752" s="9"/>
      <c r="Q752" s="9"/>
      <c r="R752" s="9"/>
      <c r="S752" s="9"/>
      <c r="T752" s="9"/>
      <c r="U752" s="9"/>
      <c r="V752" s="9"/>
      <c r="W752" s="9"/>
      <c r="X752" s="589"/>
      <c r="Y752" s="9"/>
      <c r="Z752" s="204"/>
      <c r="AA752" s="9"/>
      <c r="AB752" s="9"/>
      <c r="AC752" s="9"/>
      <c r="AD752" s="9"/>
    </row>
    <row r="753" ht="15.75" customHeight="1">
      <c r="A753" s="9"/>
      <c r="B753" s="9"/>
      <c r="C753" s="9"/>
      <c r="D753" s="9"/>
      <c r="E753" s="9"/>
      <c r="F753" s="9"/>
      <c r="G753" s="9"/>
      <c r="H753" s="9"/>
      <c r="I753" s="9"/>
      <c r="J753" s="9"/>
      <c r="K753" s="9"/>
      <c r="L753" s="556"/>
      <c r="M753" s="9"/>
      <c r="N753" s="9"/>
      <c r="O753" s="9"/>
      <c r="P753" s="9"/>
      <c r="Q753" s="9"/>
      <c r="R753" s="9"/>
      <c r="S753" s="9"/>
      <c r="T753" s="9"/>
      <c r="U753" s="9"/>
      <c r="V753" s="9"/>
      <c r="W753" s="9"/>
      <c r="X753" s="589"/>
      <c r="Y753" s="9"/>
      <c r="Z753" s="204"/>
      <c r="AA753" s="9"/>
      <c r="AB753" s="9"/>
      <c r="AC753" s="9"/>
      <c r="AD753" s="9"/>
    </row>
    <row r="754" ht="15.75" customHeight="1">
      <c r="A754" s="9"/>
      <c r="B754" s="9"/>
      <c r="C754" s="9"/>
      <c r="D754" s="9"/>
      <c r="E754" s="9"/>
      <c r="F754" s="9"/>
      <c r="G754" s="9"/>
      <c r="H754" s="9"/>
      <c r="I754" s="9"/>
      <c r="J754" s="9"/>
      <c r="K754" s="9"/>
      <c r="L754" s="556"/>
      <c r="M754" s="9"/>
      <c r="N754" s="9"/>
      <c r="O754" s="9"/>
      <c r="P754" s="9"/>
      <c r="Q754" s="9"/>
      <c r="R754" s="9"/>
      <c r="S754" s="9"/>
      <c r="T754" s="9"/>
      <c r="U754" s="9"/>
      <c r="V754" s="9"/>
      <c r="W754" s="9"/>
      <c r="X754" s="589"/>
      <c r="Y754" s="9"/>
      <c r="Z754" s="204"/>
      <c r="AA754" s="9"/>
      <c r="AB754" s="9"/>
      <c r="AC754" s="9"/>
      <c r="AD754" s="9"/>
    </row>
    <row r="755" ht="15.75" customHeight="1">
      <c r="A755" s="9"/>
      <c r="B755" s="9"/>
      <c r="C755" s="9"/>
      <c r="D755" s="9"/>
      <c r="E755" s="9"/>
      <c r="F755" s="9"/>
      <c r="G755" s="9"/>
      <c r="H755" s="9"/>
      <c r="I755" s="9"/>
      <c r="J755" s="9"/>
      <c r="K755" s="9"/>
      <c r="L755" s="556"/>
      <c r="M755" s="9"/>
      <c r="N755" s="9"/>
      <c r="O755" s="9"/>
      <c r="P755" s="9"/>
      <c r="Q755" s="9"/>
      <c r="R755" s="9"/>
      <c r="S755" s="9"/>
      <c r="T755" s="9"/>
      <c r="U755" s="9"/>
      <c r="V755" s="9"/>
      <c r="W755" s="9"/>
      <c r="X755" s="589"/>
      <c r="Y755" s="9"/>
      <c r="Z755" s="204"/>
      <c r="AA755" s="9"/>
      <c r="AB755" s="9"/>
      <c r="AC755" s="9"/>
      <c r="AD755" s="9"/>
    </row>
    <row r="756" ht="15.75" customHeight="1">
      <c r="A756" s="9"/>
      <c r="B756" s="9"/>
      <c r="C756" s="9"/>
      <c r="D756" s="9"/>
      <c r="E756" s="9"/>
      <c r="F756" s="9"/>
      <c r="G756" s="9"/>
      <c r="H756" s="9"/>
      <c r="I756" s="9"/>
      <c r="J756" s="9"/>
      <c r="K756" s="9"/>
      <c r="L756" s="556"/>
      <c r="M756" s="9"/>
      <c r="N756" s="9"/>
      <c r="O756" s="9"/>
      <c r="P756" s="9"/>
      <c r="Q756" s="9"/>
      <c r="R756" s="9"/>
      <c r="S756" s="9"/>
      <c r="T756" s="9"/>
      <c r="U756" s="9"/>
      <c r="V756" s="9"/>
      <c r="W756" s="9"/>
      <c r="X756" s="589"/>
      <c r="Y756" s="9"/>
      <c r="Z756" s="204"/>
      <c r="AA756" s="9"/>
      <c r="AB756" s="9"/>
      <c r="AC756" s="9"/>
      <c r="AD756" s="9"/>
    </row>
    <row r="757" ht="15.75" customHeight="1">
      <c r="A757" s="9"/>
      <c r="B757" s="9"/>
      <c r="C757" s="9"/>
      <c r="D757" s="9"/>
      <c r="E757" s="9"/>
      <c r="F757" s="9"/>
      <c r="G757" s="9"/>
      <c r="H757" s="9"/>
      <c r="I757" s="9"/>
      <c r="J757" s="9"/>
      <c r="K757" s="9"/>
      <c r="L757" s="556"/>
      <c r="M757" s="9"/>
      <c r="N757" s="9"/>
      <c r="O757" s="9"/>
      <c r="P757" s="9"/>
      <c r="Q757" s="9"/>
      <c r="R757" s="9"/>
      <c r="S757" s="9"/>
      <c r="T757" s="9"/>
      <c r="U757" s="9"/>
      <c r="V757" s="9"/>
      <c r="W757" s="9"/>
      <c r="X757" s="589"/>
      <c r="Y757" s="9"/>
      <c r="Z757" s="204"/>
      <c r="AA757" s="9"/>
      <c r="AB757" s="9"/>
      <c r="AC757" s="9"/>
      <c r="AD757" s="9"/>
    </row>
    <row r="758" ht="15.75" customHeight="1">
      <c r="A758" s="9"/>
      <c r="B758" s="9"/>
      <c r="C758" s="9"/>
      <c r="D758" s="9"/>
      <c r="E758" s="9"/>
      <c r="F758" s="9"/>
      <c r="G758" s="9"/>
      <c r="H758" s="9"/>
      <c r="I758" s="9"/>
      <c r="J758" s="9"/>
      <c r="K758" s="9"/>
      <c r="L758" s="556"/>
      <c r="M758" s="9"/>
      <c r="N758" s="9"/>
      <c r="O758" s="9"/>
      <c r="P758" s="9"/>
      <c r="Q758" s="9"/>
      <c r="R758" s="9"/>
      <c r="S758" s="9"/>
      <c r="T758" s="9"/>
      <c r="U758" s="9"/>
      <c r="V758" s="9"/>
      <c r="W758" s="9"/>
      <c r="X758" s="589"/>
      <c r="Y758" s="9"/>
      <c r="Z758" s="204"/>
      <c r="AA758" s="9"/>
      <c r="AB758" s="9"/>
      <c r="AC758" s="9"/>
      <c r="AD758" s="9"/>
    </row>
    <row r="759" ht="15.75" customHeight="1">
      <c r="A759" s="9"/>
      <c r="B759" s="9"/>
      <c r="C759" s="9"/>
      <c r="D759" s="9"/>
      <c r="E759" s="9"/>
      <c r="F759" s="9"/>
      <c r="G759" s="9"/>
      <c r="H759" s="9"/>
      <c r="I759" s="9"/>
      <c r="J759" s="9"/>
      <c r="K759" s="9"/>
      <c r="L759" s="556"/>
      <c r="M759" s="9"/>
      <c r="N759" s="9"/>
      <c r="O759" s="9"/>
      <c r="P759" s="9"/>
      <c r="Q759" s="9"/>
      <c r="R759" s="9"/>
      <c r="S759" s="9"/>
      <c r="T759" s="9"/>
      <c r="U759" s="9"/>
      <c r="V759" s="9"/>
      <c r="W759" s="9"/>
      <c r="X759" s="589"/>
      <c r="Y759" s="9"/>
      <c r="Z759" s="204"/>
      <c r="AA759" s="9"/>
      <c r="AB759" s="9"/>
      <c r="AC759" s="9"/>
      <c r="AD759" s="9"/>
    </row>
    <row r="760" ht="15.75" customHeight="1">
      <c r="A760" s="9"/>
      <c r="B760" s="9"/>
      <c r="C760" s="9"/>
      <c r="D760" s="9"/>
      <c r="E760" s="9"/>
      <c r="F760" s="9"/>
      <c r="G760" s="9"/>
      <c r="H760" s="9"/>
      <c r="I760" s="9"/>
      <c r="J760" s="9"/>
      <c r="K760" s="9"/>
      <c r="L760" s="556"/>
      <c r="M760" s="9"/>
      <c r="N760" s="9"/>
      <c r="O760" s="9"/>
      <c r="P760" s="9"/>
      <c r="Q760" s="9"/>
      <c r="R760" s="9"/>
      <c r="S760" s="9"/>
      <c r="T760" s="9"/>
      <c r="U760" s="9"/>
      <c r="V760" s="9"/>
      <c r="W760" s="9"/>
      <c r="X760" s="589"/>
      <c r="Y760" s="9"/>
      <c r="Z760" s="204"/>
      <c r="AA760" s="9"/>
      <c r="AB760" s="9"/>
      <c r="AC760" s="9"/>
      <c r="AD760" s="9"/>
    </row>
    <row r="761" ht="15.75" customHeight="1">
      <c r="A761" s="9"/>
      <c r="B761" s="9"/>
      <c r="C761" s="9"/>
      <c r="D761" s="9"/>
      <c r="E761" s="9"/>
      <c r="F761" s="9"/>
      <c r="G761" s="9"/>
      <c r="H761" s="9"/>
      <c r="I761" s="9"/>
      <c r="J761" s="9"/>
      <c r="K761" s="9"/>
      <c r="L761" s="556"/>
      <c r="M761" s="9"/>
      <c r="N761" s="9"/>
      <c r="O761" s="9"/>
      <c r="P761" s="9"/>
      <c r="Q761" s="9"/>
      <c r="R761" s="9"/>
      <c r="S761" s="9"/>
      <c r="T761" s="9"/>
      <c r="U761" s="9"/>
      <c r="V761" s="9"/>
      <c r="W761" s="9"/>
      <c r="X761" s="589"/>
      <c r="Y761" s="9"/>
      <c r="Z761" s="204"/>
      <c r="AA761" s="9"/>
      <c r="AB761" s="9"/>
      <c r="AC761" s="9"/>
      <c r="AD761" s="9"/>
    </row>
    <row r="762" ht="15.75" customHeight="1">
      <c r="A762" s="9"/>
      <c r="B762" s="9"/>
      <c r="C762" s="9"/>
      <c r="D762" s="9"/>
      <c r="E762" s="9"/>
      <c r="F762" s="9"/>
      <c r="G762" s="9"/>
      <c r="H762" s="9"/>
      <c r="I762" s="9"/>
      <c r="J762" s="9"/>
      <c r="K762" s="9"/>
      <c r="L762" s="556"/>
      <c r="M762" s="9"/>
      <c r="N762" s="9"/>
      <c r="O762" s="9"/>
      <c r="P762" s="9"/>
      <c r="Q762" s="9"/>
      <c r="R762" s="9"/>
      <c r="S762" s="9"/>
      <c r="T762" s="9"/>
      <c r="U762" s="9"/>
      <c r="V762" s="9"/>
      <c r="W762" s="9"/>
      <c r="X762" s="589"/>
      <c r="Y762" s="9"/>
      <c r="Z762" s="204"/>
      <c r="AA762" s="9"/>
      <c r="AB762" s="9"/>
      <c r="AC762" s="9"/>
      <c r="AD762" s="9"/>
    </row>
    <row r="763" ht="15.75" customHeight="1">
      <c r="A763" s="9"/>
      <c r="B763" s="9"/>
      <c r="C763" s="9"/>
      <c r="D763" s="9"/>
      <c r="E763" s="9"/>
      <c r="F763" s="9"/>
      <c r="G763" s="9"/>
      <c r="H763" s="9"/>
      <c r="I763" s="9"/>
      <c r="J763" s="9"/>
      <c r="K763" s="9"/>
      <c r="L763" s="556"/>
      <c r="M763" s="9"/>
      <c r="N763" s="9"/>
      <c r="O763" s="9"/>
      <c r="P763" s="9"/>
      <c r="Q763" s="9"/>
      <c r="R763" s="9"/>
      <c r="S763" s="9"/>
      <c r="T763" s="9"/>
      <c r="U763" s="9"/>
      <c r="V763" s="9"/>
      <c r="W763" s="9"/>
      <c r="X763" s="589"/>
      <c r="Y763" s="9"/>
      <c r="Z763" s="204"/>
      <c r="AA763" s="9"/>
      <c r="AB763" s="9"/>
      <c r="AC763" s="9"/>
      <c r="AD763" s="9"/>
    </row>
    <row r="764" ht="15.75" customHeight="1">
      <c r="A764" s="9"/>
      <c r="B764" s="9"/>
      <c r="C764" s="9"/>
      <c r="D764" s="9"/>
      <c r="E764" s="9"/>
      <c r="F764" s="9"/>
      <c r="G764" s="9"/>
      <c r="H764" s="9"/>
      <c r="I764" s="9"/>
      <c r="J764" s="9"/>
      <c r="K764" s="9"/>
      <c r="L764" s="556"/>
      <c r="M764" s="9"/>
      <c r="N764" s="9"/>
      <c r="O764" s="9"/>
      <c r="P764" s="9"/>
      <c r="Q764" s="9"/>
      <c r="R764" s="9"/>
      <c r="S764" s="9"/>
      <c r="T764" s="9"/>
      <c r="U764" s="9"/>
      <c r="V764" s="9"/>
      <c r="W764" s="9"/>
      <c r="X764" s="589"/>
      <c r="Y764" s="9"/>
      <c r="Z764" s="204"/>
      <c r="AA764" s="9"/>
      <c r="AB764" s="9"/>
      <c r="AC764" s="9"/>
      <c r="AD764" s="9"/>
    </row>
    <row r="765" ht="15.75" customHeight="1">
      <c r="A765" s="9"/>
      <c r="B765" s="9"/>
      <c r="C765" s="9"/>
      <c r="D765" s="9"/>
      <c r="E765" s="9"/>
      <c r="F765" s="9"/>
      <c r="G765" s="9"/>
      <c r="H765" s="9"/>
      <c r="I765" s="9"/>
      <c r="J765" s="9"/>
      <c r="K765" s="9"/>
      <c r="L765" s="556"/>
      <c r="M765" s="9"/>
      <c r="N765" s="9"/>
      <c r="O765" s="9"/>
      <c r="P765" s="9"/>
      <c r="Q765" s="9"/>
      <c r="R765" s="9"/>
      <c r="S765" s="9"/>
      <c r="T765" s="9"/>
      <c r="U765" s="9"/>
      <c r="V765" s="9"/>
      <c r="W765" s="9"/>
      <c r="X765" s="589"/>
      <c r="Y765" s="9"/>
      <c r="Z765" s="204"/>
      <c r="AA765" s="9"/>
      <c r="AB765" s="9"/>
      <c r="AC765" s="9"/>
      <c r="AD765" s="9"/>
    </row>
    <row r="766" ht="15.75" customHeight="1">
      <c r="A766" s="9"/>
      <c r="B766" s="9"/>
      <c r="C766" s="9"/>
      <c r="D766" s="9"/>
      <c r="E766" s="9"/>
      <c r="F766" s="9"/>
      <c r="G766" s="9"/>
      <c r="H766" s="9"/>
      <c r="I766" s="9"/>
      <c r="J766" s="9"/>
      <c r="K766" s="9"/>
      <c r="L766" s="556"/>
      <c r="M766" s="9"/>
      <c r="N766" s="9"/>
      <c r="O766" s="9"/>
      <c r="P766" s="9"/>
      <c r="Q766" s="9"/>
      <c r="R766" s="9"/>
      <c r="S766" s="9"/>
      <c r="T766" s="9"/>
      <c r="U766" s="9"/>
      <c r="V766" s="9"/>
      <c r="W766" s="9"/>
      <c r="X766" s="589"/>
      <c r="Y766" s="9"/>
      <c r="Z766" s="204"/>
      <c r="AA766" s="9"/>
      <c r="AB766" s="9"/>
      <c r="AC766" s="9"/>
      <c r="AD766" s="9"/>
    </row>
    <row r="767" ht="15.75" customHeight="1">
      <c r="A767" s="9"/>
      <c r="B767" s="9"/>
      <c r="C767" s="9"/>
      <c r="D767" s="9"/>
      <c r="E767" s="9"/>
      <c r="F767" s="9"/>
      <c r="G767" s="9"/>
      <c r="H767" s="9"/>
      <c r="I767" s="9"/>
      <c r="J767" s="9"/>
      <c r="K767" s="9"/>
      <c r="L767" s="556"/>
      <c r="M767" s="9"/>
      <c r="N767" s="9"/>
      <c r="O767" s="9"/>
      <c r="P767" s="9"/>
      <c r="Q767" s="9"/>
      <c r="R767" s="9"/>
      <c r="S767" s="9"/>
      <c r="T767" s="9"/>
      <c r="U767" s="9"/>
      <c r="V767" s="9"/>
      <c r="W767" s="9"/>
      <c r="X767" s="589"/>
      <c r="Y767" s="9"/>
      <c r="Z767" s="204"/>
      <c r="AA767" s="9"/>
      <c r="AB767" s="9"/>
      <c r="AC767" s="9"/>
      <c r="AD767" s="9"/>
    </row>
    <row r="768" ht="15.75" customHeight="1">
      <c r="A768" s="9"/>
      <c r="B768" s="9"/>
      <c r="C768" s="9"/>
      <c r="D768" s="9"/>
      <c r="E768" s="9"/>
      <c r="F768" s="9"/>
      <c r="G768" s="9"/>
      <c r="H768" s="9"/>
      <c r="I768" s="9"/>
      <c r="J768" s="9"/>
      <c r="K768" s="9"/>
      <c r="L768" s="556"/>
      <c r="M768" s="9"/>
      <c r="N768" s="9"/>
      <c r="O768" s="9"/>
      <c r="P768" s="9"/>
      <c r="Q768" s="9"/>
      <c r="R768" s="9"/>
      <c r="S768" s="9"/>
      <c r="T768" s="9"/>
      <c r="U768" s="9"/>
      <c r="V768" s="9"/>
      <c r="W768" s="9"/>
      <c r="X768" s="589"/>
      <c r="Y768" s="9"/>
      <c r="Z768" s="204"/>
      <c r="AA768" s="9"/>
      <c r="AB768" s="9"/>
      <c r="AC768" s="9"/>
      <c r="AD768" s="9"/>
    </row>
    <row r="769" ht="15.75" customHeight="1">
      <c r="A769" s="9"/>
      <c r="B769" s="9"/>
      <c r="C769" s="9"/>
      <c r="D769" s="9"/>
      <c r="E769" s="9"/>
      <c r="F769" s="9"/>
      <c r="G769" s="9"/>
      <c r="H769" s="9"/>
      <c r="I769" s="9"/>
      <c r="J769" s="9"/>
      <c r="K769" s="9"/>
      <c r="L769" s="556"/>
      <c r="M769" s="9"/>
      <c r="N769" s="9"/>
      <c r="O769" s="9"/>
      <c r="P769" s="9"/>
      <c r="Q769" s="9"/>
      <c r="R769" s="9"/>
      <c r="S769" s="9"/>
      <c r="T769" s="9"/>
      <c r="U769" s="9"/>
      <c r="V769" s="9"/>
      <c r="W769" s="9"/>
      <c r="X769" s="589"/>
      <c r="Y769" s="9"/>
      <c r="Z769" s="204"/>
      <c r="AA769" s="9"/>
      <c r="AB769" s="9"/>
      <c r="AC769" s="9"/>
      <c r="AD769" s="9"/>
    </row>
    <row r="770" ht="15.75" customHeight="1">
      <c r="A770" s="9"/>
      <c r="B770" s="9"/>
      <c r="C770" s="9"/>
      <c r="D770" s="9"/>
      <c r="E770" s="9"/>
      <c r="F770" s="9"/>
      <c r="G770" s="9"/>
      <c r="H770" s="9"/>
      <c r="I770" s="9"/>
      <c r="J770" s="9"/>
      <c r="K770" s="9"/>
      <c r="L770" s="556"/>
      <c r="M770" s="9"/>
      <c r="N770" s="9"/>
      <c r="O770" s="9"/>
      <c r="P770" s="9"/>
      <c r="Q770" s="9"/>
      <c r="R770" s="9"/>
      <c r="S770" s="9"/>
      <c r="T770" s="9"/>
      <c r="U770" s="9"/>
      <c r="V770" s="9"/>
      <c r="W770" s="9"/>
      <c r="X770" s="589"/>
      <c r="Y770" s="9"/>
      <c r="Z770" s="204"/>
      <c r="AA770" s="9"/>
      <c r="AB770" s="9"/>
      <c r="AC770" s="9"/>
      <c r="AD770" s="9"/>
    </row>
    <row r="771" ht="15.75" customHeight="1">
      <c r="A771" s="9"/>
      <c r="B771" s="9"/>
      <c r="C771" s="9"/>
      <c r="D771" s="9"/>
      <c r="E771" s="9"/>
      <c r="F771" s="9"/>
      <c r="G771" s="9"/>
      <c r="H771" s="9"/>
      <c r="I771" s="9"/>
      <c r="J771" s="9"/>
      <c r="K771" s="9"/>
      <c r="L771" s="556"/>
      <c r="M771" s="9"/>
      <c r="N771" s="9"/>
      <c r="O771" s="9"/>
      <c r="P771" s="9"/>
      <c r="Q771" s="9"/>
      <c r="R771" s="9"/>
      <c r="S771" s="9"/>
      <c r="T771" s="9"/>
      <c r="U771" s="9"/>
      <c r="V771" s="9"/>
      <c r="W771" s="9"/>
      <c r="X771" s="589"/>
      <c r="Y771" s="9"/>
      <c r="Z771" s="204"/>
      <c r="AA771" s="9"/>
      <c r="AB771" s="9"/>
      <c r="AC771" s="9"/>
      <c r="AD771" s="9"/>
    </row>
    <row r="772" ht="15.75" customHeight="1">
      <c r="A772" s="9"/>
      <c r="B772" s="9"/>
      <c r="C772" s="9"/>
      <c r="D772" s="9"/>
      <c r="E772" s="9"/>
      <c r="F772" s="9"/>
      <c r="G772" s="9"/>
      <c r="H772" s="9"/>
      <c r="I772" s="9"/>
      <c r="J772" s="9"/>
      <c r="K772" s="9"/>
      <c r="L772" s="556"/>
      <c r="M772" s="9"/>
      <c r="N772" s="9"/>
      <c r="O772" s="9"/>
      <c r="P772" s="9"/>
      <c r="Q772" s="9"/>
      <c r="R772" s="9"/>
      <c r="S772" s="9"/>
      <c r="T772" s="9"/>
      <c r="U772" s="9"/>
      <c r="V772" s="9"/>
      <c r="W772" s="9"/>
      <c r="X772" s="589"/>
      <c r="Y772" s="9"/>
      <c r="Z772" s="204"/>
      <c r="AA772" s="9"/>
      <c r="AB772" s="9"/>
      <c r="AC772" s="9"/>
      <c r="AD772" s="9"/>
    </row>
    <row r="773" ht="15.75" customHeight="1">
      <c r="A773" s="9"/>
      <c r="B773" s="9"/>
      <c r="C773" s="9"/>
      <c r="D773" s="9"/>
      <c r="E773" s="9"/>
      <c r="F773" s="9"/>
      <c r="G773" s="9"/>
      <c r="H773" s="9"/>
      <c r="I773" s="9"/>
      <c r="J773" s="9"/>
      <c r="K773" s="9"/>
      <c r="L773" s="556"/>
      <c r="M773" s="9"/>
      <c r="N773" s="9"/>
      <c r="O773" s="9"/>
      <c r="P773" s="9"/>
      <c r="Q773" s="9"/>
      <c r="R773" s="9"/>
      <c r="S773" s="9"/>
      <c r="T773" s="9"/>
      <c r="U773" s="9"/>
      <c r="V773" s="9"/>
      <c r="W773" s="9"/>
      <c r="X773" s="589"/>
      <c r="Y773" s="9"/>
      <c r="Z773" s="204"/>
      <c r="AA773" s="9"/>
      <c r="AB773" s="9"/>
      <c r="AC773" s="9"/>
      <c r="AD773" s="9"/>
    </row>
    <row r="774" ht="15.75" customHeight="1">
      <c r="A774" s="9"/>
      <c r="B774" s="9"/>
      <c r="C774" s="9"/>
      <c r="D774" s="9"/>
      <c r="E774" s="9"/>
      <c r="F774" s="9"/>
      <c r="G774" s="9"/>
      <c r="H774" s="9"/>
      <c r="I774" s="9"/>
      <c r="J774" s="9"/>
      <c r="K774" s="9"/>
      <c r="L774" s="556"/>
      <c r="M774" s="9"/>
      <c r="N774" s="9"/>
      <c r="O774" s="9"/>
      <c r="P774" s="9"/>
      <c r="Q774" s="9"/>
      <c r="R774" s="9"/>
      <c r="S774" s="9"/>
      <c r="T774" s="9"/>
      <c r="U774" s="9"/>
      <c r="V774" s="9"/>
      <c r="W774" s="9"/>
      <c r="X774" s="589"/>
      <c r="Y774" s="9"/>
      <c r="Z774" s="204"/>
      <c r="AA774" s="9"/>
      <c r="AB774" s="9"/>
      <c r="AC774" s="9"/>
      <c r="AD774" s="9"/>
    </row>
    <row r="775" ht="15.75" customHeight="1">
      <c r="A775" s="9"/>
      <c r="B775" s="9"/>
      <c r="C775" s="9"/>
      <c r="D775" s="9"/>
      <c r="E775" s="9"/>
      <c r="F775" s="9"/>
      <c r="G775" s="9"/>
      <c r="H775" s="9"/>
      <c r="I775" s="9"/>
      <c r="J775" s="9"/>
      <c r="K775" s="9"/>
      <c r="L775" s="556"/>
      <c r="M775" s="9"/>
      <c r="N775" s="9"/>
      <c r="O775" s="9"/>
      <c r="P775" s="9"/>
      <c r="Q775" s="9"/>
      <c r="R775" s="9"/>
      <c r="S775" s="9"/>
      <c r="T775" s="9"/>
      <c r="U775" s="9"/>
      <c r="V775" s="9"/>
      <c r="W775" s="9"/>
      <c r="X775" s="589"/>
      <c r="Y775" s="9"/>
      <c r="Z775" s="204"/>
      <c r="AA775" s="9"/>
      <c r="AB775" s="9"/>
      <c r="AC775" s="9"/>
      <c r="AD775" s="9"/>
    </row>
    <row r="776" ht="15.75" customHeight="1">
      <c r="A776" s="9"/>
      <c r="B776" s="9"/>
      <c r="C776" s="9"/>
      <c r="D776" s="9"/>
      <c r="E776" s="9"/>
      <c r="F776" s="9"/>
      <c r="G776" s="9"/>
      <c r="H776" s="9"/>
      <c r="I776" s="9"/>
      <c r="J776" s="9"/>
      <c r="K776" s="9"/>
      <c r="L776" s="556"/>
      <c r="M776" s="9"/>
      <c r="N776" s="9"/>
      <c r="O776" s="9"/>
      <c r="P776" s="9"/>
      <c r="Q776" s="9"/>
      <c r="R776" s="9"/>
      <c r="S776" s="9"/>
      <c r="T776" s="9"/>
      <c r="U776" s="9"/>
      <c r="V776" s="9"/>
      <c r="W776" s="9"/>
      <c r="X776" s="589"/>
      <c r="Y776" s="9"/>
      <c r="Z776" s="204"/>
      <c r="AA776" s="9"/>
      <c r="AB776" s="9"/>
      <c r="AC776" s="9"/>
      <c r="AD776" s="9"/>
    </row>
    <row r="777" ht="15.75" customHeight="1">
      <c r="A777" s="9"/>
      <c r="B777" s="9"/>
      <c r="C777" s="9"/>
      <c r="D777" s="9"/>
      <c r="E777" s="9"/>
      <c r="F777" s="9"/>
      <c r="G777" s="9"/>
      <c r="H777" s="9"/>
      <c r="I777" s="9"/>
      <c r="J777" s="9"/>
      <c r="K777" s="9"/>
      <c r="L777" s="556"/>
      <c r="M777" s="9"/>
      <c r="N777" s="9"/>
      <c r="O777" s="9"/>
      <c r="P777" s="9"/>
      <c r="Q777" s="9"/>
      <c r="R777" s="9"/>
      <c r="S777" s="9"/>
      <c r="T777" s="9"/>
      <c r="U777" s="9"/>
      <c r="V777" s="9"/>
      <c r="W777" s="9"/>
      <c r="X777" s="589"/>
      <c r="Y777" s="9"/>
      <c r="Z777" s="204"/>
      <c r="AA777" s="9"/>
      <c r="AB777" s="9"/>
      <c r="AC777" s="9"/>
      <c r="AD777" s="9"/>
    </row>
    <row r="778" ht="15.75" customHeight="1">
      <c r="A778" s="9"/>
      <c r="B778" s="9"/>
      <c r="C778" s="9"/>
      <c r="D778" s="9"/>
      <c r="E778" s="9"/>
      <c r="F778" s="9"/>
      <c r="G778" s="9"/>
      <c r="H778" s="9"/>
      <c r="I778" s="9"/>
      <c r="J778" s="9"/>
      <c r="K778" s="9"/>
      <c r="L778" s="556"/>
      <c r="M778" s="9"/>
      <c r="N778" s="9"/>
      <c r="O778" s="9"/>
      <c r="P778" s="9"/>
      <c r="Q778" s="9"/>
      <c r="R778" s="9"/>
      <c r="S778" s="9"/>
      <c r="T778" s="9"/>
      <c r="U778" s="9"/>
      <c r="V778" s="9"/>
      <c r="W778" s="9"/>
      <c r="X778" s="589"/>
      <c r="Y778" s="9"/>
      <c r="Z778" s="204"/>
      <c r="AA778" s="9"/>
      <c r="AB778" s="9"/>
      <c r="AC778" s="9"/>
      <c r="AD778" s="9"/>
    </row>
    <row r="779" ht="15.75" customHeight="1">
      <c r="A779" s="9"/>
      <c r="B779" s="9"/>
      <c r="C779" s="9"/>
      <c r="D779" s="9"/>
      <c r="E779" s="9"/>
      <c r="F779" s="9"/>
      <c r="G779" s="9"/>
      <c r="H779" s="9"/>
      <c r="I779" s="9"/>
      <c r="J779" s="9"/>
      <c r="K779" s="9"/>
      <c r="L779" s="556"/>
      <c r="M779" s="9"/>
      <c r="N779" s="9"/>
      <c r="O779" s="9"/>
      <c r="P779" s="9"/>
      <c r="Q779" s="9"/>
      <c r="R779" s="9"/>
      <c r="S779" s="9"/>
      <c r="T779" s="9"/>
      <c r="U779" s="9"/>
      <c r="V779" s="9"/>
      <c r="W779" s="9"/>
      <c r="X779" s="589"/>
      <c r="Y779" s="9"/>
      <c r="Z779" s="204"/>
      <c r="AA779" s="9"/>
      <c r="AB779" s="9"/>
      <c r="AC779" s="9"/>
      <c r="AD779" s="9"/>
    </row>
    <row r="780" ht="15.75" customHeight="1">
      <c r="A780" s="9"/>
      <c r="B780" s="9"/>
      <c r="C780" s="9"/>
      <c r="D780" s="9"/>
      <c r="E780" s="9"/>
      <c r="F780" s="9"/>
      <c r="G780" s="9"/>
      <c r="H780" s="9"/>
      <c r="I780" s="9"/>
      <c r="J780" s="9"/>
      <c r="K780" s="9"/>
      <c r="L780" s="556"/>
      <c r="M780" s="9"/>
      <c r="N780" s="9"/>
      <c r="O780" s="9"/>
      <c r="P780" s="9"/>
      <c r="Q780" s="9"/>
      <c r="R780" s="9"/>
      <c r="S780" s="9"/>
      <c r="T780" s="9"/>
      <c r="U780" s="9"/>
      <c r="V780" s="9"/>
      <c r="W780" s="9"/>
      <c r="X780" s="589"/>
      <c r="Y780" s="9"/>
      <c r="Z780" s="204"/>
      <c r="AA780" s="9"/>
      <c r="AB780" s="9"/>
      <c r="AC780" s="9"/>
      <c r="AD780" s="9"/>
    </row>
    <row r="781" ht="15.75" customHeight="1">
      <c r="A781" s="9"/>
      <c r="B781" s="9"/>
      <c r="C781" s="9"/>
      <c r="D781" s="9"/>
      <c r="E781" s="9"/>
      <c r="F781" s="9"/>
      <c r="G781" s="9"/>
      <c r="H781" s="9"/>
      <c r="I781" s="9"/>
      <c r="J781" s="9"/>
      <c r="K781" s="9"/>
      <c r="L781" s="556"/>
      <c r="M781" s="9"/>
      <c r="N781" s="9"/>
      <c r="O781" s="9"/>
      <c r="P781" s="9"/>
      <c r="Q781" s="9"/>
      <c r="R781" s="9"/>
      <c r="S781" s="9"/>
      <c r="T781" s="9"/>
      <c r="U781" s="9"/>
      <c r="V781" s="9"/>
      <c r="W781" s="9"/>
      <c r="X781" s="589"/>
      <c r="Y781" s="9"/>
      <c r="Z781" s="204"/>
      <c r="AA781" s="9"/>
      <c r="AB781" s="9"/>
      <c r="AC781" s="9"/>
      <c r="AD781" s="9"/>
    </row>
    <row r="782" ht="15.75" customHeight="1">
      <c r="A782" s="9"/>
      <c r="B782" s="9"/>
      <c r="C782" s="9"/>
      <c r="D782" s="9"/>
      <c r="E782" s="9"/>
      <c r="F782" s="9"/>
      <c r="G782" s="9"/>
      <c r="H782" s="9"/>
      <c r="I782" s="9"/>
      <c r="J782" s="9"/>
      <c r="K782" s="9"/>
      <c r="L782" s="556"/>
      <c r="M782" s="9"/>
      <c r="N782" s="9"/>
      <c r="O782" s="9"/>
      <c r="P782" s="9"/>
      <c r="Q782" s="9"/>
      <c r="R782" s="9"/>
      <c r="S782" s="9"/>
      <c r="T782" s="9"/>
      <c r="U782" s="9"/>
      <c r="V782" s="9"/>
      <c r="W782" s="9"/>
      <c r="X782" s="589"/>
      <c r="Y782" s="9"/>
      <c r="Z782" s="204"/>
      <c r="AA782" s="9"/>
      <c r="AB782" s="9"/>
      <c r="AC782" s="9"/>
      <c r="AD782" s="9"/>
    </row>
    <row r="783" ht="15.75" customHeight="1">
      <c r="A783" s="9"/>
      <c r="B783" s="9"/>
      <c r="C783" s="9"/>
      <c r="D783" s="9"/>
      <c r="E783" s="9"/>
      <c r="F783" s="9"/>
      <c r="G783" s="9"/>
      <c r="H783" s="9"/>
      <c r="I783" s="9"/>
      <c r="J783" s="9"/>
      <c r="K783" s="9"/>
      <c r="L783" s="556"/>
      <c r="M783" s="9"/>
      <c r="N783" s="9"/>
      <c r="O783" s="9"/>
      <c r="P783" s="9"/>
      <c r="Q783" s="9"/>
      <c r="R783" s="9"/>
      <c r="S783" s="9"/>
      <c r="T783" s="9"/>
      <c r="U783" s="9"/>
      <c r="V783" s="9"/>
      <c r="W783" s="9"/>
      <c r="X783" s="589"/>
      <c r="Y783" s="9"/>
      <c r="Z783" s="204"/>
      <c r="AA783" s="9"/>
      <c r="AB783" s="9"/>
      <c r="AC783" s="9"/>
      <c r="AD783" s="9"/>
    </row>
    <row r="784" ht="15.75" customHeight="1">
      <c r="A784" s="9"/>
      <c r="B784" s="9"/>
      <c r="C784" s="9"/>
      <c r="D784" s="9"/>
      <c r="E784" s="9"/>
      <c r="F784" s="9"/>
      <c r="G784" s="9"/>
      <c r="H784" s="9"/>
      <c r="I784" s="9"/>
      <c r="J784" s="9"/>
      <c r="K784" s="9"/>
      <c r="L784" s="556"/>
      <c r="M784" s="9"/>
      <c r="N784" s="9"/>
      <c r="O784" s="9"/>
      <c r="P784" s="9"/>
      <c r="Q784" s="9"/>
      <c r="R784" s="9"/>
      <c r="S784" s="9"/>
      <c r="T784" s="9"/>
      <c r="U784" s="9"/>
      <c r="V784" s="9"/>
      <c r="W784" s="9"/>
      <c r="X784" s="589"/>
      <c r="Y784" s="9"/>
      <c r="Z784" s="204"/>
      <c r="AA784" s="9"/>
      <c r="AB784" s="9"/>
      <c r="AC784" s="9"/>
      <c r="AD784" s="9"/>
    </row>
    <row r="785" ht="15.75" customHeight="1">
      <c r="A785" s="9"/>
      <c r="B785" s="9"/>
      <c r="C785" s="9"/>
      <c r="D785" s="9"/>
      <c r="E785" s="9"/>
      <c r="F785" s="9"/>
      <c r="G785" s="9"/>
      <c r="H785" s="9"/>
      <c r="I785" s="9"/>
      <c r="J785" s="9"/>
      <c r="K785" s="9"/>
      <c r="L785" s="556"/>
      <c r="M785" s="9"/>
      <c r="N785" s="9"/>
      <c r="O785" s="9"/>
      <c r="P785" s="9"/>
      <c r="Q785" s="9"/>
      <c r="R785" s="9"/>
      <c r="S785" s="9"/>
      <c r="T785" s="9"/>
      <c r="U785" s="9"/>
      <c r="V785" s="9"/>
      <c r="W785" s="9"/>
      <c r="X785" s="589"/>
      <c r="Y785" s="9"/>
      <c r="Z785" s="204"/>
      <c r="AA785" s="9"/>
      <c r="AB785" s="9"/>
      <c r="AC785" s="9"/>
      <c r="AD785" s="9"/>
    </row>
    <row r="786" ht="15.75" customHeight="1">
      <c r="A786" s="9"/>
      <c r="B786" s="9"/>
      <c r="C786" s="9"/>
      <c r="D786" s="9"/>
      <c r="E786" s="9"/>
      <c r="F786" s="9"/>
      <c r="G786" s="9"/>
      <c r="H786" s="9"/>
      <c r="I786" s="9"/>
      <c r="J786" s="9"/>
      <c r="K786" s="9"/>
      <c r="L786" s="556"/>
      <c r="M786" s="9"/>
      <c r="N786" s="9"/>
      <c r="O786" s="9"/>
      <c r="P786" s="9"/>
      <c r="Q786" s="9"/>
      <c r="R786" s="9"/>
      <c r="S786" s="9"/>
      <c r="T786" s="9"/>
      <c r="U786" s="9"/>
      <c r="V786" s="9"/>
      <c r="W786" s="9"/>
      <c r="X786" s="589"/>
      <c r="Y786" s="9"/>
      <c r="Z786" s="204"/>
      <c r="AA786" s="9"/>
      <c r="AB786" s="9"/>
      <c r="AC786" s="9"/>
      <c r="AD786" s="9"/>
    </row>
    <row r="787" ht="15.75" customHeight="1">
      <c r="A787" s="9"/>
      <c r="B787" s="9"/>
      <c r="C787" s="9"/>
      <c r="D787" s="9"/>
      <c r="E787" s="9"/>
      <c r="F787" s="9"/>
      <c r="G787" s="9"/>
      <c r="H787" s="9"/>
      <c r="I787" s="9"/>
      <c r="J787" s="9"/>
      <c r="K787" s="9"/>
      <c r="L787" s="556"/>
      <c r="M787" s="9"/>
      <c r="N787" s="9"/>
      <c r="O787" s="9"/>
      <c r="P787" s="9"/>
      <c r="Q787" s="9"/>
      <c r="R787" s="9"/>
      <c r="S787" s="9"/>
      <c r="T787" s="9"/>
      <c r="U787" s="9"/>
      <c r="V787" s="9"/>
      <c r="W787" s="9"/>
      <c r="X787" s="589"/>
      <c r="Y787" s="9"/>
      <c r="Z787" s="204"/>
      <c r="AA787" s="9"/>
      <c r="AB787" s="9"/>
      <c r="AC787" s="9"/>
      <c r="AD787" s="9"/>
    </row>
    <row r="788" ht="15.75" customHeight="1">
      <c r="A788" s="9"/>
      <c r="B788" s="9"/>
      <c r="C788" s="9"/>
      <c r="D788" s="9"/>
      <c r="E788" s="9"/>
      <c r="F788" s="9"/>
      <c r="G788" s="9"/>
      <c r="H788" s="9"/>
      <c r="I788" s="9"/>
      <c r="J788" s="9"/>
      <c r="K788" s="9"/>
      <c r="L788" s="556"/>
      <c r="M788" s="9"/>
      <c r="N788" s="9"/>
      <c r="O788" s="9"/>
      <c r="P788" s="9"/>
      <c r="Q788" s="9"/>
      <c r="R788" s="9"/>
      <c r="S788" s="9"/>
      <c r="T788" s="9"/>
      <c r="U788" s="9"/>
      <c r="V788" s="9"/>
      <c r="W788" s="9"/>
      <c r="X788" s="589"/>
      <c r="Y788" s="9"/>
      <c r="Z788" s="204"/>
      <c r="AA788" s="9"/>
      <c r="AB788" s="9"/>
      <c r="AC788" s="9"/>
      <c r="AD788" s="9"/>
    </row>
    <row r="789" ht="15.75" customHeight="1">
      <c r="A789" s="9"/>
      <c r="B789" s="9"/>
      <c r="C789" s="9"/>
      <c r="D789" s="9"/>
      <c r="E789" s="9"/>
      <c r="F789" s="9"/>
      <c r="G789" s="9"/>
      <c r="H789" s="9"/>
      <c r="I789" s="9"/>
      <c r="J789" s="9"/>
      <c r="K789" s="9"/>
      <c r="L789" s="556"/>
      <c r="M789" s="9"/>
      <c r="N789" s="9"/>
      <c r="O789" s="9"/>
      <c r="P789" s="9"/>
      <c r="Q789" s="9"/>
      <c r="R789" s="9"/>
      <c r="S789" s="9"/>
      <c r="T789" s="9"/>
      <c r="U789" s="9"/>
      <c r="V789" s="9"/>
      <c r="W789" s="9"/>
      <c r="X789" s="589"/>
      <c r="Y789" s="9"/>
      <c r="Z789" s="204"/>
      <c r="AA789" s="9"/>
      <c r="AB789" s="9"/>
      <c r="AC789" s="9"/>
      <c r="AD789" s="9"/>
    </row>
    <row r="790" ht="15.75" customHeight="1">
      <c r="A790" s="9"/>
      <c r="B790" s="9"/>
      <c r="C790" s="9"/>
      <c r="D790" s="9"/>
      <c r="E790" s="9"/>
      <c r="F790" s="9"/>
      <c r="G790" s="9"/>
      <c r="H790" s="9"/>
      <c r="I790" s="9"/>
      <c r="J790" s="9"/>
      <c r="K790" s="9"/>
      <c r="L790" s="556"/>
      <c r="M790" s="9"/>
      <c r="N790" s="9"/>
      <c r="O790" s="9"/>
      <c r="P790" s="9"/>
      <c r="Q790" s="9"/>
      <c r="R790" s="9"/>
      <c r="S790" s="9"/>
      <c r="T790" s="9"/>
      <c r="U790" s="9"/>
      <c r="V790" s="9"/>
      <c r="W790" s="9"/>
      <c r="X790" s="589"/>
      <c r="Y790" s="9"/>
      <c r="Z790" s="204"/>
      <c r="AA790" s="9"/>
      <c r="AB790" s="9"/>
      <c r="AC790" s="9"/>
      <c r="AD790" s="9"/>
    </row>
    <row r="791" ht="15.75" customHeight="1">
      <c r="A791" s="9"/>
      <c r="B791" s="9"/>
      <c r="C791" s="9"/>
      <c r="D791" s="9"/>
      <c r="E791" s="9"/>
      <c r="F791" s="9"/>
      <c r="G791" s="9"/>
      <c r="H791" s="9"/>
      <c r="I791" s="9"/>
      <c r="J791" s="9"/>
      <c r="K791" s="9"/>
      <c r="L791" s="556"/>
      <c r="M791" s="9"/>
      <c r="N791" s="9"/>
      <c r="O791" s="9"/>
      <c r="P791" s="9"/>
      <c r="Q791" s="9"/>
      <c r="R791" s="9"/>
      <c r="S791" s="9"/>
      <c r="T791" s="9"/>
      <c r="U791" s="9"/>
      <c r="V791" s="9"/>
      <c r="W791" s="9"/>
      <c r="X791" s="589"/>
      <c r="Y791" s="9"/>
      <c r="Z791" s="204"/>
      <c r="AA791" s="9"/>
      <c r="AB791" s="9"/>
      <c r="AC791" s="9"/>
      <c r="AD791" s="9"/>
    </row>
    <row r="792" ht="15.75" customHeight="1">
      <c r="A792" s="9"/>
      <c r="B792" s="9"/>
      <c r="C792" s="9"/>
      <c r="D792" s="9"/>
      <c r="E792" s="9"/>
      <c r="F792" s="9"/>
      <c r="G792" s="9"/>
      <c r="H792" s="9"/>
      <c r="I792" s="9"/>
      <c r="J792" s="9"/>
      <c r="K792" s="9"/>
      <c r="L792" s="556"/>
      <c r="M792" s="9"/>
      <c r="N792" s="9"/>
      <c r="O792" s="9"/>
      <c r="P792" s="9"/>
      <c r="Q792" s="9"/>
      <c r="R792" s="9"/>
      <c r="S792" s="9"/>
      <c r="T792" s="9"/>
      <c r="U792" s="9"/>
      <c r="V792" s="9"/>
      <c r="W792" s="9"/>
      <c r="X792" s="589"/>
      <c r="Y792" s="9"/>
      <c r="Z792" s="204"/>
      <c r="AA792" s="9"/>
      <c r="AB792" s="9"/>
      <c r="AC792" s="9"/>
      <c r="AD792" s="9"/>
    </row>
    <row r="793" ht="15.75" customHeight="1">
      <c r="A793" s="9"/>
      <c r="B793" s="9"/>
      <c r="C793" s="9"/>
      <c r="D793" s="9"/>
      <c r="E793" s="9"/>
      <c r="F793" s="9"/>
      <c r="G793" s="9"/>
      <c r="H793" s="9"/>
      <c r="I793" s="9"/>
      <c r="J793" s="9"/>
      <c r="K793" s="9"/>
      <c r="L793" s="556"/>
      <c r="M793" s="9"/>
      <c r="N793" s="9"/>
      <c r="O793" s="9"/>
      <c r="P793" s="9"/>
      <c r="Q793" s="9"/>
      <c r="R793" s="9"/>
      <c r="S793" s="9"/>
      <c r="T793" s="9"/>
      <c r="U793" s="9"/>
      <c r="V793" s="9"/>
      <c r="W793" s="9"/>
      <c r="X793" s="589"/>
      <c r="Y793" s="9"/>
      <c r="Z793" s="204"/>
      <c r="AA793" s="9"/>
      <c r="AB793" s="9"/>
      <c r="AC793" s="9"/>
      <c r="AD793" s="9"/>
    </row>
    <row r="794" ht="15.75" customHeight="1">
      <c r="A794" s="9"/>
      <c r="B794" s="9"/>
      <c r="C794" s="9"/>
      <c r="D794" s="9"/>
      <c r="E794" s="9"/>
      <c r="F794" s="9"/>
      <c r="G794" s="9"/>
      <c r="H794" s="9"/>
      <c r="I794" s="9"/>
      <c r="J794" s="9"/>
      <c r="K794" s="9"/>
      <c r="L794" s="556"/>
      <c r="M794" s="9"/>
      <c r="N794" s="9"/>
      <c r="O794" s="9"/>
      <c r="P794" s="9"/>
      <c r="Q794" s="9"/>
      <c r="R794" s="9"/>
      <c r="S794" s="9"/>
      <c r="T794" s="9"/>
      <c r="U794" s="9"/>
      <c r="V794" s="9"/>
      <c r="W794" s="9"/>
      <c r="X794" s="589"/>
      <c r="Y794" s="9"/>
      <c r="Z794" s="204"/>
      <c r="AA794" s="9"/>
      <c r="AB794" s="9"/>
      <c r="AC794" s="9"/>
      <c r="AD794" s="9"/>
    </row>
    <row r="795" ht="15.75" customHeight="1">
      <c r="A795" s="9"/>
      <c r="B795" s="9"/>
      <c r="C795" s="9"/>
      <c r="D795" s="9"/>
      <c r="E795" s="9"/>
      <c r="F795" s="9"/>
      <c r="G795" s="9"/>
      <c r="H795" s="9"/>
      <c r="I795" s="9"/>
      <c r="J795" s="9"/>
      <c r="K795" s="9"/>
      <c r="L795" s="556"/>
      <c r="M795" s="9"/>
      <c r="N795" s="9"/>
      <c r="O795" s="9"/>
      <c r="P795" s="9"/>
      <c r="Q795" s="9"/>
      <c r="R795" s="9"/>
      <c r="S795" s="9"/>
      <c r="T795" s="9"/>
      <c r="U795" s="9"/>
      <c r="V795" s="9"/>
      <c r="W795" s="9"/>
      <c r="X795" s="589"/>
      <c r="Y795" s="9"/>
      <c r="Z795" s="204"/>
      <c r="AA795" s="9"/>
      <c r="AB795" s="9"/>
      <c r="AC795" s="9"/>
      <c r="AD795" s="9"/>
    </row>
    <row r="796" ht="15.75" customHeight="1">
      <c r="A796" s="9"/>
      <c r="B796" s="9"/>
      <c r="C796" s="9"/>
      <c r="D796" s="9"/>
      <c r="E796" s="9"/>
      <c r="F796" s="9"/>
      <c r="G796" s="9"/>
      <c r="H796" s="9"/>
      <c r="I796" s="9"/>
      <c r="J796" s="9"/>
      <c r="K796" s="9"/>
      <c r="L796" s="556"/>
      <c r="M796" s="9"/>
      <c r="N796" s="9"/>
      <c r="O796" s="9"/>
      <c r="P796" s="9"/>
      <c r="Q796" s="9"/>
      <c r="R796" s="9"/>
      <c r="S796" s="9"/>
      <c r="T796" s="9"/>
      <c r="U796" s="9"/>
      <c r="V796" s="9"/>
      <c r="W796" s="9"/>
      <c r="X796" s="589"/>
      <c r="Y796" s="9"/>
      <c r="Z796" s="204"/>
      <c r="AA796" s="9"/>
      <c r="AB796" s="9"/>
      <c r="AC796" s="9"/>
      <c r="AD796" s="9"/>
    </row>
    <row r="797" ht="15.75" customHeight="1">
      <c r="A797" s="9"/>
      <c r="B797" s="9"/>
      <c r="C797" s="9"/>
      <c r="D797" s="9"/>
      <c r="E797" s="9"/>
      <c r="F797" s="9"/>
      <c r="G797" s="9"/>
      <c r="H797" s="9"/>
      <c r="I797" s="9"/>
      <c r="J797" s="9"/>
      <c r="K797" s="9"/>
      <c r="L797" s="556"/>
      <c r="M797" s="9"/>
      <c r="N797" s="9"/>
      <c r="O797" s="9"/>
      <c r="P797" s="9"/>
      <c r="Q797" s="9"/>
      <c r="R797" s="9"/>
      <c r="S797" s="9"/>
      <c r="T797" s="9"/>
      <c r="U797" s="9"/>
      <c r="V797" s="9"/>
      <c r="W797" s="9"/>
      <c r="X797" s="589"/>
      <c r="Y797" s="9"/>
      <c r="Z797" s="204"/>
      <c r="AA797" s="9"/>
      <c r="AB797" s="9"/>
      <c r="AC797" s="9"/>
      <c r="AD797" s="9"/>
    </row>
    <row r="798" ht="15.75" customHeight="1">
      <c r="A798" s="9"/>
      <c r="B798" s="9"/>
      <c r="C798" s="9"/>
      <c r="D798" s="9"/>
      <c r="E798" s="9"/>
      <c r="F798" s="9"/>
      <c r="G798" s="9"/>
      <c r="H798" s="9"/>
      <c r="I798" s="9"/>
      <c r="J798" s="9"/>
      <c r="K798" s="9"/>
      <c r="L798" s="556"/>
      <c r="M798" s="9"/>
      <c r="N798" s="9"/>
      <c r="O798" s="9"/>
      <c r="P798" s="9"/>
      <c r="Q798" s="9"/>
      <c r="R798" s="9"/>
      <c r="S798" s="9"/>
      <c r="T798" s="9"/>
      <c r="U798" s="9"/>
      <c r="V798" s="9"/>
      <c r="W798" s="9"/>
      <c r="X798" s="589"/>
      <c r="Y798" s="9"/>
      <c r="Z798" s="204"/>
      <c r="AA798" s="9"/>
      <c r="AB798" s="9"/>
      <c r="AC798" s="9"/>
      <c r="AD798" s="9"/>
    </row>
    <row r="799" ht="15.75" customHeight="1">
      <c r="A799" s="9"/>
      <c r="B799" s="9"/>
      <c r="C799" s="9"/>
      <c r="D799" s="9"/>
      <c r="E799" s="9"/>
      <c r="F799" s="9"/>
      <c r="G799" s="9"/>
      <c r="H799" s="9"/>
      <c r="I799" s="9"/>
      <c r="J799" s="9"/>
      <c r="K799" s="9"/>
      <c r="L799" s="556"/>
      <c r="M799" s="9"/>
      <c r="N799" s="9"/>
      <c r="O799" s="9"/>
      <c r="P799" s="9"/>
      <c r="Q799" s="9"/>
      <c r="R799" s="9"/>
      <c r="S799" s="9"/>
      <c r="T799" s="9"/>
      <c r="U799" s="9"/>
      <c r="V799" s="9"/>
      <c r="W799" s="9"/>
      <c r="X799" s="589"/>
      <c r="Y799" s="9"/>
      <c r="Z799" s="204"/>
      <c r="AA799" s="9"/>
      <c r="AB799" s="9"/>
      <c r="AC799" s="9"/>
      <c r="AD799" s="9"/>
    </row>
    <row r="800" ht="15.75" customHeight="1">
      <c r="A800" s="9"/>
      <c r="B800" s="9"/>
      <c r="C800" s="9"/>
      <c r="D800" s="9"/>
      <c r="E800" s="9"/>
      <c r="F800" s="9"/>
      <c r="G800" s="9"/>
      <c r="H800" s="9"/>
      <c r="I800" s="9"/>
      <c r="J800" s="9"/>
      <c r="K800" s="9"/>
      <c r="L800" s="556"/>
      <c r="M800" s="9"/>
      <c r="N800" s="9"/>
      <c r="O800" s="9"/>
      <c r="P800" s="9"/>
      <c r="Q800" s="9"/>
      <c r="R800" s="9"/>
      <c r="S800" s="9"/>
      <c r="T800" s="9"/>
      <c r="U800" s="9"/>
      <c r="V800" s="9"/>
      <c r="W800" s="9"/>
      <c r="X800" s="589"/>
      <c r="Y800" s="9"/>
      <c r="Z800" s="204"/>
      <c r="AA800" s="9"/>
      <c r="AB800" s="9"/>
      <c r="AC800" s="9"/>
      <c r="AD800" s="9"/>
    </row>
    <row r="801" ht="15.75" customHeight="1">
      <c r="A801" s="9"/>
      <c r="B801" s="9"/>
      <c r="C801" s="9"/>
      <c r="D801" s="9"/>
      <c r="E801" s="9"/>
      <c r="F801" s="9"/>
      <c r="G801" s="9"/>
      <c r="H801" s="9"/>
      <c r="I801" s="9"/>
      <c r="J801" s="9"/>
      <c r="K801" s="9"/>
      <c r="L801" s="556"/>
      <c r="M801" s="9"/>
      <c r="N801" s="9"/>
      <c r="O801" s="9"/>
      <c r="P801" s="9"/>
      <c r="Q801" s="9"/>
      <c r="R801" s="9"/>
      <c r="S801" s="9"/>
      <c r="T801" s="9"/>
      <c r="U801" s="9"/>
      <c r="V801" s="9"/>
      <c r="W801" s="9"/>
      <c r="X801" s="589"/>
      <c r="Y801" s="9"/>
      <c r="Z801" s="204"/>
      <c r="AA801" s="9"/>
      <c r="AB801" s="9"/>
      <c r="AC801" s="9"/>
      <c r="AD801" s="9"/>
    </row>
    <row r="802" ht="15.75" customHeight="1">
      <c r="A802" s="9"/>
      <c r="B802" s="9"/>
      <c r="C802" s="9"/>
      <c r="D802" s="9"/>
      <c r="E802" s="9"/>
      <c r="F802" s="9"/>
      <c r="G802" s="9"/>
      <c r="H802" s="9"/>
      <c r="I802" s="9"/>
      <c r="J802" s="9"/>
      <c r="K802" s="9"/>
      <c r="L802" s="556"/>
      <c r="M802" s="9"/>
      <c r="N802" s="9"/>
      <c r="O802" s="9"/>
      <c r="P802" s="9"/>
      <c r="Q802" s="9"/>
      <c r="R802" s="9"/>
      <c r="S802" s="9"/>
      <c r="T802" s="9"/>
      <c r="U802" s="9"/>
      <c r="V802" s="9"/>
      <c r="W802" s="9"/>
      <c r="X802" s="589"/>
      <c r="Y802" s="9"/>
      <c r="Z802" s="204"/>
      <c r="AA802" s="9"/>
      <c r="AB802" s="9"/>
      <c r="AC802" s="9"/>
      <c r="AD802" s="9"/>
    </row>
    <row r="803" ht="15.75" customHeight="1">
      <c r="A803" s="9"/>
      <c r="B803" s="9"/>
      <c r="C803" s="9"/>
      <c r="D803" s="9"/>
      <c r="E803" s="9"/>
      <c r="F803" s="9"/>
      <c r="G803" s="9"/>
      <c r="H803" s="9"/>
      <c r="I803" s="9"/>
      <c r="J803" s="9"/>
      <c r="K803" s="9"/>
      <c r="L803" s="556"/>
      <c r="M803" s="9"/>
      <c r="N803" s="9"/>
      <c r="O803" s="9"/>
      <c r="P803" s="9"/>
      <c r="Q803" s="9"/>
      <c r="R803" s="9"/>
      <c r="S803" s="9"/>
      <c r="T803" s="9"/>
      <c r="U803" s="9"/>
      <c r="V803" s="9"/>
      <c r="W803" s="9"/>
      <c r="X803" s="589"/>
      <c r="Y803" s="9"/>
      <c r="Z803" s="204"/>
      <c r="AA803" s="9"/>
      <c r="AB803" s="9"/>
      <c r="AC803" s="9"/>
      <c r="AD803" s="9"/>
    </row>
    <row r="804" ht="15.75" customHeight="1">
      <c r="A804" s="9"/>
      <c r="B804" s="9"/>
      <c r="C804" s="9"/>
      <c r="D804" s="9"/>
      <c r="E804" s="9"/>
      <c r="F804" s="9"/>
      <c r="G804" s="9"/>
      <c r="H804" s="9"/>
      <c r="I804" s="9"/>
      <c r="J804" s="9"/>
      <c r="K804" s="9"/>
      <c r="L804" s="556"/>
      <c r="M804" s="9"/>
      <c r="N804" s="9"/>
      <c r="O804" s="9"/>
      <c r="P804" s="9"/>
      <c r="Q804" s="9"/>
      <c r="R804" s="9"/>
      <c r="S804" s="9"/>
      <c r="T804" s="9"/>
      <c r="U804" s="9"/>
      <c r="V804" s="9"/>
      <c r="W804" s="9"/>
      <c r="X804" s="589"/>
      <c r="Y804" s="9"/>
      <c r="Z804" s="204"/>
      <c r="AA804" s="9"/>
      <c r="AB804" s="9"/>
      <c r="AC804" s="9"/>
      <c r="AD804" s="9"/>
    </row>
    <row r="805" ht="15.75" customHeight="1">
      <c r="A805" s="9"/>
      <c r="B805" s="9"/>
      <c r="C805" s="9"/>
      <c r="D805" s="9"/>
      <c r="E805" s="9"/>
      <c r="F805" s="9"/>
      <c r="G805" s="9"/>
      <c r="H805" s="9"/>
      <c r="I805" s="9"/>
      <c r="J805" s="9"/>
      <c r="K805" s="9"/>
      <c r="L805" s="556"/>
      <c r="M805" s="9"/>
      <c r="N805" s="9"/>
      <c r="O805" s="9"/>
      <c r="P805" s="9"/>
      <c r="Q805" s="9"/>
      <c r="R805" s="9"/>
      <c r="S805" s="9"/>
      <c r="T805" s="9"/>
      <c r="U805" s="9"/>
      <c r="V805" s="9"/>
      <c r="W805" s="9"/>
      <c r="X805" s="589"/>
      <c r="Y805" s="9"/>
      <c r="Z805" s="204"/>
      <c r="AA805" s="9"/>
      <c r="AB805" s="9"/>
      <c r="AC805" s="9"/>
      <c r="AD805" s="9"/>
    </row>
    <row r="806" ht="15.75" customHeight="1">
      <c r="A806" s="9"/>
      <c r="B806" s="9"/>
      <c r="C806" s="9"/>
      <c r="D806" s="9"/>
      <c r="E806" s="9"/>
      <c r="F806" s="9"/>
      <c r="G806" s="9"/>
      <c r="H806" s="9"/>
      <c r="I806" s="9"/>
      <c r="J806" s="9"/>
      <c r="K806" s="9"/>
      <c r="L806" s="556"/>
      <c r="M806" s="9"/>
      <c r="N806" s="9"/>
      <c r="O806" s="9"/>
      <c r="P806" s="9"/>
      <c r="Q806" s="9"/>
      <c r="R806" s="9"/>
      <c r="S806" s="9"/>
      <c r="T806" s="9"/>
      <c r="U806" s="9"/>
      <c r="V806" s="9"/>
      <c r="W806" s="9"/>
      <c r="X806" s="589"/>
      <c r="Y806" s="9"/>
      <c r="Z806" s="204"/>
      <c r="AA806" s="9"/>
      <c r="AB806" s="9"/>
      <c r="AC806" s="9"/>
      <c r="AD806" s="9"/>
    </row>
    <row r="807" ht="15.75" customHeight="1">
      <c r="A807" s="9"/>
      <c r="B807" s="9"/>
      <c r="C807" s="9"/>
      <c r="D807" s="9"/>
      <c r="E807" s="9"/>
      <c r="F807" s="9"/>
      <c r="G807" s="9"/>
      <c r="H807" s="9"/>
      <c r="I807" s="9"/>
      <c r="J807" s="9"/>
      <c r="K807" s="9"/>
      <c r="L807" s="556"/>
      <c r="M807" s="9"/>
      <c r="N807" s="9"/>
      <c r="O807" s="9"/>
      <c r="P807" s="9"/>
      <c r="Q807" s="9"/>
      <c r="R807" s="9"/>
      <c r="S807" s="9"/>
      <c r="T807" s="9"/>
      <c r="U807" s="9"/>
      <c r="V807" s="9"/>
      <c r="W807" s="9"/>
      <c r="X807" s="589"/>
      <c r="Y807" s="9"/>
      <c r="Z807" s="204"/>
      <c r="AA807" s="9"/>
      <c r="AB807" s="9"/>
      <c r="AC807" s="9"/>
      <c r="AD807" s="9"/>
    </row>
    <row r="808" ht="15.75" customHeight="1">
      <c r="A808" s="9"/>
      <c r="B808" s="9"/>
      <c r="C808" s="9"/>
      <c r="D808" s="9"/>
      <c r="E808" s="9"/>
      <c r="F808" s="9"/>
      <c r="G808" s="9"/>
      <c r="H808" s="9"/>
      <c r="I808" s="9"/>
      <c r="J808" s="9"/>
      <c r="K808" s="9"/>
      <c r="L808" s="556"/>
      <c r="M808" s="9"/>
      <c r="N808" s="9"/>
      <c r="O808" s="9"/>
      <c r="P808" s="9"/>
      <c r="Q808" s="9"/>
      <c r="R808" s="9"/>
      <c r="S808" s="9"/>
      <c r="T808" s="9"/>
      <c r="U808" s="9"/>
      <c r="V808" s="9"/>
      <c r="W808" s="9"/>
      <c r="X808" s="589"/>
      <c r="Y808" s="9"/>
      <c r="Z808" s="204"/>
      <c r="AA808" s="9"/>
      <c r="AB808" s="9"/>
      <c r="AC808" s="9"/>
      <c r="AD808" s="9"/>
    </row>
    <row r="809" ht="15.75" customHeight="1">
      <c r="A809" s="9"/>
      <c r="B809" s="9"/>
      <c r="C809" s="9"/>
      <c r="D809" s="9"/>
      <c r="E809" s="9"/>
      <c r="F809" s="9"/>
      <c r="G809" s="9"/>
      <c r="H809" s="9"/>
      <c r="I809" s="9"/>
      <c r="J809" s="9"/>
      <c r="K809" s="9"/>
      <c r="L809" s="556"/>
      <c r="M809" s="9"/>
      <c r="N809" s="9"/>
      <c r="O809" s="9"/>
      <c r="P809" s="9"/>
      <c r="Q809" s="9"/>
      <c r="R809" s="9"/>
      <c r="S809" s="9"/>
      <c r="T809" s="9"/>
      <c r="U809" s="9"/>
      <c r="V809" s="9"/>
      <c r="W809" s="9"/>
      <c r="X809" s="589"/>
      <c r="Y809" s="9"/>
      <c r="Z809" s="204"/>
      <c r="AA809" s="9"/>
      <c r="AB809" s="9"/>
      <c r="AC809" s="9"/>
      <c r="AD809" s="9"/>
    </row>
    <row r="810" ht="15.75" customHeight="1">
      <c r="A810" s="9"/>
      <c r="B810" s="9"/>
      <c r="C810" s="9"/>
      <c r="D810" s="9"/>
      <c r="E810" s="9"/>
      <c r="F810" s="9"/>
      <c r="G810" s="9"/>
      <c r="H810" s="9"/>
      <c r="I810" s="9"/>
      <c r="J810" s="9"/>
      <c r="K810" s="9"/>
      <c r="L810" s="556"/>
      <c r="M810" s="9"/>
      <c r="N810" s="9"/>
      <c r="O810" s="9"/>
      <c r="P810" s="9"/>
      <c r="Q810" s="9"/>
      <c r="R810" s="9"/>
      <c r="S810" s="9"/>
      <c r="T810" s="9"/>
      <c r="U810" s="9"/>
      <c r="V810" s="9"/>
      <c r="W810" s="9"/>
      <c r="X810" s="589"/>
      <c r="Y810" s="9"/>
      <c r="Z810" s="204"/>
      <c r="AA810" s="9"/>
      <c r="AB810" s="9"/>
      <c r="AC810" s="9"/>
      <c r="AD810" s="9"/>
    </row>
    <row r="811" ht="15.75" customHeight="1">
      <c r="A811" s="9"/>
      <c r="B811" s="9"/>
      <c r="C811" s="9"/>
      <c r="D811" s="9"/>
      <c r="E811" s="9"/>
      <c r="F811" s="9"/>
      <c r="G811" s="9"/>
      <c r="H811" s="9"/>
      <c r="I811" s="9"/>
      <c r="J811" s="9"/>
      <c r="K811" s="9"/>
      <c r="L811" s="556"/>
      <c r="M811" s="9"/>
      <c r="N811" s="9"/>
      <c r="O811" s="9"/>
      <c r="P811" s="9"/>
      <c r="Q811" s="9"/>
      <c r="R811" s="9"/>
      <c r="S811" s="9"/>
      <c r="T811" s="9"/>
      <c r="U811" s="9"/>
      <c r="V811" s="9"/>
      <c r="W811" s="9"/>
      <c r="X811" s="589"/>
      <c r="Y811" s="9"/>
      <c r="Z811" s="204"/>
      <c r="AA811" s="9"/>
      <c r="AB811" s="9"/>
      <c r="AC811" s="9"/>
      <c r="AD811" s="9"/>
    </row>
    <row r="812" ht="15.75" customHeight="1">
      <c r="A812" s="9"/>
      <c r="B812" s="9"/>
      <c r="C812" s="9"/>
      <c r="D812" s="9"/>
      <c r="E812" s="9"/>
      <c r="F812" s="9"/>
      <c r="G812" s="9"/>
      <c r="H812" s="9"/>
      <c r="I812" s="9"/>
      <c r="J812" s="9"/>
      <c r="K812" s="9"/>
      <c r="L812" s="556"/>
      <c r="M812" s="9"/>
      <c r="N812" s="9"/>
      <c r="O812" s="9"/>
      <c r="P812" s="9"/>
      <c r="Q812" s="9"/>
      <c r="R812" s="9"/>
      <c r="S812" s="9"/>
      <c r="T812" s="9"/>
      <c r="U812" s="9"/>
      <c r="V812" s="9"/>
      <c r="W812" s="9"/>
      <c r="X812" s="589"/>
      <c r="Y812" s="9"/>
      <c r="Z812" s="204"/>
      <c r="AA812" s="9"/>
      <c r="AB812" s="9"/>
      <c r="AC812" s="9"/>
      <c r="AD812" s="9"/>
    </row>
    <row r="813" ht="15.75" customHeight="1">
      <c r="A813" s="9"/>
      <c r="B813" s="9"/>
      <c r="C813" s="9"/>
      <c r="D813" s="9"/>
      <c r="E813" s="9"/>
      <c r="F813" s="9"/>
      <c r="G813" s="9"/>
      <c r="H813" s="9"/>
      <c r="I813" s="9"/>
      <c r="J813" s="9"/>
      <c r="K813" s="9"/>
      <c r="L813" s="556"/>
      <c r="M813" s="9"/>
      <c r="N813" s="9"/>
      <c r="O813" s="9"/>
      <c r="P813" s="9"/>
      <c r="Q813" s="9"/>
      <c r="R813" s="9"/>
      <c r="S813" s="9"/>
      <c r="T813" s="9"/>
      <c r="U813" s="9"/>
      <c r="V813" s="9"/>
      <c r="W813" s="9"/>
      <c r="X813" s="589"/>
      <c r="Y813" s="9"/>
      <c r="Z813" s="204"/>
      <c r="AA813" s="9"/>
      <c r="AB813" s="9"/>
      <c r="AC813" s="9"/>
      <c r="AD813" s="9"/>
    </row>
    <row r="814" ht="15.75" customHeight="1">
      <c r="A814" s="9"/>
      <c r="B814" s="9"/>
      <c r="C814" s="9"/>
      <c r="D814" s="9"/>
      <c r="E814" s="9"/>
      <c r="F814" s="9"/>
      <c r="G814" s="9"/>
      <c r="H814" s="9"/>
      <c r="I814" s="9"/>
      <c r="J814" s="9"/>
      <c r="K814" s="9"/>
      <c r="L814" s="556"/>
      <c r="M814" s="9"/>
      <c r="N814" s="9"/>
      <c r="O814" s="9"/>
      <c r="P814" s="9"/>
      <c r="Q814" s="9"/>
      <c r="R814" s="9"/>
      <c r="S814" s="9"/>
      <c r="T814" s="9"/>
      <c r="U814" s="9"/>
      <c r="V814" s="9"/>
      <c r="W814" s="9"/>
      <c r="X814" s="589"/>
      <c r="Y814" s="9"/>
      <c r="Z814" s="204"/>
      <c r="AA814" s="9"/>
      <c r="AB814" s="9"/>
      <c r="AC814" s="9"/>
      <c r="AD814" s="9"/>
    </row>
    <row r="815" ht="15.75" customHeight="1">
      <c r="A815" s="9"/>
      <c r="B815" s="9"/>
      <c r="C815" s="9"/>
      <c r="D815" s="9"/>
      <c r="E815" s="9"/>
      <c r="F815" s="9"/>
      <c r="G815" s="9"/>
      <c r="H815" s="9"/>
      <c r="I815" s="9"/>
      <c r="J815" s="9"/>
      <c r="K815" s="9"/>
      <c r="L815" s="556"/>
      <c r="M815" s="9"/>
      <c r="N815" s="9"/>
      <c r="O815" s="9"/>
      <c r="P815" s="9"/>
      <c r="Q815" s="9"/>
      <c r="R815" s="9"/>
      <c r="S815" s="9"/>
      <c r="T815" s="9"/>
      <c r="U815" s="9"/>
      <c r="V815" s="9"/>
      <c r="W815" s="9"/>
      <c r="X815" s="589"/>
      <c r="Y815" s="9"/>
      <c r="Z815" s="204"/>
      <c r="AA815" s="9"/>
      <c r="AB815" s="9"/>
      <c r="AC815" s="9"/>
      <c r="AD815" s="9"/>
    </row>
    <row r="816" ht="15.75" customHeight="1">
      <c r="A816" s="9"/>
      <c r="B816" s="9"/>
      <c r="C816" s="9"/>
      <c r="D816" s="9"/>
      <c r="E816" s="9"/>
      <c r="F816" s="9"/>
      <c r="G816" s="9"/>
      <c r="H816" s="9"/>
      <c r="I816" s="9"/>
      <c r="J816" s="9"/>
      <c r="K816" s="9"/>
      <c r="L816" s="556"/>
      <c r="M816" s="9"/>
      <c r="N816" s="9"/>
      <c r="O816" s="9"/>
      <c r="P816" s="9"/>
      <c r="Q816" s="9"/>
      <c r="R816" s="9"/>
      <c r="S816" s="9"/>
      <c r="T816" s="9"/>
      <c r="U816" s="9"/>
      <c r="V816" s="9"/>
      <c r="W816" s="9"/>
      <c r="X816" s="589"/>
      <c r="Y816" s="9"/>
      <c r="Z816" s="204"/>
      <c r="AA816" s="9"/>
      <c r="AB816" s="9"/>
      <c r="AC816" s="9"/>
      <c r="AD816" s="9"/>
    </row>
    <row r="817" ht="15.75" customHeight="1">
      <c r="A817" s="9"/>
      <c r="B817" s="9"/>
      <c r="C817" s="9"/>
      <c r="D817" s="9"/>
      <c r="E817" s="9"/>
      <c r="F817" s="9"/>
      <c r="G817" s="9"/>
      <c r="H817" s="9"/>
      <c r="I817" s="9"/>
      <c r="J817" s="9"/>
      <c r="K817" s="9"/>
      <c r="L817" s="556"/>
      <c r="M817" s="9"/>
      <c r="N817" s="9"/>
      <c r="O817" s="9"/>
      <c r="P817" s="9"/>
      <c r="Q817" s="9"/>
      <c r="R817" s="9"/>
      <c r="S817" s="9"/>
      <c r="T817" s="9"/>
      <c r="U817" s="9"/>
      <c r="V817" s="9"/>
      <c r="W817" s="9"/>
      <c r="X817" s="589"/>
      <c r="Y817" s="9"/>
      <c r="Z817" s="204"/>
      <c r="AA817" s="9"/>
      <c r="AB817" s="9"/>
      <c r="AC817" s="9"/>
      <c r="AD817" s="9"/>
    </row>
    <row r="818" ht="15.75" customHeight="1">
      <c r="A818" s="9"/>
      <c r="B818" s="9"/>
      <c r="C818" s="9"/>
      <c r="D818" s="9"/>
      <c r="E818" s="9"/>
      <c r="F818" s="9"/>
      <c r="G818" s="9"/>
      <c r="H818" s="9"/>
      <c r="I818" s="9"/>
      <c r="J818" s="9"/>
      <c r="K818" s="9"/>
      <c r="L818" s="556"/>
      <c r="M818" s="9"/>
      <c r="N818" s="9"/>
      <c r="O818" s="9"/>
      <c r="P818" s="9"/>
      <c r="Q818" s="9"/>
      <c r="R818" s="9"/>
      <c r="S818" s="9"/>
      <c r="T818" s="9"/>
      <c r="U818" s="9"/>
      <c r="V818" s="9"/>
      <c r="W818" s="9"/>
      <c r="X818" s="589"/>
      <c r="Y818" s="9"/>
      <c r="Z818" s="204"/>
      <c r="AA818" s="9"/>
      <c r="AB818" s="9"/>
      <c r="AC818" s="9"/>
      <c r="AD818" s="9"/>
    </row>
    <row r="819" ht="15.75" customHeight="1">
      <c r="A819" s="9"/>
      <c r="B819" s="9"/>
      <c r="C819" s="9"/>
      <c r="D819" s="9"/>
      <c r="E819" s="9"/>
      <c r="F819" s="9"/>
      <c r="G819" s="9"/>
      <c r="H819" s="9"/>
      <c r="I819" s="9"/>
      <c r="J819" s="9"/>
      <c r="K819" s="9"/>
      <c r="L819" s="556"/>
      <c r="M819" s="9"/>
      <c r="N819" s="9"/>
      <c r="O819" s="9"/>
      <c r="P819" s="9"/>
      <c r="Q819" s="9"/>
      <c r="R819" s="9"/>
      <c r="S819" s="9"/>
      <c r="T819" s="9"/>
      <c r="U819" s="9"/>
      <c r="V819" s="9"/>
      <c r="W819" s="9"/>
      <c r="X819" s="589"/>
      <c r="Y819" s="9"/>
      <c r="Z819" s="204"/>
      <c r="AA819" s="9"/>
      <c r="AB819" s="9"/>
      <c r="AC819" s="9"/>
      <c r="AD819" s="9"/>
    </row>
    <row r="820" ht="15.75" customHeight="1">
      <c r="A820" s="9"/>
      <c r="B820" s="9"/>
      <c r="C820" s="9"/>
      <c r="D820" s="9"/>
      <c r="E820" s="9"/>
      <c r="F820" s="9"/>
      <c r="G820" s="9"/>
      <c r="H820" s="9"/>
      <c r="I820" s="9"/>
      <c r="J820" s="9"/>
      <c r="K820" s="9"/>
      <c r="L820" s="556"/>
      <c r="M820" s="9"/>
      <c r="N820" s="9"/>
      <c r="O820" s="9"/>
      <c r="P820" s="9"/>
      <c r="Q820" s="9"/>
      <c r="R820" s="9"/>
      <c r="S820" s="9"/>
      <c r="T820" s="9"/>
      <c r="U820" s="9"/>
      <c r="V820" s="9"/>
      <c r="W820" s="9"/>
      <c r="X820" s="589"/>
      <c r="Y820" s="9"/>
      <c r="Z820" s="204"/>
      <c r="AA820" s="9"/>
      <c r="AB820" s="9"/>
      <c r="AC820" s="9"/>
      <c r="AD820" s="9"/>
    </row>
    <row r="821" ht="15.75" customHeight="1">
      <c r="A821" s="9"/>
      <c r="B821" s="9"/>
      <c r="C821" s="9"/>
      <c r="D821" s="9"/>
      <c r="E821" s="9"/>
      <c r="F821" s="9"/>
      <c r="G821" s="9"/>
      <c r="H821" s="9"/>
      <c r="I821" s="9"/>
      <c r="J821" s="9"/>
      <c r="K821" s="9"/>
      <c r="L821" s="556"/>
      <c r="M821" s="9"/>
      <c r="N821" s="9"/>
      <c r="O821" s="9"/>
      <c r="P821" s="9"/>
      <c r="Q821" s="9"/>
      <c r="R821" s="9"/>
      <c r="S821" s="9"/>
      <c r="T821" s="9"/>
      <c r="U821" s="9"/>
      <c r="V821" s="9"/>
      <c r="W821" s="9"/>
      <c r="X821" s="589"/>
      <c r="Y821" s="9"/>
      <c r="Z821" s="204"/>
      <c r="AA821" s="9"/>
      <c r="AB821" s="9"/>
      <c r="AC821" s="9"/>
      <c r="AD821" s="9"/>
    </row>
    <row r="822" ht="15.75" customHeight="1">
      <c r="A822" s="9"/>
      <c r="B822" s="9"/>
      <c r="C822" s="9"/>
      <c r="D822" s="9"/>
      <c r="E822" s="9"/>
      <c r="F822" s="9"/>
      <c r="G822" s="9"/>
      <c r="H822" s="9"/>
      <c r="I822" s="9"/>
      <c r="J822" s="9"/>
      <c r="K822" s="9"/>
      <c r="L822" s="556"/>
      <c r="M822" s="9"/>
      <c r="N822" s="9"/>
      <c r="O822" s="9"/>
      <c r="P822" s="9"/>
      <c r="Q822" s="9"/>
      <c r="R822" s="9"/>
      <c r="S822" s="9"/>
      <c r="T822" s="9"/>
      <c r="U822" s="9"/>
      <c r="V822" s="9"/>
      <c r="W822" s="9"/>
      <c r="X822" s="589"/>
      <c r="Y822" s="9"/>
      <c r="Z822" s="204"/>
      <c r="AA822" s="9"/>
      <c r="AB822" s="9"/>
      <c r="AC822" s="9"/>
      <c r="AD822" s="9"/>
    </row>
    <row r="823" ht="15.75" customHeight="1">
      <c r="A823" s="9"/>
      <c r="B823" s="9"/>
      <c r="C823" s="9"/>
      <c r="D823" s="9"/>
      <c r="E823" s="9"/>
      <c r="F823" s="9"/>
      <c r="G823" s="9"/>
      <c r="H823" s="9"/>
      <c r="I823" s="9"/>
      <c r="J823" s="9"/>
      <c r="K823" s="9"/>
      <c r="L823" s="556"/>
      <c r="M823" s="9"/>
      <c r="N823" s="9"/>
      <c r="O823" s="9"/>
      <c r="P823" s="9"/>
      <c r="Q823" s="9"/>
      <c r="R823" s="9"/>
      <c r="S823" s="9"/>
      <c r="T823" s="9"/>
      <c r="U823" s="9"/>
      <c r="V823" s="9"/>
      <c r="W823" s="9"/>
      <c r="X823" s="589"/>
      <c r="Y823" s="9"/>
      <c r="Z823" s="204"/>
      <c r="AA823" s="9"/>
      <c r="AB823" s="9"/>
      <c r="AC823" s="9"/>
      <c r="AD823" s="9"/>
    </row>
    <row r="824" ht="15.75" customHeight="1">
      <c r="A824" s="9"/>
      <c r="B824" s="9"/>
      <c r="C824" s="9"/>
      <c r="D824" s="9"/>
      <c r="E824" s="9"/>
      <c r="F824" s="9"/>
      <c r="G824" s="9"/>
      <c r="H824" s="9"/>
      <c r="I824" s="9"/>
      <c r="J824" s="9"/>
      <c r="K824" s="9"/>
      <c r="L824" s="556"/>
      <c r="M824" s="9"/>
      <c r="N824" s="9"/>
      <c r="O824" s="9"/>
      <c r="P824" s="9"/>
      <c r="Q824" s="9"/>
      <c r="R824" s="9"/>
      <c r="S824" s="9"/>
      <c r="T824" s="9"/>
      <c r="U824" s="9"/>
      <c r="V824" s="9"/>
      <c r="W824" s="9"/>
      <c r="X824" s="589"/>
      <c r="Y824" s="9"/>
      <c r="Z824" s="204"/>
      <c r="AA824" s="9"/>
      <c r="AB824" s="9"/>
      <c r="AC824" s="9"/>
      <c r="AD824" s="9"/>
    </row>
    <row r="825" ht="15.75" customHeight="1">
      <c r="A825" s="9"/>
      <c r="B825" s="9"/>
      <c r="C825" s="9"/>
      <c r="D825" s="9"/>
      <c r="E825" s="9"/>
      <c r="F825" s="9"/>
      <c r="G825" s="9"/>
      <c r="H825" s="9"/>
      <c r="I825" s="9"/>
      <c r="J825" s="9"/>
      <c r="K825" s="9"/>
      <c r="L825" s="556"/>
      <c r="M825" s="9"/>
      <c r="N825" s="9"/>
      <c r="O825" s="9"/>
      <c r="P825" s="9"/>
      <c r="Q825" s="9"/>
      <c r="R825" s="9"/>
      <c r="S825" s="9"/>
      <c r="T825" s="9"/>
      <c r="U825" s="9"/>
      <c r="V825" s="9"/>
      <c r="W825" s="9"/>
      <c r="X825" s="589"/>
      <c r="Y825" s="9"/>
      <c r="Z825" s="204"/>
      <c r="AA825" s="9"/>
      <c r="AB825" s="9"/>
      <c r="AC825" s="9"/>
      <c r="AD825" s="9"/>
    </row>
    <row r="826" ht="15.75" customHeight="1">
      <c r="A826" s="9"/>
      <c r="B826" s="9"/>
      <c r="C826" s="9"/>
      <c r="D826" s="9"/>
      <c r="E826" s="9"/>
      <c r="F826" s="9"/>
      <c r="G826" s="9"/>
      <c r="H826" s="9"/>
      <c r="I826" s="9"/>
      <c r="J826" s="9"/>
      <c r="K826" s="9"/>
      <c r="L826" s="556"/>
      <c r="M826" s="9"/>
      <c r="N826" s="9"/>
      <c r="O826" s="9"/>
      <c r="P826" s="9"/>
      <c r="Q826" s="9"/>
      <c r="R826" s="9"/>
      <c r="S826" s="9"/>
      <c r="T826" s="9"/>
      <c r="U826" s="9"/>
      <c r="V826" s="9"/>
      <c r="W826" s="9"/>
      <c r="X826" s="589"/>
      <c r="Y826" s="9"/>
      <c r="Z826" s="204"/>
      <c r="AA826" s="9"/>
      <c r="AB826" s="9"/>
      <c r="AC826" s="9"/>
      <c r="AD826" s="9"/>
    </row>
    <row r="827" ht="15.75" customHeight="1">
      <c r="A827" s="9"/>
      <c r="B827" s="9"/>
      <c r="C827" s="9"/>
      <c r="D827" s="9"/>
      <c r="E827" s="9"/>
      <c r="F827" s="9"/>
      <c r="G827" s="9"/>
      <c r="H827" s="9"/>
      <c r="I827" s="9"/>
      <c r="J827" s="9"/>
      <c r="K827" s="9"/>
      <c r="L827" s="556"/>
      <c r="M827" s="9"/>
      <c r="N827" s="9"/>
      <c r="O827" s="9"/>
      <c r="P827" s="9"/>
      <c r="Q827" s="9"/>
      <c r="R827" s="9"/>
      <c r="S827" s="9"/>
      <c r="T827" s="9"/>
      <c r="U827" s="9"/>
      <c r="V827" s="9"/>
      <c r="W827" s="9"/>
      <c r="X827" s="589"/>
      <c r="Y827" s="9"/>
      <c r="Z827" s="204"/>
      <c r="AA827" s="9"/>
      <c r="AB827" s="9"/>
      <c r="AC827" s="9"/>
      <c r="AD827" s="9"/>
    </row>
    <row r="828" ht="15.75" customHeight="1">
      <c r="A828" s="9"/>
      <c r="B828" s="9"/>
      <c r="C828" s="9"/>
      <c r="D828" s="9"/>
      <c r="E828" s="9"/>
      <c r="F828" s="9"/>
      <c r="G828" s="9"/>
      <c r="H828" s="9"/>
      <c r="I828" s="9"/>
      <c r="J828" s="9"/>
      <c r="K828" s="9"/>
      <c r="L828" s="556"/>
      <c r="M828" s="9"/>
      <c r="N828" s="9"/>
      <c r="O828" s="9"/>
      <c r="P828" s="9"/>
      <c r="Q828" s="9"/>
      <c r="R828" s="9"/>
      <c r="S828" s="9"/>
      <c r="T828" s="9"/>
      <c r="U828" s="9"/>
      <c r="V828" s="9"/>
      <c r="W828" s="9"/>
      <c r="X828" s="589"/>
      <c r="Y828" s="9"/>
      <c r="Z828" s="204"/>
      <c r="AA828" s="9"/>
      <c r="AB828" s="9"/>
      <c r="AC828" s="9"/>
      <c r="AD828" s="9"/>
    </row>
    <row r="829" ht="15.75" customHeight="1">
      <c r="A829" s="9"/>
      <c r="B829" s="9"/>
      <c r="C829" s="9"/>
      <c r="D829" s="9"/>
      <c r="E829" s="9"/>
      <c r="F829" s="9"/>
      <c r="G829" s="9"/>
      <c r="H829" s="9"/>
      <c r="I829" s="9"/>
      <c r="J829" s="9"/>
      <c r="K829" s="9"/>
      <c r="L829" s="556"/>
      <c r="M829" s="9"/>
      <c r="N829" s="9"/>
      <c r="O829" s="9"/>
      <c r="P829" s="9"/>
      <c r="Q829" s="9"/>
      <c r="R829" s="9"/>
      <c r="S829" s="9"/>
      <c r="T829" s="9"/>
      <c r="U829" s="9"/>
      <c r="V829" s="9"/>
      <c r="W829" s="9"/>
      <c r="X829" s="589"/>
      <c r="Y829" s="9"/>
      <c r="Z829" s="204"/>
      <c r="AA829" s="9"/>
      <c r="AB829" s="9"/>
      <c r="AC829" s="9"/>
      <c r="AD829" s="9"/>
    </row>
    <row r="830" ht="15.75" customHeight="1">
      <c r="A830" s="9"/>
      <c r="B830" s="9"/>
      <c r="C830" s="9"/>
      <c r="D830" s="9"/>
      <c r="E830" s="9"/>
      <c r="F830" s="9"/>
      <c r="G830" s="9"/>
      <c r="H830" s="9"/>
      <c r="I830" s="9"/>
      <c r="J830" s="9"/>
      <c r="K830" s="9"/>
      <c r="L830" s="556"/>
      <c r="M830" s="9"/>
      <c r="N830" s="9"/>
      <c r="O830" s="9"/>
      <c r="P830" s="9"/>
      <c r="Q830" s="9"/>
      <c r="R830" s="9"/>
      <c r="S830" s="9"/>
      <c r="T830" s="9"/>
      <c r="U830" s="9"/>
      <c r="V830" s="9"/>
      <c r="W830" s="9"/>
      <c r="X830" s="589"/>
      <c r="Y830" s="9"/>
      <c r="Z830" s="204"/>
      <c r="AA830" s="9"/>
      <c r="AB830" s="9"/>
      <c r="AC830" s="9"/>
      <c r="AD830" s="9"/>
    </row>
    <row r="831" ht="15.75" customHeight="1">
      <c r="A831" s="9"/>
      <c r="B831" s="9"/>
      <c r="C831" s="9"/>
      <c r="D831" s="9"/>
      <c r="E831" s="9"/>
      <c r="F831" s="9"/>
      <c r="G831" s="9"/>
      <c r="H831" s="9"/>
      <c r="I831" s="9"/>
      <c r="J831" s="9"/>
      <c r="K831" s="9"/>
      <c r="L831" s="556"/>
      <c r="M831" s="9"/>
      <c r="N831" s="9"/>
      <c r="O831" s="9"/>
      <c r="P831" s="9"/>
      <c r="Q831" s="9"/>
      <c r="R831" s="9"/>
      <c r="S831" s="9"/>
      <c r="T831" s="9"/>
      <c r="U831" s="9"/>
      <c r="V831" s="9"/>
      <c r="W831" s="9"/>
      <c r="X831" s="589"/>
      <c r="Y831" s="9"/>
      <c r="Z831" s="204"/>
      <c r="AA831" s="9"/>
      <c r="AB831" s="9"/>
      <c r="AC831" s="9"/>
      <c r="AD831" s="9"/>
    </row>
    <row r="832" ht="15.75" customHeight="1">
      <c r="A832" s="9"/>
      <c r="B832" s="9"/>
      <c r="C832" s="9"/>
      <c r="D832" s="9"/>
      <c r="E832" s="9"/>
      <c r="F832" s="9"/>
      <c r="G832" s="9"/>
      <c r="H832" s="9"/>
      <c r="I832" s="9"/>
      <c r="J832" s="9"/>
      <c r="K832" s="9"/>
      <c r="L832" s="556"/>
      <c r="M832" s="9"/>
      <c r="N832" s="9"/>
      <c r="O832" s="9"/>
      <c r="P832" s="9"/>
      <c r="Q832" s="9"/>
      <c r="R832" s="9"/>
      <c r="S832" s="9"/>
      <c r="T832" s="9"/>
      <c r="U832" s="9"/>
      <c r="V832" s="9"/>
      <c r="W832" s="9"/>
      <c r="X832" s="589"/>
      <c r="Y832" s="9"/>
      <c r="Z832" s="204"/>
      <c r="AA832" s="9"/>
      <c r="AB832" s="9"/>
      <c r="AC832" s="9"/>
      <c r="AD832" s="9"/>
    </row>
    <row r="833" ht="15.75" customHeight="1">
      <c r="A833" s="9"/>
      <c r="B833" s="9"/>
      <c r="C833" s="9"/>
      <c r="D833" s="9"/>
      <c r="E833" s="9"/>
      <c r="F833" s="9"/>
      <c r="G833" s="9"/>
      <c r="H833" s="9"/>
      <c r="I833" s="9"/>
      <c r="J833" s="9"/>
      <c r="K833" s="9"/>
      <c r="L833" s="556"/>
      <c r="M833" s="9"/>
      <c r="N833" s="9"/>
      <c r="O833" s="9"/>
      <c r="P833" s="9"/>
      <c r="Q833" s="9"/>
      <c r="R833" s="9"/>
      <c r="S833" s="9"/>
      <c r="T833" s="9"/>
      <c r="U833" s="9"/>
      <c r="V833" s="9"/>
      <c r="W833" s="9"/>
      <c r="X833" s="589"/>
      <c r="Y833" s="9"/>
      <c r="Z833" s="204"/>
      <c r="AA833" s="9"/>
      <c r="AB833" s="9"/>
      <c r="AC833" s="9"/>
      <c r="AD833" s="9"/>
    </row>
    <row r="834" ht="15.75" customHeight="1">
      <c r="A834" s="9"/>
      <c r="B834" s="9"/>
      <c r="C834" s="9"/>
      <c r="D834" s="9"/>
      <c r="E834" s="9"/>
      <c r="F834" s="9"/>
      <c r="G834" s="9"/>
      <c r="H834" s="9"/>
      <c r="I834" s="9"/>
      <c r="J834" s="9"/>
      <c r="K834" s="9"/>
      <c r="L834" s="556"/>
      <c r="M834" s="9"/>
      <c r="N834" s="9"/>
      <c r="O834" s="9"/>
      <c r="P834" s="9"/>
      <c r="Q834" s="9"/>
      <c r="R834" s="9"/>
      <c r="S834" s="9"/>
      <c r="T834" s="9"/>
      <c r="U834" s="9"/>
      <c r="V834" s="9"/>
      <c r="W834" s="9"/>
      <c r="X834" s="589"/>
      <c r="Y834" s="9"/>
      <c r="Z834" s="204"/>
      <c r="AA834" s="9"/>
      <c r="AB834" s="9"/>
      <c r="AC834" s="9"/>
      <c r="AD834" s="9"/>
    </row>
    <row r="835" ht="15.75" customHeight="1">
      <c r="A835" s="9"/>
      <c r="B835" s="9"/>
      <c r="C835" s="9"/>
      <c r="D835" s="9"/>
      <c r="E835" s="9"/>
      <c r="F835" s="9"/>
      <c r="G835" s="9"/>
      <c r="H835" s="9"/>
      <c r="I835" s="9"/>
      <c r="J835" s="9"/>
      <c r="K835" s="9"/>
      <c r="L835" s="556"/>
      <c r="M835" s="9"/>
      <c r="N835" s="9"/>
      <c r="O835" s="9"/>
      <c r="P835" s="9"/>
      <c r="Q835" s="9"/>
      <c r="R835" s="9"/>
      <c r="S835" s="9"/>
      <c r="T835" s="9"/>
      <c r="U835" s="9"/>
      <c r="V835" s="9"/>
      <c r="W835" s="9"/>
      <c r="X835" s="589"/>
      <c r="Y835" s="9"/>
      <c r="Z835" s="204"/>
      <c r="AA835" s="9"/>
      <c r="AB835" s="9"/>
      <c r="AC835" s="9"/>
      <c r="AD835" s="9"/>
    </row>
    <row r="836" ht="15.75" customHeight="1">
      <c r="A836" s="9"/>
      <c r="B836" s="9"/>
      <c r="C836" s="9"/>
      <c r="D836" s="9"/>
      <c r="E836" s="9"/>
      <c r="F836" s="9"/>
      <c r="G836" s="9"/>
      <c r="H836" s="9"/>
      <c r="I836" s="9"/>
      <c r="J836" s="9"/>
      <c r="K836" s="9"/>
      <c r="L836" s="556"/>
      <c r="M836" s="9"/>
      <c r="N836" s="9"/>
      <c r="O836" s="9"/>
      <c r="P836" s="9"/>
      <c r="Q836" s="9"/>
      <c r="R836" s="9"/>
      <c r="S836" s="9"/>
      <c r="T836" s="9"/>
      <c r="U836" s="9"/>
      <c r="V836" s="9"/>
      <c r="W836" s="9"/>
      <c r="X836" s="589"/>
      <c r="Y836" s="9"/>
      <c r="Z836" s="204"/>
      <c r="AA836" s="9"/>
      <c r="AB836" s="9"/>
      <c r="AC836" s="9"/>
      <c r="AD836" s="9"/>
    </row>
    <row r="837" ht="15.75" customHeight="1">
      <c r="A837" s="9"/>
      <c r="B837" s="9"/>
      <c r="C837" s="9"/>
      <c r="D837" s="9"/>
      <c r="E837" s="9"/>
      <c r="F837" s="9"/>
      <c r="G837" s="9"/>
      <c r="H837" s="9"/>
      <c r="I837" s="9"/>
      <c r="J837" s="9"/>
      <c r="K837" s="9"/>
      <c r="L837" s="556"/>
      <c r="M837" s="9"/>
      <c r="N837" s="9"/>
      <c r="O837" s="9"/>
      <c r="P837" s="9"/>
      <c r="Q837" s="9"/>
      <c r="R837" s="9"/>
      <c r="S837" s="9"/>
      <c r="T837" s="9"/>
      <c r="U837" s="9"/>
      <c r="V837" s="9"/>
      <c r="W837" s="9"/>
      <c r="X837" s="589"/>
      <c r="Y837" s="9"/>
      <c r="Z837" s="204"/>
      <c r="AA837" s="9"/>
      <c r="AB837" s="9"/>
      <c r="AC837" s="9"/>
      <c r="AD837" s="9"/>
    </row>
    <row r="838" ht="15.75" customHeight="1">
      <c r="A838" s="9"/>
      <c r="B838" s="9"/>
      <c r="C838" s="9"/>
      <c r="D838" s="9"/>
      <c r="E838" s="9"/>
      <c r="F838" s="9"/>
      <c r="G838" s="9"/>
      <c r="H838" s="9"/>
      <c r="I838" s="9"/>
      <c r="J838" s="9"/>
      <c r="K838" s="9"/>
      <c r="L838" s="556"/>
      <c r="M838" s="9"/>
      <c r="N838" s="9"/>
      <c r="O838" s="9"/>
      <c r="P838" s="9"/>
      <c r="Q838" s="9"/>
      <c r="R838" s="9"/>
      <c r="S838" s="9"/>
      <c r="T838" s="9"/>
      <c r="U838" s="9"/>
      <c r="V838" s="9"/>
      <c r="W838" s="9"/>
      <c r="X838" s="589"/>
      <c r="Y838" s="9"/>
      <c r="Z838" s="204"/>
      <c r="AA838" s="9"/>
      <c r="AB838" s="9"/>
      <c r="AC838" s="9"/>
      <c r="AD838" s="9"/>
    </row>
    <row r="839" ht="15.75" customHeight="1">
      <c r="A839" s="9"/>
      <c r="B839" s="9"/>
      <c r="C839" s="9"/>
      <c r="D839" s="9"/>
      <c r="E839" s="9"/>
      <c r="F839" s="9"/>
      <c r="G839" s="9"/>
      <c r="H839" s="9"/>
      <c r="I839" s="9"/>
      <c r="J839" s="9"/>
      <c r="K839" s="9"/>
      <c r="L839" s="556"/>
      <c r="M839" s="9"/>
      <c r="N839" s="9"/>
      <c r="O839" s="9"/>
      <c r="P839" s="9"/>
      <c r="Q839" s="9"/>
      <c r="R839" s="9"/>
      <c r="S839" s="9"/>
      <c r="T839" s="9"/>
      <c r="U839" s="9"/>
      <c r="V839" s="9"/>
      <c r="W839" s="9"/>
      <c r="X839" s="589"/>
      <c r="Y839" s="9"/>
      <c r="Z839" s="204"/>
      <c r="AA839" s="9"/>
      <c r="AB839" s="9"/>
      <c r="AC839" s="9"/>
      <c r="AD839" s="9"/>
    </row>
    <row r="840" ht="15.75" customHeight="1">
      <c r="A840" s="9"/>
      <c r="B840" s="9"/>
      <c r="C840" s="9"/>
      <c r="D840" s="9"/>
      <c r="E840" s="9"/>
      <c r="F840" s="9"/>
      <c r="G840" s="9"/>
      <c r="H840" s="9"/>
      <c r="I840" s="9"/>
      <c r="J840" s="9"/>
      <c r="K840" s="9"/>
      <c r="L840" s="556"/>
      <c r="M840" s="9"/>
      <c r="N840" s="9"/>
      <c r="O840" s="9"/>
      <c r="P840" s="9"/>
      <c r="Q840" s="9"/>
      <c r="R840" s="9"/>
      <c r="S840" s="9"/>
      <c r="T840" s="9"/>
      <c r="U840" s="9"/>
      <c r="V840" s="9"/>
      <c r="W840" s="9"/>
      <c r="X840" s="589"/>
      <c r="Y840" s="9"/>
      <c r="Z840" s="204"/>
      <c r="AA840" s="9"/>
      <c r="AB840" s="9"/>
      <c r="AC840" s="9"/>
      <c r="AD840" s="9"/>
    </row>
    <row r="841" ht="15.75" customHeight="1">
      <c r="A841" s="9"/>
      <c r="B841" s="9"/>
      <c r="C841" s="9"/>
      <c r="D841" s="9"/>
      <c r="E841" s="9"/>
      <c r="F841" s="9"/>
      <c r="G841" s="9"/>
      <c r="H841" s="9"/>
      <c r="I841" s="9"/>
      <c r="J841" s="9"/>
      <c r="K841" s="9"/>
      <c r="L841" s="556"/>
      <c r="M841" s="9"/>
      <c r="N841" s="9"/>
      <c r="O841" s="9"/>
      <c r="P841" s="9"/>
      <c r="Q841" s="9"/>
      <c r="R841" s="9"/>
      <c r="S841" s="9"/>
      <c r="T841" s="9"/>
      <c r="U841" s="9"/>
      <c r="V841" s="9"/>
      <c r="W841" s="9"/>
      <c r="X841" s="589"/>
      <c r="Y841" s="9"/>
      <c r="Z841" s="204"/>
      <c r="AA841" s="9"/>
      <c r="AB841" s="9"/>
      <c r="AC841" s="9"/>
      <c r="AD841" s="9"/>
    </row>
    <row r="842" ht="15.75" customHeight="1">
      <c r="A842" s="9"/>
      <c r="B842" s="9"/>
      <c r="C842" s="9"/>
      <c r="D842" s="9"/>
      <c r="E842" s="9"/>
      <c r="F842" s="9"/>
      <c r="G842" s="9"/>
      <c r="H842" s="9"/>
      <c r="I842" s="9"/>
      <c r="J842" s="9"/>
      <c r="K842" s="9"/>
      <c r="L842" s="556"/>
      <c r="M842" s="9"/>
      <c r="N842" s="9"/>
      <c r="O842" s="9"/>
      <c r="P842" s="9"/>
      <c r="Q842" s="9"/>
      <c r="R842" s="9"/>
      <c r="S842" s="9"/>
      <c r="T842" s="9"/>
      <c r="U842" s="9"/>
      <c r="V842" s="9"/>
      <c r="W842" s="9"/>
      <c r="X842" s="589"/>
      <c r="Y842" s="9"/>
      <c r="Z842" s="204"/>
      <c r="AA842" s="9"/>
      <c r="AB842" s="9"/>
      <c r="AC842" s="9"/>
      <c r="AD842" s="9"/>
    </row>
    <row r="843" ht="15.75" customHeight="1">
      <c r="A843" s="9"/>
      <c r="B843" s="9"/>
      <c r="C843" s="9"/>
      <c r="D843" s="9"/>
      <c r="E843" s="9"/>
      <c r="F843" s="9"/>
      <c r="G843" s="9"/>
      <c r="H843" s="9"/>
      <c r="I843" s="9"/>
      <c r="J843" s="9"/>
      <c r="K843" s="9"/>
      <c r="L843" s="556"/>
      <c r="M843" s="9"/>
      <c r="N843" s="9"/>
      <c r="O843" s="9"/>
      <c r="P843" s="9"/>
      <c r="Q843" s="9"/>
      <c r="R843" s="9"/>
      <c r="S843" s="9"/>
      <c r="T843" s="9"/>
      <c r="U843" s="9"/>
      <c r="V843" s="9"/>
      <c r="W843" s="9"/>
      <c r="X843" s="589"/>
      <c r="Y843" s="9"/>
      <c r="Z843" s="204"/>
      <c r="AA843" s="9"/>
      <c r="AB843" s="9"/>
      <c r="AC843" s="9"/>
      <c r="AD843" s="9"/>
    </row>
    <row r="844" ht="15.75" customHeight="1">
      <c r="A844" s="9"/>
      <c r="B844" s="9"/>
      <c r="C844" s="9"/>
      <c r="D844" s="9"/>
      <c r="E844" s="9"/>
      <c r="F844" s="9"/>
      <c r="G844" s="9"/>
      <c r="H844" s="9"/>
      <c r="I844" s="9"/>
      <c r="J844" s="9"/>
      <c r="K844" s="9"/>
      <c r="L844" s="556"/>
      <c r="M844" s="9"/>
      <c r="N844" s="9"/>
      <c r="O844" s="9"/>
      <c r="P844" s="9"/>
      <c r="Q844" s="9"/>
      <c r="R844" s="9"/>
      <c r="S844" s="9"/>
      <c r="T844" s="9"/>
      <c r="U844" s="9"/>
      <c r="V844" s="9"/>
      <c r="W844" s="9"/>
      <c r="X844" s="589"/>
      <c r="Y844" s="9"/>
      <c r="Z844" s="204"/>
      <c r="AA844" s="9"/>
      <c r="AB844" s="9"/>
      <c r="AC844" s="9"/>
      <c r="AD844" s="9"/>
    </row>
    <row r="845" ht="15.75" customHeight="1">
      <c r="A845" s="9"/>
      <c r="B845" s="9"/>
      <c r="C845" s="9"/>
      <c r="D845" s="9"/>
      <c r="E845" s="9"/>
      <c r="F845" s="9"/>
      <c r="G845" s="9"/>
      <c r="H845" s="9"/>
      <c r="I845" s="9"/>
      <c r="J845" s="9"/>
      <c r="K845" s="9"/>
      <c r="L845" s="556"/>
      <c r="M845" s="9"/>
      <c r="N845" s="9"/>
      <c r="O845" s="9"/>
      <c r="P845" s="9"/>
      <c r="Q845" s="9"/>
      <c r="R845" s="9"/>
      <c r="S845" s="9"/>
      <c r="T845" s="9"/>
      <c r="U845" s="9"/>
      <c r="V845" s="9"/>
      <c r="W845" s="9"/>
      <c r="X845" s="589"/>
      <c r="Y845" s="9"/>
      <c r="Z845" s="204"/>
      <c r="AA845" s="9"/>
      <c r="AB845" s="9"/>
      <c r="AC845" s="9"/>
      <c r="AD845" s="9"/>
    </row>
    <row r="846" ht="15.75" customHeight="1">
      <c r="A846" s="9"/>
      <c r="B846" s="9"/>
      <c r="C846" s="9"/>
      <c r="D846" s="9"/>
      <c r="E846" s="9"/>
      <c r="F846" s="9"/>
      <c r="G846" s="9"/>
      <c r="H846" s="9"/>
      <c r="I846" s="9"/>
      <c r="J846" s="9"/>
      <c r="K846" s="9"/>
      <c r="L846" s="556"/>
      <c r="M846" s="9"/>
      <c r="N846" s="9"/>
      <c r="O846" s="9"/>
      <c r="P846" s="9"/>
      <c r="Q846" s="9"/>
      <c r="R846" s="9"/>
      <c r="S846" s="9"/>
      <c r="T846" s="9"/>
      <c r="U846" s="9"/>
      <c r="V846" s="9"/>
      <c r="W846" s="9"/>
      <c r="X846" s="589"/>
      <c r="Y846" s="9"/>
      <c r="Z846" s="204"/>
      <c r="AA846" s="9"/>
      <c r="AB846" s="9"/>
      <c r="AC846" s="9"/>
      <c r="AD846" s="9"/>
    </row>
    <row r="847" ht="15.75" customHeight="1">
      <c r="A847" s="9"/>
      <c r="B847" s="9"/>
      <c r="C847" s="9"/>
      <c r="D847" s="9"/>
      <c r="E847" s="9"/>
      <c r="F847" s="9"/>
      <c r="G847" s="9"/>
      <c r="H847" s="9"/>
      <c r="I847" s="9"/>
      <c r="J847" s="9"/>
      <c r="K847" s="9"/>
      <c r="L847" s="556"/>
      <c r="M847" s="9"/>
      <c r="N847" s="9"/>
      <c r="O847" s="9"/>
      <c r="P847" s="9"/>
      <c r="Q847" s="9"/>
      <c r="R847" s="9"/>
      <c r="S847" s="9"/>
      <c r="T847" s="9"/>
      <c r="U847" s="9"/>
      <c r="V847" s="9"/>
      <c r="W847" s="9"/>
      <c r="X847" s="589"/>
      <c r="Y847" s="9"/>
      <c r="Z847" s="204"/>
      <c r="AA847" s="9"/>
      <c r="AB847" s="9"/>
      <c r="AC847" s="9"/>
      <c r="AD847" s="9"/>
    </row>
    <row r="848" ht="15.75" customHeight="1">
      <c r="A848" s="9"/>
      <c r="B848" s="9"/>
      <c r="C848" s="9"/>
      <c r="D848" s="9"/>
      <c r="E848" s="9"/>
      <c r="F848" s="9"/>
      <c r="G848" s="9"/>
      <c r="H848" s="9"/>
      <c r="I848" s="9"/>
      <c r="J848" s="9"/>
      <c r="K848" s="9"/>
      <c r="L848" s="556"/>
      <c r="M848" s="9"/>
      <c r="N848" s="9"/>
      <c r="O848" s="9"/>
      <c r="P848" s="9"/>
      <c r="Q848" s="9"/>
      <c r="R848" s="9"/>
      <c r="S848" s="9"/>
      <c r="T848" s="9"/>
      <c r="U848" s="9"/>
      <c r="V848" s="9"/>
      <c r="W848" s="9"/>
      <c r="X848" s="589"/>
      <c r="Y848" s="9"/>
      <c r="Z848" s="204"/>
      <c r="AA848" s="9"/>
      <c r="AB848" s="9"/>
      <c r="AC848" s="9"/>
      <c r="AD848" s="9"/>
    </row>
    <row r="849" ht="15.75" customHeight="1">
      <c r="A849" s="9"/>
      <c r="B849" s="9"/>
      <c r="C849" s="9"/>
      <c r="D849" s="9"/>
      <c r="E849" s="9"/>
      <c r="F849" s="9"/>
      <c r="G849" s="9"/>
      <c r="H849" s="9"/>
      <c r="I849" s="9"/>
      <c r="J849" s="9"/>
      <c r="K849" s="9"/>
      <c r="L849" s="556"/>
      <c r="M849" s="9"/>
      <c r="N849" s="9"/>
      <c r="O849" s="9"/>
      <c r="P849" s="9"/>
      <c r="Q849" s="9"/>
      <c r="R849" s="9"/>
      <c r="S849" s="9"/>
      <c r="T849" s="9"/>
      <c r="U849" s="9"/>
      <c r="V849" s="9"/>
      <c r="W849" s="9"/>
      <c r="X849" s="589"/>
      <c r="Y849" s="9"/>
      <c r="Z849" s="204"/>
      <c r="AA849" s="9"/>
      <c r="AB849" s="9"/>
      <c r="AC849" s="9"/>
      <c r="AD849" s="9"/>
    </row>
    <row r="850" ht="15.75" customHeight="1">
      <c r="A850" s="9"/>
      <c r="B850" s="9"/>
      <c r="C850" s="9"/>
      <c r="D850" s="9"/>
      <c r="E850" s="9"/>
      <c r="F850" s="9"/>
      <c r="G850" s="9"/>
      <c r="H850" s="9"/>
      <c r="I850" s="9"/>
      <c r="J850" s="9"/>
      <c r="K850" s="9"/>
      <c r="L850" s="556"/>
      <c r="M850" s="9"/>
      <c r="N850" s="9"/>
      <c r="O850" s="9"/>
      <c r="P850" s="9"/>
      <c r="Q850" s="9"/>
      <c r="R850" s="9"/>
      <c r="S850" s="9"/>
      <c r="T850" s="9"/>
      <c r="U850" s="9"/>
      <c r="V850" s="9"/>
      <c r="W850" s="9"/>
      <c r="X850" s="589"/>
      <c r="Y850" s="9"/>
      <c r="Z850" s="204"/>
      <c r="AA850" s="9"/>
      <c r="AB850" s="9"/>
      <c r="AC850" s="9"/>
      <c r="AD850" s="9"/>
    </row>
    <row r="851" ht="15.75" customHeight="1">
      <c r="A851" s="9"/>
      <c r="B851" s="9"/>
      <c r="C851" s="9"/>
      <c r="D851" s="9"/>
      <c r="E851" s="9"/>
      <c r="F851" s="9"/>
      <c r="G851" s="9"/>
      <c r="H851" s="9"/>
      <c r="I851" s="9"/>
      <c r="J851" s="9"/>
      <c r="K851" s="9"/>
      <c r="L851" s="556"/>
      <c r="M851" s="9"/>
      <c r="N851" s="9"/>
      <c r="O851" s="9"/>
      <c r="P851" s="9"/>
      <c r="Q851" s="9"/>
      <c r="R851" s="9"/>
      <c r="S851" s="9"/>
      <c r="T851" s="9"/>
      <c r="U851" s="9"/>
      <c r="V851" s="9"/>
      <c r="W851" s="9"/>
      <c r="X851" s="589"/>
      <c r="Y851" s="9"/>
      <c r="Z851" s="204"/>
      <c r="AA851" s="9"/>
      <c r="AB851" s="9"/>
      <c r="AC851" s="9"/>
      <c r="AD851" s="9"/>
    </row>
    <row r="852" ht="15.75" customHeight="1">
      <c r="A852" s="9"/>
      <c r="B852" s="9"/>
      <c r="C852" s="9"/>
      <c r="D852" s="9"/>
      <c r="E852" s="9"/>
      <c r="F852" s="9"/>
      <c r="G852" s="9"/>
      <c r="H852" s="9"/>
      <c r="I852" s="9"/>
      <c r="J852" s="9"/>
      <c r="K852" s="9"/>
      <c r="L852" s="556"/>
      <c r="M852" s="9"/>
      <c r="N852" s="9"/>
      <c r="O852" s="9"/>
      <c r="P852" s="9"/>
      <c r="Q852" s="9"/>
      <c r="R852" s="9"/>
      <c r="S852" s="9"/>
      <c r="T852" s="9"/>
      <c r="U852" s="9"/>
      <c r="V852" s="9"/>
      <c r="W852" s="9"/>
      <c r="X852" s="589"/>
      <c r="Y852" s="9"/>
      <c r="Z852" s="204"/>
      <c r="AA852" s="9"/>
      <c r="AB852" s="9"/>
      <c r="AC852" s="9"/>
      <c r="AD852" s="9"/>
    </row>
    <row r="853" ht="15.75" customHeight="1">
      <c r="A853" s="9"/>
      <c r="B853" s="9"/>
      <c r="C853" s="9"/>
      <c r="D853" s="9"/>
      <c r="E853" s="9"/>
      <c r="F853" s="9"/>
      <c r="G853" s="9"/>
      <c r="H853" s="9"/>
      <c r="I853" s="9"/>
      <c r="J853" s="9"/>
      <c r="K853" s="9"/>
      <c r="L853" s="556"/>
      <c r="M853" s="9"/>
      <c r="N853" s="9"/>
      <c r="O853" s="9"/>
      <c r="P853" s="9"/>
      <c r="Q853" s="9"/>
      <c r="R853" s="9"/>
      <c r="S853" s="9"/>
      <c r="T853" s="9"/>
      <c r="U853" s="9"/>
      <c r="V853" s="9"/>
      <c r="W853" s="9"/>
      <c r="X853" s="589"/>
      <c r="Y853" s="9"/>
      <c r="Z853" s="204"/>
      <c r="AA853" s="9"/>
      <c r="AB853" s="9"/>
      <c r="AC853" s="9"/>
      <c r="AD853" s="9"/>
    </row>
    <row r="854" ht="15.75" customHeight="1">
      <c r="A854" s="9"/>
      <c r="B854" s="9"/>
      <c r="C854" s="9"/>
      <c r="D854" s="9"/>
      <c r="E854" s="9"/>
      <c r="F854" s="9"/>
      <c r="G854" s="9"/>
      <c r="H854" s="9"/>
      <c r="I854" s="9"/>
      <c r="J854" s="9"/>
      <c r="K854" s="9"/>
      <c r="L854" s="556"/>
      <c r="M854" s="9"/>
      <c r="N854" s="9"/>
      <c r="O854" s="9"/>
      <c r="P854" s="9"/>
      <c r="Q854" s="9"/>
      <c r="R854" s="9"/>
      <c r="S854" s="9"/>
      <c r="T854" s="9"/>
      <c r="U854" s="9"/>
      <c r="V854" s="9"/>
      <c r="W854" s="9"/>
      <c r="X854" s="589"/>
      <c r="Y854" s="9"/>
      <c r="Z854" s="204"/>
      <c r="AA854" s="9"/>
      <c r="AB854" s="9"/>
      <c r="AC854" s="9"/>
      <c r="AD854" s="9"/>
    </row>
    <row r="855" ht="15.75" customHeight="1">
      <c r="A855" s="9"/>
      <c r="B855" s="9"/>
      <c r="C855" s="9"/>
      <c r="D855" s="9"/>
      <c r="E855" s="9"/>
      <c r="F855" s="9"/>
      <c r="G855" s="9"/>
      <c r="H855" s="9"/>
      <c r="I855" s="9"/>
      <c r="J855" s="9"/>
      <c r="K855" s="9"/>
      <c r="L855" s="556"/>
      <c r="M855" s="9"/>
      <c r="N855" s="9"/>
      <c r="O855" s="9"/>
      <c r="P855" s="9"/>
      <c r="Q855" s="9"/>
      <c r="R855" s="9"/>
      <c r="S855" s="9"/>
      <c r="T855" s="9"/>
      <c r="U855" s="9"/>
      <c r="V855" s="9"/>
      <c r="W855" s="9"/>
      <c r="X855" s="589"/>
      <c r="Y855" s="9"/>
      <c r="Z855" s="204"/>
      <c r="AA855" s="9"/>
      <c r="AB855" s="9"/>
      <c r="AC855" s="9"/>
      <c r="AD855" s="9"/>
    </row>
    <row r="856" ht="15.75" customHeight="1">
      <c r="A856" s="9"/>
      <c r="B856" s="9"/>
      <c r="C856" s="9"/>
      <c r="D856" s="9"/>
      <c r="E856" s="9"/>
      <c r="F856" s="9"/>
      <c r="G856" s="9"/>
      <c r="H856" s="9"/>
      <c r="I856" s="9"/>
      <c r="J856" s="9"/>
      <c r="K856" s="9"/>
      <c r="L856" s="556"/>
      <c r="M856" s="9"/>
      <c r="N856" s="9"/>
      <c r="O856" s="9"/>
      <c r="P856" s="9"/>
      <c r="Q856" s="9"/>
      <c r="R856" s="9"/>
      <c r="S856" s="9"/>
      <c r="T856" s="9"/>
      <c r="U856" s="9"/>
      <c r="V856" s="9"/>
      <c r="W856" s="9"/>
      <c r="X856" s="589"/>
      <c r="Y856" s="9"/>
      <c r="Z856" s="204"/>
      <c r="AA856" s="9"/>
      <c r="AB856" s="9"/>
      <c r="AC856" s="9"/>
      <c r="AD856" s="9"/>
    </row>
    <row r="857" ht="15.75" customHeight="1">
      <c r="A857" s="9"/>
      <c r="B857" s="9"/>
      <c r="C857" s="9"/>
      <c r="D857" s="9"/>
      <c r="E857" s="9"/>
      <c r="F857" s="9"/>
      <c r="G857" s="9"/>
      <c r="H857" s="9"/>
      <c r="I857" s="9"/>
      <c r="J857" s="9"/>
      <c r="K857" s="9"/>
      <c r="L857" s="556"/>
      <c r="M857" s="9"/>
      <c r="N857" s="9"/>
      <c r="O857" s="9"/>
      <c r="P857" s="9"/>
      <c r="Q857" s="9"/>
      <c r="R857" s="9"/>
      <c r="S857" s="9"/>
      <c r="T857" s="9"/>
      <c r="U857" s="9"/>
      <c r="V857" s="9"/>
      <c r="W857" s="9"/>
      <c r="X857" s="589"/>
      <c r="Y857" s="9"/>
      <c r="Z857" s="204"/>
      <c r="AA857" s="9"/>
      <c r="AB857" s="9"/>
      <c r="AC857" s="9"/>
      <c r="AD857" s="9"/>
    </row>
    <row r="858" ht="15.75" customHeight="1">
      <c r="A858" s="9"/>
      <c r="B858" s="9"/>
      <c r="C858" s="9"/>
      <c r="D858" s="9"/>
      <c r="E858" s="9"/>
      <c r="F858" s="9"/>
      <c r="G858" s="9"/>
      <c r="H858" s="9"/>
      <c r="I858" s="9"/>
      <c r="J858" s="9"/>
      <c r="K858" s="9"/>
      <c r="L858" s="556"/>
      <c r="M858" s="9"/>
      <c r="N858" s="9"/>
      <c r="O858" s="9"/>
      <c r="P858" s="9"/>
      <c r="Q858" s="9"/>
      <c r="R858" s="9"/>
      <c r="S858" s="9"/>
      <c r="T858" s="9"/>
      <c r="U858" s="9"/>
      <c r="V858" s="9"/>
      <c r="W858" s="9"/>
      <c r="X858" s="589"/>
      <c r="Y858" s="9"/>
      <c r="Z858" s="204"/>
      <c r="AA858" s="9"/>
      <c r="AB858" s="9"/>
      <c r="AC858" s="9"/>
      <c r="AD858" s="9"/>
    </row>
    <row r="859" ht="15.75" customHeight="1">
      <c r="A859" s="9"/>
      <c r="B859" s="9"/>
      <c r="C859" s="9"/>
      <c r="D859" s="9"/>
      <c r="E859" s="9"/>
      <c r="F859" s="9"/>
      <c r="G859" s="9"/>
      <c r="H859" s="9"/>
      <c r="I859" s="9"/>
      <c r="J859" s="9"/>
      <c r="K859" s="9"/>
      <c r="L859" s="556"/>
      <c r="M859" s="9"/>
      <c r="N859" s="9"/>
      <c r="O859" s="9"/>
      <c r="P859" s="9"/>
      <c r="Q859" s="9"/>
      <c r="R859" s="9"/>
      <c r="S859" s="9"/>
      <c r="T859" s="9"/>
      <c r="U859" s="9"/>
      <c r="V859" s="9"/>
      <c r="W859" s="9"/>
      <c r="X859" s="589"/>
      <c r="Y859" s="9"/>
      <c r="Z859" s="204"/>
      <c r="AA859" s="9"/>
      <c r="AB859" s="9"/>
      <c r="AC859" s="9"/>
      <c r="AD859" s="9"/>
    </row>
    <row r="860" ht="15.75" customHeight="1">
      <c r="A860" s="9"/>
      <c r="B860" s="9"/>
      <c r="C860" s="9"/>
      <c r="D860" s="9"/>
      <c r="E860" s="9"/>
      <c r="F860" s="9"/>
      <c r="G860" s="9"/>
      <c r="H860" s="9"/>
      <c r="I860" s="9"/>
      <c r="J860" s="9"/>
      <c r="K860" s="9"/>
      <c r="L860" s="556"/>
      <c r="M860" s="9"/>
      <c r="N860" s="9"/>
      <c r="O860" s="9"/>
      <c r="P860" s="9"/>
      <c r="Q860" s="9"/>
      <c r="R860" s="9"/>
      <c r="S860" s="9"/>
      <c r="T860" s="9"/>
      <c r="U860" s="9"/>
      <c r="V860" s="9"/>
      <c r="W860" s="9"/>
      <c r="X860" s="589"/>
      <c r="Y860" s="9"/>
      <c r="Z860" s="204"/>
      <c r="AA860" s="9"/>
      <c r="AB860" s="9"/>
      <c r="AC860" s="9"/>
      <c r="AD860" s="9"/>
    </row>
    <row r="861" ht="15.75" customHeight="1">
      <c r="A861" s="9"/>
      <c r="B861" s="9"/>
      <c r="C861" s="9"/>
      <c r="D861" s="9"/>
      <c r="E861" s="9"/>
      <c r="F861" s="9"/>
      <c r="G861" s="9"/>
      <c r="H861" s="9"/>
      <c r="I861" s="9"/>
      <c r="J861" s="9"/>
      <c r="K861" s="9"/>
      <c r="L861" s="556"/>
      <c r="M861" s="9"/>
      <c r="N861" s="9"/>
      <c r="O861" s="9"/>
      <c r="P861" s="9"/>
      <c r="Q861" s="9"/>
      <c r="R861" s="9"/>
      <c r="S861" s="9"/>
      <c r="T861" s="9"/>
      <c r="U861" s="9"/>
      <c r="V861" s="9"/>
      <c r="W861" s="9"/>
      <c r="X861" s="589"/>
      <c r="Y861" s="9"/>
      <c r="Z861" s="204"/>
      <c r="AA861" s="9"/>
      <c r="AB861" s="9"/>
      <c r="AC861" s="9"/>
      <c r="AD861" s="9"/>
    </row>
    <row r="862" ht="15.75" customHeight="1">
      <c r="A862" s="9"/>
      <c r="B862" s="9"/>
      <c r="C862" s="9"/>
      <c r="D862" s="9"/>
      <c r="E862" s="9"/>
      <c r="F862" s="9"/>
      <c r="G862" s="9"/>
      <c r="H862" s="9"/>
      <c r="I862" s="9"/>
      <c r="J862" s="9"/>
      <c r="K862" s="9"/>
      <c r="L862" s="556"/>
      <c r="M862" s="9"/>
      <c r="N862" s="9"/>
      <c r="O862" s="9"/>
      <c r="P862" s="9"/>
      <c r="Q862" s="9"/>
      <c r="R862" s="9"/>
      <c r="S862" s="9"/>
      <c r="T862" s="9"/>
      <c r="U862" s="9"/>
      <c r="V862" s="9"/>
      <c r="W862" s="9"/>
      <c r="X862" s="589"/>
      <c r="Y862" s="9"/>
      <c r="Z862" s="204"/>
      <c r="AA862" s="9"/>
      <c r="AB862" s="9"/>
      <c r="AC862" s="9"/>
      <c r="AD862" s="9"/>
    </row>
    <row r="863" ht="15.75" customHeight="1">
      <c r="A863" s="9"/>
      <c r="B863" s="9"/>
      <c r="C863" s="9"/>
      <c r="D863" s="9"/>
      <c r="E863" s="9"/>
      <c r="F863" s="9"/>
      <c r="G863" s="9"/>
      <c r="H863" s="9"/>
      <c r="I863" s="9"/>
      <c r="J863" s="9"/>
      <c r="K863" s="9"/>
      <c r="L863" s="556"/>
      <c r="M863" s="9"/>
      <c r="N863" s="9"/>
      <c r="O863" s="9"/>
      <c r="P863" s="9"/>
      <c r="Q863" s="9"/>
      <c r="R863" s="9"/>
      <c r="S863" s="9"/>
      <c r="T863" s="9"/>
      <c r="U863" s="9"/>
      <c r="V863" s="9"/>
      <c r="W863" s="9"/>
      <c r="X863" s="589"/>
      <c r="Y863" s="9"/>
      <c r="Z863" s="204"/>
      <c r="AA863" s="9"/>
      <c r="AB863" s="9"/>
      <c r="AC863" s="9"/>
      <c r="AD863" s="9"/>
    </row>
    <row r="864" ht="15.75" customHeight="1">
      <c r="A864" s="9"/>
      <c r="B864" s="9"/>
      <c r="C864" s="9"/>
      <c r="D864" s="9"/>
      <c r="E864" s="9"/>
      <c r="F864" s="9"/>
      <c r="G864" s="9"/>
      <c r="H864" s="9"/>
      <c r="I864" s="9"/>
      <c r="J864" s="9"/>
      <c r="K864" s="9"/>
      <c r="L864" s="556"/>
      <c r="M864" s="9"/>
      <c r="N864" s="9"/>
      <c r="O864" s="9"/>
      <c r="P864" s="9"/>
      <c r="Q864" s="9"/>
      <c r="R864" s="9"/>
      <c r="S864" s="9"/>
      <c r="T864" s="9"/>
      <c r="U864" s="9"/>
      <c r="V864" s="9"/>
      <c r="W864" s="9"/>
      <c r="X864" s="589"/>
      <c r="Y864" s="9"/>
      <c r="Z864" s="204"/>
      <c r="AA864" s="9"/>
      <c r="AB864" s="9"/>
      <c r="AC864" s="9"/>
      <c r="AD864" s="9"/>
    </row>
    <row r="865" ht="15.75" customHeight="1">
      <c r="A865" s="9"/>
      <c r="B865" s="9"/>
      <c r="C865" s="9"/>
      <c r="D865" s="9"/>
      <c r="E865" s="9"/>
      <c r="F865" s="9"/>
      <c r="G865" s="9"/>
      <c r="H865" s="9"/>
      <c r="I865" s="9"/>
      <c r="J865" s="9"/>
      <c r="K865" s="9"/>
      <c r="L865" s="556"/>
      <c r="M865" s="9"/>
      <c r="N865" s="9"/>
      <c r="O865" s="9"/>
      <c r="P865" s="9"/>
      <c r="Q865" s="9"/>
      <c r="R865" s="9"/>
      <c r="S865" s="9"/>
      <c r="T865" s="9"/>
      <c r="U865" s="9"/>
      <c r="V865" s="9"/>
      <c r="W865" s="9"/>
      <c r="X865" s="589"/>
      <c r="Y865" s="9"/>
      <c r="Z865" s="204"/>
      <c r="AA865" s="9"/>
      <c r="AB865" s="9"/>
      <c r="AC865" s="9"/>
      <c r="AD865" s="9"/>
    </row>
    <row r="866" ht="15.75" customHeight="1">
      <c r="A866" s="9"/>
      <c r="B866" s="9"/>
      <c r="C866" s="9"/>
      <c r="D866" s="9"/>
      <c r="E866" s="9"/>
      <c r="F866" s="9"/>
      <c r="G866" s="9"/>
      <c r="H866" s="9"/>
      <c r="I866" s="9"/>
      <c r="J866" s="9"/>
      <c r="K866" s="9"/>
      <c r="L866" s="556"/>
      <c r="M866" s="9"/>
      <c r="N866" s="9"/>
      <c r="O866" s="9"/>
      <c r="P866" s="9"/>
      <c r="Q866" s="9"/>
      <c r="R866" s="9"/>
      <c r="S866" s="9"/>
      <c r="T866" s="9"/>
      <c r="U866" s="9"/>
      <c r="V866" s="9"/>
      <c r="W866" s="9"/>
      <c r="X866" s="589"/>
      <c r="Y866" s="9"/>
      <c r="Z866" s="204"/>
      <c r="AA866" s="9"/>
      <c r="AB866" s="9"/>
      <c r="AC866" s="9"/>
      <c r="AD866" s="9"/>
    </row>
    <row r="867" ht="15.75" customHeight="1">
      <c r="A867" s="9"/>
      <c r="B867" s="9"/>
      <c r="C867" s="9"/>
      <c r="D867" s="9"/>
      <c r="E867" s="9"/>
      <c r="F867" s="9"/>
      <c r="G867" s="9"/>
      <c r="H867" s="9"/>
      <c r="I867" s="9"/>
      <c r="J867" s="9"/>
      <c r="K867" s="9"/>
      <c r="L867" s="556"/>
      <c r="M867" s="9"/>
      <c r="N867" s="9"/>
      <c r="O867" s="9"/>
      <c r="P867" s="9"/>
      <c r="Q867" s="9"/>
      <c r="R867" s="9"/>
      <c r="S867" s="9"/>
      <c r="T867" s="9"/>
      <c r="U867" s="9"/>
      <c r="V867" s="9"/>
      <c r="W867" s="9"/>
      <c r="X867" s="589"/>
      <c r="Y867" s="9"/>
      <c r="Z867" s="204"/>
      <c r="AA867" s="9"/>
      <c r="AB867" s="9"/>
      <c r="AC867" s="9"/>
      <c r="AD867" s="9"/>
    </row>
    <row r="868" ht="15.75" customHeight="1">
      <c r="A868" s="9"/>
      <c r="B868" s="9"/>
      <c r="C868" s="9"/>
      <c r="D868" s="9"/>
      <c r="E868" s="9"/>
      <c r="F868" s="9"/>
      <c r="G868" s="9"/>
      <c r="H868" s="9"/>
      <c r="I868" s="9"/>
      <c r="J868" s="9"/>
      <c r="K868" s="9"/>
      <c r="L868" s="556"/>
      <c r="M868" s="9"/>
      <c r="N868" s="9"/>
      <c r="O868" s="9"/>
      <c r="P868" s="9"/>
      <c r="Q868" s="9"/>
      <c r="R868" s="9"/>
      <c r="S868" s="9"/>
      <c r="T868" s="9"/>
      <c r="U868" s="9"/>
      <c r="V868" s="9"/>
      <c r="W868" s="9"/>
      <c r="X868" s="589"/>
      <c r="Y868" s="9"/>
      <c r="Z868" s="204"/>
      <c r="AA868" s="9"/>
      <c r="AB868" s="9"/>
      <c r="AC868" s="9"/>
      <c r="AD868" s="9"/>
    </row>
    <row r="869" ht="15.75" customHeight="1">
      <c r="A869" s="9"/>
      <c r="B869" s="9"/>
      <c r="C869" s="9"/>
      <c r="D869" s="9"/>
      <c r="E869" s="9"/>
      <c r="F869" s="9"/>
      <c r="G869" s="9"/>
      <c r="H869" s="9"/>
      <c r="I869" s="9"/>
      <c r="J869" s="9"/>
      <c r="K869" s="9"/>
      <c r="L869" s="556"/>
      <c r="M869" s="9"/>
      <c r="N869" s="9"/>
      <c r="O869" s="9"/>
      <c r="P869" s="9"/>
      <c r="Q869" s="9"/>
      <c r="R869" s="9"/>
      <c r="S869" s="9"/>
      <c r="T869" s="9"/>
      <c r="U869" s="9"/>
      <c r="V869" s="9"/>
      <c r="W869" s="9"/>
      <c r="X869" s="589"/>
      <c r="Y869" s="9"/>
      <c r="Z869" s="204"/>
      <c r="AA869" s="9"/>
      <c r="AB869" s="9"/>
      <c r="AC869" s="9"/>
      <c r="AD869" s="9"/>
    </row>
    <row r="870" ht="15.75" customHeight="1">
      <c r="A870" s="9"/>
      <c r="B870" s="9"/>
      <c r="C870" s="9"/>
      <c r="D870" s="9"/>
      <c r="E870" s="9"/>
      <c r="F870" s="9"/>
      <c r="G870" s="9"/>
      <c r="H870" s="9"/>
      <c r="I870" s="9"/>
      <c r="J870" s="9"/>
      <c r="K870" s="9"/>
      <c r="L870" s="556"/>
      <c r="M870" s="9"/>
      <c r="N870" s="9"/>
      <c r="O870" s="9"/>
      <c r="P870" s="9"/>
      <c r="Q870" s="9"/>
      <c r="R870" s="9"/>
      <c r="S870" s="9"/>
      <c r="T870" s="9"/>
      <c r="U870" s="9"/>
      <c r="V870" s="9"/>
      <c r="W870" s="9"/>
      <c r="X870" s="589"/>
      <c r="Y870" s="9"/>
      <c r="Z870" s="204"/>
      <c r="AA870" s="9"/>
      <c r="AB870" s="9"/>
      <c r="AC870" s="9"/>
      <c r="AD870" s="9"/>
    </row>
    <row r="871" ht="15.75" customHeight="1">
      <c r="A871" s="9"/>
      <c r="B871" s="9"/>
      <c r="C871" s="9"/>
      <c r="D871" s="9"/>
      <c r="E871" s="9"/>
      <c r="F871" s="9"/>
      <c r="G871" s="9"/>
      <c r="H871" s="9"/>
      <c r="I871" s="9"/>
      <c r="J871" s="9"/>
      <c r="K871" s="9"/>
      <c r="L871" s="556"/>
      <c r="M871" s="9"/>
      <c r="N871" s="9"/>
      <c r="O871" s="9"/>
      <c r="P871" s="9"/>
      <c r="Q871" s="9"/>
      <c r="R871" s="9"/>
      <c r="S871" s="9"/>
      <c r="T871" s="9"/>
      <c r="U871" s="9"/>
      <c r="V871" s="9"/>
      <c r="W871" s="9"/>
      <c r="X871" s="589"/>
      <c r="Y871" s="9"/>
      <c r="Z871" s="204"/>
      <c r="AA871" s="9"/>
      <c r="AB871" s="9"/>
      <c r="AC871" s="9"/>
      <c r="AD871" s="9"/>
    </row>
    <row r="872" ht="15.75" customHeight="1">
      <c r="A872" s="9"/>
      <c r="B872" s="9"/>
      <c r="C872" s="9"/>
      <c r="D872" s="9"/>
      <c r="E872" s="9"/>
      <c r="F872" s="9"/>
      <c r="G872" s="9"/>
      <c r="H872" s="9"/>
      <c r="I872" s="9"/>
      <c r="J872" s="9"/>
      <c r="K872" s="9"/>
      <c r="L872" s="556"/>
      <c r="M872" s="9"/>
      <c r="N872" s="9"/>
      <c r="O872" s="9"/>
      <c r="P872" s="9"/>
      <c r="Q872" s="9"/>
      <c r="R872" s="9"/>
      <c r="S872" s="9"/>
      <c r="T872" s="9"/>
      <c r="U872" s="9"/>
      <c r="V872" s="9"/>
      <c r="W872" s="9"/>
      <c r="X872" s="589"/>
      <c r="Y872" s="9"/>
      <c r="Z872" s="204"/>
      <c r="AA872" s="9"/>
      <c r="AB872" s="9"/>
      <c r="AC872" s="9"/>
      <c r="AD872" s="9"/>
    </row>
    <row r="873" ht="15.75" customHeight="1">
      <c r="A873" s="9"/>
      <c r="B873" s="9"/>
      <c r="C873" s="9"/>
      <c r="D873" s="9"/>
      <c r="E873" s="9"/>
      <c r="F873" s="9"/>
      <c r="G873" s="9"/>
      <c r="H873" s="9"/>
      <c r="I873" s="9"/>
      <c r="J873" s="9"/>
      <c r="K873" s="9"/>
      <c r="L873" s="556"/>
      <c r="M873" s="9"/>
      <c r="N873" s="9"/>
      <c r="O873" s="9"/>
      <c r="P873" s="9"/>
      <c r="Q873" s="9"/>
      <c r="R873" s="9"/>
      <c r="S873" s="9"/>
      <c r="T873" s="9"/>
      <c r="U873" s="9"/>
      <c r="V873" s="9"/>
      <c r="W873" s="9"/>
      <c r="X873" s="589"/>
      <c r="Y873" s="9"/>
      <c r="Z873" s="204"/>
      <c r="AA873" s="9"/>
      <c r="AB873" s="9"/>
      <c r="AC873" s="9"/>
      <c r="AD873" s="9"/>
    </row>
    <row r="874" ht="15.75" customHeight="1">
      <c r="A874" s="9"/>
      <c r="B874" s="9"/>
      <c r="C874" s="9"/>
      <c r="D874" s="9"/>
      <c r="E874" s="9"/>
      <c r="F874" s="9"/>
      <c r="G874" s="9"/>
      <c r="H874" s="9"/>
      <c r="I874" s="9"/>
      <c r="J874" s="9"/>
      <c r="K874" s="9"/>
      <c r="L874" s="556"/>
      <c r="M874" s="9"/>
      <c r="N874" s="9"/>
      <c r="O874" s="9"/>
      <c r="P874" s="9"/>
      <c r="Q874" s="9"/>
      <c r="R874" s="9"/>
      <c r="S874" s="9"/>
      <c r="T874" s="9"/>
      <c r="U874" s="9"/>
      <c r="V874" s="9"/>
      <c r="W874" s="9"/>
      <c r="X874" s="589"/>
      <c r="Y874" s="9"/>
      <c r="Z874" s="204"/>
      <c r="AA874" s="9"/>
      <c r="AB874" s="9"/>
      <c r="AC874" s="9"/>
      <c r="AD874" s="9"/>
    </row>
    <row r="875" ht="15.75" customHeight="1">
      <c r="A875" s="9"/>
      <c r="B875" s="9"/>
      <c r="C875" s="9"/>
      <c r="D875" s="9"/>
      <c r="E875" s="9"/>
      <c r="F875" s="9"/>
      <c r="G875" s="9"/>
      <c r="H875" s="9"/>
      <c r="I875" s="9"/>
      <c r="J875" s="9"/>
      <c r="K875" s="9"/>
      <c r="L875" s="556"/>
      <c r="M875" s="9"/>
      <c r="N875" s="9"/>
      <c r="O875" s="9"/>
      <c r="P875" s="9"/>
      <c r="Q875" s="9"/>
      <c r="R875" s="9"/>
      <c r="S875" s="9"/>
      <c r="T875" s="9"/>
      <c r="U875" s="9"/>
      <c r="V875" s="9"/>
      <c r="W875" s="9"/>
      <c r="X875" s="589"/>
      <c r="Y875" s="9"/>
      <c r="Z875" s="204"/>
      <c r="AA875" s="9"/>
      <c r="AB875" s="9"/>
      <c r="AC875" s="9"/>
      <c r="AD875" s="9"/>
    </row>
    <row r="876" ht="15.75" customHeight="1">
      <c r="A876" s="9"/>
      <c r="B876" s="9"/>
      <c r="C876" s="9"/>
      <c r="D876" s="9"/>
      <c r="E876" s="9"/>
      <c r="F876" s="9"/>
      <c r="G876" s="9"/>
      <c r="H876" s="9"/>
      <c r="I876" s="9"/>
      <c r="J876" s="9"/>
      <c r="K876" s="9"/>
      <c r="L876" s="556"/>
      <c r="M876" s="9"/>
      <c r="N876" s="9"/>
      <c r="O876" s="9"/>
      <c r="P876" s="9"/>
      <c r="Q876" s="9"/>
      <c r="R876" s="9"/>
      <c r="S876" s="9"/>
      <c r="T876" s="9"/>
      <c r="U876" s="9"/>
      <c r="V876" s="9"/>
      <c r="W876" s="9"/>
      <c r="X876" s="589"/>
      <c r="Y876" s="9"/>
      <c r="Z876" s="204"/>
      <c r="AA876" s="9"/>
      <c r="AB876" s="9"/>
      <c r="AC876" s="9"/>
      <c r="AD876" s="9"/>
    </row>
    <row r="877" ht="15.75" customHeight="1">
      <c r="A877" s="9"/>
      <c r="B877" s="9"/>
      <c r="C877" s="9"/>
      <c r="D877" s="9"/>
      <c r="E877" s="9"/>
      <c r="F877" s="9"/>
      <c r="G877" s="9"/>
      <c r="H877" s="9"/>
      <c r="I877" s="9"/>
      <c r="J877" s="9"/>
      <c r="K877" s="9"/>
      <c r="L877" s="556"/>
      <c r="M877" s="9"/>
      <c r="N877" s="9"/>
      <c r="O877" s="9"/>
      <c r="P877" s="9"/>
      <c r="Q877" s="9"/>
      <c r="R877" s="9"/>
      <c r="S877" s="9"/>
      <c r="T877" s="9"/>
      <c r="U877" s="9"/>
      <c r="V877" s="9"/>
      <c r="W877" s="9"/>
      <c r="X877" s="589"/>
      <c r="Y877" s="9"/>
      <c r="Z877" s="204"/>
      <c r="AA877" s="9"/>
      <c r="AB877" s="9"/>
      <c r="AC877" s="9"/>
      <c r="AD877" s="9"/>
    </row>
    <row r="878" ht="15.75" customHeight="1">
      <c r="A878" s="9"/>
      <c r="B878" s="9"/>
      <c r="C878" s="9"/>
      <c r="D878" s="9"/>
      <c r="E878" s="9"/>
      <c r="F878" s="9"/>
      <c r="G878" s="9"/>
      <c r="H878" s="9"/>
      <c r="I878" s="9"/>
      <c r="J878" s="9"/>
      <c r="K878" s="9"/>
      <c r="L878" s="556"/>
      <c r="M878" s="9"/>
      <c r="N878" s="9"/>
      <c r="O878" s="9"/>
      <c r="P878" s="9"/>
      <c r="Q878" s="9"/>
      <c r="R878" s="9"/>
      <c r="S878" s="9"/>
      <c r="T878" s="9"/>
      <c r="U878" s="9"/>
      <c r="V878" s="9"/>
      <c r="W878" s="9"/>
      <c r="X878" s="589"/>
      <c r="Y878" s="9"/>
      <c r="Z878" s="204"/>
      <c r="AA878" s="9"/>
      <c r="AB878" s="9"/>
      <c r="AC878" s="9"/>
      <c r="AD878" s="9"/>
    </row>
    <row r="879" ht="15.75" customHeight="1">
      <c r="A879" s="9"/>
      <c r="B879" s="9"/>
      <c r="C879" s="9"/>
      <c r="D879" s="9"/>
      <c r="E879" s="9"/>
      <c r="F879" s="9"/>
      <c r="G879" s="9"/>
      <c r="H879" s="9"/>
      <c r="I879" s="9"/>
      <c r="J879" s="9"/>
      <c r="K879" s="9"/>
      <c r="L879" s="556"/>
      <c r="M879" s="9"/>
      <c r="N879" s="9"/>
      <c r="O879" s="9"/>
      <c r="P879" s="9"/>
      <c r="Q879" s="9"/>
      <c r="R879" s="9"/>
      <c r="S879" s="9"/>
      <c r="T879" s="9"/>
      <c r="U879" s="9"/>
      <c r="V879" s="9"/>
      <c r="W879" s="9"/>
      <c r="X879" s="589"/>
      <c r="Y879" s="9"/>
      <c r="Z879" s="204"/>
      <c r="AA879" s="9"/>
      <c r="AB879" s="9"/>
      <c r="AC879" s="9"/>
      <c r="AD879" s="9"/>
    </row>
    <row r="880" ht="15.75" customHeight="1">
      <c r="A880" s="9"/>
      <c r="B880" s="9"/>
      <c r="C880" s="9"/>
      <c r="D880" s="9"/>
      <c r="E880" s="9"/>
      <c r="F880" s="9"/>
      <c r="G880" s="9"/>
      <c r="H880" s="9"/>
      <c r="I880" s="9"/>
      <c r="J880" s="9"/>
      <c r="K880" s="9"/>
      <c r="L880" s="556"/>
      <c r="M880" s="9"/>
      <c r="N880" s="9"/>
      <c r="O880" s="9"/>
      <c r="P880" s="9"/>
      <c r="Q880" s="9"/>
      <c r="R880" s="9"/>
      <c r="S880" s="9"/>
      <c r="T880" s="9"/>
      <c r="U880" s="9"/>
      <c r="V880" s="9"/>
      <c r="W880" s="9"/>
      <c r="X880" s="589"/>
      <c r="Y880" s="9"/>
      <c r="Z880" s="204"/>
      <c r="AA880" s="9"/>
      <c r="AB880" s="9"/>
      <c r="AC880" s="9"/>
      <c r="AD880" s="9"/>
    </row>
    <row r="881" ht="15.75" customHeight="1">
      <c r="A881" s="9"/>
      <c r="B881" s="9"/>
      <c r="C881" s="9"/>
      <c r="D881" s="9"/>
      <c r="E881" s="9"/>
      <c r="F881" s="9"/>
      <c r="G881" s="9"/>
      <c r="H881" s="9"/>
      <c r="I881" s="9"/>
      <c r="J881" s="9"/>
      <c r="K881" s="9"/>
      <c r="L881" s="556"/>
      <c r="M881" s="9"/>
      <c r="N881" s="9"/>
      <c r="O881" s="9"/>
      <c r="P881" s="9"/>
      <c r="Q881" s="9"/>
      <c r="R881" s="9"/>
      <c r="S881" s="9"/>
      <c r="T881" s="9"/>
      <c r="U881" s="9"/>
      <c r="V881" s="9"/>
      <c r="W881" s="9"/>
      <c r="X881" s="589"/>
      <c r="Y881" s="9"/>
      <c r="Z881" s="204"/>
      <c r="AA881" s="9"/>
      <c r="AB881" s="9"/>
      <c r="AC881" s="9"/>
      <c r="AD881" s="9"/>
    </row>
    <row r="882" ht="15.75" customHeight="1">
      <c r="A882" s="9"/>
      <c r="B882" s="9"/>
      <c r="C882" s="9"/>
      <c r="D882" s="9"/>
      <c r="E882" s="9"/>
      <c r="F882" s="9"/>
      <c r="G882" s="9"/>
      <c r="H882" s="9"/>
      <c r="I882" s="9"/>
      <c r="J882" s="9"/>
      <c r="K882" s="9"/>
      <c r="L882" s="556"/>
      <c r="M882" s="9"/>
      <c r="N882" s="9"/>
      <c r="O882" s="9"/>
      <c r="P882" s="9"/>
      <c r="Q882" s="9"/>
      <c r="R882" s="9"/>
      <c r="S882" s="9"/>
      <c r="T882" s="9"/>
      <c r="U882" s="9"/>
      <c r="V882" s="9"/>
      <c r="W882" s="9"/>
      <c r="X882" s="589"/>
      <c r="Y882" s="9"/>
      <c r="Z882" s="204"/>
      <c r="AA882" s="9"/>
      <c r="AB882" s="9"/>
      <c r="AC882" s="9"/>
      <c r="AD882" s="9"/>
    </row>
    <row r="883" ht="15.75" customHeight="1">
      <c r="A883" s="9"/>
      <c r="B883" s="9"/>
      <c r="C883" s="9"/>
      <c r="D883" s="9"/>
      <c r="E883" s="9"/>
      <c r="F883" s="9"/>
      <c r="G883" s="9"/>
      <c r="H883" s="9"/>
      <c r="I883" s="9"/>
      <c r="J883" s="9"/>
      <c r="K883" s="9"/>
      <c r="L883" s="556"/>
      <c r="M883" s="9"/>
      <c r="N883" s="9"/>
      <c r="O883" s="9"/>
      <c r="P883" s="9"/>
      <c r="Q883" s="9"/>
      <c r="R883" s="9"/>
      <c r="S883" s="9"/>
      <c r="T883" s="9"/>
      <c r="U883" s="9"/>
      <c r="V883" s="9"/>
      <c r="W883" s="9"/>
      <c r="X883" s="589"/>
      <c r="Y883" s="9"/>
      <c r="Z883" s="204"/>
      <c r="AA883" s="9"/>
      <c r="AB883" s="9"/>
      <c r="AC883" s="9"/>
      <c r="AD883" s="9"/>
    </row>
    <row r="884" ht="15.75" customHeight="1">
      <c r="A884" s="9"/>
      <c r="B884" s="9"/>
      <c r="C884" s="9"/>
      <c r="D884" s="9"/>
      <c r="E884" s="9"/>
      <c r="F884" s="9"/>
      <c r="G884" s="9"/>
      <c r="H884" s="9"/>
      <c r="I884" s="9"/>
      <c r="J884" s="9"/>
      <c r="K884" s="9"/>
      <c r="L884" s="556"/>
      <c r="M884" s="9"/>
      <c r="N884" s="9"/>
      <c r="O884" s="9"/>
      <c r="P884" s="9"/>
      <c r="Q884" s="9"/>
      <c r="R884" s="9"/>
      <c r="S884" s="9"/>
      <c r="T884" s="9"/>
      <c r="U884" s="9"/>
      <c r="V884" s="9"/>
      <c r="W884" s="9"/>
      <c r="X884" s="589"/>
      <c r="Y884" s="9"/>
      <c r="Z884" s="204"/>
      <c r="AA884" s="9"/>
      <c r="AB884" s="9"/>
      <c r="AC884" s="9"/>
      <c r="AD884" s="9"/>
    </row>
    <row r="885" ht="15.75" customHeight="1">
      <c r="A885" s="9"/>
      <c r="B885" s="9"/>
      <c r="C885" s="9"/>
      <c r="D885" s="9"/>
      <c r="E885" s="9"/>
      <c r="F885" s="9"/>
      <c r="G885" s="9"/>
      <c r="H885" s="9"/>
      <c r="I885" s="9"/>
      <c r="J885" s="9"/>
      <c r="K885" s="9"/>
      <c r="L885" s="556"/>
      <c r="M885" s="9"/>
      <c r="N885" s="9"/>
      <c r="O885" s="9"/>
      <c r="P885" s="9"/>
      <c r="Q885" s="9"/>
      <c r="R885" s="9"/>
      <c r="S885" s="9"/>
      <c r="T885" s="9"/>
      <c r="U885" s="9"/>
      <c r="V885" s="9"/>
      <c r="W885" s="9"/>
      <c r="X885" s="589"/>
      <c r="Y885" s="9"/>
      <c r="Z885" s="204"/>
      <c r="AA885" s="9"/>
      <c r="AB885" s="9"/>
      <c r="AC885" s="9"/>
      <c r="AD885" s="9"/>
    </row>
    <row r="886" ht="15.75" customHeight="1">
      <c r="A886" s="9"/>
      <c r="B886" s="9"/>
      <c r="C886" s="9"/>
      <c r="D886" s="9"/>
      <c r="E886" s="9"/>
      <c r="F886" s="9"/>
      <c r="G886" s="9"/>
      <c r="H886" s="9"/>
      <c r="I886" s="9"/>
      <c r="J886" s="9"/>
      <c r="K886" s="9"/>
      <c r="L886" s="556"/>
      <c r="M886" s="9"/>
      <c r="N886" s="9"/>
      <c r="O886" s="9"/>
      <c r="P886" s="9"/>
      <c r="Q886" s="9"/>
      <c r="R886" s="9"/>
      <c r="S886" s="9"/>
      <c r="T886" s="9"/>
      <c r="U886" s="9"/>
      <c r="V886" s="9"/>
      <c r="W886" s="9"/>
      <c r="X886" s="589"/>
      <c r="Y886" s="9"/>
      <c r="Z886" s="204"/>
      <c r="AA886" s="9"/>
      <c r="AB886" s="9"/>
      <c r="AC886" s="9"/>
      <c r="AD886" s="9"/>
    </row>
    <row r="887" ht="15.75" customHeight="1">
      <c r="A887" s="9"/>
      <c r="B887" s="9"/>
      <c r="C887" s="9"/>
      <c r="D887" s="9"/>
      <c r="E887" s="9"/>
      <c r="F887" s="9"/>
      <c r="G887" s="9"/>
      <c r="H887" s="9"/>
      <c r="I887" s="9"/>
      <c r="J887" s="9"/>
      <c r="K887" s="9"/>
      <c r="L887" s="556"/>
      <c r="M887" s="9"/>
      <c r="N887" s="9"/>
      <c r="O887" s="9"/>
      <c r="P887" s="9"/>
      <c r="Q887" s="9"/>
      <c r="R887" s="9"/>
      <c r="S887" s="9"/>
      <c r="T887" s="9"/>
      <c r="U887" s="9"/>
      <c r="V887" s="9"/>
      <c r="W887" s="9"/>
      <c r="X887" s="589"/>
      <c r="Y887" s="9"/>
      <c r="Z887" s="204"/>
      <c r="AA887" s="9"/>
      <c r="AB887" s="9"/>
      <c r="AC887" s="9"/>
      <c r="AD887" s="9"/>
    </row>
    <row r="888" ht="15.75" customHeight="1">
      <c r="A888" s="9"/>
      <c r="B888" s="9"/>
      <c r="C888" s="9"/>
      <c r="D888" s="9"/>
      <c r="E888" s="9"/>
      <c r="F888" s="9"/>
      <c r="G888" s="9"/>
      <c r="H888" s="9"/>
      <c r="I888" s="9"/>
      <c r="J888" s="9"/>
      <c r="K888" s="9"/>
      <c r="L888" s="556"/>
      <c r="M888" s="9"/>
      <c r="N888" s="9"/>
      <c r="O888" s="9"/>
      <c r="P888" s="9"/>
      <c r="Q888" s="9"/>
      <c r="R888" s="9"/>
      <c r="S888" s="9"/>
      <c r="T888" s="9"/>
      <c r="U888" s="9"/>
      <c r="V888" s="9"/>
      <c r="W888" s="9"/>
      <c r="X888" s="589"/>
      <c r="Y888" s="9"/>
      <c r="Z888" s="204"/>
      <c r="AA888" s="9"/>
      <c r="AB888" s="9"/>
      <c r="AC888" s="9"/>
      <c r="AD888" s="9"/>
    </row>
    <row r="889" ht="15.75" customHeight="1">
      <c r="A889" s="9"/>
      <c r="B889" s="9"/>
      <c r="C889" s="9"/>
      <c r="D889" s="9"/>
      <c r="E889" s="9"/>
      <c r="F889" s="9"/>
      <c r="G889" s="9"/>
      <c r="H889" s="9"/>
      <c r="I889" s="9"/>
      <c r="J889" s="9"/>
      <c r="K889" s="9"/>
      <c r="L889" s="556"/>
      <c r="M889" s="9"/>
      <c r="N889" s="9"/>
      <c r="O889" s="9"/>
      <c r="P889" s="9"/>
      <c r="Q889" s="9"/>
      <c r="R889" s="9"/>
      <c r="S889" s="9"/>
      <c r="T889" s="9"/>
      <c r="U889" s="9"/>
      <c r="V889" s="9"/>
      <c r="W889" s="9"/>
      <c r="X889" s="589"/>
      <c r="Y889" s="9"/>
      <c r="Z889" s="204"/>
      <c r="AA889" s="9"/>
      <c r="AB889" s="9"/>
      <c r="AC889" s="9"/>
      <c r="AD889" s="9"/>
    </row>
    <row r="890" ht="15.75" customHeight="1">
      <c r="A890" s="9"/>
      <c r="B890" s="9"/>
      <c r="C890" s="9"/>
      <c r="D890" s="9"/>
      <c r="E890" s="9"/>
      <c r="F890" s="9"/>
      <c r="G890" s="9"/>
      <c r="H890" s="9"/>
      <c r="I890" s="9"/>
      <c r="J890" s="9"/>
      <c r="K890" s="9"/>
      <c r="L890" s="556"/>
      <c r="M890" s="9"/>
      <c r="N890" s="9"/>
      <c r="O890" s="9"/>
      <c r="P890" s="9"/>
      <c r="Q890" s="9"/>
      <c r="R890" s="9"/>
      <c r="S890" s="9"/>
      <c r="T890" s="9"/>
      <c r="U890" s="9"/>
      <c r="V890" s="9"/>
      <c r="W890" s="9"/>
      <c r="X890" s="589"/>
      <c r="Y890" s="9"/>
      <c r="Z890" s="204"/>
      <c r="AA890" s="9"/>
      <c r="AB890" s="9"/>
      <c r="AC890" s="9"/>
      <c r="AD890" s="9"/>
    </row>
    <row r="891" ht="15.75" customHeight="1">
      <c r="A891" s="9"/>
      <c r="B891" s="9"/>
      <c r="C891" s="9"/>
      <c r="D891" s="9"/>
      <c r="E891" s="9"/>
      <c r="F891" s="9"/>
      <c r="G891" s="9"/>
      <c r="H891" s="9"/>
      <c r="I891" s="9"/>
      <c r="J891" s="9"/>
      <c r="K891" s="9"/>
      <c r="L891" s="556"/>
      <c r="M891" s="9"/>
      <c r="N891" s="9"/>
      <c r="O891" s="9"/>
      <c r="P891" s="9"/>
      <c r="Q891" s="9"/>
      <c r="R891" s="9"/>
      <c r="S891" s="9"/>
      <c r="T891" s="9"/>
      <c r="U891" s="9"/>
      <c r="V891" s="9"/>
      <c r="W891" s="9"/>
      <c r="X891" s="589"/>
      <c r="Y891" s="9"/>
      <c r="Z891" s="204"/>
      <c r="AA891" s="9"/>
      <c r="AB891" s="9"/>
      <c r="AC891" s="9"/>
      <c r="AD891" s="9"/>
    </row>
    <row r="892" ht="15.75" customHeight="1">
      <c r="A892" s="9"/>
      <c r="B892" s="9"/>
      <c r="C892" s="9"/>
      <c r="D892" s="9"/>
      <c r="E892" s="9"/>
      <c r="F892" s="9"/>
      <c r="G892" s="9"/>
      <c r="H892" s="9"/>
      <c r="I892" s="9"/>
      <c r="J892" s="9"/>
      <c r="K892" s="9"/>
      <c r="L892" s="556"/>
      <c r="M892" s="9"/>
      <c r="N892" s="9"/>
      <c r="O892" s="9"/>
      <c r="P892" s="9"/>
      <c r="Q892" s="9"/>
      <c r="R892" s="9"/>
      <c r="S892" s="9"/>
      <c r="T892" s="9"/>
      <c r="U892" s="9"/>
      <c r="V892" s="9"/>
      <c r="W892" s="9"/>
      <c r="X892" s="589"/>
      <c r="Y892" s="9"/>
      <c r="Z892" s="204"/>
      <c r="AA892" s="9"/>
      <c r="AB892" s="9"/>
      <c r="AC892" s="9"/>
      <c r="AD892" s="9"/>
    </row>
    <row r="893" ht="15.75" customHeight="1">
      <c r="A893" s="9"/>
      <c r="B893" s="9"/>
      <c r="C893" s="9"/>
      <c r="D893" s="9"/>
      <c r="E893" s="9"/>
      <c r="F893" s="9"/>
      <c r="G893" s="9"/>
      <c r="H893" s="9"/>
      <c r="I893" s="9"/>
      <c r="J893" s="9"/>
      <c r="K893" s="9"/>
      <c r="L893" s="556"/>
      <c r="M893" s="9"/>
      <c r="N893" s="9"/>
      <c r="O893" s="9"/>
      <c r="P893" s="9"/>
      <c r="Q893" s="9"/>
      <c r="R893" s="9"/>
      <c r="S893" s="9"/>
      <c r="T893" s="9"/>
      <c r="U893" s="9"/>
      <c r="V893" s="9"/>
      <c r="W893" s="9"/>
      <c r="X893" s="589"/>
      <c r="Y893" s="9"/>
      <c r="Z893" s="204"/>
      <c r="AA893" s="9"/>
      <c r="AB893" s="9"/>
      <c r="AC893" s="9"/>
      <c r="AD893" s="9"/>
    </row>
    <row r="894" ht="15.75" customHeight="1">
      <c r="A894" s="9"/>
      <c r="B894" s="9"/>
      <c r="C894" s="9"/>
      <c r="D894" s="9"/>
      <c r="E894" s="9"/>
      <c r="F894" s="9"/>
      <c r="G894" s="9"/>
      <c r="H894" s="9"/>
      <c r="I894" s="9"/>
      <c r="J894" s="9"/>
      <c r="K894" s="9"/>
      <c r="L894" s="556"/>
      <c r="M894" s="9"/>
      <c r="N894" s="9"/>
      <c r="O894" s="9"/>
      <c r="P894" s="9"/>
      <c r="Q894" s="9"/>
      <c r="R894" s="9"/>
      <c r="S894" s="9"/>
      <c r="T894" s="9"/>
      <c r="U894" s="9"/>
      <c r="V894" s="9"/>
      <c r="W894" s="9"/>
      <c r="X894" s="589"/>
      <c r="Y894" s="9"/>
      <c r="Z894" s="204"/>
      <c r="AA894" s="9"/>
      <c r="AB894" s="9"/>
      <c r="AC894" s="9"/>
      <c r="AD894" s="9"/>
    </row>
    <row r="895" ht="15.75" customHeight="1">
      <c r="A895" s="9"/>
      <c r="B895" s="9"/>
      <c r="C895" s="9"/>
      <c r="D895" s="9"/>
      <c r="E895" s="9"/>
      <c r="F895" s="9"/>
      <c r="G895" s="9"/>
      <c r="H895" s="9"/>
      <c r="I895" s="9"/>
      <c r="J895" s="9"/>
      <c r="K895" s="9"/>
      <c r="L895" s="556"/>
      <c r="M895" s="9"/>
      <c r="N895" s="9"/>
      <c r="O895" s="9"/>
      <c r="P895" s="9"/>
      <c r="Q895" s="9"/>
      <c r="R895" s="9"/>
      <c r="S895" s="9"/>
      <c r="T895" s="9"/>
      <c r="U895" s="9"/>
      <c r="V895" s="9"/>
      <c r="W895" s="9"/>
      <c r="X895" s="589"/>
      <c r="Y895" s="9"/>
      <c r="Z895" s="204"/>
      <c r="AA895" s="9"/>
      <c r="AB895" s="9"/>
      <c r="AC895" s="9"/>
      <c r="AD895" s="9"/>
    </row>
    <row r="896" ht="15.75" customHeight="1">
      <c r="A896" s="9"/>
      <c r="B896" s="9"/>
      <c r="C896" s="9"/>
      <c r="D896" s="9"/>
      <c r="E896" s="9"/>
      <c r="F896" s="9"/>
      <c r="G896" s="9"/>
      <c r="H896" s="9"/>
      <c r="I896" s="9"/>
      <c r="J896" s="9"/>
      <c r="K896" s="9"/>
      <c r="L896" s="556"/>
      <c r="M896" s="9"/>
      <c r="N896" s="9"/>
      <c r="O896" s="9"/>
      <c r="P896" s="9"/>
      <c r="Q896" s="9"/>
      <c r="R896" s="9"/>
      <c r="S896" s="9"/>
      <c r="T896" s="9"/>
      <c r="U896" s="9"/>
      <c r="V896" s="9"/>
      <c r="W896" s="9"/>
      <c r="X896" s="589"/>
      <c r="Y896" s="9"/>
      <c r="Z896" s="204"/>
      <c r="AA896" s="9"/>
      <c r="AB896" s="9"/>
      <c r="AC896" s="9"/>
      <c r="AD896" s="9"/>
    </row>
    <row r="897" ht="15.75" customHeight="1">
      <c r="A897" s="9"/>
      <c r="B897" s="9"/>
      <c r="C897" s="9"/>
      <c r="D897" s="9"/>
      <c r="E897" s="9"/>
      <c r="F897" s="9"/>
      <c r="G897" s="9"/>
      <c r="H897" s="9"/>
      <c r="I897" s="9"/>
      <c r="J897" s="9"/>
      <c r="K897" s="9"/>
      <c r="L897" s="556"/>
      <c r="M897" s="9"/>
      <c r="N897" s="9"/>
      <c r="O897" s="9"/>
      <c r="P897" s="9"/>
      <c r="Q897" s="9"/>
      <c r="R897" s="9"/>
      <c r="S897" s="9"/>
      <c r="T897" s="9"/>
      <c r="U897" s="9"/>
      <c r="V897" s="9"/>
      <c r="W897" s="9"/>
      <c r="X897" s="589"/>
      <c r="Y897" s="9"/>
      <c r="Z897" s="204"/>
      <c r="AA897" s="9"/>
      <c r="AB897" s="9"/>
      <c r="AC897" s="9"/>
      <c r="AD897" s="9"/>
    </row>
    <row r="898" ht="15.75" customHeight="1">
      <c r="A898" s="9"/>
      <c r="B898" s="9"/>
      <c r="C898" s="9"/>
      <c r="D898" s="9"/>
      <c r="E898" s="9"/>
      <c r="F898" s="9"/>
      <c r="G898" s="9"/>
      <c r="H898" s="9"/>
      <c r="I898" s="9"/>
      <c r="J898" s="9"/>
      <c r="K898" s="9"/>
      <c r="L898" s="556"/>
      <c r="M898" s="9"/>
      <c r="N898" s="9"/>
      <c r="O898" s="9"/>
      <c r="P898" s="9"/>
      <c r="Q898" s="9"/>
      <c r="R898" s="9"/>
      <c r="S898" s="9"/>
      <c r="T898" s="9"/>
      <c r="U898" s="9"/>
      <c r="V898" s="9"/>
      <c r="W898" s="9"/>
      <c r="X898" s="589"/>
      <c r="Y898" s="9"/>
      <c r="Z898" s="204"/>
      <c r="AA898" s="9"/>
      <c r="AB898" s="9"/>
      <c r="AC898" s="9"/>
      <c r="AD898" s="9"/>
    </row>
    <row r="899" ht="15.75" customHeight="1">
      <c r="A899" s="9"/>
      <c r="B899" s="9"/>
      <c r="C899" s="9"/>
      <c r="D899" s="9"/>
      <c r="E899" s="9"/>
      <c r="F899" s="9"/>
      <c r="G899" s="9"/>
      <c r="H899" s="9"/>
      <c r="I899" s="9"/>
      <c r="J899" s="9"/>
      <c r="K899" s="9"/>
      <c r="L899" s="556"/>
      <c r="M899" s="9"/>
      <c r="N899" s="9"/>
      <c r="O899" s="9"/>
      <c r="P899" s="9"/>
      <c r="Q899" s="9"/>
      <c r="R899" s="9"/>
      <c r="S899" s="9"/>
      <c r="T899" s="9"/>
      <c r="U899" s="9"/>
      <c r="V899" s="9"/>
      <c r="W899" s="9"/>
      <c r="X899" s="589"/>
      <c r="Y899" s="9"/>
      <c r="Z899" s="204"/>
      <c r="AA899" s="9"/>
      <c r="AB899" s="9"/>
      <c r="AC899" s="9"/>
      <c r="AD899" s="9"/>
    </row>
    <row r="900" ht="15.75" customHeight="1">
      <c r="A900" s="9"/>
      <c r="B900" s="9"/>
      <c r="C900" s="9"/>
      <c r="D900" s="9"/>
      <c r="E900" s="9"/>
      <c r="F900" s="9"/>
      <c r="G900" s="9"/>
      <c r="H900" s="9"/>
      <c r="I900" s="9"/>
      <c r="J900" s="9"/>
      <c r="K900" s="9"/>
      <c r="L900" s="556"/>
      <c r="M900" s="9"/>
      <c r="N900" s="9"/>
      <c r="O900" s="9"/>
      <c r="P900" s="9"/>
      <c r="Q900" s="9"/>
      <c r="R900" s="9"/>
      <c r="S900" s="9"/>
      <c r="T900" s="9"/>
      <c r="U900" s="9"/>
      <c r="V900" s="9"/>
      <c r="W900" s="9"/>
      <c r="X900" s="589"/>
      <c r="Y900" s="9"/>
      <c r="Z900" s="204"/>
      <c r="AA900" s="9"/>
      <c r="AB900" s="9"/>
      <c r="AC900" s="9"/>
      <c r="AD900" s="9"/>
    </row>
    <row r="901" ht="15.75" customHeight="1">
      <c r="A901" s="9"/>
      <c r="B901" s="9"/>
      <c r="C901" s="9"/>
      <c r="D901" s="9"/>
      <c r="E901" s="9"/>
      <c r="F901" s="9"/>
      <c r="G901" s="9"/>
      <c r="H901" s="9"/>
      <c r="I901" s="9"/>
      <c r="J901" s="9"/>
      <c r="K901" s="9"/>
      <c r="L901" s="556"/>
      <c r="M901" s="9"/>
      <c r="N901" s="9"/>
      <c r="O901" s="9"/>
      <c r="P901" s="9"/>
      <c r="Q901" s="9"/>
      <c r="R901" s="9"/>
      <c r="S901" s="9"/>
      <c r="T901" s="9"/>
      <c r="U901" s="9"/>
      <c r="V901" s="9"/>
      <c r="W901" s="9"/>
      <c r="X901" s="589"/>
      <c r="Y901" s="9"/>
      <c r="Z901" s="204"/>
      <c r="AA901" s="9"/>
      <c r="AB901" s="9"/>
      <c r="AC901" s="9"/>
      <c r="AD901" s="9"/>
    </row>
    <row r="902" ht="15.75" customHeight="1">
      <c r="A902" s="9"/>
      <c r="B902" s="9"/>
      <c r="C902" s="9"/>
      <c r="D902" s="9"/>
      <c r="E902" s="9"/>
      <c r="F902" s="9"/>
      <c r="G902" s="9"/>
      <c r="H902" s="9"/>
      <c r="I902" s="9"/>
      <c r="J902" s="9"/>
      <c r="K902" s="9"/>
      <c r="L902" s="556"/>
      <c r="M902" s="9"/>
      <c r="N902" s="9"/>
      <c r="O902" s="9"/>
      <c r="P902" s="9"/>
      <c r="Q902" s="9"/>
      <c r="R902" s="9"/>
      <c r="S902" s="9"/>
      <c r="T902" s="9"/>
      <c r="U902" s="9"/>
      <c r="V902" s="9"/>
      <c r="W902" s="9"/>
      <c r="X902" s="589"/>
      <c r="Y902" s="9"/>
      <c r="Z902" s="204"/>
      <c r="AA902" s="9"/>
      <c r="AB902" s="9"/>
      <c r="AC902" s="9"/>
      <c r="AD902" s="9"/>
    </row>
    <row r="903" ht="15.75" customHeight="1">
      <c r="A903" s="9"/>
      <c r="B903" s="9"/>
      <c r="C903" s="9"/>
      <c r="D903" s="9"/>
      <c r="E903" s="9"/>
      <c r="F903" s="9"/>
      <c r="G903" s="9"/>
      <c r="H903" s="9"/>
      <c r="I903" s="9"/>
      <c r="J903" s="9"/>
      <c r="K903" s="9"/>
      <c r="L903" s="556"/>
      <c r="M903" s="9"/>
      <c r="N903" s="9"/>
      <c r="O903" s="9"/>
      <c r="P903" s="9"/>
      <c r="Q903" s="9"/>
      <c r="R903" s="9"/>
      <c r="S903" s="9"/>
      <c r="T903" s="9"/>
      <c r="U903" s="9"/>
      <c r="V903" s="9"/>
      <c r="W903" s="9"/>
      <c r="X903" s="589"/>
      <c r="Y903" s="9"/>
      <c r="Z903" s="204"/>
      <c r="AA903" s="9"/>
      <c r="AB903" s="9"/>
      <c r="AC903" s="9"/>
      <c r="AD903" s="9"/>
    </row>
    <row r="904" ht="15.75" customHeight="1">
      <c r="A904" s="9"/>
      <c r="B904" s="9"/>
      <c r="C904" s="9"/>
      <c r="D904" s="9"/>
      <c r="E904" s="9"/>
      <c r="F904" s="9"/>
      <c r="G904" s="9"/>
      <c r="H904" s="9"/>
      <c r="I904" s="9"/>
      <c r="J904" s="9"/>
      <c r="K904" s="9"/>
      <c r="L904" s="556"/>
      <c r="M904" s="9"/>
      <c r="N904" s="9"/>
      <c r="O904" s="9"/>
      <c r="P904" s="9"/>
      <c r="Q904" s="9"/>
      <c r="R904" s="9"/>
      <c r="S904" s="9"/>
      <c r="T904" s="9"/>
      <c r="U904" s="9"/>
      <c r="V904" s="9"/>
      <c r="W904" s="9"/>
      <c r="X904" s="589"/>
      <c r="Y904" s="9"/>
      <c r="Z904" s="204"/>
      <c r="AA904" s="9"/>
      <c r="AB904" s="9"/>
      <c r="AC904" s="9"/>
      <c r="AD904" s="9"/>
    </row>
    <row r="905" ht="15.75" customHeight="1">
      <c r="A905" s="9"/>
      <c r="B905" s="9"/>
      <c r="C905" s="9"/>
      <c r="D905" s="9"/>
      <c r="E905" s="9"/>
      <c r="F905" s="9"/>
      <c r="G905" s="9"/>
      <c r="H905" s="9"/>
      <c r="I905" s="9"/>
      <c r="J905" s="9"/>
      <c r="K905" s="9"/>
      <c r="L905" s="556"/>
      <c r="M905" s="9"/>
      <c r="N905" s="9"/>
      <c r="O905" s="9"/>
      <c r="P905" s="9"/>
      <c r="Q905" s="9"/>
      <c r="R905" s="9"/>
      <c r="S905" s="9"/>
      <c r="T905" s="9"/>
      <c r="U905" s="9"/>
      <c r="V905" s="9"/>
      <c r="W905" s="9"/>
      <c r="X905" s="589"/>
      <c r="Y905" s="9"/>
      <c r="Z905" s="204"/>
      <c r="AA905" s="9"/>
      <c r="AB905" s="9"/>
      <c r="AC905" s="9"/>
      <c r="AD905" s="9"/>
    </row>
    <row r="906" ht="15.75" customHeight="1">
      <c r="A906" s="9"/>
      <c r="B906" s="9"/>
      <c r="C906" s="9"/>
      <c r="D906" s="9"/>
      <c r="E906" s="9"/>
      <c r="F906" s="9"/>
      <c r="G906" s="9"/>
      <c r="H906" s="9"/>
      <c r="I906" s="9"/>
      <c r="J906" s="9"/>
      <c r="K906" s="9"/>
      <c r="L906" s="556"/>
      <c r="M906" s="9"/>
      <c r="N906" s="9"/>
      <c r="O906" s="9"/>
      <c r="P906" s="9"/>
      <c r="Q906" s="9"/>
      <c r="R906" s="9"/>
      <c r="S906" s="9"/>
      <c r="T906" s="9"/>
      <c r="U906" s="9"/>
      <c r="V906" s="9"/>
      <c r="W906" s="9"/>
      <c r="X906" s="589"/>
      <c r="Y906" s="9"/>
      <c r="Z906" s="204"/>
      <c r="AA906" s="9"/>
      <c r="AB906" s="9"/>
      <c r="AC906" s="9"/>
      <c r="AD906" s="9"/>
    </row>
    <row r="907" ht="15.75" customHeight="1">
      <c r="A907" s="9"/>
      <c r="B907" s="9"/>
      <c r="C907" s="9"/>
      <c r="D907" s="9"/>
      <c r="E907" s="9"/>
      <c r="F907" s="9"/>
      <c r="G907" s="9"/>
      <c r="H907" s="9"/>
      <c r="I907" s="9"/>
      <c r="J907" s="9"/>
      <c r="K907" s="9"/>
      <c r="L907" s="556"/>
      <c r="M907" s="9"/>
      <c r="N907" s="9"/>
      <c r="O907" s="9"/>
      <c r="P907" s="9"/>
      <c r="Q907" s="9"/>
      <c r="R907" s="9"/>
      <c r="S907" s="9"/>
      <c r="T907" s="9"/>
      <c r="U907" s="9"/>
      <c r="V907" s="9"/>
      <c r="W907" s="9"/>
      <c r="X907" s="589"/>
      <c r="Y907" s="9"/>
      <c r="Z907" s="204"/>
      <c r="AA907" s="9"/>
      <c r="AB907" s="9"/>
      <c r="AC907" s="9"/>
      <c r="AD907" s="9"/>
    </row>
    <row r="908" ht="15.75" customHeight="1">
      <c r="A908" s="9"/>
      <c r="B908" s="9"/>
      <c r="C908" s="9"/>
      <c r="D908" s="9"/>
      <c r="E908" s="9"/>
      <c r="F908" s="9"/>
      <c r="G908" s="9"/>
      <c r="H908" s="9"/>
      <c r="I908" s="9"/>
      <c r="J908" s="9"/>
      <c r="K908" s="9"/>
      <c r="L908" s="556"/>
      <c r="M908" s="9"/>
      <c r="N908" s="9"/>
      <c r="O908" s="9"/>
      <c r="P908" s="9"/>
      <c r="Q908" s="9"/>
      <c r="R908" s="9"/>
      <c r="S908" s="9"/>
      <c r="T908" s="9"/>
      <c r="U908" s="9"/>
      <c r="V908" s="9"/>
      <c r="W908" s="9"/>
      <c r="X908" s="589"/>
      <c r="Y908" s="9"/>
      <c r="Z908" s="204"/>
      <c r="AA908" s="9"/>
      <c r="AB908" s="9"/>
      <c r="AC908" s="9"/>
      <c r="AD908" s="9"/>
    </row>
    <row r="909" ht="15.75" customHeight="1">
      <c r="A909" s="9"/>
      <c r="B909" s="9"/>
      <c r="C909" s="9"/>
      <c r="D909" s="9"/>
      <c r="E909" s="9"/>
      <c r="F909" s="9"/>
      <c r="G909" s="9"/>
      <c r="H909" s="9"/>
      <c r="I909" s="9"/>
      <c r="J909" s="9"/>
      <c r="K909" s="9"/>
      <c r="L909" s="556"/>
      <c r="M909" s="9"/>
      <c r="N909" s="9"/>
      <c r="O909" s="9"/>
      <c r="P909" s="9"/>
      <c r="Q909" s="9"/>
      <c r="R909" s="9"/>
      <c r="S909" s="9"/>
      <c r="T909" s="9"/>
      <c r="U909" s="9"/>
      <c r="V909" s="9"/>
      <c r="W909" s="9"/>
      <c r="X909" s="589"/>
      <c r="Y909" s="9"/>
      <c r="Z909" s="204"/>
      <c r="AA909" s="9"/>
      <c r="AB909" s="9"/>
      <c r="AC909" s="9"/>
      <c r="AD909" s="9"/>
    </row>
    <row r="910" ht="15.75" customHeight="1">
      <c r="A910" s="9"/>
      <c r="B910" s="9"/>
      <c r="C910" s="9"/>
      <c r="D910" s="9"/>
      <c r="E910" s="9"/>
      <c r="F910" s="9"/>
      <c r="G910" s="9"/>
      <c r="H910" s="9"/>
      <c r="I910" s="9"/>
      <c r="J910" s="9"/>
      <c r="K910" s="9"/>
      <c r="L910" s="556"/>
      <c r="M910" s="9"/>
      <c r="N910" s="9"/>
      <c r="O910" s="9"/>
      <c r="P910" s="9"/>
      <c r="Q910" s="9"/>
      <c r="R910" s="9"/>
      <c r="S910" s="9"/>
      <c r="T910" s="9"/>
      <c r="U910" s="9"/>
      <c r="V910" s="9"/>
      <c r="W910" s="9"/>
      <c r="X910" s="589"/>
      <c r="Y910" s="9"/>
      <c r="Z910" s="204"/>
      <c r="AA910" s="9"/>
      <c r="AB910" s="9"/>
      <c r="AC910" s="9"/>
      <c r="AD910" s="9"/>
    </row>
    <row r="911" ht="15.75" customHeight="1">
      <c r="A911" s="9"/>
      <c r="B911" s="9"/>
      <c r="C911" s="9"/>
      <c r="D911" s="9"/>
      <c r="E911" s="9"/>
      <c r="F911" s="9"/>
      <c r="G911" s="9"/>
      <c r="H911" s="9"/>
      <c r="I911" s="9"/>
      <c r="J911" s="9"/>
      <c r="K911" s="9"/>
      <c r="L911" s="556"/>
      <c r="M911" s="9"/>
      <c r="N911" s="9"/>
      <c r="O911" s="9"/>
      <c r="P911" s="9"/>
      <c r="Q911" s="9"/>
      <c r="R911" s="9"/>
      <c r="S911" s="9"/>
      <c r="T911" s="9"/>
      <c r="U911" s="9"/>
      <c r="V911" s="9"/>
      <c r="W911" s="9"/>
      <c r="X911" s="589"/>
      <c r="Y911" s="9"/>
      <c r="Z911" s="204"/>
      <c r="AA911" s="9"/>
      <c r="AB911" s="9"/>
      <c r="AC911" s="9"/>
      <c r="AD911" s="9"/>
    </row>
    <row r="912" ht="15.75" customHeight="1">
      <c r="A912" s="9"/>
      <c r="B912" s="9"/>
      <c r="C912" s="9"/>
      <c r="D912" s="9"/>
      <c r="E912" s="9"/>
      <c r="F912" s="9"/>
      <c r="G912" s="9"/>
      <c r="H912" s="9"/>
      <c r="I912" s="9"/>
      <c r="J912" s="9"/>
      <c r="K912" s="9"/>
      <c r="L912" s="556"/>
      <c r="M912" s="9"/>
      <c r="N912" s="9"/>
      <c r="O912" s="9"/>
      <c r="P912" s="9"/>
      <c r="Q912" s="9"/>
      <c r="R912" s="9"/>
      <c r="S912" s="9"/>
      <c r="T912" s="9"/>
      <c r="U912" s="9"/>
      <c r="V912" s="9"/>
      <c r="W912" s="9"/>
      <c r="X912" s="589"/>
      <c r="Y912" s="9"/>
      <c r="Z912" s="204"/>
      <c r="AA912" s="9"/>
      <c r="AB912" s="9"/>
      <c r="AC912" s="9"/>
      <c r="AD912" s="9"/>
    </row>
    <row r="913" ht="15.75" customHeight="1">
      <c r="A913" s="9"/>
      <c r="B913" s="9"/>
      <c r="C913" s="9"/>
      <c r="D913" s="9"/>
      <c r="E913" s="9"/>
      <c r="F913" s="9"/>
      <c r="G913" s="9"/>
      <c r="H913" s="9"/>
      <c r="I913" s="9"/>
      <c r="J913" s="9"/>
      <c r="K913" s="9"/>
      <c r="L913" s="556"/>
      <c r="M913" s="9"/>
      <c r="N913" s="9"/>
      <c r="O913" s="9"/>
      <c r="P913" s="9"/>
      <c r="Q913" s="9"/>
      <c r="R913" s="9"/>
      <c r="S913" s="9"/>
      <c r="T913" s="9"/>
      <c r="U913" s="9"/>
      <c r="V913" s="9"/>
      <c r="W913" s="9"/>
      <c r="X913" s="589"/>
      <c r="Y913" s="9"/>
      <c r="Z913" s="204"/>
      <c r="AA913" s="9"/>
      <c r="AB913" s="9"/>
      <c r="AC913" s="9"/>
      <c r="AD913" s="9"/>
    </row>
    <row r="914" ht="15.75" customHeight="1">
      <c r="A914" s="9"/>
      <c r="B914" s="9"/>
      <c r="C914" s="9"/>
      <c r="D914" s="9"/>
      <c r="E914" s="9"/>
      <c r="F914" s="9"/>
      <c r="G914" s="9"/>
      <c r="H914" s="9"/>
      <c r="I914" s="9"/>
      <c r="J914" s="9"/>
      <c r="K914" s="9"/>
      <c r="L914" s="556"/>
      <c r="M914" s="9"/>
      <c r="N914" s="9"/>
      <c r="O914" s="9"/>
      <c r="P914" s="9"/>
      <c r="Q914" s="9"/>
      <c r="R914" s="9"/>
      <c r="S914" s="9"/>
      <c r="T914" s="9"/>
      <c r="U914" s="9"/>
      <c r="V914" s="9"/>
      <c r="W914" s="9"/>
      <c r="X914" s="589"/>
      <c r="Y914" s="9"/>
      <c r="Z914" s="204"/>
      <c r="AA914" s="9"/>
      <c r="AB914" s="9"/>
      <c r="AC914" s="9"/>
      <c r="AD914" s="9"/>
    </row>
    <row r="915" ht="15.75" customHeight="1">
      <c r="A915" s="9"/>
      <c r="B915" s="9"/>
      <c r="C915" s="9"/>
      <c r="D915" s="9"/>
      <c r="E915" s="9"/>
      <c r="F915" s="9"/>
      <c r="G915" s="9"/>
      <c r="H915" s="9"/>
      <c r="I915" s="9"/>
      <c r="J915" s="9"/>
      <c r="K915" s="9"/>
      <c r="L915" s="556"/>
      <c r="M915" s="9"/>
      <c r="N915" s="9"/>
      <c r="O915" s="9"/>
      <c r="P915" s="9"/>
      <c r="Q915" s="9"/>
      <c r="R915" s="9"/>
      <c r="S915" s="9"/>
      <c r="T915" s="9"/>
      <c r="U915" s="9"/>
      <c r="V915" s="9"/>
      <c r="W915" s="9"/>
      <c r="X915" s="589"/>
      <c r="Y915" s="9"/>
      <c r="Z915" s="204"/>
      <c r="AA915" s="9"/>
      <c r="AB915" s="9"/>
      <c r="AC915" s="9"/>
      <c r="AD915" s="9"/>
    </row>
    <row r="916" ht="15.75" customHeight="1">
      <c r="A916" s="9"/>
      <c r="B916" s="9"/>
      <c r="C916" s="9"/>
      <c r="D916" s="9"/>
      <c r="E916" s="9"/>
      <c r="F916" s="9"/>
      <c r="G916" s="9"/>
      <c r="H916" s="9"/>
      <c r="I916" s="9"/>
      <c r="J916" s="9"/>
      <c r="K916" s="9"/>
      <c r="L916" s="556"/>
      <c r="M916" s="9"/>
      <c r="N916" s="9"/>
      <c r="O916" s="9"/>
      <c r="P916" s="9"/>
      <c r="Q916" s="9"/>
      <c r="R916" s="9"/>
      <c r="S916" s="9"/>
      <c r="T916" s="9"/>
      <c r="U916" s="9"/>
      <c r="V916" s="9"/>
      <c r="W916" s="9"/>
      <c r="X916" s="589"/>
      <c r="Y916" s="9"/>
      <c r="Z916" s="204"/>
      <c r="AA916" s="9"/>
      <c r="AB916" s="9"/>
      <c r="AC916" s="9"/>
      <c r="AD916" s="9"/>
    </row>
    <row r="917" ht="15.75" customHeight="1">
      <c r="A917" s="9"/>
      <c r="B917" s="9"/>
      <c r="C917" s="9"/>
      <c r="D917" s="9"/>
      <c r="E917" s="9"/>
      <c r="F917" s="9"/>
      <c r="G917" s="9"/>
      <c r="H917" s="9"/>
      <c r="I917" s="9"/>
      <c r="J917" s="9"/>
      <c r="K917" s="9"/>
      <c r="L917" s="556"/>
      <c r="M917" s="9"/>
      <c r="N917" s="9"/>
      <c r="O917" s="9"/>
      <c r="P917" s="9"/>
      <c r="Q917" s="9"/>
      <c r="R917" s="9"/>
      <c r="S917" s="9"/>
      <c r="T917" s="9"/>
      <c r="U917" s="9"/>
      <c r="V917" s="9"/>
      <c r="W917" s="9"/>
      <c r="X917" s="589"/>
      <c r="Y917" s="9"/>
      <c r="Z917" s="204"/>
      <c r="AA917" s="9"/>
      <c r="AB917" s="9"/>
      <c r="AC917" s="9"/>
      <c r="AD917" s="9"/>
    </row>
    <row r="918" ht="15.75" customHeight="1">
      <c r="A918" s="9"/>
      <c r="B918" s="9"/>
      <c r="C918" s="9"/>
      <c r="D918" s="9"/>
      <c r="E918" s="9"/>
      <c r="F918" s="9"/>
      <c r="G918" s="9"/>
      <c r="H918" s="9"/>
      <c r="I918" s="9"/>
      <c r="J918" s="9"/>
      <c r="K918" s="9"/>
      <c r="L918" s="556"/>
      <c r="M918" s="9"/>
      <c r="N918" s="9"/>
      <c r="O918" s="9"/>
      <c r="P918" s="9"/>
      <c r="Q918" s="9"/>
      <c r="R918" s="9"/>
      <c r="S918" s="9"/>
      <c r="T918" s="9"/>
      <c r="U918" s="9"/>
      <c r="V918" s="9"/>
      <c r="W918" s="9"/>
      <c r="X918" s="589"/>
      <c r="Y918" s="9"/>
      <c r="Z918" s="204"/>
      <c r="AA918" s="9"/>
      <c r="AB918" s="9"/>
      <c r="AC918" s="9"/>
      <c r="AD918" s="9"/>
    </row>
    <row r="919" ht="15.75" customHeight="1">
      <c r="A919" s="9"/>
      <c r="B919" s="9"/>
      <c r="C919" s="9"/>
      <c r="D919" s="9"/>
      <c r="E919" s="9"/>
      <c r="F919" s="9"/>
      <c r="G919" s="9"/>
      <c r="H919" s="9"/>
      <c r="I919" s="9"/>
      <c r="J919" s="9"/>
      <c r="K919" s="9"/>
      <c r="L919" s="556"/>
      <c r="M919" s="9"/>
      <c r="N919" s="9"/>
      <c r="O919" s="9"/>
      <c r="P919" s="9"/>
      <c r="Q919" s="9"/>
      <c r="R919" s="9"/>
      <c r="S919" s="9"/>
      <c r="T919" s="9"/>
      <c r="U919" s="9"/>
      <c r="V919" s="9"/>
      <c r="W919" s="9"/>
      <c r="X919" s="589"/>
      <c r="Y919" s="9"/>
      <c r="Z919" s="204"/>
      <c r="AA919" s="9"/>
      <c r="AB919" s="9"/>
      <c r="AC919" s="9"/>
      <c r="AD919" s="9"/>
    </row>
    <row r="920" ht="15.75" customHeight="1">
      <c r="A920" s="9"/>
      <c r="B920" s="9"/>
      <c r="C920" s="9"/>
      <c r="D920" s="9"/>
      <c r="E920" s="9"/>
      <c r="F920" s="9"/>
      <c r="G920" s="9"/>
      <c r="H920" s="9"/>
      <c r="I920" s="9"/>
      <c r="J920" s="9"/>
      <c r="K920" s="9"/>
      <c r="L920" s="556"/>
      <c r="M920" s="9"/>
      <c r="N920" s="9"/>
      <c r="O920" s="9"/>
      <c r="P920" s="9"/>
      <c r="Q920" s="9"/>
      <c r="R920" s="9"/>
      <c r="S920" s="9"/>
      <c r="T920" s="9"/>
      <c r="U920" s="9"/>
      <c r="V920" s="9"/>
      <c r="W920" s="9"/>
      <c r="X920" s="589"/>
      <c r="Y920" s="9"/>
      <c r="Z920" s="204"/>
      <c r="AA920" s="9"/>
      <c r="AB920" s="9"/>
      <c r="AC920" s="9"/>
      <c r="AD920" s="9"/>
    </row>
    <row r="921" ht="15.75" customHeight="1">
      <c r="A921" s="9"/>
      <c r="B921" s="9"/>
      <c r="C921" s="9"/>
      <c r="D921" s="9"/>
      <c r="E921" s="9"/>
      <c r="F921" s="9"/>
      <c r="G921" s="9"/>
      <c r="H921" s="9"/>
      <c r="I921" s="9"/>
      <c r="J921" s="9"/>
      <c r="K921" s="9"/>
      <c r="L921" s="556"/>
      <c r="M921" s="9"/>
      <c r="N921" s="9"/>
      <c r="O921" s="9"/>
      <c r="P921" s="9"/>
      <c r="Q921" s="9"/>
      <c r="R921" s="9"/>
      <c r="S921" s="9"/>
      <c r="T921" s="9"/>
      <c r="U921" s="9"/>
      <c r="V921" s="9"/>
      <c r="W921" s="9"/>
      <c r="X921" s="589"/>
      <c r="Y921" s="9"/>
      <c r="Z921" s="204"/>
      <c r="AA921" s="9"/>
      <c r="AB921" s="9"/>
      <c r="AC921" s="9"/>
      <c r="AD921" s="9"/>
    </row>
    <row r="922" ht="15.75" customHeight="1">
      <c r="A922" s="9"/>
      <c r="B922" s="9"/>
      <c r="C922" s="9"/>
      <c r="D922" s="9"/>
      <c r="E922" s="9"/>
      <c r="F922" s="9"/>
      <c r="G922" s="9"/>
      <c r="H922" s="9"/>
      <c r="I922" s="9"/>
      <c r="J922" s="9"/>
      <c r="K922" s="9"/>
      <c r="L922" s="556"/>
      <c r="M922" s="9"/>
      <c r="N922" s="9"/>
      <c r="O922" s="9"/>
      <c r="P922" s="9"/>
      <c r="Q922" s="9"/>
      <c r="R922" s="9"/>
      <c r="S922" s="9"/>
      <c r="T922" s="9"/>
      <c r="U922" s="9"/>
      <c r="V922" s="9"/>
      <c r="W922" s="9"/>
      <c r="X922" s="589"/>
      <c r="Y922" s="9"/>
      <c r="Z922" s="204"/>
      <c r="AA922" s="9"/>
      <c r="AB922" s="9"/>
      <c r="AC922" s="9"/>
      <c r="AD922" s="9"/>
    </row>
    <row r="923" ht="15.75" customHeight="1">
      <c r="A923" s="9"/>
      <c r="B923" s="9"/>
      <c r="C923" s="9"/>
      <c r="D923" s="9"/>
      <c r="E923" s="9"/>
      <c r="F923" s="9"/>
      <c r="G923" s="9"/>
      <c r="H923" s="9"/>
      <c r="I923" s="9"/>
      <c r="J923" s="9"/>
      <c r="K923" s="9"/>
      <c r="L923" s="556"/>
      <c r="M923" s="9"/>
      <c r="N923" s="9"/>
      <c r="O923" s="9"/>
      <c r="P923" s="9"/>
      <c r="Q923" s="9"/>
      <c r="R923" s="9"/>
      <c r="S923" s="9"/>
      <c r="T923" s="9"/>
      <c r="U923" s="9"/>
      <c r="V923" s="9"/>
      <c r="W923" s="9"/>
      <c r="X923" s="589"/>
      <c r="Y923" s="9"/>
      <c r="Z923" s="204"/>
      <c r="AA923" s="9"/>
      <c r="AB923" s="9"/>
      <c r="AC923" s="9"/>
      <c r="AD923" s="9"/>
    </row>
    <row r="924" ht="15.75" customHeight="1">
      <c r="A924" s="9"/>
      <c r="B924" s="9"/>
      <c r="C924" s="9"/>
      <c r="D924" s="9"/>
      <c r="E924" s="9"/>
      <c r="F924" s="9"/>
      <c r="G924" s="9"/>
      <c r="H924" s="9"/>
      <c r="I924" s="9"/>
      <c r="J924" s="9"/>
      <c r="K924" s="9"/>
      <c r="L924" s="556"/>
      <c r="M924" s="9"/>
      <c r="N924" s="9"/>
      <c r="O924" s="9"/>
      <c r="P924" s="9"/>
      <c r="Q924" s="9"/>
      <c r="R924" s="9"/>
      <c r="S924" s="9"/>
      <c r="T924" s="9"/>
      <c r="U924" s="9"/>
      <c r="V924" s="9"/>
      <c r="W924" s="9"/>
      <c r="X924" s="589"/>
      <c r="Y924" s="9"/>
      <c r="Z924" s="204"/>
      <c r="AA924" s="9"/>
      <c r="AB924" s="9"/>
      <c r="AC924" s="9"/>
      <c r="AD924" s="9"/>
    </row>
    <row r="925" ht="15.75" customHeight="1">
      <c r="A925" s="9"/>
      <c r="B925" s="9"/>
      <c r="C925" s="9"/>
      <c r="D925" s="9"/>
      <c r="E925" s="9"/>
      <c r="F925" s="9"/>
      <c r="G925" s="9"/>
      <c r="H925" s="9"/>
      <c r="I925" s="9"/>
      <c r="J925" s="9"/>
      <c r="K925" s="9"/>
      <c r="L925" s="556"/>
      <c r="M925" s="9"/>
      <c r="N925" s="9"/>
      <c r="O925" s="9"/>
      <c r="P925" s="9"/>
      <c r="Q925" s="9"/>
      <c r="R925" s="9"/>
      <c r="S925" s="9"/>
      <c r="T925" s="9"/>
      <c r="U925" s="9"/>
      <c r="V925" s="9"/>
      <c r="W925" s="9"/>
      <c r="X925" s="589"/>
      <c r="Y925" s="9"/>
      <c r="Z925" s="204"/>
      <c r="AA925" s="9"/>
      <c r="AB925" s="9"/>
      <c r="AC925" s="9"/>
      <c r="AD925" s="9"/>
    </row>
    <row r="926" ht="15.75" customHeight="1">
      <c r="A926" s="9"/>
      <c r="B926" s="9"/>
      <c r="C926" s="9"/>
      <c r="D926" s="9"/>
      <c r="E926" s="9"/>
      <c r="F926" s="9"/>
      <c r="G926" s="9"/>
      <c r="H926" s="9"/>
      <c r="I926" s="9"/>
      <c r="J926" s="9"/>
      <c r="K926" s="9"/>
      <c r="L926" s="556"/>
      <c r="M926" s="9"/>
      <c r="N926" s="9"/>
      <c r="O926" s="9"/>
      <c r="P926" s="9"/>
      <c r="Q926" s="9"/>
      <c r="R926" s="9"/>
      <c r="S926" s="9"/>
      <c r="T926" s="9"/>
      <c r="U926" s="9"/>
      <c r="V926" s="9"/>
      <c r="W926" s="9"/>
      <c r="X926" s="589"/>
      <c r="Y926" s="9"/>
      <c r="Z926" s="204"/>
      <c r="AA926" s="9"/>
      <c r="AB926" s="9"/>
      <c r="AC926" s="9"/>
      <c r="AD926" s="9"/>
    </row>
    <row r="927" ht="15.75" customHeight="1">
      <c r="A927" s="9"/>
      <c r="B927" s="9"/>
      <c r="C927" s="9"/>
      <c r="D927" s="9"/>
      <c r="E927" s="9"/>
      <c r="F927" s="9"/>
      <c r="G927" s="9"/>
      <c r="H927" s="9"/>
      <c r="I927" s="9"/>
      <c r="J927" s="9"/>
      <c r="K927" s="9"/>
      <c r="L927" s="556"/>
      <c r="M927" s="9"/>
      <c r="N927" s="9"/>
      <c r="O927" s="9"/>
      <c r="P927" s="9"/>
      <c r="Q927" s="9"/>
      <c r="R927" s="9"/>
      <c r="S927" s="9"/>
      <c r="T927" s="9"/>
      <c r="U927" s="9"/>
      <c r="V927" s="9"/>
      <c r="W927" s="9"/>
      <c r="X927" s="589"/>
      <c r="Y927" s="9"/>
      <c r="Z927" s="204"/>
      <c r="AA927" s="9"/>
      <c r="AB927" s="9"/>
      <c r="AC927" s="9"/>
      <c r="AD927" s="9"/>
    </row>
    <row r="928" ht="15.75" customHeight="1">
      <c r="A928" s="9"/>
      <c r="B928" s="9"/>
      <c r="C928" s="9"/>
      <c r="D928" s="9"/>
      <c r="E928" s="9"/>
      <c r="F928" s="9"/>
      <c r="G928" s="9"/>
      <c r="H928" s="9"/>
      <c r="I928" s="9"/>
      <c r="J928" s="9"/>
      <c r="K928" s="9"/>
      <c r="L928" s="556"/>
      <c r="M928" s="9"/>
      <c r="N928" s="9"/>
      <c r="O928" s="9"/>
      <c r="P928" s="9"/>
      <c r="Q928" s="9"/>
      <c r="R928" s="9"/>
      <c r="S928" s="9"/>
      <c r="T928" s="9"/>
      <c r="U928" s="9"/>
      <c r="V928" s="9"/>
      <c r="W928" s="9"/>
      <c r="X928" s="589"/>
      <c r="Y928" s="9"/>
      <c r="Z928" s="204"/>
      <c r="AA928" s="9"/>
      <c r="AB928" s="9"/>
      <c r="AC928" s="9"/>
      <c r="AD928" s="9"/>
    </row>
    <row r="929" ht="15.75" customHeight="1">
      <c r="A929" s="9"/>
      <c r="B929" s="9"/>
      <c r="C929" s="9"/>
      <c r="D929" s="9"/>
      <c r="E929" s="9"/>
      <c r="F929" s="9"/>
      <c r="G929" s="9"/>
      <c r="H929" s="9"/>
      <c r="I929" s="9"/>
      <c r="J929" s="9"/>
      <c r="K929" s="9"/>
      <c r="L929" s="556"/>
      <c r="M929" s="9"/>
      <c r="N929" s="9"/>
      <c r="O929" s="9"/>
      <c r="P929" s="9"/>
      <c r="Q929" s="9"/>
      <c r="R929" s="9"/>
      <c r="S929" s="9"/>
      <c r="T929" s="9"/>
      <c r="U929" s="9"/>
      <c r="V929" s="9"/>
      <c r="W929" s="9"/>
      <c r="X929" s="589"/>
      <c r="Y929" s="9"/>
      <c r="Z929" s="204"/>
      <c r="AA929" s="9"/>
      <c r="AB929" s="9"/>
      <c r="AC929" s="9"/>
      <c r="AD929" s="9"/>
    </row>
    <row r="930" ht="15.75" customHeight="1">
      <c r="A930" s="9"/>
      <c r="B930" s="9"/>
      <c r="C930" s="9"/>
      <c r="D930" s="9"/>
      <c r="E930" s="9"/>
      <c r="F930" s="9"/>
      <c r="G930" s="9"/>
      <c r="H930" s="9"/>
      <c r="I930" s="9"/>
      <c r="J930" s="9"/>
      <c r="K930" s="9"/>
      <c r="L930" s="556"/>
      <c r="M930" s="9"/>
      <c r="N930" s="9"/>
      <c r="O930" s="9"/>
      <c r="P930" s="9"/>
      <c r="Q930" s="9"/>
      <c r="R930" s="9"/>
      <c r="S930" s="9"/>
      <c r="T930" s="9"/>
      <c r="U930" s="9"/>
      <c r="V930" s="9"/>
      <c r="W930" s="9"/>
      <c r="X930" s="589"/>
      <c r="Y930" s="9"/>
      <c r="Z930" s="204"/>
      <c r="AA930" s="9"/>
      <c r="AB930" s="9"/>
      <c r="AC930" s="9"/>
      <c r="AD930" s="9"/>
    </row>
    <row r="931" ht="15.75" customHeight="1">
      <c r="A931" s="9"/>
      <c r="B931" s="9"/>
      <c r="C931" s="9"/>
      <c r="D931" s="9"/>
      <c r="E931" s="9"/>
      <c r="F931" s="9"/>
      <c r="G931" s="9"/>
      <c r="H931" s="9"/>
      <c r="I931" s="9"/>
      <c r="J931" s="9"/>
      <c r="K931" s="9"/>
      <c r="L931" s="556"/>
      <c r="M931" s="9"/>
      <c r="N931" s="9"/>
      <c r="O931" s="9"/>
      <c r="P931" s="9"/>
      <c r="Q931" s="9"/>
      <c r="R931" s="9"/>
      <c r="S931" s="9"/>
      <c r="T931" s="9"/>
      <c r="U931" s="9"/>
      <c r="V931" s="9"/>
      <c r="W931" s="9"/>
      <c r="X931" s="589"/>
      <c r="Y931" s="9"/>
      <c r="Z931" s="204"/>
      <c r="AA931" s="9"/>
      <c r="AB931" s="9"/>
      <c r="AC931" s="9"/>
      <c r="AD931" s="9"/>
    </row>
    <row r="932" ht="15.75" customHeight="1">
      <c r="A932" s="9"/>
      <c r="B932" s="9"/>
      <c r="C932" s="9"/>
      <c r="D932" s="9"/>
      <c r="E932" s="9"/>
      <c r="F932" s="9"/>
      <c r="G932" s="9"/>
      <c r="H932" s="9"/>
      <c r="I932" s="9"/>
      <c r="J932" s="9"/>
      <c r="K932" s="9"/>
      <c r="L932" s="556"/>
      <c r="M932" s="9"/>
      <c r="N932" s="9"/>
      <c r="O932" s="9"/>
      <c r="P932" s="9"/>
      <c r="Q932" s="9"/>
      <c r="R932" s="9"/>
      <c r="S932" s="9"/>
      <c r="T932" s="9"/>
      <c r="U932" s="9"/>
      <c r="V932" s="9"/>
      <c r="W932" s="9"/>
      <c r="X932" s="589"/>
      <c r="Y932" s="9"/>
      <c r="Z932" s="204"/>
      <c r="AA932" s="9"/>
      <c r="AB932" s="9"/>
      <c r="AC932" s="9"/>
      <c r="AD932" s="9"/>
    </row>
    <row r="933" ht="15.75" customHeight="1">
      <c r="A933" s="9"/>
      <c r="B933" s="9"/>
      <c r="C933" s="9"/>
      <c r="D933" s="9"/>
      <c r="E933" s="9"/>
      <c r="F933" s="9"/>
      <c r="G933" s="9"/>
      <c r="H933" s="9"/>
      <c r="I933" s="9"/>
      <c r="J933" s="9"/>
      <c r="K933" s="9"/>
      <c r="L933" s="556"/>
      <c r="M933" s="9"/>
      <c r="N933" s="9"/>
      <c r="O933" s="9"/>
      <c r="P933" s="9"/>
      <c r="Q933" s="9"/>
      <c r="R933" s="9"/>
      <c r="S933" s="9"/>
      <c r="T933" s="9"/>
      <c r="U933" s="9"/>
      <c r="V933" s="9"/>
      <c r="W933" s="9"/>
      <c r="X933" s="589"/>
      <c r="Y933" s="9"/>
      <c r="Z933" s="204"/>
      <c r="AA933" s="9"/>
      <c r="AB933" s="9"/>
      <c r="AC933" s="9"/>
      <c r="AD933" s="9"/>
    </row>
    <row r="934" ht="15.75" customHeight="1">
      <c r="A934" s="9"/>
      <c r="B934" s="9"/>
      <c r="C934" s="9"/>
      <c r="D934" s="9"/>
      <c r="E934" s="9"/>
      <c r="F934" s="9"/>
      <c r="G934" s="9"/>
      <c r="H934" s="9"/>
      <c r="I934" s="9"/>
      <c r="J934" s="9"/>
      <c r="K934" s="9"/>
      <c r="L934" s="556"/>
      <c r="M934" s="9"/>
      <c r="N934" s="9"/>
      <c r="O934" s="9"/>
      <c r="P934" s="9"/>
      <c r="Q934" s="9"/>
      <c r="R934" s="9"/>
      <c r="S934" s="9"/>
      <c r="T934" s="9"/>
      <c r="U934" s="9"/>
      <c r="V934" s="9"/>
      <c r="W934" s="9"/>
      <c r="X934" s="589"/>
      <c r="Y934" s="9"/>
      <c r="Z934" s="204"/>
      <c r="AA934" s="9"/>
      <c r="AB934" s="9"/>
      <c r="AC934" s="9"/>
      <c r="AD934" s="9"/>
    </row>
    <row r="935" ht="15.75" customHeight="1">
      <c r="A935" s="9"/>
      <c r="B935" s="9"/>
      <c r="C935" s="9"/>
      <c r="D935" s="9"/>
      <c r="E935" s="9"/>
      <c r="F935" s="9"/>
      <c r="G935" s="9"/>
      <c r="H935" s="9"/>
      <c r="I935" s="9"/>
      <c r="J935" s="9"/>
      <c r="K935" s="9"/>
      <c r="L935" s="556"/>
      <c r="M935" s="9"/>
      <c r="N935" s="9"/>
      <c r="O935" s="9"/>
      <c r="P935" s="9"/>
      <c r="Q935" s="9"/>
      <c r="R935" s="9"/>
      <c r="S935" s="9"/>
      <c r="T935" s="9"/>
      <c r="U935" s="9"/>
      <c r="V935" s="9"/>
      <c r="W935" s="9"/>
      <c r="X935" s="589"/>
      <c r="Y935" s="9"/>
      <c r="Z935" s="204"/>
      <c r="AA935" s="9"/>
      <c r="AB935" s="9"/>
      <c r="AC935" s="9"/>
      <c r="AD935" s="9"/>
    </row>
    <row r="936" ht="15.75" customHeight="1">
      <c r="A936" s="9"/>
      <c r="B936" s="9"/>
      <c r="C936" s="9"/>
      <c r="D936" s="9"/>
      <c r="E936" s="9"/>
      <c r="F936" s="9"/>
      <c r="G936" s="9"/>
      <c r="H936" s="9"/>
      <c r="I936" s="9"/>
      <c r="J936" s="9"/>
      <c r="K936" s="9"/>
      <c r="L936" s="556"/>
      <c r="M936" s="9"/>
      <c r="N936" s="9"/>
      <c r="O936" s="9"/>
      <c r="P936" s="9"/>
      <c r="Q936" s="9"/>
      <c r="R936" s="9"/>
      <c r="S936" s="9"/>
      <c r="T936" s="9"/>
      <c r="U936" s="9"/>
      <c r="V936" s="9"/>
      <c r="W936" s="9"/>
      <c r="X936" s="589"/>
      <c r="Y936" s="9"/>
      <c r="Z936" s="204"/>
      <c r="AA936" s="9"/>
      <c r="AB936" s="9"/>
      <c r="AC936" s="9"/>
      <c r="AD936" s="9"/>
    </row>
    <row r="937" ht="15.75" customHeight="1">
      <c r="A937" s="9"/>
      <c r="B937" s="9"/>
      <c r="C937" s="9"/>
      <c r="D937" s="9"/>
      <c r="E937" s="9"/>
      <c r="F937" s="9"/>
      <c r="G937" s="9"/>
      <c r="H937" s="9"/>
      <c r="I937" s="9"/>
      <c r="J937" s="9"/>
      <c r="K937" s="9"/>
      <c r="L937" s="556"/>
      <c r="M937" s="9"/>
      <c r="N937" s="9"/>
      <c r="O937" s="9"/>
      <c r="P937" s="9"/>
      <c r="Q937" s="9"/>
      <c r="R937" s="9"/>
      <c r="S937" s="9"/>
      <c r="T937" s="9"/>
      <c r="U937" s="9"/>
      <c r="V937" s="9"/>
      <c r="W937" s="9"/>
      <c r="X937" s="589"/>
      <c r="Y937" s="9"/>
      <c r="Z937" s="204"/>
      <c r="AA937" s="9"/>
      <c r="AB937" s="9"/>
      <c r="AC937" s="9"/>
      <c r="AD937" s="9"/>
    </row>
    <row r="938" ht="15.75" customHeight="1">
      <c r="A938" s="9"/>
      <c r="B938" s="9"/>
      <c r="C938" s="9"/>
      <c r="D938" s="9"/>
      <c r="E938" s="9"/>
      <c r="F938" s="9"/>
      <c r="G938" s="9"/>
      <c r="H938" s="9"/>
      <c r="I938" s="9"/>
      <c r="J938" s="9"/>
      <c r="K938" s="9"/>
      <c r="L938" s="556"/>
      <c r="M938" s="9"/>
      <c r="N938" s="9"/>
      <c r="O938" s="9"/>
      <c r="P938" s="9"/>
      <c r="Q938" s="9"/>
      <c r="R938" s="9"/>
      <c r="S938" s="9"/>
      <c r="T938" s="9"/>
      <c r="U938" s="9"/>
      <c r="V938" s="9"/>
      <c r="W938" s="9"/>
      <c r="X938" s="589"/>
      <c r="Y938" s="9"/>
      <c r="Z938" s="204"/>
      <c r="AA938" s="9"/>
      <c r="AB938" s="9"/>
      <c r="AC938" s="9"/>
      <c r="AD938" s="9"/>
    </row>
    <row r="939" ht="15.75" customHeight="1">
      <c r="A939" s="9"/>
      <c r="B939" s="9"/>
      <c r="C939" s="9"/>
      <c r="D939" s="9"/>
      <c r="E939" s="9"/>
      <c r="F939" s="9"/>
      <c r="G939" s="9"/>
      <c r="H939" s="9"/>
      <c r="I939" s="9"/>
      <c r="J939" s="9"/>
      <c r="K939" s="9"/>
      <c r="L939" s="556"/>
      <c r="M939" s="9"/>
      <c r="N939" s="9"/>
      <c r="O939" s="9"/>
      <c r="P939" s="9"/>
      <c r="Q939" s="9"/>
      <c r="R939" s="9"/>
      <c r="S939" s="9"/>
      <c r="T939" s="9"/>
      <c r="U939" s="9"/>
      <c r="V939" s="9"/>
      <c r="W939" s="9"/>
      <c r="X939" s="589"/>
      <c r="Y939" s="9"/>
      <c r="Z939" s="204"/>
      <c r="AA939" s="9"/>
      <c r="AB939" s="9"/>
      <c r="AC939" s="9"/>
      <c r="AD939" s="9"/>
    </row>
    <row r="940" ht="15.75" customHeight="1">
      <c r="A940" s="9"/>
      <c r="B940" s="9"/>
      <c r="C940" s="9"/>
      <c r="D940" s="9"/>
      <c r="E940" s="9"/>
      <c r="F940" s="9"/>
      <c r="G940" s="9"/>
      <c r="H940" s="9"/>
      <c r="I940" s="9"/>
      <c r="J940" s="9"/>
      <c r="K940" s="9"/>
      <c r="L940" s="556"/>
      <c r="M940" s="9"/>
      <c r="N940" s="9"/>
      <c r="O940" s="9"/>
      <c r="P940" s="9"/>
      <c r="Q940" s="9"/>
      <c r="R940" s="9"/>
      <c r="S940" s="9"/>
      <c r="T940" s="9"/>
      <c r="U940" s="9"/>
      <c r="V940" s="9"/>
      <c r="W940" s="9"/>
      <c r="X940" s="589"/>
      <c r="Y940" s="9"/>
      <c r="Z940" s="204"/>
      <c r="AA940" s="9"/>
      <c r="AB940" s="9"/>
      <c r="AC940" s="9"/>
      <c r="AD940" s="9"/>
    </row>
    <row r="941" ht="15.75" customHeight="1">
      <c r="A941" s="9"/>
      <c r="B941" s="9"/>
      <c r="C941" s="9"/>
      <c r="D941" s="9"/>
      <c r="E941" s="9"/>
      <c r="F941" s="9"/>
      <c r="G941" s="9"/>
      <c r="H941" s="9"/>
      <c r="I941" s="9"/>
      <c r="J941" s="9"/>
      <c r="K941" s="9"/>
      <c r="L941" s="556"/>
      <c r="M941" s="9"/>
      <c r="N941" s="9"/>
      <c r="O941" s="9"/>
      <c r="P941" s="9"/>
      <c r="Q941" s="9"/>
      <c r="R941" s="9"/>
      <c r="S941" s="9"/>
      <c r="T941" s="9"/>
      <c r="U941" s="9"/>
      <c r="V941" s="9"/>
      <c r="W941" s="9"/>
      <c r="X941" s="589"/>
      <c r="Y941" s="9"/>
      <c r="Z941" s="204"/>
      <c r="AA941" s="9"/>
      <c r="AB941" s="9"/>
      <c r="AC941" s="9"/>
      <c r="AD941" s="9"/>
    </row>
    <row r="942" ht="15.75" customHeight="1">
      <c r="A942" s="9"/>
      <c r="B942" s="9"/>
      <c r="C942" s="9"/>
      <c r="D942" s="9"/>
      <c r="E942" s="9"/>
      <c r="F942" s="9"/>
      <c r="G942" s="9"/>
      <c r="H942" s="9"/>
      <c r="I942" s="9"/>
      <c r="J942" s="9"/>
      <c r="K942" s="9"/>
      <c r="L942" s="556"/>
      <c r="M942" s="9"/>
      <c r="N942" s="9"/>
      <c r="O942" s="9"/>
      <c r="P942" s="9"/>
      <c r="Q942" s="9"/>
      <c r="R942" s="9"/>
      <c r="S942" s="9"/>
      <c r="T942" s="9"/>
      <c r="U942" s="9"/>
      <c r="V942" s="9"/>
      <c r="W942" s="9"/>
      <c r="X942" s="589"/>
      <c r="Y942" s="9"/>
      <c r="Z942" s="204"/>
      <c r="AA942" s="9"/>
      <c r="AB942" s="9"/>
      <c r="AC942" s="9"/>
      <c r="AD942" s="9"/>
    </row>
    <row r="943" ht="15.75" customHeight="1">
      <c r="A943" s="9"/>
      <c r="B943" s="9"/>
      <c r="C943" s="9"/>
      <c r="D943" s="9"/>
      <c r="E943" s="9"/>
      <c r="F943" s="9"/>
      <c r="G943" s="9"/>
      <c r="H943" s="9"/>
      <c r="I943" s="9"/>
      <c r="J943" s="9"/>
      <c r="K943" s="9"/>
      <c r="L943" s="556"/>
      <c r="M943" s="9"/>
      <c r="N943" s="9"/>
      <c r="O943" s="9"/>
      <c r="P943" s="9"/>
      <c r="Q943" s="9"/>
      <c r="R943" s="9"/>
      <c r="S943" s="9"/>
      <c r="T943" s="9"/>
      <c r="U943" s="9"/>
      <c r="V943" s="9"/>
      <c r="W943" s="9"/>
      <c r="X943" s="589"/>
      <c r="Y943" s="9"/>
      <c r="Z943" s="204"/>
      <c r="AA943" s="9"/>
      <c r="AB943" s="9"/>
      <c r="AC943" s="9"/>
      <c r="AD943" s="9"/>
    </row>
    <row r="944" ht="15.75" customHeight="1">
      <c r="A944" s="9"/>
      <c r="B944" s="9"/>
      <c r="C944" s="9"/>
      <c r="D944" s="9"/>
      <c r="E944" s="9"/>
      <c r="F944" s="9"/>
      <c r="G944" s="9"/>
      <c r="H944" s="9"/>
      <c r="I944" s="9"/>
      <c r="J944" s="9"/>
      <c r="K944" s="9"/>
      <c r="L944" s="556"/>
      <c r="M944" s="9"/>
      <c r="N944" s="9"/>
      <c r="O944" s="9"/>
      <c r="P944" s="9"/>
      <c r="Q944" s="9"/>
      <c r="R944" s="9"/>
      <c r="S944" s="9"/>
      <c r="T944" s="9"/>
      <c r="U944" s="9"/>
      <c r="V944" s="9"/>
      <c r="W944" s="9"/>
      <c r="X944" s="589"/>
      <c r="Y944" s="9"/>
      <c r="Z944" s="204"/>
      <c r="AA944" s="9"/>
      <c r="AB944" s="9"/>
      <c r="AC944" s="9"/>
      <c r="AD944" s="9"/>
    </row>
    <row r="945" ht="15.75" customHeight="1">
      <c r="A945" s="9"/>
      <c r="B945" s="9"/>
      <c r="C945" s="9"/>
      <c r="D945" s="9"/>
      <c r="E945" s="9"/>
      <c r="F945" s="9"/>
      <c r="G945" s="9"/>
      <c r="H945" s="9"/>
      <c r="I945" s="9"/>
      <c r="J945" s="9"/>
      <c r="K945" s="9"/>
      <c r="L945" s="556"/>
      <c r="M945" s="9"/>
      <c r="N945" s="9"/>
      <c r="O945" s="9"/>
      <c r="P945" s="9"/>
      <c r="Q945" s="9"/>
      <c r="R945" s="9"/>
      <c r="S945" s="9"/>
      <c r="T945" s="9"/>
      <c r="U945" s="9"/>
      <c r="V945" s="9"/>
      <c r="W945" s="9"/>
      <c r="X945" s="589"/>
      <c r="Y945" s="9"/>
      <c r="Z945" s="204"/>
      <c r="AA945" s="9"/>
      <c r="AB945" s="9"/>
      <c r="AC945" s="9"/>
      <c r="AD945" s="9"/>
    </row>
    <row r="946" ht="15.75" customHeight="1">
      <c r="A946" s="9"/>
      <c r="B946" s="9"/>
      <c r="C946" s="9"/>
      <c r="D946" s="9"/>
      <c r="E946" s="9"/>
      <c r="F946" s="9"/>
      <c r="G946" s="9"/>
      <c r="H946" s="9"/>
      <c r="I946" s="9"/>
      <c r="J946" s="9"/>
      <c r="K946" s="9"/>
      <c r="L946" s="556"/>
      <c r="M946" s="9"/>
      <c r="N946" s="9"/>
      <c r="O946" s="9"/>
      <c r="P946" s="9"/>
      <c r="Q946" s="9"/>
      <c r="R946" s="9"/>
      <c r="S946" s="9"/>
      <c r="T946" s="9"/>
      <c r="U946" s="9"/>
      <c r="V946" s="9"/>
      <c r="W946" s="9"/>
      <c r="X946" s="589"/>
      <c r="Y946" s="9"/>
      <c r="Z946" s="204"/>
      <c r="AA946" s="9"/>
      <c r="AB946" s="9"/>
      <c r="AC946" s="9"/>
      <c r="AD946" s="9"/>
    </row>
    <row r="947" ht="15.75" customHeight="1">
      <c r="A947" s="9"/>
      <c r="B947" s="9"/>
      <c r="C947" s="9"/>
      <c r="D947" s="9"/>
      <c r="E947" s="9"/>
      <c r="F947" s="9"/>
      <c r="G947" s="9"/>
      <c r="H947" s="9"/>
      <c r="I947" s="9"/>
      <c r="J947" s="9"/>
      <c r="K947" s="9"/>
      <c r="L947" s="556"/>
      <c r="M947" s="9"/>
      <c r="N947" s="9"/>
      <c r="O947" s="9"/>
      <c r="P947" s="9"/>
      <c r="Q947" s="9"/>
      <c r="R947" s="9"/>
      <c r="S947" s="9"/>
      <c r="T947" s="9"/>
      <c r="U947" s="9"/>
      <c r="V947" s="9"/>
      <c r="W947" s="9"/>
      <c r="X947" s="589"/>
      <c r="Y947" s="9"/>
      <c r="Z947" s="204"/>
      <c r="AA947" s="9"/>
      <c r="AB947" s="9"/>
      <c r="AC947" s="9"/>
      <c r="AD947" s="9"/>
    </row>
    <row r="948" ht="15.75" customHeight="1">
      <c r="A948" s="9"/>
      <c r="B948" s="9"/>
      <c r="C948" s="9"/>
      <c r="D948" s="9"/>
      <c r="E948" s="9"/>
      <c r="F948" s="9"/>
      <c r="G948" s="9"/>
      <c r="H948" s="9"/>
      <c r="I948" s="9"/>
      <c r="J948" s="9"/>
      <c r="K948" s="9"/>
      <c r="L948" s="556"/>
      <c r="M948" s="9"/>
      <c r="N948" s="9"/>
      <c r="O948" s="9"/>
      <c r="P948" s="9"/>
      <c r="Q948" s="9"/>
      <c r="R948" s="9"/>
      <c r="S948" s="9"/>
      <c r="T948" s="9"/>
      <c r="U948" s="9"/>
      <c r="V948" s="9"/>
      <c r="W948" s="9"/>
      <c r="X948" s="589"/>
      <c r="Y948" s="9"/>
      <c r="Z948" s="204"/>
      <c r="AA948" s="9"/>
      <c r="AB948" s="9"/>
      <c r="AC948" s="9"/>
      <c r="AD948" s="9"/>
    </row>
    <row r="949" ht="15.75" customHeight="1">
      <c r="A949" s="9"/>
      <c r="B949" s="9"/>
      <c r="C949" s="9"/>
      <c r="D949" s="9"/>
      <c r="E949" s="9"/>
      <c r="F949" s="9"/>
      <c r="G949" s="9"/>
      <c r="H949" s="9"/>
      <c r="I949" s="9"/>
      <c r="J949" s="9"/>
      <c r="K949" s="9"/>
      <c r="L949" s="556"/>
      <c r="M949" s="9"/>
      <c r="N949" s="9"/>
      <c r="O949" s="9"/>
      <c r="P949" s="9"/>
      <c r="Q949" s="9"/>
      <c r="R949" s="9"/>
      <c r="S949" s="9"/>
      <c r="T949" s="9"/>
      <c r="U949" s="9"/>
      <c r="V949" s="9"/>
      <c r="W949" s="9"/>
      <c r="X949" s="589"/>
      <c r="Y949" s="9"/>
      <c r="Z949" s="204"/>
      <c r="AA949" s="9"/>
      <c r="AB949" s="9"/>
      <c r="AC949" s="9"/>
      <c r="AD949" s="9"/>
    </row>
    <row r="950" ht="15.75" customHeight="1">
      <c r="A950" s="9"/>
      <c r="B950" s="9"/>
      <c r="C950" s="9"/>
      <c r="D950" s="9"/>
      <c r="E950" s="9"/>
      <c r="F950" s="9"/>
      <c r="G950" s="9"/>
      <c r="H950" s="9"/>
      <c r="I950" s="9"/>
      <c r="J950" s="9"/>
      <c r="K950" s="9"/>
      <c r="L950" s="556"/>
      <c r="M950" s="9"/>
      <c r="N950" s="9"/>
      <c r="O950" s="9"/>
      <c r="P950" s="9"/>
      <c r="Q950" s="9"/>
      <c r="R950" s="9"/>
      <c r="S950" s="9"/>
      <c r="T950" s="9"/>
      <c r="U950" s="9"/>
      <c r="V950" s="9"/>
      <c r="W950" s="9"/>
      <c r="X950" s="589"/>
      <c r="Y950" s="9"/>
      <c r="Z950" s="204"/>
      <c r="AA950" s="9"/>
      <c r="AB950" s="9"/>
      <c r="AC950" s="9"/>
      <c r="AD950" s="9"/>
    </row>
    <row r="951" ht="15.75" customHeight="1">
      <c r="A951" s="9"/>
      <c r="B951" s="9"/>
      <c r="C951" s="9"/>
      <c r="D951" s="9"/>
      <c r="E951" s="9"/>
      <c r="F951" s="9"/>
      <c r="G951" s="9"/>
      <c r="H951" s="9"/>
      <c r="I951" s="9"/>
      <c r="J951" s="9"/>
      <c r="K951" s="9"/>
      <c r="L951" s="556"/>
      <c r="M951" s="9"/>
      <c r="N951" s="9"/>
      <c r="O951" s="9"/>
      <c r="P951" s="9"/>
      <c r="Q951" s="9"/>
      <c r="R951" s="9"/>
      <c r="S951" s="9"/>
      <c r="T951" s="9"/>
      <c r="U951" s="9"/>
      <c r="V951" s="9"/>
      <c r="W951" s="9"/>
      <c r="X951" s="589"/>
      <c r="Y951" s="9"/>
      <c r="Z951" s="204"/>
      <c r="AA951" s="9"/>
      <c r="AB951" s="9"/>
      <c r="AC951" s="9"/>
      <c r="AD951" s="9"/>
    </row>
    <row r="952" ht="15.75" customHeight="1">
      <c r="A952" s="9"/>
      <c r="B952" s="9"/>
      <c r="C952" s="9"/>
      <c r="D952" s="9"/>
      <c r="E952" s="9"/>
      <c r="F952" s="9"/>
      <c r="G952" s="9"/>
      <c r="H952" s="9"/>
      <c r="I952" s="9"/>
      <c r="J952" s="9"/>
      <c r="K952" s="9"/>
      <c r="L952" s="556"/>
      <c r="M952" s="9"/>
      <c r="N952" s="9"/>
      <c r="O952" s="9"/>
      <c r="P952" s="9"/>
      <c r="Q952" s="9"/>
      <c r="R952" s="9"/>
      <c r="S952" s="9"/>
      <c r="T952" s="9"/>
      <c r="U952" s="9"/>
      <c r="V952" s="9"/>
      <c r="W952" s="9"/>
      <c r="X952" s="589"/>
      <c r="Y952" s="9"/>
      <c r="Z952" s="204"/>
      <c r="AA952" s="9"/>
      <c r="AB952" s="9"/>
      <c r="AC952" s="9"/>
      <c r="AD952" s="9"/>
    </row>
    <row r="953" ht="15.75" customHeight="1">
      <c r="A953" s="9"/>
      <c r="B953" s="9"/>
      <c r="C953" s="9"/>
      <c r="D953" s="9"/>
      <c r="E953" s="9"/>
      <c r="F953" s="9"/>
      <c r="G953" s="9"/>
      <c r="H953" s="9"/>
      <c r="I953" s="9"/>
      <c r="J953" s="9"/>
      <c r="K953" s="9"/>
      <c r="L953" s="556"/>
      <c r="M953" s="9"/>
      <c r="N953" s="9"/>
      <c r="O953" s="9"/>
      <c r="P953" s="9"/>
      <c r="Q953" s="9"/>
      <c r="R953" s="9"/>
      <c r="S953" s="9"/>
      <c r="T953" s="9"/>
      <c r="U953" s="9"/>
      <c r="V953" s="9"/>
      <c r="W953" s="9"/>
      <c r="X953" s="589"/>
      <c r="Y953" s="9"/>
      <c r="Z953" s="204"/>
      <c r="AA953" s="9"/>
      <c r="AB953" s="9"/>
      <c r="AC953" s="9"/>
      <c r="AD953" s="9"/>
    </row>
    <row r="954" ht="15.75" customHeight="1">
      <c r="A954" s="9"/>
      <c r="B954" s="9"/>
      <c r="C954" s="9"/>
      <c r="D954" s="9"/>
      <c r="E954" s="9"/>
      <c r="F954" s="9"/>
      <c r="G954" s="9"/>
      <c r="H954" s="9"/>
      <c r="I954" s="9"/>
      <c r="J954" s="9"/>
      <c r="K954" s="9"/>
      <c r="L954" s="556"/>
      <c r="M954" s="9"/>
      <c r="N954" s="9"/>
      <c r="O954" s="9"/>
      <c r="P954" s="9"/>
      <c r="Q954" s="9"/>
      <c r="R954" s="9"/>
      <c r="S954" s="9"/>
      <c r="T954" s="9"/>
      <c r="U954" s="9"/>
      <c r="V954" s="9"/>
      <c r="W954" s="9"/>
      <c r="X954" s="589"/>
      <c r="Y954" s="9"/>
      <c r="Z954" s="204"/>
      <c r="AA954" s="9"/>
      <c r="AB954" s="9"/>
      <c r="AC954" s="9"/>
      <c r="AD954" s="9"/>
    </row>
    <row r="955" ht="15.75" customHeight="1">
      <c r="A955" s="9"/>
      <c r="B955" s="9"/>
      <c r="C955" s="9"/>
      <c r="D955" s="9"/>
      <c r="E955" s="9"/>
      <c r="F955" s="9"/>
      <c r="G955" s="9"/>
      <c r="H955" s="9"/>
      <c r="I955" s="9"/>
      <c r="J955" s="9"/>
      <c r="K955" s="9"/>
      <c r="L955" s="556"/>
      <c r="M955" s="9"/>
      <c r="N955" s="9"/>
      <c r="O955" s="9"/>
      <c r="P955" s="9"/>
      <c r="Q955" s="9"/>
      <c r="R955" s="9"/>
      <c r="S955" s="9"/>
      <c r="T955" s="9"/>
      <c r="U955" s="9"/>
      <c r="V955" s="9"/>
      <c r="W955" s="9"/>
      <c r="X955" s="589"/>
      <c r="Y955" s="9"/>
      <c r="Z955" s="204"/>
      <c r="AA955" s="9"/>
      <c r="AB955" s="9"/>
      <c r="AC955" s="9"/>
      <c r="AD955" s="9"/>
    </row>
    <row r="956" ht="15.75" customHeight="1">
      <c r="A956" s="9"/>
      <c r="B956" s="9"/>
      <c r="C956" s="9"/>
      <c r="D956" s="9"/>
      <c r="E956" s="9"/>
      <c r="F956" s="9"/>
      <c r="G956" s="9"/>
      <c r="H956" s="9"/>
      <c r="I956" s="9"/>
      <c r="J956" s="9"/>
      <c r="K956" s="9"/>
      <c r="L956" s="556"/>
      <c r="M956" s="9"/>
      <c r="N956" s="9"/>
      <c r="O956" s="9"/>
      <c r="P956" s="9"/>
      <c r="Q956" s="9"/>
      <c r="R956" s="9"/>
      <c r="S956" s="9"/>
      <c r="T956" s="9"/>
      <c r="U956" s="9"/>
      <c r="V956" s="9"/>
      <c r="W956" s="9"/>
      <c r="X956" s="589"/>
      <c r="Y956" s="9"/>
      <c r="Z956" s="204"/>
      <c r="AA956" s="9"/>
      <c r="AB956" s="9"/>
      <c r="AC956" s="9"/>
      <c r="AD956" s="9"/>
    </row>
    <row r="957" ht="15.75" customHeight="1">
      <c r="A957" s="9"/>
      <c r="B957" s="9"/>
      <c r="C957" s="9"/>
      <c r="D957" s="9"/>
      <c r="E957" s="9"/>
      <c r="F957" s="9"/>
      <c r="G957" s="9"/>
      <c r="H957" s="9"/>
      <c r="I957" s="9"/>
      <c r="J957" s="9"/>
      <c r="K957" s="9"/>
      <c r="L957" s="556"/>
      <c r="M957" s="9"/>
      <c r="N957" s="9"/>
      <c r="O957" s="9"/>
      <c r="P957" s="9"/>
      <c r="Q957" s="9"/>
      <c r="R957" s="9"/>
      <c r="S957" s="9"/>
      <c r="T957" s="9"/>
      <c r="U957" s="9"/>
      <c r="V957" s="9"/>
      <c r="W957" s="9"/>
      <c r="X957" s="589"/>
      <c r="Y957" s="9"/>
      <c r="Z957" s="204"/>
      <c r="AA957" s="9"/>
      <c r="AB957" s="9"/>
      <c r="AC957" s="9"/>
      <c r="AD957" s="9"/>
    </row>
    <row r="958" ht="15.75" customHeight="1">
      <c r="A958" s="9"/>
      <c r="B958" s="9"/>
      <c r="C958" s="9"/>
      <c r="D958" s="9"/>
      <c r="E958" s="9"/>
      <c r="F958" s="9"/>
      <c r="G958" s="9"/>
      <c r="H958" s="9"/>
      <c r="I958" s="9"/>
      <c r="J958" s="9"/>
      <c r="K958" s="9"/>
      <c r="L958" s="556"/>
      <c r="M958" s="9"/>
      <c r="N958" s="9"/>
      <c r="O958" s="9"/>
      <c r="P958" s="9"/>
      <c r="Q958" s="9"/>
      <c r="R958" s="9"/>
      <c r="S958" s="9"/>
      <c r="T958" s="9"/>
      <c r="U958" s="9"/>
      <c r="V958" s="9"/>
      <c r="W958" s="9"/>
      <c r="X958" s="589"/>
      <c r="Y958" s="9"/>
      <c r="Z958" s="204"/>
      <c r="AA958" s="9"/>
      <c r="AB958" s="9"/>
      <c r="AC958" s="9"/>
      <c r="AD958" s="9"/>
    </row>
    <row r="959" ht="15.75" customHeight="1">
      <c r="A959" s="9"/>
      <c r="B959" s="9"/>
      <c r="C959" s="9"/>
      <c r="D959" s="9"/>
      <c r="E959" s="9"/>
      <c r="F959" s="9"/>
      <c r="G959" s="9"/>
      <c r="H959" s="9"/>
      <c r="I959" s="9"/>
      <c r="J959" s="9"/>
      <c r="K959" s="9"/>
      <c r="L959" s="556"/>
      <c r="M959" s="9"/>
      <c r="N959" s="9"/>
      <c r="O959" s="9"/>
      <c r="P959" s="9"/>
      <c r="Q959" s="9"/>
      <c r="R959" s="9"/>
      <c r="S959" s="9"/>
      <c r="T959" s="9"/>
      <c r="U959" s="9"/>
      <c r="V959" s="9"/>
      <c r="W959" s="9"/>
      <c r="X959" s="589"/>
      <c r="Y959" s="9"/>
      <c r="Z959" s="204"/>
      <c r="AA959" s="9"/>
      <c r="AB959" s="9"/>
      <c r="AC959" s="9"/>
      <c r="AD959" s="9"/>
    </row>
    <row r="960" ht="15.75" customHeight="1">
      <c r="A960" s="9"/>
      <c r="B960" s="9"/>
      <c r="C960" s="9"/>
      <c r="D960" s="9"/>
      <c r="E960" s="9"/>
      <c r="F960" s="9"/>
      <c r="G960" s="9"/>
      <c r="H960" s="9"/>
      <c r="I960" s="9"/>
      <c r="J960" s="9"/>
      <c r="K960" s="9"/>
      <c r="L960" s="556"/>
      <c r="M960" s="9"/>
      <c r="N960" s="9"/>
      <c r="O960" s="9"/>
      <c r="P960" s="9"/>
      <c r="Q960" s="9"/>
      <c r="R960" s="9"/>
      <c r="S960" s="9"/>
      <c r="T960" s="9"/>
      <c r="U960" s="9"/>
      <c r="V960" s="9"/>
      <c r="W960" s="9"/>
      <c r="X960" s="589"/>
      <c r="Y960" s="9"/>
      <c r="Z960" s="204"/>
      <c r="AA960" s="9"/>
      <c r="AB960" s="9"/>
      <c r="AC960" s="9"/>
      <c r="AD960" s="9"/>
    </row>
    <row r="961" ht="15.75" customHeight="1">
      <c r="A961" s="9"/>
      <c r="B961" s="9"/>
      <c r="C961" s="9"/>
      <c r="D961" s="9"/>
      <c r="E961" s="9"/>
      <c r="F961" s="9"/>
      <c r="G961" s="9"/>
      <c r="H961" s="9"/>
      <c r="I961" s="9"/>
      <c r="J961" s="9"/>
      <c r="K961" s="9"/>
      <c r="L961" s="556"/>
      <c r="M961" s="9"/>
      <c r="N961" s="9"/>
      <c r="O961" s="9"/>
      <c r="P961" s="9"/>
      <c r="Q961" s="9"/>
      <c r="R961" s="9"/>
      <c r="S961" s="9"/>
      <c r="T961" s="9"/>
      <c r="U961" s="9"/>
      <c r="V961" s="9"/>
      <c r="W961" s="9"/>
      <c r="X961" s="589"/>
      <c r="Y961" s="9"/>
      <c r="Z961" s="204"/>
      <c r="AA961" s="9"/>
      <c r="AB961" s="9"/>
      <c r="AC961" s="9"/>
      <c r="AD961" s="9"/>
    </row>
    <row r="962" ht="15.75" customHeight="1">
      <c r="A962" s="9"/>
      <c r="B962" s="9"/>
      <c r="C962" s="9"/>
      <c r="D962" s="9"/>
      <c r="E962" s="9"/>
      <c r="F962" s="9"/>
      <c r="G962" s="9"/>
      <c r="H962" s="9"/>
      <c r="I962" s="9"/>
      <c r="J962" s="9"/>
      <c r="K962" s="9"/>
      <c r="L962" s="556"/>
      <c r="M962" s="9"/>
      <c r="N962" s="9"/>
      <c r="O962" s="9"/>
      <c r="P962" s="9"/>
      <c r="Q962" s="9"/>
      <c r="R962" s="9"/>
      <c r="S962" s="9"/>
      <c r="T962" s="9"/>
      <c r="U962" s="9"/>
      <c r="V962" s="9"/>
      <c r="W962" s="9"/>
      <c r="X962" s="589"/>
      <c r="Y962" s="9"/>
      <c r="Z962" s="204"/>
      <c r="AA962" s="9"/>
      <c r="AB962" s="9"/>
      <c r="AC962" s="9"/>
      <c r="AD962" s="9"/>
    </row>
    <row r="963" ht="15.75" customHeight="1">
      <c r="A963" s="9"/>
      <c r="B963" s="9"/>
      <c r="C963" s="9"/>
      <c r="D963" s="9"/>
      <c r="E963" s="9"/>
      <c r="F963" s="9"/>
      <c r="G963" s="9"/>
      <c r="H963" s="9"/>
      <c r="I963" s="9"/>
      <c r="J963" s="9"/>
      <c r="K963" s="9"/>
      <c r="L963" s="556"/>
      <c r="M963" s="9"/>
      <c r="N963" s="9"/>
      <c r="O963" s="9"/>
      <c r="P963" s="9"/>
      <c r="Q963" s="9"/>
      <c r="R963" s="9"/>
      <c r="S963" s="9"/>
      <c r="T963" s="9"/>
      <c r="U963" s="9"/>
      <c r="V963" s="9"/>
      <c r="W963" s="9"/>
      <c r="X963" s="589"/>
      <c r="Y963" s="9"/>
      <c r="Z963" s="204"/>
      <c r="AA963" s="9"/>
      <c r="AB963" s="9"/>
      <c r="AC963" s="9"/>
      <c r="AD963" s="9"/>
    </row>
    <row r="964" ht="15.75" customHeight="1">
      <c r="A964" s="9"/>
      <c r="B964" s="9"/>
      <c r="C964" s="9"/>
      <c r="D964" s="9"/>
      <c r="E964" s="9"/>
      <c r="F964" s="9"/>
      <c r="G964" s="9"/>
      <c r="H964" s="9"/>
      <c r="I964" s="9"/>
      <c r="J964" s="9"/>
      <c r="K964" s="9"/>
      <c r="L964" s="556"/>
      <c r="M964" s="9"/>
      <c r="N964" s="9"/>
      <c r="O964" s="9"/>
      <c r="P964" s="9"/>
      <c r="Q964" s="9"/>
      <c r="R964" s="9"/>
      <c r="S964" s="9"/>
      <c r="T964" s="9"/>
      <c r="U964" s="9"/>
      <c r="V964" s="9"/>
      <c r="W964" s="9"/>
      <c r="X964" s="589"/>
      <c r="Y964" s="9"/>
      <c r="Z964" s="204"/>
      <c r="AA964" s="9"/>
      <c r="AB964" s="9"/>
      <c r="AC964" s="9"/>
      <c r="AD964" s="9"/>
    </row>
    <row r="965" ht="15.75" customHeight="1">
      <c r="A965" s="9"/>
      <c r="B965" s="9"/>
      <c r="C965" s="9"/>
      <c r="D965" s="9"/>
      <c r="E965" s="9"/>
      <c r="F965" s="9"/>
      <c r="G965" s="9"/>
      <c r="H965" s="9"/>
      <c r="I965" s="9"/>
      <c r="J965" s="9"/>
      <c r="K965" s="9"/>
      <c r="L965" s="556"/>
      <c r="M965" s="9"/>
      <c r="N965" s="9"/>
      <c r="O965" s="9"/>
      <c r="P965" s="9"/>
      <c r="Q965" s="9"/>
      <c r="R965" s="9"/>
      <c r="S965" s="9"/>
      <c r="T965" s="9"/>
      <c r="U965" s="9"/>
      <c r="V965" s="9"/>
      <c r="W965" s="9"/>
      <c r="X965" s="589"/>
      <c r="Y965" s="9"/>
      <c r="Z965" s="204"/>
      <c r="AA965" s="9"/>
      <c r="AB965" s="9"/>
      <c r="AC965" s="9"/>
      <c r="AD965" s="9"/>
    </row>
    <row r="966" ht="15.75" customHeight="1">
      <c r="A966" s="9"/>
      <c r="B966" s="9"/>
      <c r="C966" s="9"/>
      <c r="D966" s="9"/>
      <c r="E966" s="9"/>
      <c r="F966" s="9"/>
      <c r="G966" s="9"/>
      <c r="H966" s="9"/>
      <c r="I966" s="9"/>
      <c r="J966" s="9"/>
      <c r="K966" s="9"/>
      <c r="L966" s="556"/>
      <c r="M966" s="9"/>
      <c r="N966" s="9"/>
      <c r="O966" s="9"/>
      <c r="P966" s="9"/>
      <c r="Q966" s="9"/>
      <c r="R966" s="9"/>
      <c r="S966" s="9"/>
      <c r="T966" s="9"/>
      <c r="U966" s="9"/>
      <c r="V966" s="9"/>
      <c r="W966" s="9"/>
      <c r="X966" s="589"/>
      <c r="Y966" s="9"/>
      <c r="Z966" s="204"/>
      <c r="AA966" s="9"/>
      <c r="AB966" s="9"/>
      <c r="AC966" s="9"/>
      <c r="AD966" s="9"/>
    </row>
    <row r="967" ht="15.75" customHeight="1">
      <c r="A967" s="9"/>
      <c r="B967" s="9"/>
      <c r="C967" s="9"/>
      <c r="D967" s="9"/>
      <c r="E967" s="9"/>
      <c r="F967" s="9"/>
      <c r="G967" s="9"/>
      <c r="H967" s="9"/>
      <c r="I967" s="9"/>
      <c r="J967" s="9"/>
      <c r="K967" s="9"/>
      <c r="L967" s="556"/>
      <c r="M967" s="9"/>
      <c r="N967" s="9"/>
      <c r="O967" s="9"/>
      <c r="P967" s="9"/>
      <c r="Q967" s="9"/>
      <c r="R967" s="9"/>
      <c r="S967" s="9"/>
      <c r="T967" s="9"/>
      <c r="U967" s="9"/>
      <c r="V967" s="9"/>
      <c r="W967" s="9"/>
      <c r="X967" s="589"/>
      <c r="Y967" s="9"/>
      <c r="Z967" s="204"/>
      <c r="AA967" s="9"/>
      <c r="AB967" s="9"/>
      <c r="AC967" s="9"/>
      <c r="AD967" s="9"/>
    </row>
    <row r="968" ht="15.75" customHeight="1">
      <c r="A968" s="9"/>
      <c r="B968" s="9"/>
      <c r="C968" s="9"/>
      <c r="D968" s="9"/>
      <c r="E968" s="9"/>
      <c r="F968" s="9"/>
      <c r="G968" s="9"/>
      <c r="H968" s="9"/>
      <c r="I968" s="9"/>
      <c r="J968" s="9"/>
      <c r="K968" s="9"/>
      <c r="L968" s="556"/>
      <c r="M968" s="9"/>
      <c r="N968" s="9"/>
      <c r="O968" s="9"/>
      <c r="P968" s="9"/>
      <c r="Q968" s="9"/>
      <c r="R968" s="9"/>
      <c r="S968" s="9"/>
      <c r="T968" s="9"/>
      <c r="U968" s="9"/>
      <c r="V968" s="9"/>
      <c r="W968" s="9"/>
      <c r="X968" s="589"/>
      <c r="Y968" s="9"/>
      <c r="Z968" s="204"/>
      <c r="AA968" s="9"/>
      <c r="AB968" s="9"/>
      <c r="AC968" s="9"/>
      <c r="AD968" s="9"/>
    </row>
    <row r="969" ht="15.75" customHeight="1">
      <c r="A969" s="9"/>
      <c r="B969" s="9"/>
      <c r="C969" s="9"/>
      <c r="D969" s="9"/>
      <c r="E969" s="9"/>
      <c r="F969" s="9"/>
      <c r="G969" s="9"/>
      <c r="H969" s="9"/>
      <c r="I969" s="9"/>
      <c r="J969" s="9"/>
      <c r="K969" s="9"/>
      <c r="L969" s="556"/>
      <c r="M969" s="9"/>
      <c r="N969" s="9"/>
      <c r="O969" s="9"/>
      <c r="P969" s="9"/>
      <c r="Q969" s="9"/>
      <c r="R969" s="9"/>
      <c r="S969" s="9"/>
      <c r="T969" s="9"/>
      <c r="U969" s="9"/>
      <c r="V969" s="9"/>
      <c r="W969" s="9"/>
      <c r="X969" s="589"/>
      <c r="Y969" s="9"/>
      <c r="Z969" s="204"/>
      <c r="AA969" s="9"/>
      <c r="AB969" s="9"/>
      <c r="AC969" s="9"/>
      <c r="AD969" s="9"/>
    </row>
    <row r="970" ht="15.75" customHeight="1">
      <c r="A970" s="9"/>
      <c r="B970" s="9"/>
      <c r="C970" s="9"/>
      <c r="D970" s="9"/>
      <c r="E970" s="9"/>
      <c r="F970" s="9"/>
      <c r="G970" s="9"/>
      <c r="H970" s="9"/>
      <c r="I970" s="9"/>
      <c r="J970" s="9"/>
      <c r="K970" s="9"/>
      <c r="L970" s="556"/>
      <c r="M970" s="9"/>
      <c r="N970" s="9"/>
      <c r="O970" s="9"/>
      <c r="P970" s="9"/>
      <c r="Q970" s="9"/>
      <c r="R970" s="9"/>
      <c r="S970" s="9"/>
      <c r="T970" s="9"/>
      <c r="U970" s="9"/>
      <c r="V970" s="9"/>
      <c r="W970" s="9"/>
      <c r="X970" s="589"/>
      <c r="Y970" s="9"/>
      <c r="Z970" s="204"/>
      <c r="AA970" s="9"/>
      <c r="AB970" s="9"/>
      <c r="AC970" s="9"/>
      <c r="AD970" s="9"/>
    </row>
    <row r="971" ht="15.75" customHeight="1">
      <c r="A971" s="9"/>
      <c r="B971" s="9"/>
      <c r="C971" s="9"/>
      <c r="D971" s="9"/>
      <c r="E971" s="9"/>
      <c r="F971" s="9"/>
      <c r="G971" s="9"/>
      <c r="H971" s="9"/>
      <c r="I971" s="9"/>
      <c r="J971" s="9"/>
      <c r="K971" s="9"/>
      <c r="L971" s="556"/>
      <c r="M971" s="9"/>
      <c r="N971" s="9"/>
      <c r="O971" s="9"/>
      <c r="P971" s="9"/>
      <c r="Q971" s="9"/>
      <c r="R971" s="9"/>
      <c r="S971" s="9"/>
      <c r="T971" s="9"/>
      <c r="U971" s="9"/>
      <c r="V971" s="9"/>
      <c r="W971" s="9"/>
      <c r="X971" s="589"/>
      <c r="Y971" s="9"/>
      <c r="Z971" s="204"/>
      <c r="AA971" s="9"/>
      <c r="AB971" s="9"/>
      <c r="AC971" s="9"/>
      <c r="AD971" s="9"/>
    </row>
    <row r="972" ht="15.75" customHeight="1">
      <c r="A972" s="9"/>
      <c r="B972" s="9"/>
      <c r="C972" s="9"/>
      <c r="D972" s="9"/>
      <c r="E972" s="9"/>
      <c r="F972" s="9"/>
      <c r="G972" s="9"/>
      <c r="H972" s="9"/>
      <c r="I972" s="9"/>
      <c r="J972" s="9"/>
      <c r="K972" s="9"/>
      <c r="L972" s="556"/>
      <c r="M972" s="9"/>
      <c r="N972" s="9"/>
      <c r="O972" s="9"/>
      <c r="P972" s="9"/>
      <c r="Q972" s="9"/>
      <c r="R972" s="9"/>
      <c r="S972" s="9"/>
      <c r="T972" s="9"/>
      <c r="U972" s="9"/>
      <c r="V972" s="9"/>
      <c r="W972" s="9"/>
      <c r="X972" s="589"/>
      <c r="Y972" s="9"/>
      <c r="Z972" s="204"/>
      <c r="AA972" s="9"/>
      <c r="AB972" s="9"/>
      <c r="AC972" s="9"/>
      <c r="AD972" s="9"/>
    </row>
    <row r="973" ht="15.75" customHeight="1">
      <c r="A973" s="9"/>
      <c r="B973" s="9"/>
      <c r="C973" s="9"/>
      <c r="D973" s="9"/>
      <c r="E973" s="9"/>
      <c r="F973" s="9"/>
      <c r="G973" s="9"/>
      <c r="H973" s="9"/>
      <c r="I973" s="9"/>
      <c r="J973" s="9"/>
      <c r="K973" s="9"/>
      <c r="L973" s="556"/>
      <c r="M973" s="9"/>
      <c r="N973" s="9"/>
      <c r="O973" s="9"/>
      <c r="P973" s="9"/>
      <c r="Q973" s="9"/>
      <c r="R973" s="9"/>
      <c r="S973" s="9"/>
      <c r="T973" s="9"/>
      <c r="U973" s="9"/>
      <c r="V973" s="9"/>
      <c r="W973" s="9"/>
      <c r="X973" s="589"/>
      <c r="Y973" s="9"/>
      <c r="Z973" s="204"/>
      <c r="AA973" s="9"/>
      <c r="AB973" s="9"/>
      <c r="AC973" s="9"/>
      <c r="AD973" s="9"/>
    </row>
    <row r="974" ht="15.75" customHeight="1">
      <c r="A974" s="9"/>
      <c r="B974" s="9"/>
      <c r="C974" s="9"/>
      <c r="D974" s="9"/>
      <c r="E974" s="9"/>
      <c r="F974" s="9"/>
      <c r="G974" s="9"/>
      <c r="H974" s="9"/>
      <c r="I974" s="9"/>
      <c r="J974" s="9"/>
      <c r="K974" s="9"/>
      <c r="L974" s="556"/>
      <c r="M974" s="9"/>
      <c r="N974" s="9"/>
      <c r="O974" s="9"/>
      <c r="P974" s="9"/>
      <c r="Q974" s="9"/>
      <c r="R974" s="9"/>
      <c r="S974" s="9"/>
      <c r="T974" s="9"/>
      <c r="U974" s="9"/>
      <c r="V974" s="9"/>
      <c r="W974" s="9"/>
      <c r="X974" s="589"/>
      <c r="Y974" s="9"/>
      <c r="Z974" s="204"/>
      <c r="AA974" s="9"/>
      <c r="AB974" s="9"/>
      <c r="AC974" s="9"/>
      <c r="AD974" s="9"/>
    </row>
    <row r="975" ht="15.75" customHeight="1">
      <c r="A975" s="9"/>
      <c r="B975" s="9"/>
      <c r="C975" s="9"/>
      <c r="D975" s="9"/>
      <c r="E975" s="9"/>
      <c r="F975" s="9"/>
      <c r="G975" s="9"/>
      <c r="H975" s="9"/>
      <c r="I975" s="9"/>
      <c r="J975" s="9"/>
      <c r="K975" s="9"/>
      <c r="L975" s="556"/>
      <c r="M975" s="9"/>
      <c r="N975" s="9"/>
      <c r="O975" s="9"/>
      <c r="P975" s="9"/>
      <c r="Q975" s="9"/>
      <c r="R975" s="9"/>
      <c r="S975" s="9"/>
      <c r="T975" s="9"/>
      <c r="U975" s="9"/>
      <c r="V975" s="9"/>
      <c r="W975" s="9"/>
      <c r="X975" s="589"/>
      <c r="Y975" s="9"/>
      <c r="Z975" s="204"/>
      <c r="AA975" s="9"/>
      <c r="AB975" s="9"/>
      <c r="AC975" s="9"/>
      <c r="AD975" s="9"/>
    </row>
    <row r="976" ht="15.75" customHeight="1">
      <c r="A976" s="9"/>
      <c r="B976" s="9"/>
      <c r="C976" s="9"/>
      <c r="D976" s="9"/>
      <c r="E976" s="9"/>
      <c r="F976" s="9"/>
      <c r="G976" s="9"/>
      <c r="H976" s="9"/>
      <c r="I976" s="9"/>
      <c r="J976" s="9"/>
      <c r="K976" s="9"/>
      <c r="L976" s="556"/>
      <c r="M976" s="9"/>
      <c r="N976" s="9"/>
      <c r="O976" s="9"/>
      <c r="P976" s="9"/>
      <c r="Q976" s="9"/>
      <c r="R976" s="9"/>
      <c r="S976" s="9"/>
      <c r="T976" s="9"/>
      <c r="U976" s="9"/>
      <c r="V976" s="9"/>
      <c r="W976" s="9"/>
      <c r="X976" s="589"/>
      <c r="Y976" s="9"/>
      <c r="Z976" s="204"/>
      <c r="AA976" s="9"/>
      <c r="AB976" s="9"/>
      <c r="AC976" s="9"/>
      <c r="AD976" s="9"/>
    </row>
    <row r="977" ht="15.75" customHeight="1">
      <c r="A977" s="9"/>
      <c r="B977" s="9"/>
      <c r="C977" s="9"/>
      <c r="D977" s="9"/>
      <c r="E977" s="9"/>
      <c r="F977" s="9"/>
      <c r="G977" s="9"/>
      <c r="H977" s="9"/>
      <c r="I977" s="9"/>
      <c r="J977" s="9"/>
      <c r="K977" s="9"/>
      <c r="L977" s="556"/>
      <c r="M977" s="9"/>
      <c r="N977" s="9"/>
      <c r="O977" s="9"/>
      <c r="P977" s="9"/>
      <c r="Q977" s="9"/>
      <c r="R977" s="9"/>
      <c r="S977" s="9"/>
      <c r="T977" s="9"/>
      <c r="U977" s="9"/>
      <c r="V977" s="9"/>
      <c r="W977" s="9"/>
      <c r="X977" s="589"/>
      <c r="Y977" s="9"/>
      <c r="Z977" s="204"/>
      <c r="AA977" s="9"/>
      <c r="AB977" s="9"/>
      <c r="AC977" s="9"/>
      <c r="AD977" s="9"/>
    </row>
    <row r="978" ht="15.75" customHeight="1">
      <c r="A978" s="9"/>
      <c r="B978" s="9"/>
      <c r="C978" s="9"/>
      <c r="D978" s="9"/>
      <c r="E978" s="9"/>
      <c r="F978" s="9"/>
      <c r="G978" s="9"/>
      <c r="H978" s="9"/>
      <c r="I978" s="9"/>
      <c r="J978" s="9"/>
      <c r="K978" s="9"/>
      <c r="L978" s="556"/>
      <c r="M978" s="9"/>
      <c r="N978" s="9"/>
      <c r="O978" s="9"/>
      <c r="P978" s="9"/>
      <c r="Q978" s="9"/>
      <c r="R978" s="9"/>
      <c r="S978" s="9"/>
      <c r="T978" s="9"/>
      <c r="U978" s="9"/>
      <c r="V978" s="9"/>
      <c r="W978" s="9"/>
      <c r="X978" s="589"/>
      <c r="Y978" s="9"/>
      <c r="Z978" s="204"/>
      <c r="AA978" s="9"/>
      <c r="AB978" s="9"/>
      <c r="AC978" s="9"/>
      <c r="AD978" s="9"/>
    </row>
    <row r="979" ht="15.75" customHeight="1">
      <c r="A979" s="9"/>
      <c r="B979" s="9"/>
      <c r="C979" s="9"/>
      <c r="D979" s="9"/>
      <c r="E979" s="9"/>
      <c r="F979" s="9"/>
      <c r="G979" s="9"/>
      <c r="H979" s="9"/>
      <c r="I979" s="9"/>
      <c r="J979" s="9"/>
      <c r="K979" s="9"/>
      <c r="L979" s="556"/>
      <c r="M979" s="9"/>
      <c r="N979" s="9"/>
      <c r="O979" s="9"/>
      <c r="P979" s="9"/>
      <c r="Q979" s="9"/>
      <c r="R979" s="9"/>
      <c r="S979" s="9"/>
      <c r="T979" s="9"/>
      <c r="U979" s="9"/>
      <c r="V979" s="9"/>
      <c r="W979" s="9"/>
      <c r="X979" s="589"/>
      <c r="Y979" s="9"/>
      <c r="Z979" s="204"/>
      <c r="AA979" s="9"/>
      <c r="AB979" s="9"/>
      <c r="AC979" s="9"/>
      <c r="AD979" s="9"/>
    </row>
    <row r="980" ht="15.75" customHeight="1">
      <c r="A980" s="9"/>
      <c r="B980" s="9"/>
      <c r="C980" s="9"/>
      <c r="D980" s="9"/>
      <c r="E980" s="9"/>
      <c r="F980" s="9"/>
      <c r="G980" s="9"/>
      <c r="H980" s="9"/>
      <c r="I980" s="9"/>
      <c r="J980" s="9"/>
      <c r="K980" s="9"/>
      <c r="L980" s="556"/>
      <c r="M980" s="9"/>
      <c r="N980" s="9"/>
      <c r="O980" s="9"/>
      <c r="P980" s="9"/>
      <c r="Q980" s="9"/>
      <c r="R980" s="9"/>
      <c r="S980" s="9"/>
      <c r="T980" s="9"/>
      <c r="U980" s="9"/>
      <c r="V980" s="9"/>
      <c r="W980" s="9"/>
      <c r="X980" s="589"/>
      <c r="Y980" s="9"/>
      <c r="Z980" s="204"/>
      <c r="AA980" s="9"/>
      <c r="AB980" s="9"/>
      <c r="AC980" s="9"/>
      <c r="AD980" s="9"/>
    </row>
    <row r="981" ht="15.75" customHeight="1">
      <c r="A981" s="9"/>
      <c r="B981" s="9"/>
      <c r="C981" s="9"/>
      <c r="D981" s="9"/>
      <c r="E981" s="9"/>
      <c r="F981" s="9"/>
      <c r="G981" s="9"/>
      <c r="H981" s="9"/>
      <c r="I981" s="9"/>
      <c r="J981" s="9"/>
      <c r="K981" s="9"/>
      <c r="L981" s="556"/>
      <c r="M981" s="9"/>
      <c r="N981" s="9"/>
      <c r="O981" s="9"/>
      <c r="P981" s="9"/>
      <c r="Q981" s="9"/>
      <c r="R981" s="9"/>
      <c r="S981" s="9"/>
      <c r="T981" s="9"/>
      <c r="U981" s="9"/>
      <c r="V981" s="9"/>
      <c r="W981" s="9"/>
      <c r="X981" s="589"/>
      <c r="Y981" s="9"/>
      <c r="Z981" s="204"/>
      <c r="AA981" s="9"/>
      <c r="AB981" s="9"/>
      <c r="AC981" s="9"/>
      <c r="AD981" s="9"/>
    </row>
    <row r="982" ht="15.75" customHeight="1">
      <c r="A982" s="9"/>
      <c r="B982" s="9"/>
      <c r="C982" s="9"/>
      <c r="D982" s="9"/>
      <c r="E982" s="9"/>
      <c r="F982" s="9"/>
      <c r="G982" s="9"/>
      <c r="H982" s="9"/>
      <c r="I982" s="9"/>
      <c r="J982" s="9"/>
      <c r="K982" s="9"/>
      <c r="L982" s="556"/>
      <c r="M982" s="9"/>
      <c r="N982" s="9"/>
      <c r="O982" s="9"/>
      <c r="P982" s="9"/>
      <c r="Q982" s="9"/>
      <c r="R982" s="9"/>
      <c r="S982" s="9"/>
      <c r="T982" s="9"/>
      <c r="U982" s="9"/>
      <c r="V982" s="9"/>
      <c r="W982" s="9"/>
      <c r="X982" s="589"/>
      <c r="Y982" s="9"/>
      <c r="Z982" s="204"/>
      <c r="AA982" s="9"/>
      <c r="AB982" s="9"/>
      <c r="AC982" s="9"/>
      <c r="AD982" s="9"/>
    </row>
    <row r="983" ht="15.75" customHeight="1">
      <c r="A983" s="9"/>
      <c r="B983" s="9"/>
      <c r="C983" s="9"/>
      <c r="D983" s="9"/>
      <c r="E983" s="9"/>
      <c r="F983" s="9"/>
      <c r="G983" s="9"/>
      <c r="H983" s="9"/>
      <c r="I983" s="9"/>
      <c r="J983" s="9"/>
      <c r="K983" s="9"/>
      <c r="L983" s="556"/>
      <c r="M983" s="9"/>
      <c r="N983" s="9"/>
      <c r="O983" s="9"/>
      <c r="P983" s="9"/>
      <c r="Q983" s="9"/>
      <c r="R983" s="9"/>
      <c r="S983" s="9"/>
      <c r="T983" s="9"/>
      <c r="U983" s="9"/>
      <c r="V983" s="9"/>
      <c r="W983" s="9"/>
      <c r="X983" s="589"/>
      <c r="Y983" s="9"/>
      <c r="Z983" s="204"/>
      <c r="AA983" s="9"/>
      <c r="AB983" s="9"/>
      <c r="AC983" s="9"/>
      <c r="AD983" s="9"/>
    </row>
    <row r="984" ht="15.75" customHeight="1">
      <c r="A984" s="9"/>
      <c r="B984" s="9"/>
      <c r="C984" s="9"/>
      <c r="D984" s="9"/>
      <c r="E984" s="9"/>
      <c r="F984" s="9"/>
      <c r="G984" s="9"/>
      <c r="H984" s="9"/>
      <c r="I984" s="9"/>
      <c r="J984" s="9"/>
      <c r="K984" s="9"/>
      <c r="L984" s="556"/>
      <c r="M984" s="9"/>
      <c r="N984" s="9"/>
      <c r="O984" s="9"/>
      <c r="P984" s="9"/>
      <c r="Q984" s="9"/>
      <c r="R984" s="9"/>
      <c r="S984" s="9"/>
      <c r="T984" s="9"/>
      <c r="U984" s="9"/>
      <c r="V984" s="9"/>
      <c r="W984" s="9"/>
      <c r="X984" s="589"/>
      <c r="Y984" s="9"/>
      <c r="Z984" s="204"/>
      <c r="AA984" s="9"/>
      <c r="AB984" s="9"/>
      <c r="AC984" s="9"/>
      <c r="AD984" s="9"/>
    </row>
    <row r="985" ht="15.75" customHeight="1">
      <c r="A985" s="9"/>
      <c r="B985" s="9"/>
      <c r="C985" s="9"/>
      <c r="D985" s="9"/>
      <c r="E985" s="9"/>
      <c r="F985" s="9"/>
      <c r="G985" s="9"/>
      <c r="H985" s="9"/>
      <c r="I985" s="9"/>
      <c r="J985" s="9"/>
      <c r="K985" s="9"/>
      <c r="L985" s="556"/>
      <c r="M985" s="9"/>
      <c r="N985" s="9"/>
      <c r="O985" s="9"/>
      <c r="P985" s="9"/>
      <c r="Q985" s="9"/>
      <c r="R985" s="9"/>
      <c r="S985" s="9"/>
      <c r="T985" s="9"/>
      <c r="U985" s="9"/>
      <c r="V985" s="9"/>
      <c r="W985" s="9"/>
      <c r="X985" s="589"/>
      <c r="Y985" s="9"/>
      <c r="Z985" s="204"/>
      <c r="AA985" s="9"/>
      <c r="AB985" s="9"/>
      <c r="AC985" s="9"/>
      <c r="AD985" s="9"/>
    </row>
    <row r="986" ht="15.75" customHeight="1">
      <c r="A986" s="9"/>
      <c r="B986" s="9"/>
      <c r="C986" s="9"/>
      <c r="D986" s="9"/>
      <c r="E986" s="9"/>
      <c r="F986" s="9"/>
      <c r="G986" s="9"/>
      <c r="H986" s="9"/>
      <c r="I986" s="9"/>
      <c r="J986" s="9"/>
      <c r="K986" s="9"/>
      <c r="L986" s="556"/>
      <c r="M986" s="9"/>
      <c r="N986" s="9"/>
      <c r="O986" s="9"/>
      <c r="P986" s="9"/>
      <c r="Q986" s="9"/>
      <c r="R986" s="9"/>
      <c r="S986" s="9"/>
      <c r="T986" s="9"/>
      <c r="U986" s="9"/>
      <c r="V986" s="9"/>
      <c r="W986" s="9"/>
      <c r="X986" s="589"/>
      <c r="Y986" s="9"/>
      <c r="Z986" s="204"/>
      <c r="AA986" s="9"/>
      <c r="AB986" s="9"/>
      <c r="AC986" s="9"/>
      <c r="AD986" s="9"/>
    </row>
    <row r="987" ht="15.75" customHeight="1">
      <c r="A987" s="9"/>
      <c r="B987" s="9"/>
      <c r="C987" s="9"/>
      <c r="D987" s="9"/>
      <c r="E987" s="9"/>
      <c r="F987" s="9"/>
      <c r="G987" s="9"/>
      <c r="H987" s="9"/>
      <c r="I987" s="9"/>
      <c r="J987" s="9"/>
      <c r="K987" s="9"/>
      <c r="L987" s="556"/>
      <c r="M987" s="9"/>
      <c r="N987" s="9"/>
      <c r="O987" s="9"/>
      <c r="P987" s="9"/>
      <c r="Q987" s="9"/>
      <c r="R987" s="9"/>
      <c r="S987" s="9"/>
      <c r="T987" s="9"/>
      <c r="U987" s="9"/>
      <c r="V987" s="9"/>
      <c r="W987" s="9"/>
      <c r="X987" s="589"/>
      <c r="Y987" s="9"/>
      <c r="Z987" s="204"/>
      <c r="AA987" s="9"/>
      <c r="AB987" s="9"/>
      <c r="AC987" s="9"/>
      <c r="AD987" s="9"/>
    </row>
    <row r="988" ht="15.75" customHeight="1">
      <c r="A988" s="9"/>
      <c r="B988" s="9"/>
      <c r="C988" s="9"/>
      <c r="D988" s="9"/>
      <c r="E988" s="9"/>
      <c r="F988" s="9"/>
      <c r="G988" s="9"/>
      <c r="H988" s="9"/>
      <c r="I988" s="9"/>
      <c r="J988" s="9"/>
      <c r="K988" s="9"/>
      <c r="L988" s="556"/>
      <c r="M988" s="9"/>
      <c r="N988" s="9"/>
      <c r="O988" s="9"/>
      <c r="P988" s="9"/>
      <c r="Q988" s="9"/>
      <c r="R988" s="9"/>
      <c r="S988" s="9"/>
      <c r="T988" s="9"/>
      <c r="U988" s="9"/>
      <c r="V988" s="9"/>
      <c r="W988" s="9"/>
      <c r="X988" s="589"/>
      <c r="Y988" s="9"/>
      <c r="Z988" s="204"/>
      <c r="AA988" s="9"/>
      <c r="AB988" s="9"/>
      <c r="AC988" s="9"/>
      <c r="AD988" s="9"/>
    </row>
    <row r="989" ht="15.75" customHeight="1">
      <c r="A989" s="9"/>
      <c r="B989" s="9"/>
      <c r="C989" s="9"/>
      <c r="D989" s="9"/>
      <c r="E989" s="9"/>
      <c r="F989" s="9"/>
      <c r="G989" s="9"/>
      <c r="H989" s="9"/>
      <c r="I989" s="9"/>
      <c r="J989" s="9"/>
      <c r="K989" s="9"/>
      <c r="L989" s="556"/>
      <c r="M989" s="9"/>
      <c r="N989" s="9"/>
      <c r="O989" s="9"/>
      <c r="P989" s="9"/>
      <c r="Q989" s="9"/>
      <c r="R989" s="9"/>
      <c r="S989" s="9"/>
      <c r="T989" s="9"/>
      <c r="U989" s="9"/>
      <c r="V989" s="9"/>
      <c r="W989" s="9"/>
      <c r="X989" s="589"/>
      <c r="Y989" s="9"/>
      <c r="Z989" s="204"/>
      <c r="AA989" s="9"/>
      <c r="AB989" s="9"/>
      <c r="AC989" s="9"/>
      <c r="AD989" s="9"/>
    </row>
    <row r="990" ht="15.75" customHeight="1">
      <c r="A990" s="9"/>
      <c r="B990" s="9"/>
      <c r="C990" s="9"/>
      <c r="D990" s="9"/>
      <c r="E990" s="9"/>
      <c r="F990" s="9"/>
      <c r="G990" s="9"/>
      <c r="H990" s="9"/>
      <c r="I990" s="9"/>
      <c r="J990" s="9"/>
      <c r="K990" s="9"/>
      <c r="L990" s="556"/>
      <c r="M990" s="9"/>
      <c r="N990" s="9"/>
      <c r="O990" s="9"/>
      <c r="P990" s="9"/>
      <c r="Q990" s="9"/>
      <c r="R990" s="9"/>
      <c r="S990" s="9"/>
      <c r="T990" s="9"/>
      <c r="U990" s="9"/>
      <c r="V990" s="9"/>
      <c r="W990" s="9"/>
      <c r="X990" s="589"/>
      <c r="Y990" s="9"/>
      <c r="Z990" s="204"/>
      <c r="AA990" s="9"/>
      <c r="AB990" s="9"/>
      <c r="AC990" s="9"/>
      <c r="AD990" s="9"/>
    </row>
    <row r="991" ht="15.75" customHeight="1">
      <c r="A991" s="9"/>
      <c r="B991" s="9"/>
      <c r="C991" s="9"/>
      <c r="D991" s="9"/>
      <c r="E991" s="9"/>
      <c r="F991" s="9"/>
      <c r="G991" s="9"/>
      <c r="H991" s="9"/>
      <c r="I991" s="9"/>
      <c r="J991" s="9"/>
      <c r="K991" s="9"/>
      <c r="L991" s="556"/>
      <c r="M991" s="9"/>
      <c r="N991" s="9"/>
      <c r="O991" s="9"/>
      <c r="P991" s="9"/>
      <c r="Q991" s="9"/>
      <c r="R991" s="9"/>
      <c r="S991" s="9"/>
      <c r="T991" s="9"/>
      <c r="U991" s="9"/>
      <c r="V991" s="9"/>
      <c r="W991" s="9"/>
      <c r="X991" s="589"/>
      <c r="Y991" s="9"/>
      <c r="Z991" s="204"/>
      <c r="AA991" s="9"/>
      <c r="AB991" s="9"/>
      <c r="AC991" s="9"/>
      <c r="AD991" s="9"/>
    </row>
    <row r="992" ht="15.75" customHeight="1">
      <c r="A992" s="9"/>
      <c r="B992" s="9"/>
      <c r="C992" s="9"/>
      <c r="D992" s="9"/>
      <c r="E992" s="9"/>
      <c r="F992" s="9"/>
      <c r="G992" s="9"/>
      <c r="H992" s="9"/>
      <c r="I992" s="9"/>
      <c r="J992" s="9"/>
      <c r="K992" s="9"/>
      <c r="L992" s="556"/>
      <c r="M992" s="9"/>
      <c r="N992" s="9"/>
      <c r="O992" s="9"/>
      <c r="P992" s="9"/>
      <c r="Q992" s="9"/>
      <c r="R992" s="9"/>
      <c r="S992" s="9"/>
      <c r="T992" s="9"/>
      <c r="U992" s="9"/>
      <c r="V992" s="9"/>
      <c r="W992" s="9"/>
      <c r="X992" s="589"/>
      <c r="Y992" s="9"/>
      <c r="Z992" s="204"/>
      <c r="AA992" s="9"/>
      <c r="AB992" s="9"/>
      <c r="AC992" s="9"/>
      <c r="AD992" s="9"/>
    </row>
    <row r="993" ht="15.75" customHeight="1">
      <c r="A993" s="9"/>
      <c r="B993" s="9"/>
      <c r="C993" s="9"/>
      <c r="D993" s="9"/>
      <c r="E993" s="9"/>
      <c r="F993" s="9"/>
      <c r="G993" s="9"/>
      <c r="H993" s="9"/>
      <c r="I993" s="9"/>
      <c r="J993" s="9"/>
      <c r="K993" s="9"/>
      <c r="L993" s="556"/>
      <c r="M993" s="9"/>
      <c r="N993" s="9"/>
      <c r="O993" s="9"/>
      <c r="P993" s="9"/>
      <c r="Q993" s="9"/>
      <c r="R993" s="9"/>
      <c r="S993" s="9"/>
      <c r="T993" s="9"/>
      <c r="U993" s="9"/>
      <c r="V993" s="9"/>
      <c r="W993" s="9"/>
      <c r="X993" s="589"/>
      <c r="Y993" s="9"/>
      <c r="Z993" s="204"/>
      <c r="AA993" s="9"/>
      <c r="AB993" s="9"/>
      <c r="AC993" s="9"/>
      <c r="AD993" s="9"/>
    </row>
    <row r="994" ht="15.75" customHeight="1">
      <c r="A994" s="9"/>
      <c r="B994" s="9"/>
      <c r="C994" s="9"/>
      <c r="D994" s="9"/>
      <c r="E994" s="9"/>
      <c r="F994" s="9"/>
      <c r="G994" s="9"/>
      <c r="H994" s="9"/>
      <c r="I994" s="9"/>
      <c r="J994" s="9"/>
      <c r="K994" s="9"/>
      <c r="L994" s="556"/>
      <c r="M994" s="9"/>
      <c r="N994" s="9"/>
      <c r="O994" s="9"/>
      <c r="P994" s="9"/>
      <c r="Q994" s="9"/>
      <c r="R994" s="9"/>
      <c r="S994" s="9"/>
      <c r="T994" s="9"/>
      <c r="U994" s="9"/>
      <c r="V994" s="9"/>
      <c r="W994" s="9"/>
      <c r="X994" s="589"/>
      <c r="Y994" s="9"/>
      <c r="Z994" s="204"/>
      <c r="AA994" s="9"/>
      <c r="AB994" s="9"/>
      <c r="AC994" s="9"/>
      <c r="AD994" s="9"/>
    </row>
    <row r="995" ht="15.75" customHeight="1">
      <c r="A995" s="9"/>
      <c r="B995" s="9"/>
      <c r="C995" s="9"/>
      <c r="D995" s="9"/>
      <c r="E995" s="9"/>
      <c r="F995" s="9"/>
      <c r="G995" s="9"/>
      <c r="H995" s="9"/>
      <c r="I995" s="9"/>
      <c r="J995" s="9"/>
      <c r="K995" s="9"/>
      <c r="L995" s="556"/>
      <c r="M995" s="9"/>
      <c r="N995" s="9"/>
      <c r="O995" s="9"/>
      <c r="P995" s="9"/>
      <c r="Q995" s="9"/>
      <c r="R995" s="9"/>
      <c r="S995" s="9"/>
      <c r="T995" s="9"/>
      <c r="U995" s="9"/>
      <c r="V995" s="9"/>
      <c r="W995" s="9"/>
      <c r="X995" s="589"/>
      <c r="Y995" s="9"/>
      <c r="Z995" s="204"/>
      <c r="AA995" s="9"/>
      <c r="AB995" s="9"/>
      <c r="AC995" s="9"/>
      <c r="AD995" s="9"/>
    </row>
    <row r="996" ht="15.75" customHeight="1">
      <c r="A996" s="9"/>
      <c r="B996" s="9"/>
      <c r="C996" s="9"/>
      <c r="D996" s="9"/>
      <c r="E996" s="9"/>
      <c r="F996" s="9"/>
      <c r="G996" s="9"/>
      <c r="H996" s="9"/>
      <c r="I996" s="9"/>
      <c r="J996" s="9"/>
      <c r="K996" s="9"/>
      <c r="L996" s="556"/>
      <c r="M996" s="9"/>
      <c r="N996" s="9"/>
      <c r="O996" s="9"/>
      <c r="P996" s="9"/>
      <c r="Q996" s="9"/>
      <c r="R996" s="9"/>
      <c r="S996" s="9"/>
      <c r="T996" s="9"/>
      <c r="U996" s="9"/>
      <c r="V996" s="9"/>
      <c r="W996" s="9"/>
      <c r="X996" s="589"/>
      <c r="Y996" s="9"/>
      <c r="Z996" s="204"/>
      <c r="AA996" s="9"/>
      <c r="AB996" s="9"/>
      <c r="AC996" s="9"/>
      <c r="AD996" s="9"/>
    </row>
    <row r="997" ht="15.75" customHeight="1">
      <c r="A997" s="9"/>
      <c r="B997" s="9"/>
      <c r="C997" s="9"/>
      <c r="D997" s="9"/>
      <c r="E997" s="9"/>
      <c r="F997" s="9"/>
      <c r="G997" s="9"/>
      <c r="H997" s="9"/>
      <c r="I997" s="9"/>
      <c r="J997" s="9"/>
      <c r="K997" s="9"/>
      <c r="L997" s="556"/>
      <c r="M997" s="9"/>
      <c r="N997" s="9"/>
      <c r="O997" s="9"/>
      <c r="P997" s="9"/>
      <c r="Q997" s="9"/>
      <c r="R997" s="9"/>
      <c r="S997" s="9"/>
      <c r="T997" s="9"/>
      <c r="U997" s="9"/>
      <c r="V997" s="9"/>
      <c r="W997" s="9"/>
      <c r="X997" s="589"/>
      <c r="Y997" s="9"/>
      <c r="Z997" s="204"/>
      <c r="AA997" s="9"/>
      <c r="AB997" s="9"/>
      <c r="AC997" s="9"/>
      <c r="AD997" s="9"/>
    </row>
    <row r="998" ht="15.75" customHeight="1">
      <c r="A998" s="9"/>
      <c r="B998" s="9"/>
      <c r="C998" s="9"/>
      <c r="D998" s="9"/>
      <c r="E998" s="9"/>
      <c r="F998" s="9"/>
      <c r="G998" s="9"/>
      <c r="H998" s="9"/>
      <c r="I998" s="9"/>
      <c r="J998" s="9"/>
      <c r="K998" s="9"/>
      <c r="L998" s="556"/>
      <c r="M998" s="9"/>
      <c r="N998" s="9"/>
      <c r="O998" s="9"/>
      <c r="P998" s="9"/>
      <c r="Q998" s="9"/>
      <c r="R998" s="9"/>
      <c r="S998" s="9"/>
      <c r="T998" s="9"/>
      <c r="U998" s="9"/>
      <c r="V998" s="9"/>
      <c r="W998" s="9"/>
      <c r="X998" s="589"/>
      <c r="Y998" s="9"/>
      <c r="Z998" s="204"/>
      <c r="AA998" s="9"/>
      <c r="AB998" s="9"/>
      <c r="AC998" s="9"/>
      <c r="AD998" s="9"/>
    </row>
    <row r="999" ht="15.75" customHeight="1">
      <c r="A999" s="9"/>
      <c r="B999" s="9"/>
      <c r="C999" s="9"/>
      <c r="D999" s="9"/>
      <c r="E999" s="9"/>
      <c r="F999" s="9"/>
      <c r="G999" s="9"/>
      <c r="H999" s="9"/>
      <c r="I999" s="9"/>
      <c r="J999" s="9"/>
      <c r="K999" s="9"/>
      <c r="L999" s="556"/>
      <c r="M999" s="9"/>
      <c r="N999" s="9"/>
      <c r="O999" s="9"/>
      <c r="P999" s="9"/>
      <c r="Q999" s="9"/>
      <c r="R999" s="9"/>
      <c r="S999" s="9"/>
      <c r="T999" s="9"/>
      <c r="U999" s="9"/>
      <c r="V999" s="9"/>
      <c r="W999" s="9"/>
      <c r="X999" s="589"/>
      <c r="Y999" s="9"/>
      <c r="Z999" s="204"/>
      <c r="AA999" s="9"/>
      <c r="AB999" s="9"/>
      <c r="AC999" s="9"/>
      <c r="AD999" s="9"/>
    </row>
    <row r="1000" ht="15.75" customHeight="1">
      <c r="A1000" s="9"/>
      <c r="B1000" s="9"/>
      <c r="C1000" s="9"/>
      <c r="D1000" s="9"/>
      <c r="E1000" s="9"/>
      <c r="F1000" s="9"/>
      <c r="G1000" s="9"/>
      <c r="H1000" s="9"/>
      <c r="I1000" s="9"/>
      <c r="J1000" s="9"/>
      <c r="K1000" s="9"/>
      <c r="L1000" s="556"/>
      <c r="M1000" s="9"/>
      <c r="N1000" s="9"/>
      <c r="O1000" s="9"/>
      <c r="P1000" s="9"/>
      <c r="Q1000" s="9"/>
      <c r="R1000" s="9"/>
      <c r="S1000" s="9"/>
      <c r="T1000" s="9"/>
      <c r="U1000" s="9"/>
      <c r="V1000" s="9"/>
      <c r="W1000" s="9"/>
      <c r="X1000" s="589"/>
      <c r="Y1000" s="9"/>
      <c r="Z1000" s="204"/>
      <c r="AA1000" s="9"/>
      <c r="AB1000" s="9"/>
      <c r="AC1000" s="9"/>
      <c r="AD1000" s="9"/>
    </row>
    <row r="1001" ht="15.75" customHeight="1">
      <c r="A1001" s="9"/>
      <c r="B1001" s="9"/>
      <c r="C1001" s="9"/>
      <c r="D1001" s="9"/>
      <c r="E1001" s="9"/>
      <c r="F1001" s="9"/>
      <c r="G1001" s="9"/>
      <c r="H1001" s="9"/>
      <c r="I1001" s="9"/>
      <c r="J1001" s="9"/>
      <c r="K1001" s="9"/>
      <c r="L1001" s="556"/>
      <c r="M1001" s="9"/>
      <c r="N1001" s="9"/>
      <c r="O1001" s="9"/>
      <c r="P1001" s="9"/>
      <c r="Q1001" s="9"/>
      <c r="R1001" s="9"/>
      <c r="S1001" s="9"/>
      <c r="T1001" s="9"/>
      <c r="U1001" s="9"/>
      <c r="V1001" s="9"/>
      <c r="W1001" s="9"/>
      <c r="X1001" s="589"/>
      <c r="Y1001" s="9"/>
      <c r="Z1001" s="204"/>
      <c r="AA1001" s="9"/>
      <c r="AB1001" s="9"/>
      <c r="AC1001" s="9"/>
      <c r="AD1001" s="9"/>
    </row>
    <row r="1002" ht="15.75" customHeight="1">
      <c r="A1002" s="9"/>
      <c r="B1002" s="9"/>
      <c r="C1002" s="9"/>
      <c r="D1002" s="9"/>
      <c r="E1002" s="9"/>
      <c r="F1002" s="9"/>
      <c r="G1002" s="9"/>
      <c r="H1002" s="9"/>
      <c r="I1002" s="9"/>
      <c r="J1002" s="9"/>
      <c r="K1002" s="9"/>
      <c r="L1002" s="556"/>
      <c r="M1002" s="9"/>
      <c r="N1002" s="9"/>
      <c r="O1002" s="9"/>
      <c r="P1002" s="9"/>
      <c r="Q1002" s="9"/>
      <c r="R1002" s="9"/>
      <c r="S1002" s="9"/>
      <c r="T1002" s="9"/>
      <c r="U1002" s="9"/>
      <c r="V1002" s="9"/>
      <c r="W1002" s="9"/>
      <c r="X1002" s="589"/>
      <c r="Y1002" s="9"/>
      <c r="Z1002" s="204"/>
      <c r="AA1002" s="9"/>
      <c r="AB1002" s="9"/>
      <c r="AC1002" s="9"/>
      <c r="AD1002" s="9"/>
    </row>
    <row r="1003" ht="15.75" customHeight="1">
      <c r="A1003" s="9"/>
      <c r="B1003" s="9"/>
      <c r="C1003" s="9"/>
      <c r="D1003" s="9"/>
      <c r="E1003" s="9"/>
      <c r="F1003" s="9"/>
      <c r="G1003" s="9"/>
      <c r="H1003" s="9"/>
      <c r="I1003" s="9"/>
      <c r="J1003" s="9"/>
      <c r="K1003" s="9"/>
      <c r="L1003" s="556"/>
      <c r="M1003" s="9"/>
      <c r="N1003" s="9"/>
      <c r="O1003" s="9"/>
      <c r="P1003" s="9"/>
      <c r="Q1003" s="9"/>
      <c r="R1003" s="9"/>
      <c r="S1003" s="9"/>
      <c r="T1003" s="9"/>
      <c r="U1003" s="9"/>
      <c r="V1003" s="9"/>
      <c r="W1003" s="9"/>
      <c r="X1003" s="589"/>
      <c r="Y1003" s="9"/>
      <c r="Z1003" s="204"/>
      <c r="AA1003" s="9"/>
      <c r="AB1003" s="9"/>
      <c r="AC1003" s="9"/>
      <c r="AD1003" s="9"/>
    </row>
    <row r="1004" ht="15.75" customHeight="1">
      <c r="A1004" s="9"/>
      <c r="B1004" s="9"/>
      <c r="C1004" s="9"/>
      <c r="D1004" s="9"/>
      <c r="E1004" s="9"/>
      <c r="F1004" s="9"/>
      <c r="G1004" s="9"/>
      <c r="H1004" s="9"/>
      <c r="I1004" s="9"/>
      <c r="J1004" s="9"/>
      <c r="K1004" s="9"/>
      <c r="L1004" s="556"/>
      <c r="M1004" s="9"/>
      <c r="N1004" s="9"/>
      <c r="O1004" s="9"/>
      <c r="P1004" s="9"/>
      <c r="Q1004" s="9"/>
      <c r="R1004" s="9"/>
      <c r="S1004" s="9"/>
      <c r="T1004" s="9"/>
      <c r="U1004" s="9"/>
      <c r="V1004" s="9"/>
      <c r="W1004" s="9"/>
      <c r="X1004" s="589"/>
      <c r="Y1004" s="9"/>
      <c r="Z1004" s="204"/>
      <c r="AA1004" s="9"/>
      <c r="AB1004" s="9"/>
      <c r="AC1004" s="9"/>
      <c r="AD1004" s="9"/>
    </row>
    <row r="1005" ht="15.75" customHeight="1">
      <c r="A1005" s="9"/>
      <c r="B1005" s="9"/>
      <c r="C1005" s="9"/>
      <c r="D1005" s="9"/>
      <c r="E1005" s="9"/>
      <c r="F1005" s="9"/>
      <c r="G1005" s="9"/>
      <c r="H1005" s="9"/>
      <c r="I1005" s="9"/>
      <c r="J1005" s="9"/>
      <c r="K1005" s="9"/>
      <c r="L1005" s="556"/>
      <c r="M1005" s="9"/>
      <c r="N1005" s="9"/>
      <c r="O1005" s="9"/>
      <c r="P1005" s="9"/>
      <c r="Q1005" s="9"/>
      <c r="R1005" s="9"/>
      <c r="S1005" s="9"/>
      <c r="T1005" s="9"/>
      <c r="U1005" s="9"/>
      <c r="V1005" s="9"/>
      <c r="W1005" s="9"/>
      <c r="X1005" s="589"/>
      <c r="Y1005" s="9"/>
      <c r="Z1005" s="204"/>
      <c r="AA1005" s="9"/>
      <c r="AB1005" s="9"/>
      <c r="AC1005" s="9"/>
      <c r="AD1005" s="9"/>
    </row>
    <row r="1006" ht="15.75" customHeight="1">
      <c r="A1006" s="9"/>
      <c r="B1006" s="9"/>
      <c r="C1006" s="9"/>
      <c r="D1006" s="9"/>
      <c r="E1006" s="9"/>
      <c r="F1006" s="9"/>
      <c r="G1006" s="9"/>
      <c r="H1006" s="9"/>
      <c r="I1006" s="9"/>
      <c r="J1006" s="9"/>
      <c r="K1006" s="9"/>
      <c r="L1006" s="556"/>
      <c r="M1006" s="9"/>
      <c r="N1006" s="9"/>
      <c r="O1006" s="9"/>
      <c r="P1006" s="9"/>
      <c r="Q1006" s="9"/>
      <c r="R1006" s="9"/>
      <c r="S1006" s="9"/>
      <c r="T1006" s="9"/>
      <c r="U1006" s="9"/>
      <c r="V1006" s="9"/>
      <c r="W1006" s="9"/>
      <c r="X1006" s="589"/>
      <c r="Y1006" s="9"/>
      <c r="Z1006" s="204"/>
      <c r="AA1006" s="9"/>
      <c r="AB1006" s="9"/>
      <c r="AC1006" s="9"/>
      <c r="AD1006" s="9"/>
    </row>
    <row r="1007" ht="15.75" customHeight="1">
      <c r="A1007" s="9"/>
      <c r="B1007" s="9"/>
      <c r="C1007" s="9"/>
      <c r="D1007" s="9"/>
      <c r="E1007" s="9"/>
      <c r="F1007" s="9"/>
      <c r="G1007" s="9"/>
      <c r="H1007" s="9"/>
      <c r="I1007" s="9"/>
      <c r="J1007" s="9"/>
      <c r="K1007" s="9"/>
      <c r="L1007" s="556"/>
      <c r="M1007" s="9"/>
      <c r="N1007" s="9"/>
      <c r="O1007" s="9"/>
      <c r="P1007" s="9"/>
      <c r="Q1007" s="9"/>
      <c r="R1007" s="9"/>
      <c r="S1007" s="9"/>
      <c r="T1007" s="9"/>
      <c r="U1007" s="9"/>
      <c r="V1007" s="9"/>
      <c r="W1007" s="9"/>
      <c r="X1007" s="589"/>
      <c r="Y1007" s="9"/>
      <c r="Z1007" s="204"/>
      <c r="AA1007" s="9"/>
      <c r="AB1007" s="9"/>
      <c r="AC1007" s="9"/>
      <c r="AD1007" s="9"/>
    </row>
    <row r="1008" ht="15.75" customHeight="1">
      <c r="A1008" s="9"/>
      <c r="B1008" s="9"/>
      <c r="C1008" s="9"/>
      <c r="D1008" s="9"/>
      <c r="E1008" s="9"/>
      <c r="F1008" s="9"/>
      <c r="G1008" s="9"/>
      <c r="H1008" s="9"/>
      <c r="I1008" s="9"/>
      <c r="J1008" s="9"/>
      <c r="K1008" s="9"/>
      <c r="L1008" s="556"/>
      <c r="M1008" s="9"/>
      <c r="N1008" s="9"/>
      <c r="O1008" s="9"/>
      <c r="P1008" s="9"/>
      <c r="Q1008" s="9"/>
      <c r="R1008" s="9"/>
      <c r="S1008" s="9"/>
      <c r="T1008" s="9"/>
      <c r="U1008" s="9"/>
      <c r="V1008" s="9"/>
      <c r="W1008" s="9"/>
      <c r="X1008" s="589"/>
      <c r="Y1008" s="9"/>
      <c r="Z1008" s="204"/>
      <c r="AA1008" s="9"/>
      <c r="AB1008" s="9"/>
      <c r="AC1008" s="9"/>
      <c r="AD1008" s="9"/>
    </row>
    <row r="1009" ht="15.75" customHeight="1">
      <c r="A1009" s="9"/>
      <c r="B1009" s="9"/>
      <c r="C1009" s="9"/>
      <c r="D1009" s="9"/>
      <c r="E1009" s="9"/>
      <c r="F1009" s="9"/>
      <c r="G1009" s="9"/>
      <c r="H1009" s="9"/>
      <c r="I1009" s="9"/>
      <c r="J1009" s="9"/>
      <c r="K1009" s="9"/>
      <c r="L1009" s="556"/>
      <c r="M1009" s="9"/>
      <c r="N1009" s="9"/>
      <c r="O1009" s="9"/>
      <c r="P1009" s="9"/>
      <c r="Q1009" s="9"/>
      <c r="R1009" s="9"/>
      <c r="S1009" s="9"/>
      <c r="T1009" s="9"/>
      <c r="U1009" s="9"/>
      <c r="V1009" s="9"/>
      <c r="W1009" s="9"/>
      <c r="X1009" s="589"/>
      <c r="Y1009" s="9"/>
      <c r="Z1009" s="204"/>
      <c r="AA1009" s="9"/>
      <c r="AB1009" s="9"/>
      <c r="AC1009" s="9"/>
      <c r="AD1009" s="9"/>
    </row>
    <row r="1010" ht="15.75" customHeight="1">
      <c r="A1010" s="9"/>
      <c r="B1010" s="9"/>
      <c r="C1010" s="9"/>
      <c r="D1010" s="9"/>
      <c r="E1010" s="9"/>
      <c r="F1010" s="9"/>
      <c r="G1010" s="9"/>
      <c r="H1010" s="9"/>
      <c r="I1010" s="9"/>
      <c r="J1010" s="9"/>
      <c r="K1010" s="9"/>
      <c r="L1010" s="556"/>
      <c r="M1010" s="9"/>
      <c r="N1010" s="9"/>
      <c r="O1010" s="9"/>
      <c r="P1010" s="9"/>
      <c r="Q1010" s="9"/>
      <c r="R1010" s="9"/>
      <c r="S1010" s="9"/>
      <c r="T1010" s="9"/>
      <c r="U1010" s="9"/>
      <c r="V1010" s="9"/>
      <c r="W1010" s="9"/>
      <c r="X1010" s="589"/>
      <c r="Y1010" s="9"/>
      <c r="Z1010" s="204"/>
      <c r="AA1010" s="9"/>
      <c r="AB1010" s="9"/>
      <c r="AC1010" s="9"/>
      <c r="AD1010" s="9"/>
    </row>
    <row r="1011" ht="15.75" customHeight="1">
      <c r="A1011" s="9"/>
      <c r="B1011" s="9"/>
      <c r="C1011" s="9"/>
      <c r="D1011" s="9"/>
      <c r="E1011" s="9"/>
      <c r="F1011" s="9"/>
      <c r="G1011" s="9"/>
      <c r="H1011" s="9"/>
      <c r="I1011" s="9"/>
      <c r="J1011" s="9"/>
      <c r="K1011" s="9"/>
      <c r="L1011" s="556"/>
      <c r="M1011" s="9"/>
      <c r="N1011" s="9"/>
      <c r="O1011" s="9"/>
      <c r="P1011" s="9"/>
      <c r="Q1011" s="9"/>
      <c r="R1011" s="9"/>
      <c r="S1011" s="9"/>
      <c r="T1011" s="9"/>
      <c r="U1011" s="9"/>
      <c r="V1011" s="9"/>
      <c r="W1011" s="9"/>
      <c r="X1011" s="589"/>
      <c r="Y1011" s="9"/>
      <c r="Z1011" s="204"/>
      <c r="AA1011" s="9"/>
      <c r="AB1011" s="9"/>
      <c r="AC1011" s="9"/>
      <c r="AD1011" s="9"/>
    </row>
    <row r="1012" ht="15.75" customHeight="1">
      <c r="A1012" s="9"/>
      <c r="B1012" s="9"/>
      <c r="C1012" s="9"/>
      <c r="D1012" s="9"/>
      <c r="E1012" s="9"/>
      <c r="F1012" s="9"/>
      <c r="G1012" s="9"/>
      <c r="H1012" s="9"/>
      <c r="I1012" s="9"/>
      <c r="J1012" s="9"/>
      <c r="K1012" s="9"/>
      <c r="L1012" s="556"/>
      <c r="M1012" s="9"/>
      <c r="N1012" s="9"/>
      <c r="O1012" s="9"/>
      <c r="P1012" s="9"/>
      <c r="Q1012" s="9"/>
      <c r="R1012" s="9"/>
      <c r="S1012" s="9"/>
      <c r="T1012" s="9"/>
      <c r="U1012" s="9"/>
      <c r="V1012" s="9"/>
      <c r="W1012" s="9"/>
      <c r="X1012" s="589"/>
      <c r="Y1012" s="9"/>
      <c r="Z1012" s="204"/>
      <c r="AA1012" s="9"/>
      <c r="AB1012" s="9"/>
      <c r="AC1012" s="9"/>
      <c r="AD1012" s="9"/>
    </row>
    <row r="1013" ht="15.75" customHeight="1">
      <c r="A1013" s="9"/>
      <c r="B1013" s="9"/>
      <c r="C1013" s="9"/>
      <c r="D1013" s="9"/>
      <c r="E1013" s="9"/>
      <c r="F1013" s="9"/>
      <c r="G1013" s="9"/>
      <c r="H1013" s="9"/>
      <c r="I1013" s="9"/>
      <c r="J1013" s="9"/>
      <c r="K1013" s="9"/>
      <c r="L1013" s="556"/>
      <c r="M1013" s="9"/>
      <c r="N1013" s="9"/>
      <c r="O1013" s="9"/>
      <c r="P1013" s="9"/>
      <c r="Q1013" s="9"/>
      <c r="R1013" s="9"/>
      <c r="S1013" s="9"/>
      <c r="T1013" s="9"/>
      <c r="U1013" s="9"/>
      <c r="V1013" s="9"/>
      <c r="W1013" s="9"/>
      <c r="X1013" s="589"/>
      <c r="Y1013" s="9"/>
      <c r="Z1013" s="204"/>
      <c r="AA1013" s="9"/>
      <c r="AB1013" s="9"/>
      <c r="AC1013" s="9"/>
      <c r="AD1013" s="9"/>
    </row>
    <row r="1014" ht="15.75" customHeight="1">
      <c r="A1014" s="9"/>
      <c r="B1014" s="9"/>
      <c r="C1014" s="9"/>
      <c r="D1014" s="9"/>
      <c r="E1014" s="9"/>
      <c r="F1014" s="9"/>
      <c r="G1014" s="9"/>
      <c r="H1014" s="9"/>
      <c r="I1014" s="9"/>
      <c r="J1014" s="9"/>
      <c r="K1014" s="9"/>
      <c r="L1014" s="556"/>
      <c r="M1014" s="9"/>
      <c r="N1014" s="9"/>
      <c r="O1014" s="9"/>
      <c r="P1014" s="9"/>
      <c r="Q1014" s="9"/>
      <c r="R1014" s="9"/>
      <c r="S1014" s="9"/>
      <c r="T1014" s="9"/>
      <c r="U1014" s="9"/>
      <c r="V1014" s="9"/>
      <c r="W1014" s="9"/>
      <c r="X1014" s="589"/>
      <c r="Y1014" s="9"/>
      <c r="Z1014" s="204"/>
      <c r="AA1014" s="9"/>
      <c r="AB1014" s="9"/>
      <c r="AC1014" s="9"/>
      <c r="AD1014" s="9"/>
    </row>
    <row r="1015" ht="15.75" customHeight="1">
      <c r="A1015" s="9"/>
      <c r="B1015" s="9"/>
      <c r="C1015" s="9"/>
      <c r="D1015" s="9"/>
      <c r="E1015" s="9"/>
      <c r="F1015" s="9"/>
      <c r="G1015" s="9"/>
      <c r="H1015" s="9"/>
      <c r="I1015" s="9"/>
      <c r="J1015" s="9"/>
      <c r="K1015" s="9"/>
      <c r="L1015" s="556"/>
      <c r="M1015" s="9"/>
      <c r="N1015" s="9"/>
      <c r="O1015" s="9"/>
      <c r="P1015" s="9"/>
      <c r="Q1015" s="9"/>
      <c r="R1015" s="9"/>
      <c r="S1015" s="9"/>
      <c r="T1015" s="9"/>
      <c r="U1015" s="9"/>
      <c r="V1015" s="9"/>
      <c r="W1015" s="9"/>
      <c r="X1015" s="589"/>
      <c r="Y1015" s="9"/>
      <c r="Z1015" s="204"/>
      <c r="AA1015" s="9"/>
      <c r="AB1015" s="9"/>
      <c r="AC1015" s="9"/>
      <c r="AD1015" s="9"/>
    </row>
    <row r="1016" ht="15.75" customHeight="1">
      <c r="A1016" s="9"/>
      <c r="B1016" s="9"/>
      <c r="C1016" s="9"/>
      <c r="D1016" s="9"/>
      <c r="E1016" s="9"/>
      <c r="F1016" s="9"/>
      <c r="G1016" s="9"/>
      <c r="H1016" s="9"/>
      <c r="I1016" s="9"/>
      <c r="J1016" s="9"/>
      <c r="K1016" s="9"/>
      <c r="L1016" s="556"/>
      <c r="M1016" s="9"/>
      <c r="N1016" s="9"/>
      <c r="O1016" s="9"/>
      <c r="P1016" s="9"/>
      <c r="Q1016" s="9"/>
      <c r="R1016" s="9"/>
      <c r="S1016" s="9"/>
      <c r="T1016" s="9"/>
      <c r="U1016" s="9"/>
      <c r="V1016" s="9"/>
      <c r="W1016" s="9"/>
      <c r="X1016" s="589"/>
      <c r="Y1016" s="9"/>
      <c r="Z1016" s="204"/>
      <c r="AA1016" s="9"/>
      <c r="AB1016" s="9"/>
      <c r="AC1016" s="9"/>
      <c r="AD1016" s="9"/>
    </row>
    <row r="1017" ht="15.75" customHeight="1">
      <c r="A1017" s="9"/>
      <c r="B1017" s="9"/>
      <c r="C1017" s="9"/>
      <c r="D1017" s="9"/>
      <c r="E1017" s="9"/>
      <c r="F1017" s="9"/>
      <c r="G1017" s="9"/>
      <c r="H1017" s="9"/>
      <c r="I1017" s="9"/>
      <c r="J1017" s="9"/>
      <c r="K1017" s="9"/>
      <c r="L1017" s="556"/>
      <c r="M1017" s="9"/>
      <c r="N1017" s="9"/>
      <c r="O1017" s="9"/>
      <c r="P1017" s="9"/>
      <c r="Q1017" s="9"/>
      <c r="R1017" s="9"/>
      <c r="S1017" s="9"/>
      <c r="T1017" s="9"/>
      <c r="U1017" s="9"/>
      <c r="V1017" s="9"/>
      <c r="W1017" s="9"/>
      <c r="X1017" s="589"/>
      <c r="Y1017" s="9"/>
      <c r="Z1017" s="204"/>
      <c r="AA1017" s="9"/>
      <c r="AB1017" s="9"/>
      <c r="AC1017" s="9"/>
      <c r="AD1017" s="9"/>
    </row>
    <row r="1018" ht="15.75" customHeight="1">
      <c r="A1018" s="9"/>
      <c r="B1018" s="9"/>
      <c r="C1018" s="9"/>
      <c r="D1018" s="9"/>
      <c r="E1018" s="9"/>
      <c r="F1018" s="9"/>
      <c r="G1018" s="9"/>
      <c r="H1018" s="9"/>
      <c r="I1018" s="9"/>
      <c r="J1018" s="9"/>
      <c r="K1018" s="9"/>
      <c r="L1018" s="556"/>
      <c r="M1018" s="9"/>
      <c r="N1018" s="9"/>
      <c r="O1018" s="9"/>
      <c r="P1018" s="9"/>
      <c r="Q1018" s="9"/>
      <c r="R1018" s="9"/>
      <c r="S1018" s="9"/>
      <c r="T1018" s="9"/>
      <c r="U1018" s="9"/>
      <c r="V1018" s="9"/>
      <c r="W1018" s="9"/>
      <c r="X1018" s="589"/>
      <c r="Y1018" s="9"/>
      <c r="Z1018" s="204"/>
      <c r="AA1018" s="9"/>
      <c r="AB1018" s="9"/>
      <c r="AC1018" s="9"/>
      <c r="AD1018" s="9"/>
    </row>
    <row r="1019" ht="15.75" customHeight="1">
      <c r="A1019" s="9"/>
      <c r="B1019" s="9"/>
      <c r="C1019" s="9"/>
      <c r="D1019" s="9"/>
      <c r="E1019" s="9"/>
      <c r="F1019" s="9"/>
      <c r="G1019" s="9"/>
      <c r="H1019" s="9"/>
      <c r="I1019" s="9"/>
      <c r="J1019" s="9"/>
      <c r="K1019" s="9"/>
      <c r="L1019" s="556"/>
      <c r="M1019" s="9"/>
      <c r="N1019" s="9"/>
      <c r="O1019" s="9"/>
      <c r="P1019" s="9"/>
      <c r="Q1019" s="9"/>
      <c r="R1019" s="9"/>
      <c r="S1019" s="9"/>
      <c r="T1019" s="9"/>
      <c r="U1019" s="9"/>
      <c r="V1019" s="9"/>
      <c r="W1019" s="9"/>
      <c r="X1019" s="589"/>
      <c r="Y1019" s="9"/>
      <c r="Z1019" s="204"/>
      <c r="AA1019" s="9"/>
      <c r="AB1019" s="9"/>
      <c r="AC1019" s="9"/>
      <c r="AD1019" s="9"/>
    </row>
    <row r="1020" ht="15.75" customHeight="1">
      <c r="A1020" s="9"/>
      <c r="B1020" s="9"/>
      <c r="C1020" s="9"/>
      <c r="D1020" s="9"/>
      <c r="E1020" s="9"/>
      <c r="F1020" s="9"/>
      <c r="G1020" s="9"/>
      <c r="H1020" s="9"/>
      <c r="I1020" s="9"/>
      <c r="J1020" s="9"/>
      <c r="K1020" s="9"/>
      <c r="L1020" s="556"/>
      <c r="M1020" s="9"/>
      <c r="N1020" s="9"/>
      <c r="O1020" s="9"/>
      <c r="P1020" s="9"/>
      <c r="Q1020" s="9"/>
      <c r="R1020" s="9"/>
      <c r="S1020" s="9"/>
      <c r="T1020" s="9"/>
      <c r="U1020" s="9"/>
      <c r="V1020" s="9"/>
      <c r="W1020" s="9"/>
      <c r="X1020" s="589"/>
      <c r="Y1020" s="9"/>
      <c r="Z1020" s="204"/>
      <c r="AA1020" s="9"/>
      <c r="AB1020" s="9"/>
      <c r="AC1020" s="9"/>
      <c r="AD1020" s="9"/>
    </row>
    <row r="1021" ht="15.75" customHeight="1">
      <c r="A1021" s="9"/>
      <c r="B1021" s="9"/>
      <c r="C1021" s="9"/>
      <c r="D1021" s="9"/>
      <c r="E1021" s="9"/>
      <c r="F1021" s="9"/>
      <c r="G1021" s="9"/>
      <c r="H1021" s="9"/>
      <c r="I1021" s="9"/>
      <c r="J1021" s="9"/>
      <c r="K1021" s="9"/>
      <c r="L1021" s="556"/>
      <c r="M1021" s="9"/>
      <c r="N1021" s="9"/>
      <c r="O1021" s="9"/>
      <c r="P1021" s="9"/>
      <c r="Q1021" s="9"/>
      <c r="R1021" s="9"/>
      <c r="S1021" s="9"/>
      <c r="T1021" s="9"/>
      <c r="U1021" s="9"/>
      <c r="V1021" s="9"/>
      <c r="W1021" s="9"/>
      <c r="X1021" s="589"/>
      <c r="Y1021" s="9"/>
      <c r="Z1021" s="204"/>
      <c r="AA1021" s="9"/>
      <c r="AB1021" s="9"/>
      <c r="AC1021" s="9"/>
      <c r="AD1021" s="9"/>
    </row>
    <row r="1022" ht="15.75" customHeight="1">
      <c r="A1022" s="9"/>
      <c r="B1022" s="9"/>
      <c r="C1022" s="9"/>
      <c r="D1022" s="9"/>
      <c r="E1022" s="9"/>
      <c r="F1022" s="9"/>
      <c r="G1022" s="9"/>
      <c r="H1022" s="9"/>
      <c r="I1022" s="9"/>
      <c r="J1022" s="9"/>
      <c r="K1022" s="9"/>
      <c r="L1022" s="556"/>
      <c r="M1022" s="9"/>
      <c r="N1022" s="9"/>
      <c r="O1022" s="9"/>
      <c r="P1022" s="9"/>
      <c r="Q1022" s="9"/>
      <c r="R1022" s="9"/>
      <c r="S1022" s="9"/>
      <c r="T1022" s="9"/>
      <c r="U1022" s="9"/>
      <c r="V1022" s="9"/>
      <c r="W1022" s="9"/>
      <c r="X1022" s="589"/>
      <c r="Y1022" s="9"/>
      <c r="Z1022" s="204"/>
      <c r="AA1022" s="9"/>
      <c r="AB1022" s="9"/>
      <c r="AC1022" s="9"/>
      <c r="AD1022" s="9"/>
    </row>
    <row r="1023" ht="15.75" customHeight="1">
      <c r="A1023" s="9"/>
      <c r="B1023" s="9"/>
      <c r="C1023" s="9"/>
      <c r="D1023" s="9"/>
      <c r="E1023" s="9"/>
      <c r="F1023" s="9"/>
      <c r="G1023" s="9"/>
      <c r="H1023" s="9"/>
      <c r="I1023" s="9"/>
      <c r="J1023" s="9"/>
      <c r="K1023" s="9"/>
      <c r="L1023" s="556"/>
      <c r="M1023" s="9"/>
      <c r="N1023" s="9"/>
      <c r="O1023" s="9"/>
      <c r="P1023" s="9"/>
      <c r="Q1023" s="9"/>
      <c r="R1023" s="9"/>
      <c r="S1023" s="9"/>
      <c r="T1023" s="9"/>
      <c r="U1023" s="9"/>
      <c r="V1023" s="9"/>
      <c r="W1023" s="9"/>
      <c r="X1023" s="589"/>
      <c r="Y1023" s="9"/>
      <c r="Z1023" s="204"/>
      <c r="AA1023" s="9"/>
      <c r="AB1023" s="9"/>
      <c r="AC1023" s="9"/>
      <c r="AD1023" s="9"/>
    </row>
    <row r="1024" ht="15.75" customHeight="1">
      <c r="A1024" s="9"/>
      <c r="B1024" s="9"/>
      <c r="C1024" s="9"/>
      <c r="D1024" s="9"/>
      <c r="E1024" s="9"/>
      <c r="F1024" s="9"/>
      <c r="G1024" s="9"/>
      <c r="H1024" s="9"/>
      <c r="I1024" s="9"/>
      <c r="J1024" s="9"/>
      <c r="K1024" s="9"/>
      <c r="L1024" s="556"/>
      <c r="M1024" s="9"/>
      <c r="N1024" s="9"/>
      <c r="O1024" s="9"/>
      <c r="P1024" s="9"/>
      <c r="Q1024" s="9"/>
      <c r="R1024" s="9"/>
      <c r="S1024" s="9"/>
      <c r="T1024" s="9"/>
      <c r="U1024" s="9"/>
      <c r="V1024" s="9"/>
      <c r="W1024" s="9"/>
      <c r="X1024" s="589"/>
      <c r="Y1024" s="9"/>
      <c r="Z1024" s="204"/>
      <c r="AA1024" s="9"/>
      <c r="AB1024" s="9"/>
      <c r="AC1024" s="9"/>
      <c r="AD1024" s="9"/>
    </row>
    <row r="1025" ht="15.75" customHeight="1">
      <c r="A1025" s="9"/>
      <c r="B1025" s="9"/>
      <c r="C1025" s="9"/>
      <c r="D1025" s="9"/>
      <c r="E1025" s="9"/>
      <c r="F1025" s="9"/>
      <c r="G1025" s="9"/>
      <c r="H1025" s="9"/>
      <c r="I1025" s="9"/>
      <c r="J1025" s="9"/>
      <c r="K1025" s="9"/>
      <c r="L1025" s="556"/>
      <c r="M1025" s="9"/>
      <c r="N1025" s="9"/>
      <c r="O1025" s="9"/>
      <c r="P1025" s="9"/>
      <c r="Q1025" s="9"/>
      <c r="R1025" s="9"/>
      <c r="S1025" s="9"/>
      <c r="T1025" s="9"/>
      <c r="U1025" s="9"/>
      <c r="V1025" s="9"/>
      <c r="W1025" s="9"/>
      <c r="X1025" s="589"/>
      <c r="Y1025" s="9"/>
      <c r="Z1025" s="204"/>
      <c r="AA1025" s="9"/>
      <c r="AB1025" s="9"/>
      <c r="AC1025" s="9"/>
      <c r="AD1025" s="9"/>
    </row>
    <row r="1026" ht="15.75" customHeight="1">
      <c r="A1026" s="9"/>
      <c r="B1026" s="9"/>
      <c r="C1026" s="9"/>
      <c r="D1026" s="9"/>
      <c r="E1026" s="9"/>
      <c r="F1026" s="9"/>
      <c r="G1026" s="9"/>
      <c r="H1026" s="9"/>
      <c r="I1026" s="9"/>
      <c r="J1026" s="9"/>
      <c r="K1026" s="9"/>
      <c r="L1026" s="556"/>
      <c r="M1026" s="9"/>
      <c r="N1026" s="9"/>
      <c r="O1026" s="9"/>
      <c r="P1026" s="9"/>
      <c r="Q1026" s="9"/>
      <c r="R1026" s="9"/>
      <c r="S1026" s="9"/>
      <c r="T1026" s="9"/>
      <c r="U1026" s="9"/>
      <c r="V1026" s="9"/>
      <c r="W1026" s="9"/>
      <c r="X1026" s="589"/>
      <c r="Y1026" s="9"/>
      <c r="Z1026" s="204"/>
      <c r="AA1026" s="9"/>
      <c r="AB1026" s="9"/>
      <c r="AC1026" s="9"/>
      <c r="AD1026" s="9"/>
    </row>
    <row r="1027" ht="15.75" customHeight="1">
      <c r="A1027" s="9"/>
      <c r="B1027" s="9"/>
      <c r="C1027" s="9"/>
      <c r="D1027" s="9"/>
      <c r="E1027" s="9"/>
      <c r="F1027" s="9"/>
      <c r="G1027" s="9"/>
      <c r="H1027" s="9"/>
      <c r="I1027" s="9"/>
      <c r="J1027" s="9"/>
      <c r="K1027" s="9"/>
      <c r="L1027" s="556"/>
      <c r="M1027" s="9"/>
      <c r="N1027" s="9"/>
      <c r="O1027" s="9"/>
      <c r="P1027" s="9"/>
      <c r="Q1027" s="9"/>
      <c r="R1027" s="9"/>
      <c r="S1027" s="9"/>
      <c r="T1027" s="9"/>
      <c r="U1027" s="9"/>
      <c r="V1027" s="9"/>
      <c r="W1027" s="9"/>
      <c r="X1027" s="589"/>
      <c r="Y1027" s="9"/>
      <c r="Z1027" s="204"/>
      <c r="AA1027" s="9"/>
      <c r="AB1027" s="9"/>
      <c r="AC1027" s="9"/>
      <c r="AD1027" s="9"/>
    </row>
    <row r="1028" ht="15.75" customHeight="1">
      <c r="A1028" s="9"/>
      <c r="B1028" s="9"/>
      <c r="C1028" s="9"/>
      <c r="D1028" s="9"/>
      <c r="E1028" s="9"/>
      <c r="F1028" s="9"/>
      <c r="G1028" s="9"/>
      <c r="H1028" s="9"/>
      <c r="I1028" s="9"/>
      <c r="J1028" s="9"/>
      <c r="K1028" s="9"/>
      <c r="L1028" s="556"/>
      <c r="M1028" s="9"/>
      <c r="N1028" s="9"/>
      <c r="O1028" s="9"/>
      <c r="P1028" s="9"/>
      <c r="Q1028" s="9"/>
      <c r="R1028" s="9"/>
      <c r="S1028" s="9"/>
      <c r="T1028" s="9"/>
      <c r="U1028" s="9"/>
      <c r="V1028" s="9"/>
      <c r="W1028" s="9"/>
      <c r="X1028" s="589"/>
      <c r="Y1028" s="9"/>
      <c r="Z1028" s="204"/>
      <c r="AA1028" s="9"/>
      <c r="AB1028" s="9"/>
      <c r="AC1028" s="9"/>
      <c r="AD1028" s="9"/>
    </row>
    <row r="1029" ht="15.75" customHeight="1">
      <c r="A1029" s="9"/>
      <c r="B1029" s="9"/>
      <c r="C1029" s="9"/>
      <c r="D1029" s="9"/>
      <c r="E1029" s="9"/>
      <c r="F1029" s="9"/>
      <c r="G1029" s="9"/>
      <c r="H1029" s="9"/>
      <c r="I1029" s="9"/>
      <c r="J1029" s="9"/>
      <c r="K1029" s="9"/>
      <c r="L1029" s="556"/>
      <c r="M1029" s="9"/>
      <c r="N1029" s="9"/>
      <c r="O1029" s="9"/>
      <c r="P1029" s="9"/>
      <c r="Q1029" s="9"/>
      <c r="R1029" s="9"/>
      <c r="S1029" s="9"/>
      <c r="T1029" s="9"/>
      <c r="U1029" s="9"/>
      <c r="V1029" s="9"/>
      <c r="W1029" s="9"/>
      <c r="X1029" s="589"/>
      <c r="Y1029" s="9"/>
      <c r="Z1029" s="204"/>
      <c r="AA1029" s="9"/>
      <c r="AB1029" s="9"/>
      <c r="AC1029" s="9"/>
      <c r="AD1029" s="9"/>
    </row>
    <row r="1030" ht="15.75" customHeight="1">
      <c r="A1030" s="9"/>
      <c r="B1030" s="9"/>
      <c r="C1030" s="9"/>
      <c r="D1030" s="9"/>
      <c r="E1030" s="9"/>
      <c r="F1030" s="9"/>
      <c r="G1030" s="9"/>
      <c r="H1030" s="9"/>
      <c r="I1030" s="9"/>
      <c r="J1030" s="9"/>
      <c r="K1030" s="9"/>
      <c r="L1030" s="556"/>
      <c r="M1030" s="9"/>
      <c r="N1030" s="9"/>
      <c r="O1030" s="9"/>
      <c r="P1030" s="9"/>
      <c r="Q1030" s="9"/>
      <c r="R1030" s="9"/>
      <c r="S1030" s="9"/>
      <c r="T1030" s="9"/>
      <c r="U1030" s="9"/>
      <c r="V1030" s="9"/>
      <c r="W1030" s="9"/>
      <c r="X1030" s="589"/>
      <c r="Y1030" s="9"/>
      <c r="Z1030" s="204"/>
      <c r="AA1030" s="9"/>
      <c r="AB1030" s="9"/>
      <c r="AC1030" s="9"/>
      <c r="AD1030" s="9"/>
    </row>
    <row r="1031" ht="15.75" customHeight="1">
      <c r="A1031" s="9"/>
      <c r="B1031" s="9"/>
      <c r="C1031" s="9"/>
      <c r="D1031" s="9"/>
      <c r="E1031" s="9"/>
      <c r="F1031" s="9"/>
      <c r="G1031" s="9"/>
      <c r="H1031" s="9"/>
      <c r="I1031" s="9"/>
      <c r="J1031" s="9"/>
      <c r="K1031" s="9"/>
      <c r="L1031" s="556"/>
      <c r="M1031" s="9"/>
      <c r="N1031" s="9"/>
      <c r="O1031" s="9"/>
      <c r="P1031" s="9"/>
      <c r="Q1031" s="9"/>
      <c r="R1031" s="9"/>
      <c r="S1031" s="9"/>
      <c r="T1031" s="9"/>
      <c r="U1031" s="9"/>
      <c r="V1031" s="9"/>
      <c r="W1031" s="9"/>
      <c r="X1031" s="589"/>
      <c r="Y1031" s="9"/>
      <c r="Z1031" s="204"/>
      <c r="AA1031" s="9"/>
      <c r="AB1031" s="9"/>
      <c r="AC1031" s="9"/>
      <c r="AD1031" s="9"/>
    </row>
    <row r="1032" ht="15.75" customHeight="1">
      <c r="A1032" s="9"/>
      <c r="B1032" s="9"/>
      <c r="C1032" s="9"/>
      <c r="D1032" s="9"/>
      <c r="E1032" s="9"/>
      <c r="F1032" s="9"/>
      <c r="G1032" s="9"/>
      <c r="H1032" s="9"/>
      <c r="I1032" s="9"/>
      <c r="J1032" s="9"/>
      <c r="K1032" s="9"/>
      <c r="L1032" s="556"/>
      <c r="M1032" s="9"/>
      <c r="N1032" s="9"/>
      <c r="O1032" s="9"/>
      <c r="P1032" s="9"/>
      <c r="Q1032" s="9"/>
      <c r="R1032" s="9"/>
      <c r="S1032" s="9"/>
      <c r="T1032" s="9"/>
      <c r="U1032" s="9"/>
      <c r="V1032" s="9"/>
      <c r="W1032" s="9"/>
      <c r="X1032" s="589"/>
      <c r="Y1032" s="9"/>
      <c r="Z1032" s="204"/>
      <c r="AA1032" s="9"/>
      <c r="AB1032" s="9"/>
      <c r="AC1032" s="9"/>
      <c r="AD1032" s="9"/>
    </row>
    <row r="1033" ht="15.75" customHeight="1">
      <c r="A1033" s="9"/>
      <c r="B1033" s="9"/>
      <c r="C1033" s="9"/>
      <c r="D1033" s="9"/>
      <c r="E1033" s="9"/>
      <c r="F1033" s="9"/>
      <c r="G1033" s="9"/>
      <c r="H1033" s="9"/>
      <c r="I1033" s="9"/>
      <c r="J1033" s="9"/>
      <c r="K1033" s="9"/>
      <c r="L1033" s="556"/>
      <c r="M1033" s="9"/>
      <c r="N1033" s="9"/>
      <c r="O1033" s="9"/>
      <c r="P1033" s="9"/>
      <c r="Q1033" s="9"/>
      <c r="R1033" s="9"/>
      <c r="S1033" s="9"/>
      <c r="T1033" s="9"/>
      <c r="U1033" s="9"/>
      <c r="V1033" s="9"/>
      <c r="W1033" s="9"/>
      <c r="X1033" s="589"/>
      <c r="Y1033" s="9"/>
      <c r="Z1033" s="204"/>
      <c r="AA1033" s="9"/>
      <c r="AB1033" s="9"/>
      <c r="AC1033" s="9"/>
      <c r="AD1033" s="9"/>
    </row>
    <row r="1034" ht="15.75" customHeight="1">
      <c r="A1034" s="9"/>
      <c r="B1034" s="9"/>
      <c r="C1034" s="9"/>
      <c r="D1034" s="9"/>
      <c r="E1034" s="9"/>
      <c r="F1034" s="9"/>
      <c r="G1034" s="9"/>
      <c r="H1034" s="9"/>
      <c r="I1034" s="9"/>
      <c r="J1034" s="9"/>
      <c r="K1034" s="9"/>
      <c r="L1034" s="556"/>
      <c r="M1034" s="9"/>
      <c r="N1034" s="9"/>
      <c r="O1034" s="9"/>
      <c r="P1034" s="9"/>
      <c r="Q1034" s="9"/>
      <c r="R1034" s="9"/>
      <c r="S1034" s="9"/>
      <c r="T1034" s="9"/>
      <c r="U1034" s="9"/>
      <c r="V1034" s="9"/>
      <c r="W1034" s="9"/>
      <c r="X1034" s="589"/>
      <c r="Y1034" s="9"/>
      <c r="Z1034" s="204"/>
      <c r="AA1034" s="9"/>
      <c r="AB1034" s="9"/>
      <c r="AC1034" s="9"/>
      <c r="AD1034" s="9"/>
    </row>
    <row r="1035" ht="15.75" customHeight="1">
      <c r="A1035" s="9"/>
      <c r="B1035" s="9"/>
      <c r="C1035" s="9"/>
      <c r="D1035" s="9"/>
      <c r="E1035" s="9"/>
      <c r="F1035" s="9"/>
      <c r="G1035" s="9"/>
      <c r="H1035" s="9"/>
      <c r="I1035" s="9"/>
      <c r="J1035" s="9"/>
      <c r="K1035" s="9"/>
      <c r="L1035" s="556"/>
      <c r="M1035" s="9"/>
      <c r="N1035" s="9"/>
      <c r="O1035" s="9"/>
      <c r="P1035" s="9"/>
      <c r="Q1035" s="9"/>
      <c r="R1035" s="9"/>
      <c r="S1035" s="9"/>
      <c r="T1035" s="9"/>
      <c r="U1035" s="9"/>
      <c r="V1035" s="9"/>
      <c r="W1035" s="9"/>
      <c r="X1035" s="589"/>
      <c r="Y1035" s="9"/>
      <c r="Z1035" s="204"/>
      <c r="AA1035" s="9"/>
      <c r="AB1035" s="9"/>
      <c r="AC1035" s="9"/>
      <c r="AD1035" s="9"/>
    </row>
    <row r="1036" ht="15.75" customHeight="1">
      <c r="A1036" s="9"/>
      <c r="B1036" s="9"/>
      <c r="C1036" s="9"/>
      <c r="D1036" s="9"/>
      <c r="E1036" s="9"/>
      <c r="F1036" s="9"/>
      <c r="G1036" s="9"/>
      <c r="H1036" s="9"/>
      <c r="I1036" s="9"/>
      <c r="J1036" s="9"/>
      <c r="K1036" s="9"/>
      <c r="L1036" s="556"/>
      <c r="M1036" s="9"/>
      <c r="N1036" s="9"/>
      <c r="O1036" s="9"/>
      <c r="P1036" s="9"/>
      <c r="Q1036" s="9"/>
      <c r="R1036" s="9"/>
      <c r="S1036" s="9"/>
      <c r="T1036" s="9"/>
      <c r="U1036" s="9"/>
      <c r="V1036" s="9"/>
      <c r="W1036" s="9"/>
      <c r="X1036" s="589"/>
      <c r="Y1036" s="9"/>
      <c r="Z1036" s="204"/>
      <c r="AA1036" s="9"/>
      <c r="AB1036" s="9"/>
      <c r="AC1036" s="9"/>
      <c r="AD1036" s="9"/>
    </row>
    <row r="1037" ht="15.75" customHeight="1">
      <c r="A1037" s="9"/>
      <c r="B1037" s="9"/>
      <c r="C1037" s="9"/>
      <c r="D1037" s="9"/>
      <c r="E1037" s="9"/>
      <c r="F1037" s="9"/>
      <c r="G1037" s="9"/>
      <c r="H1037" s="9"/>
      <c r="I1037" s="9"/>
      <c r="J1037" s="9"/>
      <c r="K1037" s="9"/>
      <c r="L1037" s="556"/>
      <c r="M1037" s="9"/>
      <c r="N1037" s="9"/>
      <c r="O1037" s="9"/>
      <c r="P1037" s="9"/>
      <c r="Q1037" s="9"/>
      <c r="R1037" s="9"/>
      <c r="S1037" s="9"/>
      <c r="T1037" s="9"/>
      <c r="U1037" s="9"/>
      <c r="V1037" s="9"/>
      <c r="W1037" s="9"/>
      <c r="X1037" s="589"/>
      <c r="Y1037" s="9"/>
      <c r="Z1037" s="204"/>
      <c r="AA1037" s="9"/>
      <c r="AB1037" s="9"/>
      <c r="AC1037" s="9"/>
      <c r="AD1037" s="9"/>
    </row>
    <row r="1038" ht="15.75" customHeight="1">
      <c r="A1038" s="9"/>
      <c r="B1038" s="9"/>
      <c r="C1038" s="9"/>
      <c r="D1038" s="9"/>
      <c r="E1038" s="9"/>
      <c r="F1038" s="9"/>
      <c r="G1038" s="9"/>
      <c r="H1038" s="9"/>
      <c r="I1038" s="9"/>
      <c r="J1038" s="9"/>
      <c r="K1038" s="9"/>
      <c r="L1038" s="556"/>
      <c r="M1038" s="9"/>
      <c r="N1038" s="9"/>
      <c r="O1038" s="9"/>
      <c r="P1038" s="9"/>
      <c r="Q1038" s="9"/>
      <c r="R1038" s="9"/>
      <c r="S1038" s="9"/>
      <c r="T1038" s="9"/>
      <c r="U1038" s="9"/>
      <c r="V1038" s="9"/>
      <c r="W1038" s="9"/>
      <c r="X1038" s="589"/>
      <c r="Y1038" s="9"/>
      <c r="Z1038" s="204"/>
      <c r="AA1038" s="9"/>
      <c r="AB1038" s="9"/>
      <c r="AC1038" s="9"/>
      <c r="AD1038" s="9"/>
    </row>
    <row r="1039" ht="15.75" customHeight="1">
      <c r="A1039" s="9"/>
      <c r="B1039" s="9"/>
      <c r="C1039" s="9"/>
      <c r="D1039" s="9"/>
      <c r="E1039" s="9"/>
      <c r="F1039" s="9"/>
      <c r="G1039" s="9"/>
      <c r="H1039" s="9"/>
      <c r="I1039" s="9"/>
      <c r="J1039" s="9"/>
      <c r="K1039" s="9"/>
      <c r="L1039" s="556"/>
      <c r="M1039" s="9"/>
      <c r="N1039" s="9"/>
      <c r="O1039" s="9"/>
      <c r="P1039" s="9"/>
      <c r="Q1039" s="9"/>
      <c r="R1039" s="9"/>
      <c r="S1039" s="9"/>
      <c r="T1039" s="9"/>
      <c r="U1039" s="9"/>
      <c r="V1039" s="9"/>
      <c r="W1039" s="9"/>
      <c r="X1039" s="589"/>
      <c r="Y1039" s="9"/>
      <c r="Z1039" s="204"/>
      <c r="AA1039" s="9"/>
      <c r="AB1039" s="9"/>
      <c r="AC1039" s="9"/>
      <c r="AD1039" s="9"/>
    </row>
    <row r="1040" ht="15.75" customHeight="1">
      <c r="A1040" s="9"/>
      <c r="B1040" s="9"/>
      <c r="C1040" s="9"/>
      <c r="D1040" s="9"/>
      <c r="E1040" s="9"/>
      <c r="F1040" s="9"/>
      <c r="G1040" s="9"/>
      <c r="H1040" s="9"/>
      <c r="I1040" s="9"/>
      <c r="J1040" s="9"/>
      <c r="K1040" s="9"/>
      <c r="L1040" s="556"/>
      <c r="M1040" s="9"/>
      <c r="N1040" s="9"/>
      <c r="O1040" s="9"/>
      <c r="P1040" s="9"/>
      <c r="Q1040" s="9"/>
      <c r="R1040" s="9"/>
      <c r="S1040" s="9"/>
      <c r="T1040" s="9"/>
      <c r="U1040" s="9"/>
      <c r="V1040" s="9"/>
      <c r="W1040" s="9"/>
      <c r="X1040" s="589"/>
      <c r="Y1040" s="9"/>
      <c r="Z1040" s="204"/>
      <c r="AA1040" s="9"/>
      <c r="AB1040" s="9"/>
      <c r="AC1040" s="9"/>
      <c r="AD1040" s="9"/>
    </row>
    <row r="1041" ht="15.75" customHeight="1">
      <c r="A1041" s="9"/>
      <c r="B1041" s="9"/>
      <c r="C1041" s="9"/>
      <c r="D1041" s="9"/>
      <c r="E1041" s="9"/>
      <c r="F1041" s="9"/>
      <c r="G1041" s="9"/>
      <c r="H1041" s="9"/>
      <c r="I1041" s="9"/>
      <c r="J1041" s="9"/>
      <c r="K1041" s="9"/>
      <c r="L1041" s="556"/>
      <c r="M1041" s="9"/>
      <c r="N1041" s="9"/>
      <c r="O1041" s="9"/>
      <c r="P1041" s="9"/>
      <c r="Q1041" s="9"/>
      <c r="R1041" s="9"/>
      <c r="S1041" s="9"/>
      <c r="T1041" s="9"/>
      <c r="U1041" s="9"/>
      <c r="V1041" s="9"/>
      <c r="W1041" s="9"/>
      <c r="X1041" s="589"/>
      <c r="Y1041" s="9"/>
      <c r="Z1041" s="204"/>
      <c r="AA1041" s="9"/>
      <c r="AB1041" s="9"/>
      <c r="AC1041" s="9"/>
      <c r="AD1041" s="9"/>
    </row>
    <row r="1042" ht="15.75" customHeight="1">
      <c r="A1042" s="9"/>
      <c r="B1042" s="9"/>
      <c r="C1042" s="9"/>
      <c r="D1042" s="9"/>
      <c r="E1042" s="9"/>
      <c r="F1042" s="9"/>
      <c r="G1042" s="9"/>
      <c r="H1042" s="9"/>
      <c r="I1042" s="9"/>
      <c r="J1042" s="9"/>
      <c r="K1042" s="9"/>
      <c r="L1042" s="556"/>
      <c r="M1042" s="9"/>
      <c r="N1042" s="9"/>
      <c r="O1042" s="9"/>
      <c r="P1042" s="9"/>
      <c r="Q1042" s="9"/>
      <c r="R1042" s="9"/>
      <c r="S1042" s="9"/>
      <c r="T1042" s="9"/>
      <c r="U1042" s="9"/>
      <c r="V1042" s="9"/>
      <c r="W1042" s="9"/>
      <c r="X1042" s="589"/>
      <c r="Y1042" s="9"/>
      <c r="Z1042" s="204"/>
      <c r="AA1042" s="9"/>
      <c r="AB1042" s="9"/>
      <c r="AC1042" s="9"/>
      <c r="AD1042" s="9"/>
    </row>
    <row r="1043" ht="15.75" customHeight="1">
      <c r="A1043" s="9"/>
      <c r="B1043" s="9"/>
      <c r="C1043" s="9"/>
      <c r="D1043" s="9"/>
      <c r="E1043" s="9"/>
      <c r="F1043" s="9"/>
      <c r="G1043" s="9"/>
      <c r="H1043" s="9"/>
      <c r="I1043" s="9"/>
      <c r="J1043" s="9"/>
      <c r="K1043" s="9"/>
      <c r="L1043" s="556"/>
      <c r="M1043" s="9"/>
      <c r="N1043" s="9"/>
      <c r="O1043" s="9"/>
      <c r="P1043" s="9"/>
      <c r="Q1043" s="9"/>
      <c r="R1043" s="9"/>
      <c r="S1043" s="9"/>
      <c r="T1043" s="9"/>
      <c r="U1043" s="9"/>
      <c r="V1043" s="9"/>
      <c r="W1043" s="9"/>
      <c r="X1043" s="589"/>
      <c r="Y1043" s="9"/>
      <c r="Z1043" s="204"/>
      <c r="AA1043" s="9"/>
      <c r="AB1043" s="9"/>
      <c r="AC1043" s="9"/>
      <c r="AD1043" s="9"/>
    </row>
    <row r="1044" ht="15.75" customHeight="1">
      <c r="A1044" s="9"/>
      <c r="B1044" s="9"/>
      <c r="C1044" s="9"/>
      <c r="D1044" s="9"/>
      <c r="E1044" s="9"/>
      <c r="F1044" s="9"/>
      <c r="G1044" s="9"/>
      <c r="H1044" s="9"/>
      <c r="I1044" s="9"/>
      <c r="J1044" s="9"/>
      <c r="K1044" s="9"/>
      <c r="L1044" s="556"/>
      <c r="M1044" s="9"/>
      <c r="N1044" s="9"/>
      <c r="O1044" s="9"/>
      <c r="P1044" s="9"/>
      <c r="Q1044" s="9"/>
      <c r="R1044" s="9"/>
      <c r="S1044" s="9"/>
      <c r="T1044" s="9"/>
      <c r="U1044" s="9"/>
      <c r="V1044" s="9"/>
      <c r="W1044" s="9"/>
      <c r="X1044" s="589"/>
      <c r="Y1044" s="9"/>
      <c r="Z1044" s="204"/>
      <c r="AA1044" s="9"/>
      <c r="AB1044" s="9"/>
      <c r="AC1044" s="9"/>
      <c r="AD1044" s="9"/>
    </row>
    <row r="1045" ht="15.75" customHeight="1">
      <c r="A1045" s="9"/>
      <c r="B1045" s="9"/>
      <c r="C1045" s="9"/>
      <c r="D1045" s="9"/>
      <c r="E1045" s="9"/>
      <c r="F1045" s="9"/>
      <c r="G1045" s="9"/>
      <c r="H1045" s="9"/>
      <c r="I1045" s="9"/>
      <c r="J1045" s="9"/>
      <c r="K1045" s="9"/>
      <c r="L1045" s="556"/>
      <c r="M1045" s="9"/>
      <c r="N1045" s="9"/>
      <c r="O1045" s="9"/>
      <c r="P1045" s="9"/>
      <c r="Q1045" s="9"/>
      <c r="R1045" s="9"/>
      <c r="S1045" s="9"/>
      <c r="T1045" s="9"/>
      <c r="U1045" s="9"/>
      <c r="V1045" s="9"/>
      <c r="W1045" s="9"/>
      <c r="X1045" s="589"/>
      <c r="Y1045" s="9"/>
      <c r="Z1045" s="204"/>
      <c r="AA1045" s="9"/>
      <c r="AB1045" s="9"/>
      <c r="AC1045" s="9"/>
      <c r="AD1045" s="9"/>
    </row>
    <row r="1046" ht="15.75" customHeight="1">
      <c r="A1046" s="9"/>
      <c r="B1046" s="9"/>
      <c r="C1046" s="9"/>
      <c r="D1046" s="9"/>
      <c r="E1046" s="9"/>
      <c r="F1046" s="9"/>
      <c r="G1046" s="9"/>
      <c r="H1046" s="9"/>
      <c r="I1046" s="9"/>
      <c r="J1046" s="9"/>
      <c r="K1046" s="9"/>
      <c r="L1046" s="556"/>
      <c r="M1046" s="9"/>
      <c r="N1046" s="9"/>
      <c r="O1046" s="9"/>
      <c r="P1046" s="9"/>
      <c r="Q1046" s="9"/>
      <c r="R1046" s="9"/>
      <c r="S1046" s="9"/>
      <c r="T1046" s="9"/>
      <c r="U1046" s="9"/>
      <c r="V1046" s="9"/>
      <c r="W1046" s="9"/>
      <c r="X1046" s="589"/>
      <c r="Y1046" s="9"/>
      <c r="Z1046" s="204"/>
      <c r="AA1046" s="9"/>
      <c r="AB1046" s="9"/>
      <c r="AC1046" s="9"/>
      <c r="AD1046" s="9"/>
    </row>
    <row r="1047" ht="15.75" customHeight="1">
      <c r="A1047" s="9"/>
      <c r="B1047" s="9"/>
      <c r="C1047" s="9"/>
      <c r="D1047" s="9"/>
      <c r="E1047" s="9"/>
      <c r="F1047" s="9"/>
      <c r="G1047" s="9"/>
      <c r="H1047" s="9"/>
      <c r="I1047" s="9"/>
      <c r="J1047" s="9"/>
      <c r="K1047" s="9"/>
      <c r="L1047" s="556"/>
      <c r="M1047" s="9"/>
      <c r="N1047" s="9"/>
      <c r="O1047" s="9"/>
      <c r="P1047" s="9"/>
      <c r="Q1047" s="9"/>
      <c r="R1047" s="9"/>
      <c r="S1047" s="9"/>
      <c r="T1047" s="9"/>
      <c r="U1047" s="9"/>
      <c r="V1047" s="9"/>
      <c r="W1047" s="9"/>
      <c r="X1047" s="589"/>
      <c r="Y1047" s="9"/>
      <c r="Z1047" s="204"/>
      <c r="AA1047" s="9"/>
      <c r="AB1047" s="9"/>
      <c r="AC1047" s="9"/>
      <c r="AD1047" s="9"/>
    </row>
    <row r="1048" ht="15.75" customHeight="1">
      <c r="A1048" s="9"/>
      <c r="B1048" s="9"/>
      <c r="C1048" s="9"/>
      <c r="D1048" s="9"/>
      <c r="E1048" s="9"/>
      <c r="F1048" s="9"/>
      <c r="G1048" s="9"/>
      <c r="H1048" s="9"/>
      <c r="I1048" s="9"/>
      <c r="J1048" s="9"/>
      <c r="K1048" s="9"/>
      <c r="L1048" s="556"/>
      <c r="M1048" s="9"/>
      <c r="N1048" s="9"/>
      <c r="O1048" s="9"/>
      <c r="P1048" s="9"/>
      <c r="Q1048" s="9"/>
      <c r="R1048" s="9"/>
      <c r="S1048" s="9"/>
      <c r="T1048" s="9"/>
      <c r="U1048" s="9"/>
      <c r="V1048" s="9"/>
      <c r="W1048" s="9"/>
      <c r="X1048" s="589"/>
      <c r="Y1048" s="9"/>
      <c r="Z1048" s="204"/>
      <c r="AA1048" s="9"/>
      <c r="AB1048" s="9"/>
      <c r="AC1048" s="9"/>
      <c r="AD1048" s="9"/>
    </row>
    <row r="1049" ht="15.75" customHeight="1">
      <c r="A1049" s="9"/>
      <c r="B1049" s="9"/>
      <c r="C1049" s="9"/>
      <c r="D1049" s="9"/>
      <c r="E1049" s="9"/>
      <c r="F1049" s="9"/>
      <c r="G1049" s="9"/>
      <c r="H1049" s="9"/>
      <c r="I1049" s="9"/>
      <c r="J1049" s="9"/>
      <c r="K1049" s="9"/>
      <c r="L1049" s="556"/>
      <c r="M1049" s="9"/>
      <c r="N1049" s="9"/>
      <c r="O1049" s="9"/>
      <c r="P1049" s="9"/>
      <c r="Q1049" s="9"/>
      <c r="R1049" s="9"/>
      <c r="S1049" s="9"/>
      <c r="T1049" s="9"/>
      <c r="U1049" s="9"/>
      <c r="V1049" s="9"/>
      <c r="W1049" s="9"/>
      <c r="X1049" s="589"/>
      <c r="Y1049" s="9"/>
      <c r="Z1049" s="204"/>
      <c r="AA1049" s="9"/>
      <c r="AB1049" s="9"/>
      <c r="AC1049" s="9"/>
      <c r="AD1049" s="9"/>
    </row>
    <row r="1050" ht="15.75" customHeight="1">
      <c r="A1050" s="9"/>
      <c r="B1050" s="9"/>
      <c r="C1050" s="9"/>
      <c r="D1050" s="9"/>
      <c r="E1050" s="9"/>
      <c r="F1050" s="9"/>
      <c r="G1050" s="9"/>
      <c r="H1050" s="9"/>
      <c r="I1050" s="9"/>
      <c r="J1050" s="9"/>
      <c r="K1050" s="9"/>
      <c r="L1050" s="556"/>
      <c r="M1050" s="9"/>
      <c r="N1050" s="9"/>
      <c r="O1050" s="9"/>
      <c r="P1050" s="9"/>
      <c r="Q1050" s="9"/>
      <c r="R1050" s="9"/>
      <c r="S1050" s="9"/>
      <c r="T1050" s="9"/>
      <c r="U1050" s="9"/>
      <c r="V1050" s="9"/>
      <c r="W1050" s="9"/>
      <c r="X1050" s="589"/>
      <c r="Y1050" s="9"/>
      <c r="Z1050" s="204"/>
      <c r="AA1050" s="9"/>
      <c r="AB1050" s="9"/>
      <c r="AC1050" s="9"/>
      <c r="AD1050" s="9"/>
    </row>
    <row r="1051" ht="15.75" customHeight="1">
      <c r="A1051" s="9"/>
      <c r="B1051" s="9"/>
      <c r="C1051" s="9"/>
      <c r="D1051" s="9"/>
      <c r="E1051" s="9"/>
      <c r="F1051" s="9"/>
      <c r="G1051" s="9"/>
      <c r="H1051" s="9"/>
      <c r="I1051" s="9"/>
      <c r="J1051" s="9"/>
      <c r="K1051" s="9"/>
      <c r="L1051" s="556"/>
      <c r="M1051" s="9"/>
      <c r="N1051" s="9"/>
      <c r="O1051" s="9"/>
      <c r="P1051" s="9"/>
      <c r="Q1051" s="9"/>
      <c r="R1051" s="9"/>
      <c r="S1051" s="9"/>
      <c r="T1051" s="9"/>
      <c r="U1051" s="9"/>
      <c r="V1051" s="9"/>
      <c r="W1051" s="9"/>
      <c r="X1051" s="589"/>
      <c r="Y1051" s="9"/>
      <c r="Z1051" s="204"/>
      <c r="AA1051" s="9"/>
      <c r="AB1051" s="9"/>
      <c r="AC1051" s="9"/>
      <c r="AD1051" s="9"/>
    </row>
    <row r="1052" ht="15.75" customHeight="1">
      <c r="A1052" s="9"/>
      <c r="B1052" s="9"/>
      <c r="C1052" s="9"/>
      <c r="D1052" s="9"/>
      <c r="E1052" s="9"/>
      <c r="F1052" s="9"/>
      <c r="G1052" s="9"/>
      <c r="H1052" s="9"/>
      <c r="I1052" s="9"/>
      <c r="J1052" s="9"/>
      <c r="K1052" s="9"/>
      <c r="L1052" s="556"/>
      <c r="M1052" s="9"/>
      <c r="N1052" s="9"/>
      <c r="O1052" s="9"/>
      <c r="P1052" s="9"/>
      <c r="Q1052" s="9"/>
      <c r="R1052" s="9"/>
      <c r="S1052" s="9"/>
      <c r="T1052" s="9"/>
      <c r="U1052" s="9"/>
      <c r="V1052" s="9"/>
      <c r="W1052" s="9"/>
      <c r="X1052" s="589"/>
      <c r="Y1052" s="9"/>
      <c r="Z1052" s="204"/>
      <c r="AA1052" s="9"/>
      <c r="AB1052" s="9"/>
      <c r="AC1052" s="9"/>
      <c r="AD1052" s="9"/>
    </row>
    <row r="1053" ht="15.75" customHeight="1">
      <c r="A1053" s="9"/>
      <c r="B1053" s="9"/>
      <c r="C1053" s="9"/>
      <c r="D1053" s="9"/>
      <c r="E1053" s="9"/>
      <c r="F1053" s="9"/>
      <c r="G1053" s="9"/>
      <c r="H1053" s="9"/>
      <c r="I1053" s="9"/>
      <c r="J1053" s="9"/>
      <c r="K1053" s="9"/>
      <c r="L1053" s="556"/>
      <c r="M1053" s="9"/>
      <c r="N1053" s="9"/>
      <c r="O1053" s="9"/>
      <c r="P1053" s="9"/>
      <c r="Q1053" s="9"/>
      <c r="R1053" s="9"/>
      <c r="S1053" s="9"/>
      <c r="T1053" s="9"/>
      <c r="U1053" s="9"/>
      <c r="V1053" s="9"/>
      <c r="W1053" s="9"/>
      <c r="X1053" s="589"/>
      <c r="Y1053" s="9"/>
      <c r="Z1053" s="204"/>
      <c r="AA1053" s="9"/>
      <c r="AB1053" s="9"/>
      <c r="AC1053" s="9"/>
      <c r="AD1053" s="9"/>
    </row>
    <row r="1054" ht="15.75" customHeight="1">
      <c r="A1054" s="9"/>
      <c r="B1054" s="9"/>
      <c r="C1054" s="9"/>
      <c r="D1054" s="9"/>
      <c r="E1054" s="9"/>
      <c r="F1054" s="9"/>
      <c r="G1054" s="9"/>
      <c r="H1054" s="9"/>
      <c r="I1054" s="9"/>
      <c r="J1054" s="9"/>
      <c r="K1054" s="9"/>
      <c r="L1054" s="556"/>
      <c r="M1054" s="9"/>
      <c r="N1054" s="9"/>
      <c r="O1054" s="9"/>
      <c r="P1054" s="9"/>
      <c r="Q1054" s="9"/>
      <c r="R1054" s="9"/>
      <c r="S1054" s="9"/>
      <c r="T1054" s="9"/>
      <c r="U1054" s="9"/>
      <c r="V1054" s="9"/>
      <c r="W1054" s="9"/>
      <c r="X1054" s="589"/>
      <c r="Y1054" s="9"/>
      <c r="Z1054" s="204"/>
      <c r="AA1054" s="9"/>
      <c r="AB1054" s="9"/>
      <c r="AC1054" s="9"/>
      <c r="AD1054" s="9"/>
    </row>
    <row r="1055" ht="15.75" customHeight="1">
      <c r="A1055" s="9"/>
      <c r="B1055" s="9"/>
      <c r="C1055" s="9"/>
      <c r="D1055" s="9"/>
      <c r="E1055" s="9"/>
      <c r="F1055" s="9"/>
      <c r="G1055" s="9"/>
      <c r="H1055" s="9"/>
      <c r="I1055" s="9"/>
      <c r="J1055" s="9"/>
      <c r="K1055" s="9"/>
      <c r="L1055" s="556"/>
      <c r="M1055" s="9"/>
      <c r="N1055" s="9"/>
      <c r="O1055" s="9"/>
      <c r="P1055" s="9"/>
      <c r="Q1055" s="9"/>
      <c r="R1055" s="9"/>
      <c r="S1055" s="9"/>
      <c r="T1055" s="9"/>
      <c r="U1055" s="9"/>
      <c r="V1055" s="9"/>
      <c r="W1055" s="9"/>
      <c r="X1055" s="589"/>
      <c r="Y1055" s="9"/>
      <c r="Z1055" s="204"/>
      <c r="AA1055" s="9"/>
      <c r="AB1055" s="9"/>
      <c r="AC1055" s="9"/>
      <c r="AD1055" s="9"/>
    </row>
    <row r="1056" ht="15.75" customHeight="1">
      <c r="A1056" s="9"/>
      <c r="B1056" s="9"/>
      <c r="C1056" s="9"/>
      <c r="D1056" s="9"/>
      <c r="E1056" s="9"/>
      <c r="F1056" s="9"/>
      <c r="G1056" s="9"/>
      <c r="H1056" s="9"/>
      <c r="I1056" s="9"/>
      <c r="J1056" s="9"/>
      <c r="K1056" s="9"/>
      <c r="L1056" s="556"/>
      <c r="M1056" s="9"/>
      <c r="N1056" s="9"/>
      <c r="O1056" s="9"/>
      <c r="P1056" s="9"/>
      <c r="Q1056" s="9"/>
      <c r="R1056" s="9"/>
      <c r="S1056" s="9"/>
      <c r="T1056" s="9"/>
      <c r="U1056" s="9"/>
      <c r="V1056" s="9"/>
      <c r="W1056" s="9"/>
      <c r="X1056" s="589"/>
      <c r="Y1056" s="9"/>
      <c r="Z1056" s="204"/>
      <c r="AA1056" s="9"/>
      <c r="AB1056" s="9"/>
      <c r="AC1056" s="9"/>
      <c r="AD1056" s="9"/>
    </row>
    <row r="1057" ht="15.75" customHeight="1">
      <c r="A1057" s="9"/>
      <c r="B1057" s="9"/>
      <c r="C1057" s="9"/>
      <c r="D1057" s="9"/>
      <c r="E1057" s="9"/>
      <c r="F1057" s="9"/>
      <c r="G1057" s="9"/>
      <c r="H1057" s="9"/>
      <c r="I1057" s="9"/>
      <c r="J1057" s="9"/>
      <c r="K1057" s="9"/>
      <c r="L1057" s="556"/>
      <c r="M1057" s="9"/>
      <c r="N1057" s="9"/>
      <c r="O1057" s="9"/>
      <c r="P1057" s="9"/>
      <c r="Q1057" s="9"/>
      <c r="R1057" s="9"/>
      <c r="S1057" s="9"/>
      <c r="T1057" s="9"/>
      <c r="U1057" s="9"/>
      <c r="V1057" s="9"/>
      <c r="W1057" s="9"/>
      <c r="X1057" s="589"/>
      <c r="Y1057" s="9"/>
      <c r="Z1057" s="204"/>
      <c r="AA1057" s="9"/>
      <c r="AB1057" s="9"/>
      <c r="AC1057" s="9"/>
      <c r="AD1057" s="9"/>
    </row>
    <row r="1058" ht="15.75" customHeight="1">
      <c r="A1058" s="9"/>
      <c r="B1058" s="9"/>
      <c r="C1058" s="9"/>
      <c r="D1058" s="9"/>
      <c r="E1058" s="9"/>
      <c r="F1058" s="9"/>
      <c r="G1058" s="9"/>
      <c r="H1058" s="9"/>
      <c r="I1058" s="9"/>
      <c r="J1058" s="9"/>
      <c r="K1058" s="9"/>
      <c r="L1058" s="556"/>
      <c r="M1058" s="9"/>
      <c r="N1058" s="9"/>
      <c r="O1058" s="9"/>
      <c r="P1058" s="9"/>
      <c r="Q1058" s="9"/>
      <c r="R1058" s="9"/>
      <c r="S1058" s="9"/>
      <c r="T1058" s="9"/>
      <c r="U1058" s="9"/>
      <c r="V1058" s="9"/>
      <c r="W1058" s="9"/>
      <c r="X1058" s="589"/>
      <c r="Y1058" s="9"/>
      <c r="Z1058" s="204"/>
      <c r="AA1058" s="9"/>
      <c r="AB1058" s="9"/>
      <c r="AC1058" s="9"/>
      <c r="AD1058" s="9"/>
    </row>
    <row r="1059" ht="15.75" customHeight="1">
      <c r="A1059" s="9"/>
      <c r="B1059" s="9"/>
      <c r="C1059" s="9"/>
      <c r="D1059" s="9"/>
      <c r="E1059" s="9"/>
      <c r="F1059" s="9"/>
      <c r="G1059" s="9"/>
      <c r="H1059" s="9"/>
      <c r="I1059" s="9"/>
      <c r="J1059" s="9"/>
      <c r="K1059" s="9"/>
      <c r="L1059" s="556"/>
      <c r="M1059" s="9"/>
      <c r="N1059" s="9"/>
      <c r="O1059" s="9"/>
      <c r="P1059" s="9"/>
      <c r="Q1059" s="9"/>
      <c r="R1059" s="9"/>
      <c r="S1059" s="9"/>
      <c r="T1059" s="9"/>
      <c r="U1059" s="9"/>
      <c r="V1059" s="9"/>
      <c r="W1059" s="9"/>
      <c r="X1059" s="589"/>
      <c r="Y1059" s="9"/>
      <c r="Z1059" s="204"/>
      <c r="AA1059" s="9"/>
      <c r="AB1059" s="9"/>
      <c r="AC1059" s="9"/>
      <c r="AD1059" s="9"/>
    </row>
    <row r="1060" ht="15.75" customHeight="1">
      <c r="A1060" s="9"/>
      <c r="B1060" s="9"/>
      <c r="C1060" s="9"/>
      <c r="D1060" s="9"/>
      <c r="E1060" s="9"/>
      <c r="F1060" s="9"/>
      <c r="G1060" s="9"/>
      <c r="H1060" s="9"/>
      <c r="I1060" s="9"/>
      <c r="J1060" s="9"/>
      <c r="K1060" s="9"/>
      <c r="L1060" s="556"/>
      <c r="M1060" s="9"/>
      <c r="N1060" s="9"/>
      <c r="O1060" s="9"/>
      <c r="P1060" s="9"/>
      <c r="Q1060" s="9"/>
      <c r="R1060" s="9"/>
      <c r="S1060" s="9"/>
      <c r="T1060" s="9"/>
      <c r="U1060" s="9"/>
      <c r="V1060" s="9"/>
      <c r="W1060" s="9"/>
      <c r="X1060" s="589"/>
      <c r="Y1060" s="9"/>
      <c r="Z1060" s="204"/>
      <c r="AA1060" s="9"/>
      <c r="AB1060" s="9"/>
      <c r="AC1060" s="9"/>
      <c r="AD1060" s="9"/>
    </row>
    <row r="1061" ht="15.75" customHeight="1">
      <c r="A1061" s="9"/>
      <c r="B1061" s="9"/>
      <c r="C1061" s="9"/>
      <c r="D1061" s="9"/>
      <c r="E1061" s="9"/>
      <c r="F1061" s="9"/>
      <c r="G1061" s="9"/>
      <c r="H1061" s="9"/>
      <c r="I1061" s="9"/>
      <c r="J1061" s="9"/>
      <c r="K1061" s="9"/>
      <c r="L1061" s="556"/>
      <c r="M1061" s="9"/>
      <c r="N1061" s="9"/>
      <c r="O1061" s="9"/>
      <c r="P1061" s="9"/>
      <c r="Q1061" s="9"/>
      <c r="R1061" s="9"/>
      <c r="S1061" s="9"/>
      <c r="T1061" s="9"/>
      <c r="U1061" s="9"/>
      <c r="V1061" s="9"/>
      <c r="W1061" s="9"/>
      <c r="X1061" s="589"/>
      <c r="Y1061" s="9"/>
      <c r="Z1061" s="204"/>
      <c r="AA1061" s="9"/>
      <c r="AB1061" s="9"/>
      <c r="AC1061" s="9"/>
      <c r="AD1061" s="9"/>
    </row>
    <row r="1062" ht="15.75" customHeight="1">
      <c r="A1062" s="9"/>
      <c r="B1062" s="9"/>
      <c r="C1062" s="9"/>
      <c r="D1062" s="9"/>
      <c r="E1062" s="9"/>
      <c r="F1062" s="9"/>
      <c r="G1062" s="9"/>
      <c r="H1062" s="9"/>
      <c r="I1062" s="9"/>
      <c r="J1062" s="9"/>
      <c r="K1062" s="9"/>
      <c r="L1062" s="556"/>
      <c r="M1062" s="9"/>
      <c r="N1062" s="9"/>
      <c r="O1062" s="9"/>
      <c r="P1062" s="9"/>
      <c r="Q1062" s="9"/>
      <c r="R1062" s="9"/>
      <c r="S1062" s="9"/>
      <c r="T1062" s="9"/>
      <c r="U1062" s="9"/>
      <c r="V1062" s="9"/>
      <c r="W1062" s="9"/>
      <c r="X1062" s="589"/>
      <c r="Y1062" s="9"/>
      <c r="Z1062" s="204"/>
      <c r="AA1062" s="9"/>
      <c r="AB1062" s="9"/>
      <c r="AC1062" s="9"/>
      <c r="AD1062" s="9"/>
    </row>
    <row r="1063" ht="15.75" customHeight="1">
      <c r="A1063" s="9"/>
      <c r="B1063" s="9"/>
      <c r="C1063" s="9"/>
      <c r="D1063" s="9"/>
      <c r="E1063" s="9"/>
      <c r="F1063" s="9"/>
      <c r="G1063" s="9"/>
      <c r="H1063" s="9"/>
      <c r="I1063" s="9"/>
      <c r="J1063" s="9"/>
      <c r="K1063" s="9"/>
      <c r="L1063" s="556"/>
      <c r="M1063" s="9"/>
      <c r="N1063" s="9"/>
      <c r="O1063" s="9"/>
      <c r="P1063" s="9"/>
      <c r="Q1063" s="9"/>
      <c r="R1063" s="9"/>
      <c r="S1063" s="9"/>
      <c r="T1063" s="9"/>
      <c r="U1063" s="9"/>
      <c r="V1063" s="9"/>
      <c r="W1063" s="9"/>
      <c r="X1063" s="589"/>
      <c r="Y1063" s="9"/>
      <c r="Z1063" s="204"/>
      <c r="AA1063" s="9"/>
      <c r="AB1063" s="9"/>
      <c r="AC1063" s="9"/>
      <c r="AD1063" s="9"/>
    </row>
    <row r="1064" ht="15.75" customHeight="1">
      <c r="A1064" s="9"/>
      <c r="B1064" s="9"/>
      <c r="C1064" s="9"/>
      <c r="D1064" s="9"/>
      <c r="E1064" s="9"/>
      <c r="F1064" s="9"/>
      <c r="G1064" s="9"/>
      <c r="H1064" s="9"/>
      <c r="I1064" s="9"/>
      <c r="J1064" s="9"/>
      <c r="K1064" s="9"/>
      <c r="L1064" s="556"/>
      <c r="M1064" s="9"/>
      <c r="N1064" s="9"/>
      <c r="O1064" s="9"/>
      <c r="P1064" s="9"/>
      <c r="Q1064" s="9"/>
      <c r="R1064" s="9"/>
      <c r="S1064" s="9"/>
      <c r="T1064" s="9"/>
      <c r="U1064" s="9"/>
      <c r="V1064" s="9"/>
      <c r="W1064" s="9"/>
      <c r="X1064" s="589"/>
      <c r="Y1064" s="9"/>
      <c r="Z1064" s="204"/>
      <c r="AA1064" s="9"/>
      <c r="AB1064" s="9"/>
      <c r="AC1064" s="9"/>
      <c r="AD1064" s="9"/>
    </row>
    <row r="1065" ht="15.75" customHeight="1">
      <c r="A1065" s="9"/>
      <c r="B1065" s="9"/>
      <c r="C1065" s="9"/>
      <c r="D1065" s="9"/>
      <c r="E1065" s="9"/>
      <c r="F1065" s="9"/>
      <c r="G1065" s="9"/>
      <c r="H1065" s="9"/>
      <c r="I1065" s="9"/>
      <c r="J1065" s="9"/>
      <c r="K1065" s="9"/>
      <c r="L1065" s="556"/>
      <c r="M1065" s="9"/>
      <c r="N1065" s="9"/>
      <c r="O1065" s="9"/>
      <c r="P1065" s="9"/>
      <c r="Q1065" s="9"/>
      <c r="R1065" s="9"/>
      <c r="S1065" s="9"/>
      <c r="T1065" s="9"/>
      <c r="U1065" s="9"/>
      <c r="V1065" s="9"/>
      <c r="W1065" s="9"/>
      <c r="X1065" s="589"/>
      <c r="Y1065" s="9"/>
      <c r="Z1065" s="204"/>
      <c r="AA1065" s="9"/>
      <c r="AB1065" s="9"/>
      <c r="AC1065" s="9"/>
      <c r="AD1065" s="9"/>
    </row>
    <row r="1066" ht="15.75" customHeight="1">
      <c r="A1066" s="9"/>
      <c r="B1066" s="9"/>
      <c r="C1066" s="9"/>
      <c r="D1066" s="9"/>
      <c r="E1066" s="9"/>
      <c r="F1066" s="9"/>
      <c r="G1066" s="9"/>
      <c r="H1066" s="9"/>
      <c r="I1066" s="9"/>
      <c r="J1066" s="9"/>
      <c r="K1066" s="9"/>
      <c r="L1066" s="556"/>
      <c r="M1066" s="9"/>
      <c r="N1066" s="9"/>
      <c r="O1066" s="9"/>
      <c r="P1066" s="9"/>
      <c r="Q1066" s="9"/>
      <c r="R1066" s="9"/>
      <c r="S1066" s="9"/>
      <c r="T1066" s="9"/>
      <c r="U1066" s="9"/>
      <c r="V1066" s="9"/>
      <c r="W1066" s="9"/>
      <c r="X1066" s="589"/>
      <c r="Y1066" s="9"/>
      <c r="Z1066" s="204"/>
      <c r="AA1066" s="9"/>
      <c r="AB1066" s="9"/>
      <c r="AC1066" s="9"/>
      <c r="AD1066" s="9"/>
    </row>
    <row r="1067" ht="15.75" customHeight="1">
      <c r="A1067" s="9"/>
      <c r="B1067" s="9"/>
      <c r="C1067" s="9"/>
      <c r="D1067" s="9"/>
      <c r="E1067" s="9"/>
      <c r="F1067" s="9"/>
      <c r="G1067" s="9"/>
      <c r="H1067" s="9"/>
      <c r="I1067" s="9"/>
      <c r="J1067" s="9"/>
      <c r="K1067" s="9"/>
      <c r="L1067" s="556"/>
      <c r="M1067" s="9"/>
      <c r="N1067" s="9"/>
      <c r="O1067" s="9"/>
      <c r="P1067" s="9"/>
      <c r="Q1067" s="9"/>
      <c r="R1067" s="9"/>
      <c r="S1067" s="9"/>
      <c r="T1067" s="9"/>
      <c r="U1067" s="9"/>
      <c r="V1067" s="9"/>
      <c r="W1067" s="9"/>
      <c r="X1067" s="589"/>
      <c r="Y1067" s="9"/>
      <c r="Z1067" s="204"/>
      <c r="AA1067" s="9"/>
      <c r="AB1067" s="9"/>
      <c r="AC1067" s="9"/>
      <c r="AD1067" s="9"/>
    </row>
    <row r="1068" ht="15.75" customHeight="1">
      <c r="A1068" s="9"/>
      <c r="B1068" s="9"/>
      <c r="C1068" s="9"/>
      <c r="D1068" s="9"/>
      <c r="E1068" s="9"/>
      <c r="F1068" s="9"/>
      <c r="G1068" s="9"/>
      <c r="H1068" s="9"/>
      <c r="I1068" s="9"/>
      <c r="J1068" s="9"/>
      <c r="K1068" s="9"/>
      <c r="L1068" s="556"/>
      <c r="M1068" s="9"/>
      <c r="N1068" s="9"/>
      <c r="O1068" s="9"/>
      <c r="P1068" s="9"/>
      <c r="Q1068" s="9"/>
      <c r="R1068" s="9"/>
      <c r="S1068" s="9"/>
      <c r="T1068" s="9"/>
      <c r="U1068" s="9"/>
      <c r="V1068" s="9"/>
      <c r="W1068" s="9"/>
      <c r="X1068" s="589"/>
      <c r="Y1068" s="9"/>
      <c r="Z1068" s="204"/>
      <c r="AA1068" s="9"/>
      <c r="AB1068" s="9"/>
      <c r="AC1068" s="9"/>
      <c r="AD1068" s="9"/>
    </row>
    <row r="1069" ht="15.75" customHeight="1">
      <c r="A1069" s="9"/>
      <c r="B1069" s="9"/>
      <c r="C1069" s="9"/>
      <c r="D1069" s="9"/>
      <c r="E1069" s="9"/>
      <c r="F1069" s="9"/>
      <c r="G1069" s="9"/>
      <c r="H1069" s="9"/>
      <c r="I1069" s="9"/>
      <c r="J1069" s="9"/>
      <c r="K1069" s="9"/>
      <c r="L1069" s="556"/>
      <c r="M1069" s="9"/>
      <c r="N1069" s="9"/>
      <c r="O1069" s="9"/>
      <c r="P1069" s="9"/>
      <c r="Q1069" s="9"/>
      <c r="R1069" s="9"/>
      <c r="S1069" s="9"/>
      <c r="T1069" s="9"/>
      <c r="U1069" s="9"/>
      <c r="V1069" s="9"/>
      <c r="W1069" s="9"/>
      <c r="X1069" s="589"/>
      <c r="Y1069" s="9"/>
      <c r="Z1069" s="204"/>
      <c r="AA1069" s="9"/>
      <c r="AB1069" s="9"/>
      <c r="AC1069" s="9"/>
      <c r="AD1069" s="9"/>
    </row>
    <row r="1070" ht="15.75" customHeight="1">
      <c r="A1070" s="9"/>
      <c r="B1070" s="9"/>
      <c r="C1070" s="9"/>
      <c r="D1070" s="9"/>
      <c r="E1070" s="9"/>
      <c r="F1070" s="9"/>
      <c r="G1070" s="9"/>
      <c r="H1070" s="9"/>
      <c r="I1070" s="9"/>
      <c r="J1070" s="9"/>
      <c r="K1070" s="9"/>
      <c r="L1070" s="556"/>
      <c r="M1070" s="9"/>
      <c r="N1070" s="9"/>
      <c r="O1070" s="9"/>
      <c r="P1070" s="9"/>
      <c r="Q1070" s="9"/>
      <c r="R1070" s="9"/>
      <c r="S1070" s="9"/>
      <c r="T1070" s="9"/>
      <c r="U1070" s="9"/>
      <c r="V1070" s="9"/>
      <c r="W1070" s="9"/>
      <c r="X1070" s="589"/>
      <c r="Y1070" s="9"/>
      <c r="Z1070" s="204"/>
      <c r="AA1070" s="9"/>
      <c r="AB1070" s="9"/>
      <c r="AC1070" s="9"/>
      <c r="AD1070" s="9"/>
    </row>
    <row r="1071" ht="15.75" customHeight="1">
      <c r="A1071" s="9"/>
      <c r="B1071" s="9"/>
      <c r="C1071" s="9"/>
      <c r="D1071" s="9"/>
      <c r="E1071" s="9"/>
      <c r="F1071" s="9"/>
      <c r="G1071" s="9"/>
      <c r="H1071" s="9"/>
      <c r="I1071" s="9"/>
      <c r="J1071" s="9"/>
      <c r="K1071" s="9"/>
      <c r="L1071" s="556"/>
      <c r="M1071" s="9"/>
      <c r="N1071" s="9"/>
      <c r="O1071" s="9"/>
      <c r="P1071" s="9"/>
      <c r="Q1071" s="9"/>
      <c r="R1071" s="9"/>
      <c r="S1071" s="9"/>
      <c r="T1071" s="9"/>
      <c r="U1071" s="9"/>
      <c r="V1071" s="9"/>
      <c r="W1071" s="9"/>
      <c r="X1071" s="589"/>
      <c r="Y1071" s="9"/>
      <c r="Z1071" s="204"/>
      <c r="AA1071" s="9"/>
      <c r="AB1071" s="9"/>
      <c r="AC1071" s="9"/>
      <c r="AD1071" s="9"/>
    </row>
    <row r="1072" ht="15.75" customHeight="1">
      <c r="A1072" s="9"/>
      <c r="B1072" s="9"/>
      <c r="C1072" s="9"/>
      <c r="D1072" s="9"/>
      <c r="E1072" s="9"/>
      <c r="F1072" s="9"/>
      <c r="G1072" s="9"/>
      <c r="H1072" s="9"/>
      <c r="I1072" s="9"/>
      <c r="J1072" s="9"/>
      <c r="K1072" s="9"/>
      <c r="L1072" s="556"/>
      <c r="M1072" s="9"/>
      <c r="N1072" s="9"/>
      <c r="O1072" s="9"/>
      <c r="P1072" s="9"/>
      <c r="Q1072" s="9"/>
      <c r="R1072" s="9"/>
      <c r="S1072" s="9"/>
      <c r="T1072" s="9"/>
      <c r="U1072" s="9"/>
      <c r="V1072" s="9"/>
      <c r="W1072" s="9"/>
      <c r="X1072" s="589"/>
      <c r="Y1072" s="9"/>
      <c r="Z1072" s="204"/>
      <c r="AA1072" s="9"/>
      <c r="AB1072" s="9"/>
      <c r="AC1072" s="9"/>
      <c r="AD1072" s="9"/>
    </row>
    <row r="1073" ht="15.75" customHeight="1">
      <c r="A1073" s="9"/>
      <c r="B1073" s="9"/>
      <c r="C1073" s="9"/>
      <c r="D1073" s="9"/>
      <c r="E1073" s="9"/>
      <c r="F1073" s="9"/>
      <c r="G1073" s="9"/>
      <c r="H1073" s="9"/>
      <c r="I1073" s="9"/>
      <c r="J1073" s="9"/>
      <c r="K1073" s="9"/>
      <c r="L1073" s="556"/>
      <c r="M1073" s="9"/>
      <c r="N1073" s="9"/>
      <c r="O1073" s="9"/>
      <c r="P1073" s="9"/>
      <c r="Q1073" s="9"/>
      <c r="R1073" s="9"/>
      <c r="S1073" s="9"/>
      <c r="T1073" s="9"/>
      <c r="U1073" s="9"/>
      <c r="V1073" s="9"/>
      <c r="W1073" s="9"/>
      <c r="X1073" s="589"/>
      <c r="Y1073" s="9"/>
      <c r="Z1073" s="204"/>
      <c r="AA1073" s="9"/>
      <c r="AB1073" s="9"/>
      <c r="AC1073" s="9"/>
      <c r="AD1073" s="9"/>
    </row>
    <row r="1074" ht="15.75" customHeight="1">
      <c r="A1074" s="9"/>
      <c r="B1074" s="9"/>
      <c r="C1074" s="9"/>
      <c r="D1074" s="9"/>
      <c r="E1074" s="9"/>
      <c r="F1074" s="9"/>
      <c r="G1074" s="9"/>
      <c r="H1074" s="9"/>
      <c r="I1074" s="9"/>
      <c r="J1074" s="9"/>
      <c r="K1074" s="9"/>
      <c r="L1074" s="556"/>
      <c r="M1074" s="9"/>
      <c r="N1074" s="9"/>
      <c r="O1074" s="9"/>
      <c r="P1074" s="9"/>
      <c r="Q1074" s="9"/>
      <c r="R1074" s="9"/>
      <c r="S1074" s="9"/>
      <c r="T1074" s="9"/>
      <c r="U1074" s="9"/>
      <c r="V1074" s="9"/>
      <c r="W1074" s="9"/>
      <c r="X1074" s="589"/>
      <c r="Y1074" s="9"/>
      <c r="Z1074" s="204"/>
      <c r="AA1074" s="9"/>
      <c r="AB1074" s="9"/>
      <c r="AC1074" s="9"/>
      <c r="AD1074" s="9"/>
    </row>
    <row r="1075" ht="15.75" customHeight="1">
      <c r="A1075" s="9"/>
      <c r="B1075" s="9"/>
      <c r="C1075" s="9"/>
      <c r="D1075" s="9"/>
      <c r="E1075" s="9"/>
      <c r="F1075" s="9"/>
      <c r="G1075" s="9"/>
      <c r="H1075" s="9"/>
      <c r="I1075" s="9"/>
      <c r="J1075" s="9"/>
      <c r="K1075" s="9"/>
      <c r="L1075" s="556"/>
      <c r="M1075" s="9"/>
      <c r="N1075" s="9"/>
      <c r="O1075" s="9"/>
      <c r="P1075" s="9"/>
      <c r="Q1075" s="9"/>
      <c r="R1075" s="9"/>
      <c r="S1075" s="9"/>
      <c r="T1075" s="9"/>
      <c r="U1075" s="9"/>
      <c r="V1075" s="9"/>
      <c r="W1075" s="9"/>
      <c r="X1075" s="589"/>
      <c r="Y1075" s="9"/>
      <c r="Z1075" s="204"/>
      <c r="AA1075" s="9"/>
      <c r="AB1075" s="9"/>
      <c r="AC1075" s="9"/>
      <c r="AD1075" s="9"/>
    </row>
    <row r="1076" ht="15.75" customHeight="1">
      <c r="A1076" s="9"/>
      <c r="B1076" s="9"/>
      <c r="C1076" s="9"/>
      <c r="D1076" s="9"/>
      <c r="E1076" s="9"/>
      <c r="F1076" s="9"/>
      <c r="G1076" s="9"/>
      <c r="H1076" s="9"/>
      <c r="I1076" s="9"/>
      <c r="J1076" s="9"/>
      <c r="K1076" s="9"/>
      <c r="L1076" s="556"/>
      <c r="M1076" s="9"/>
      <c r="N1076" s="9"/>
      <c r="O1076" s="9"/>
      <c r="P1076" s="9"/>
      <c r="Q1076" s="9"/>
      <c r="R1076" s="9"/>
      <c r="S1076" s="9"/>
      <c r="T1076" s="9"/>
      <c r="U1076" s="9"/>
      <c r="V1076" s="9"/>
      <c r="W1076" s="9"/>
      <c r="X1076" s="589"/>
      <c r="Y1076" s="9"/>
      <c r="Z1076" s="204"/>
      <c r="AA1076" s="9"/>
      <c r="AB1076" s="9"/>
      <c r="AC1076" s="9"/>
      <c r="AD1076" s="9"/>
    </row>
    <row r="1077" ht="15.75" customHeight="1">
      <c r="A1077" s="9"/>
      <c r="B1077" s="9"/>
      <c r="C1077" s="9"/>
      <c r="D1077" s="9"/>
      <c r="E1077" s="9"/>
      <c r="F1077" s="9"/>
      <c r="G1077" s="9"/>
      <c r="H1077" s="9"/>
      <c r="I1077" s="9"/>
      <c r="J1077" s="9"/>
      <c r="K1077" s="9"/>
      <c r="L1077" s="556"/>
      <c r="M1077" s="9"/>
      <c r="N1077" s="9"/>
      <c r="O1077" s="9"/>
      <c r="P1077" s="9"/>
      <c r="Q1077" s="9"/>
      <c r="R1077" s="9"/>
      <c r="S1077" s="9"/>
      <c r="T1077" s="9"/>
      <c r="U1077" s="9"/>
      <c r="V1077" s="9"/>
      <c r="W1077" s="9"/>
      <c r="X1077" s="589"/>
      <c r="Y1077" s="9"/>
      <c r="Z1077" s="204"/>
      <c r="AA1077" s="9"/>
      <c r="AB1077" s="9"/>
      <c r="AC1077" s="9"/>
      <c r="AD1077" s="9"/>
    </row>
    <row r="1078" ht="15.75" customHeight="1">
      <c r="A1078" s="9"/>
      <c r="B1078" s="9"/>
      <c r="C1078" s="9"/>
      <c r="D1078" s="9"/>
      <c r="E1078" s="9"/>
      <c r="F1078" s="9"/>
      <c r="G1078" s="9"/>
      <c r="H1078" s="9"/>
      <c r="I1078" s="9"/>
      <c r="J1078" s="9"/>
      <c r="K1078" s="9"/>
      <c r="L1078" s="556"/>
      <c r="M1078" s="9"/>
      <c r="N1078" s="9"/>
      <c r="O1078" s="9"/>
      <c r="P1078" s="9"/>
      <c r="Q1078" s="9"/>
      <c r="R1078" s="9"/>
      <c r="S1078" s="9"/>
      <c r="T1078" s="9"/>
      <c r="U1078" s="9"/>
      <c r="V1078" s="9"/>
      <c r="W1078" s="9"/>
      <c r="X1078" s="589"/>
      <c r="Y1078" s="9"/>
      <c r="Z1078" s="204"/>
      <c r="AA1078" s="9"/>
      <c r="AB1078" s="9"/>
      <c r="AC1078" s="9"/>
      <c r="AD1078" s="9"/>
    </row>
    <row r="1079" ht="15.75" customHeight="1">
      <c r="A1079" s="9"/>
      <c r="B1079" s="9"/>
      <c r="C1079" s="9"/>
      <c r="D1079" s="9"/>
      <c r="E1079" s="9"/>
      <c r="F1079" s="9"/>
      <c r="G1079" s="9"/>
      <c r="H1079" s="9"/>
      <c r="I1079" s="9"/>
      <c r="J1079" s="9"/>
      <c r="K1079" s="9"/>
      <c r="L1079" s="556"/>
      <c r="M1079" s="9"/>
      <c r="N1079" s="9"/>
      <c r="O1079" s="9"/>
      <c r="P1079" s="9"/>
      <c r="Q1079" s="9"/>
      <c r="R1079" s="9"/>
      <c r="S1079" s="9"/>
      <c r="T1079" s="9"/>
      <c r="U1079" s="9"/>
      <c r="V1079" s="9"/>
      <c r="W1079" s="9"/>
      <c r="X1079" s="589"/>
      <c r="Y1079" s="9"/>
      <c r="Z1079" s="204"/>
      <c r="AA1079" s="9"/>
      <c r="AB1079" s="9"/>
      <c r="AC1079" s="9"/>
      <c r="AD1079" s="9"/>
    </row>
    <row r="1080" ht="15.75" customHeight="1">
      <c r="A1080" s="9"/>
      <c r="B1080" s="9"/>
      <c r="C1080" s="9"/>
      <c r="D1080" s="9"/>
      <c r="E1080" s="9"/>
      <c r="F1080" s="9"/>
      <c r="G1080" s="9"/>
      <c r="H1080" s="9"/>
      <c r="I1080" s="9"/>
      <c r="J1080" s="9"/>
      <c r="K1080" s="9"/>
      <c r="L1080" s="556"/>
      <c r="M1080" s="9"/>
      <c r="N1080" s="9"/>
      <c r="O1080" s="9"/>
      <c r="P1080" s="9"/>
      <c r="Q1080" s="9"/>
      <c r="R1080" s="9"/>
      <c r="S1080" s="9"/>
      <c r="T1080" s="9"/>
      <c r="U1080" s="9"/>
      <c r="V1080" s="9"/>
      <c r="W1080" s="9"/>
      <c r="X1080" s="589"/>
      <c r="Y1080" s="9"/>
      <c r="Z1080" s="204"/>
      <c r="AA1080" s="9"/>
      <c r="AB1080" s="9"/>
      <c r="AC1080" s="9"/>
      <c r="AD1080" s="9"/>
    </row>
    <row r="1081" ht="15.75" customHeight="1">
      <c r="A1081" s="9"/>
      <c r="B1081" s="9"/>
      <c r="C1081" s="9"/>
      <c r="D1081" s="9"/>
      <c r="E1081" s="9"/>
      <c r="F1081" s="9"/>
      <c r="G1081" s="9"/>
      <c r="H1081" s="9"/>
      <c r="I1081" s="9"/>
      <c r="J1081" s="9"/>
      <c r="K1081" s="9"/>
      <c r="L1081" s="556"/>
      <c r="M1081" s="9"/>
      <c r="N1081" s="9"/>
      <c r="O1081" s="9"/>
      <c r="P1081" s="9"/>
      <c r="Q1081" s="9"/>
      <c r="R1081" s="9"/>
      <c r="S1081" s="9"/>
      <c r="T1081" s="9"/>
      <c r="U1081" s="9"/>
      <c r="V1081" s="9"/>
      <c r="W1081" s="9"/>
      <c r="X1081" s="589"/>
      <c r="Y1081" s="9"/>
      <c r="Z1081" s="204"/>
      <c r="AA1081" s="9"/>
      <c r="AB1081" s="9"/>
      <c r="AC1081" s="9"/>
      <c r="AD1081" s="9"/>
    </row>
    <row r="1082" ht="15.75" customHeight="1">
      <c r="A1082" s="9"/>
      <c r="B1082" s="9"/>
      <c r="C1082" s="9"/>
      <c r="D1082" s="9"/>
      <c r="E1082" s="9"/>
      <c r="F1082" s="9"/>
      <c r="G1082" s="9"/>
      <c r="H1082" s="9"/>
      <c r="I1082" s="9"/>
      <c r="J1082" s="9"/>
      <c r="K1082" s="9"/>
      <c r="L1082" s="556"/>
      <c r="M1082" s="9"/>
      <c r="N1082" s="9"/>
      <c r="O1082" s="9"/>
      <c r="P1082" s="9"/>
      <c r="Q1082" s="9"/>
      <c r="R1082" s="9"/>
      <c r="S1082" s="9"/>
      <c r="T1082" s="9"/>
      <c r="U1082" s="9"/>
      <c r="V1082" s="9"/>
      <c r="W1082" s="9"/>
      <c r="X1082" s="589"/>
      <c r="Y1082" s="9"/>
      <c r="Z1082" s="204"/>
      <c r="AA1082" s="9"/>
      <c r="AB1082" s="9"/>
      <c r="AC1082" s="9"/>
      <c r="AD1082" s="9"/>
    </row>
    <row r="1083" ht="15.75" customHeight="1">
      <c r="A1083" s="9"/>
      <c r="B1083" s="9"/>
      <c r="C1083" s="9"/>
      <c r="D1083" s="9"/>
      <c r="E1083" s="9"/>
      <c r="F1083" s="9"/>
      <c r="G1083" s="9"/>
      <c r="H1083" s="9"/>
      <c r="I1083" s="9"/>
      <c r="J1083" s="9"/>
      <c r="K1083" s="9"/>
      <c r="L1083" s="556"/>
      <c r="M1083" s="9"/>
      <c r="N1083" s="9"/>
      <c r="O1083" s="9"/>
      <c r="P1083" s="9"/>
      <c r="Q1083" s="9"/>
      <c r="R1083" s="9"/>
      <c r="S1083" s="9"/>
      <c r="T1083" s="9"/>
      <c r="U1083" s="9"/>
      <c r="V1083" s="9"/>
      <c r="W1083" s="9"/>
      <c r="X1083" s="589"/>
      <c r="Y1083" s="9"/>
      <c r="Z1083" s="204"/>
      <c r="AA1083" s="9"/>
      <c r="AB1083" s="9"/>
      <c r="AC1083" s="9"/>
      <c r="AD1083" s="9"/>
    </row>
    <row r="1084" ht="15.75" customHeight="1">
      <c r="A1084" s="9"/>
      <c r="B1084" s="9"/>
      <c r="C1084" s="9"/>
      <c r="D1084" s="9"/>
      <c r="E1084" s="9"/>
      <c r="F1084" s="9"/>
      <c r="G1084" s="9"/>
      <c r="H1084" s="9"/>
      <c r="I1084" s="9"/>
      <c r="J1084" s="9"/>
      <c r="K1084" s="9"/>
      <c r="L1084" s="556"/>
      <c r="M1084" s="9"/>
      <c r="N1084" s="9"/>
      <c r="O1084" s="9"/>
      <c r="P1084" s="9"/>
      <c r="Q1084" s="9"/>
      <c r="R1084" s="9"/>
      <c r="S1084" s="9"/>
      <c r="T1084" s="9"/>
      <c r="U1084" s="9"/>
      <c r="V1084" s="9"/>
      <c r="W1084" s="9"/>
      <c r="X1084" s="589"/>
      <c r="Y1084" s="9"/>
      <c r="Z1084" s="204"/>
      <c r="AA1084" s="9"/>
      <c r="AB1084" s="9"/>
      <c r="AC1084" s="9"/>
      <c r="AD1084" s="9"/>
    </row>
    <row r="1085" ht="15.75" customHeight="1">
      <c r="A1085" s="9"/>
      <c r="B1085" s="9"/>
      <c r="C1085" s="9"/>
      <c r="D1085" s="9"/>
      <c r="E1085" s="9"/>
      <c r="F1085" s="9"/>
      <c r="G1085" s="9"/>
      <c r="H1085" s="9"/>
      <c r="I1085" s="9"/>
      <c r="J1085" s="9"/>
      <c r="K1085" s="9"/>
      <c r="L1085" s="556"/>
      <c r="M1085" s="9"/>
      <c r="N1085" s="9"/>
      <c r="O1085" s="9"/>
      <c r="P1085" s="9"/>
      <c r="Q1085" s="9"/>
      <c r="R1085" s="9"/>
      <c r="S1085" s="9"/>
      <c r="T1085" s="9"/>
      <c r="U1085" s="9"/>
      <c r="V1085" s="9"/>
      <c r="W1085" s="9"/>
      <c r="X1085" s="589"/>
      <c r="Y1085" s="9"/>
      <c r="Z1085" s="204"/>
      <c r="AA1085" s="9"/>
      <c r="AB1085" s="9"/>
      <c r="AC1085" s="9"/>
      <c r="AD1085" s="9"/>
    </row>
    <row r="1086" ht="15.75" customHeight="1">
      <c r="A1086" s="9"/>
      <c r="B1086" s="9"/>
      <c r="C1086" s="9"/>
      <c r="D1086" s="9"/>
      <c r="E1086" s="9"/>
      <c r="F1086" s="9"/>
      <c r="G1086" s="9"/>
      <c r="H1086" s="9"/>
      <c r="I1086" s="9"/>
      <c r="J1086" s="9"/>
      <c r="K1086" s="9"/>
      <c r="L1086" s="556"/>
      <c r="M1086" s="9"/>
      <c r="N1086" s="9"/>
      <c r="O1086" s="9"/>
      <c r="P1086" s="9"/>
      <c r="Q1086" s="9"/>
      <c r="R1086" s="9"/>
      <c r="S1086" s="9"/>
      <c r="T1086" s="9"/>
      <c r="U1086" s="9"/>
      <c r="V1086" s="9"/>
      <c r="W1086" s="9"/>
      <c r="X1086" s="589"/>
      <c r="Y1086" s="9"/>
      <c r="Z1086" s="204"/>
      <c r="AA1086" s="9"/>
      <c r="AB1086" s="9"/>
      <c r="AC1086" s="9"/>
      <c r="AD1086" s="9"/>
    </row>
    <row r="1087" ht="15.75" customHeight="1">
      <c r="A1087" s="9"/>
      <c r="B1087" s="9"/>
      <c r="C1087" s="9"/>
      <c r="D1087" s="9"/>
      <c r="E1087" s="9"/>
      <c r="F1087" s="9"/>
      <c r="G1087" s="9"/>
      <c r="H1087" s="9"/>
      <c r="I1087" s="9"/>
      <c r="J1087" s="9"/>
      <c r="K1087" s="9"/>
      <c r="L1087" s="556"/>
      <c r="M1087" s="9"/>
      <c r="N1087" s="9"/>
      <c r="O1087" s="9"/>
      <c r="P1087" s="9"/>
      <c r="Q1087" s="9"/>
      <c r="R1087" s="9"/>
      <c r="S1087" s="9"/>
      <c r="T1087" s="9"/>
      <c r="U1087" s="9"/>
      <c r="V1087" s="9"/>
      <c r="W1087" s="9"/>
      <c r="X1087" s="589"/>
      <c r="Y1087" s="9"/>
      <c r="Z1087" s="204"/>
      <c r="AA1087" s="9"/>
      <c r="AB1087" s="9"/>
      <c r="AC1087" s="9"/>
      <c r="AD1087" s="9"/>
    </row>
    <row r="1088" ht="15.75" customHeight="1">
      <c r="A1088" s="9"/>
      <c r="B1088" s="9"/>
      <c r="C1088" s="9"/>
      <c r="D1088" s="9"/>
      <c r="E1088" s="9"/>
      <c r="F1088" s="9"/>
      <c r="G1088" s="9"/>
      <c r="H1088" s="9"/>
      <c r="I1088" s="9"/>
      <c r="J1088" s="9"/>
      <c r="K1088" s="9"/>
      <c r="L1088" s="556"/>
      <c r="M1088" s="9"/>
      <c r="N1088" s="9"/>
      <c r="O1088" s="9"/>
      <c r="P1088" s="9"/>
      <c r="Q1088" s="9"/>
      <c r="R1088" s="9"/>
      <c r="S1088" s="9"/>
      <c r="T1088" s="9"/>
      <c r="U1088" s="9"/>
      <c r="V1088" s="9"/>
      <c r="W1088" s="9"/>
      <c r="X1088" s="589"/>
      <c r="Y1088" s="9"/>
      <c r="Z1088" s="204"/>
      <c r="AA1088" s="9"/>
      <c r="AB1088" s="9"/>
      <c r="AC1088" s="9"/>
      <c r="AD1088" s="9"/>
    </row>
    <row r="1089" ht="15.75" customHeight="1">
      <c r="A1089" s="9"/>
      <c r="B1089" s="9"/>
      <c r="C1089" s="9"/>
      <c r="D1089" s="9"/>
      <c r="E1089" s="9"/>
      <c r="F1089" s="9"/>
      <c r="G1089" s="9"/>
      <c r="H1089" s="9"/>
      <c r="I1089" s="9"/>
      <c r="J1089" s="9"/>
      <c r="K1089" s="9"/>
      <c r="L1089" s="556"/>
      <c r="M1089" s="9"/>
      <c r="N1089" s="9"/>
      <c r="O1089" s="9"/>
      <c r="P1089" s="9"/>
      <c r="Q1089" s="9"/>
      <c r="R1089" s="9"/>
      <c r="S1089" s="9"/>
      <c r="T1089" s="9"/>
      <c r="U1089" s="9"/>
      <c r="V1089" s="9"/>
      <c r="W1089" s="9"/>
      <c r="X1089" s="589"/>
      <c r="Y1089" s="9"/>
      <c r="Z1089" s="204"/>
      <c r="AA1089" s="9"/>
      <c r="AB1089" s="9"/>
      <c r="AC1089" s="9"/>
      <c r="AD1089" s="9"/>
    </row>
    <row r="1090" ht="15.75" customHeight="1">
      <c r="A1090" s="9"/>
      <c r="B1090" s="9"/>
      <c r="C1090" s="9"/>
      <c r="D1090" s="9"/>
      <c r="E1090" s="9"/>
      <c r="F1090" s="9"/>
      <c r="G1090" s="9"/>
      <c r="H1090" s="9"/>
      <c r="I1090" s="9"/>
      <c r="J1090" s="9"/>
      <c r="K1090" s="9"/>
      <c r="L1090" s="556"/>
      <c r="M1090" s="9"/>
      <c r="N1090" s="9"/>
      <c r="O1090" s="9"/>
      <c r="P1090" s="9"/>
      <c r="Q1090" s="9"/>
      <c r="R1090" s="9"/>
      <c r="S1090" s="9"/>
      <c r="T1090" s="9"/>
      <c r="U1090" s="9"/>
      <c r="V1090" s="9"/>
      <c r="W1090" s="9"/>
      <c r="X1090" s="589"/>
      <c r="Y1090" s="9"/>
      <c r="Z1090" s="204"/>
      <c r="AA1090" s="9"/>
      <c r="AB1090" s="9"/>
      <c r="AC1090" s="9"/>
      <c r="AD1090" s="9"/>
    </row>
    <row r="1091" ht="15.75" customHeight="1">
      <c r="A1091" s="9"/>
      <c r="B1091" s="9"/>
      <c r="C1091" s="9"/>
      <c r="D1091" s="9"/>
      <c r="E1091" s="9"/>
      <c r="F1091" s="9"/>
      <c r="G1091" s="9"/>
      <c r="H1091" s="9"/>
      <c r="I1091" s="9"/>
      <c r="J1091" s="9"/>
      <c r="K1091" s="9"/>
      <c r="L1091" s="556"/>
      <c r="M1091" s="9"/>
      <c r="N1091" s="9"/>
      <c r="O1091" s="9"/>
      <c r="P1091" s="9"/>
      <c r="Q1091" s="9"/>
      <c r="R1091" s="9"/>
      <c r="S1091" s="9"/>
      <c r="T1091" s="9"/>
      <c r="U1091" s="9"/>
      <c r="V1091" s="9"/>
      <c r="W1091" s="9"/>
      <c r="X1091" s="589"/>
      <c r="Y1091" s="9"/>
      <c r="Z1091" s="204"/>
      <c r="AA1091" s="9"/>
      <c r="AB1091" s="9"/>
      <c r="AC1091" s="9"/>
      <c r="AD1091" s="9"/>
    </row>
    <row r="1092" ht="15.75" customHeight="1">
      <c r="A1092" s="9"/>
      <c r="B1092" s="9"/>
      <c r="C1092" s="9"/>
      <c r="D1092" s="9"/>
      <c r="E1092" s="9"/>
      <c r="F1092" s="9"/>
      <c r="G1092" s="9"/>
      <c r="H1092" s="9"/>
      <c r="I1092" s="9"/>
      <c r="J1092" s="9"/>
      <c r="K1092" s="9"/>
      <c r="L1092" s="556"/>
      <c r="M1092" s="9"/>
      <c r="N1092" s="9"/>
      <c r="O1092" s="9"/>
      <c r="P1092" s="9"/>
      <c r="Q1092" s="9"/>
      <c r="R1092" s="9"/>
      <c r="S1092" s="9"/>
      <c r="T1092" s="9"/>
      <c r="U1092" s="9"/>
      <c r="V1092" s="9"/>
      <c r="W1092" s="9"/>
      <c r="X1092" s="589"/>
      <c r="Y1092" s="9"/>
      <c r="Z1092" s="204"/>
      <c r="AA1092" s="9"/>
      <c r="AB1092" s="9"/>
      <c r="AC1092" s="9"/>
      <c r="AD1092" s="9"/>
    </row>
    <row r="1093" ht="15.75" customHeight="1">
      <c r="A1093" s="9"/>
      <c r="B1093" s="9"/>
      <c r="C1093" s="9"/>
      <c r="D1093" s="9"/>
      <c r="E1093" s="9"/>
      <c r="F1093" s="9"/>
      <c r="G1093" s="9"/>
      <c r="H1093" s="9"/>
      <c r="I1093" s="9"/>
      <c r="J1093" s="9"/>
      <c r="K1093" s="9"/>
      <c r="L1093" s="556"/>
      <c r="M1093" s="9"/>
      <c r="N1093" s="9"/>
      <c r="O1093" s="9"/>
      <c r="P1093" s="9"/>
      <c r="Q1093" s="9"/>
      <c r="R1093" s="9"/>
      <c r="S1093" s="9"/>
      <c r="T1093" s="9"/>
      <c r="U1093" s="9"/>
      <c r="V1093" s="9"/>
      <c r="W1093" s="9"/>
      <c r="X1093" s="589"/>
      <c r="Y1093" s="9"/>
      <c r="Z1093" s="204"/>
      <c r="AA1093" s="9"/>
      <c r="AB1093" s="9"/>
      <c r="AC1093" s="9"/>
      <c r="AD1093" s="9"/>
    </row>
    <row r="1094" ht="15.75" customHeight="1">
      <c r="A1094" s="9"/>
      <c r="B1094" s="9"/>
      <c r="C1094" s="9"/>
      <c r="D1094" s="9"/>
      <c r="E1094" s="9"/>
      <c r="F1094" s="9"/>
      <c r="G1094" s="9"/>
      <c r="H1094" s="9"/>
      <c r="I1094" s="9"/>
      <c r="J1094" s="9"/>
      <c r="K1094" s="9"/>
      <c r="L1094" s="556"/>
      <c r="M1094" s="9"/>
      <c r="N1094" s="9"/>
      <c r="O1094" s="9"/>
      <c r="P1094" s="9"/>
      <c r="Q1094" s="9"/>
      <c r="R1094" s="9"/>
      <c r="S1094" s="9"/>
      <c r="T1094" s="9"/>
      <c r="U1094" s="9"/>
      <c r="V1094" s="9"/>
      <c r="W1094" s="9"/>
      <c r="X1094" s="589"/>
      <c r="Y1094" s="9"/>
      <c r="Z1094" s="204"/>
      <c r="AA1094" s="9"/>
      <c r="AB1094" s="9"/>
      <c r="AC1094" s="9"/>
      <c r="AD1094" s="9"/>
    </row>
    <row r="1095" ht="15.75" customHeight="1">
      <c r="A1095" s="9"/>
      <c r="B1095" s="9"/>
      <c r="C1095" s="9"/>
      <c r="D1095" s="9"/>
      <c r="E1095" s="9"/>
      <c r="F1095" s="9"/>
      <c r="G1095" s="9"/>
      <c r="H1095" s="9"/>
      <c r="I1095" s="9"/>
      <c r="J1095" s="9"/>
      <c r="K1095" s="9"/>
      <c r="L1095" s="556"/>
      <c r="M1095" s="9"/>
      <c r="N1095" s="9"/>
      <c r="O1095" s="9"/>
      <c r="P1095" s="9"/>
      <c r="Q1095" s="9"/>
      <c r="R1095" s="9"/>
      <c r="S1095" s="9"/>
      <c r="T1095" s="9"/>
      <c r="U1095" s="9"/>
      <c r="V1095" s="9"/>
      <c r="W1095" s="9"/>
      <c r="X1095" s="589"/>
      <c r="Y1095" s="9"/>
      <c r="Z1095" s="204"/>
      <c r="AA1095" s="9"/>
      <c r="AB1095" s="9"/>
      <c r="AC1095" s="9"/>
      <c r="AD1095" s="9"/>
    </row>
    <row r="1096" ht="15.75" customHeight="1">
      <c r="A1096" s="9"/>
      <c r="B1096" s="9"/>
      <c r="C1096" s="9"/>
      <c r="D1096" s="9"/>
      <c r="E1096" s="9"/>
      <c r="F1096" s="9"/>
      <c r="G1096" s="9"/>
      <c r="H1096" s="9"/>
      <c r="I1096" s="9"/>
      <c r="J1096" s="9"/>
      <c r="K1096" s="9"/>
      <c r="L1096" s="556"/>
      <c r="M1096" s="9"/>
      <c r="N1096" s="9"/>
      <c r="O1096" s="9"/>
      <c r="P1096" s="9"/>
      <c r="Q1096" s="9"/>
      <c r="R1096" s="9"/>
      <c r="S1096" s="9"/>
      <c r="T1096" s="9"/>
      <c r="U1096" s="9"/>
      <c r="V1096" s="9"/>
      <c r="W1096" s="9"/>
      <c r="X1096" s="589"/>
      <c r="Y1096" s="9"/>
      <c r="Z1096" s="204"/>
      <c r="AA1096" s="9"/>
      <c r="AB1096" s="9"/>
      <c r="AC1096" s="9"/>
      <c r="AD1096" s="9"/>
    </row>
    <row r="1097" ht="15.75" customHeight="1">
      <c r="A1097" s="9"/>
      <c r="B1097" s="9"/>
      <c r="C1097" s="9"/>
      <c r="D1097" s="9"/>
      <c r="E1097" s="9"/>
      <c r="F1097" s="9"/>
      <c r="G1097" s="9"/>
      <c r="H1097" s="9"/>
      <c r="I1097" s="9"/>
      <c r="J1097" s="9"/>
      <c r="K1097" s="9"/>
      <c r="L1097" s="556"/>
      <c r="M1097" s="9"/>
      <c r="N1097" s="9"/>
      <c r="O1097" s="9"/>
      <c r="P1097" s="9"/>
      <c r="Q1097" s="9"/>
      <c r="R1097" s="9"/>
      <c r="S1097" s="9"/>
      <c r="T1097" s="9"/>
      <c r="U1097" s="9"/>
      <c r="V1097" s="9"/>
      <c r="W1097" s="9"/>
      <c r="X1097" s="589"/>
      <c r="Y1097" s="9"/>
      <c r="Z1097" s="204"/>
      <c r="AA1097" s="9"/>
      <c r="AB1097" s="9"/>
      <c r="AC1097" s="9"/>
      <c r="AD1097" s="9"/>
    </row>
    <row r="1098" ht="15.75" customHeight="1">
      <c r="A1098" s="9"/>
      <c r="B1098" s="9"/>
      <c r="C1098" s="9"/>
      <c r="D1098" s="9"/>
      <c r="E1098" s="9"/>
      <c r="F1098" s="9"/>
      <c r="G1098" s="9"/>
      <c r="H1098" s="9"/>
      <c r="I1098" s="9"/>
      <c r="J1098" s="9"/>
      <c r="K1098" s="9"/>
      <c r="L1098" s="556"/>
      <c r="M1098" s="9"/>
      <c r="N1098" s="9"/>
      <c r="O1098" s="9"/>
      <c r="P1098" s="9"/>
      <c r="Q1098" s="9"/>
      <c r="R1098" s="9"/>
      <c r="S1098" s="9"/>
      <c r="T1098" s="9"/>
      <c r="U1098" s="9"/>
      <c r="V1098" s="9"/>
      <c r="W1098" s="9"/>
      <c r="X1098" s="589"/>
      <c r="Y1098" s="9"/>
      <c r="Z1098" s="204"/>
      <c r="AA1098" s="9"/>
      <c r="AB1098" s="9"/>
      <c r="AC1098" s="9"/>
      <c r="AD1098" s="9"/>
    </row>
    <row r="1099" ht="15.75" customHeight="1">
      <c r="A1099" s="9"/>
      <c r="B1099" s="9"/>
      <c r="C1099" s="9"/>
      <c r="D1099" s="9"/>
      <c r="E1099" s="9"/>
      <c r="F1099" s="9"/>
      <c r="G1099" s="9"/>
      <c r="H1099" s="9"/>
      <c r="I1099" s="9"/>
      <c r="J1099" s="9"/>
      <c r="K1099" s="9"/>
      <c r="L1099" s="556"/>
      <c r="M1099" s="9"/>
      <c r="N1099" s="9"/>
      <c r="O1099" s="9"/>
      <c r="P1099" s="9"/>
      <c r="Q1099" s="9"/>
      <c r="R1099" s="9"/>
      <c r="S1099" s="9"/>
      <c r="T1099" s="9"/>
      <c r="U1099" s="9"/>
      <c r="V1099" s="9"/>
      <c r="W1099" s="9"/>
      <c r="X1099" s="589"/>
      <c r="Y1099" s="9"/>
      <c r="Z1099" s="204"/>
      <c r="AA1099" s="9"/>
      <c r="AB1099" s="9"/>
      <c r="AC1099" s="9"/>
      <c r="AD1099" s="9"/>
    </row>
    <row r="1100" ht="15.75" customHeight="1">
      <c r="A1100" s="9"/>
      <c r="B1100" s="9"/>
      <c r="C1100" s="9"/>
      <c r="D1100" s="9"/>
      <c r="E1100" s="9"/>
      <c r="F1100" s="9"/>
      <c r="G1100" s="9"/>
      <c r="H1100" s="9"/>
      <c r="I1100" s="9"/>
      <c r="J1100" s="9"/>
      <c r="K1100" s="9"/>
      <c r="L1100" s="556"/>
      <c r="M1100" s="9"/>
      <c r="N1100" s="9"/>
      <c r="O1100" s="9"/>
      <c r="P1100" s="9"/>
      <c r="Q1100" s="9"/>
      <c r="R1100" s="9"/>
      <c r="S1100" s="9"/>
      <c r="T1100" s="9"/>
      <c r="U1100" s="9"/>
      <c r="V1100" s="9"/>
      <c r="W1100" s="9"/>
      <c r="X1100" s="589"/>
      <c r="Y1100" s="9"/>
      <c r="Z1100" s="204"/>
      <c r="AA1100" s="9"/>
      <c r="AB1100" s="9"/>
      <c r="AC1100" s="9"/>
      <c r="AD1100" s="9"/>
    </row>
    <row r="1101" ht="15.75" customHeight="1">
      <c r="A1101" s="9"/>
      <c r="B1101" s="9"/>
      <c r="C1101" s="9"/>
      <c r="D1101" s="9"/>
      <c r="E1101" s="9"/>
      <c r="F1101" s="9"/>
      <c r="G1101" s="9"/>
      <c r="H1101" s="9"/>
      <c r="I1101" s="9"/>
      <c r="J1101" s="9"/>
      <c r="K1101" s="9"/>
      <c r="L1101" s="556"/>
      <c r="M1101" s="9"/>
      <c r="N1101" s="9"/>
      <c r="O1101" s="9"/>
      <c r="P1101" s="9"/>
      <c r="Q1101" s="9"/>
      <c r="R1101" s="9"/>
      <c r="S1101" s="9"/>
      <c r="T1101" s="9"/>
      <c r="U1101" s="9"/>
      <c r="V1101" s="9"/>
      <c r="W1101" s="9"/>
      <c r="X1101" s="589"/>
      <c r="Y1101" s="9"/>
      <c r="Z1101" s="204"/>
      <c r="AA1101" s="9"/>
      <c r="AB1101" s="9"/>
      <c r="AC1101" s="9"/>
      <c r="AD1101" s="9"/>
    </row>
    <row r="1102" ht="15.75" customHeight="1">
      <c r="A1102" s="9"/>
      <c r="B1102" s="9"/>
      <c r="C1102" s="9"/>
      <c r="D1102" s="9"/>
      <c r="E1102" s="9"/>
      <c r="F1102" s="9"/>
      <c r="G1102" s="9"/>
      <c r="H1102" s="9"/>
      <c r="I1102" s="9"/>
      <c r="J1102" s="9"/>
      <c r="K1102" s="9"/>
      <c r="L1102" s="556"/>
      <c r="M1102" s="9"/>
      <c r="N1102" s="9"/>
      <c r="O1102" s="9"/>
      <c r="P1102" s="9"/>
      <c r="Q1102" s="9"/>
      <c r="R1102" s="9"/>
      <c r="S1102" s="9"/>
      <c r="T1102" s="9"/>
      <c r="U1102" s="9"/>
      <c r="V1102" s="9"/>
      <c r="W1102" s="9"/>
      <c r="X1102" s="589"/>
      <c r="Y1102" s="9"/>
      <c r="Z1102" s="204"/>
      <c r="AA1102" s="9"/>
      <c r="AB1102" s="9"/>
      <c r="AC1102" s="9"/>
      <c r="AD1102" s="9"/>
    </row>
    <row r="1103" ht="15.75" customHeight="1">
      <c r="A1103" s="9"/>
      <c r="B1103" s="9"/>
      <c r="C1103" s="9"/>
      <c r="D1103" s="9"/>
      <c r="E1103" s="9"/>
      <c r="F1103" s="9"/>
      <c r="G1103" s="9"/>
      <c r="H1103" s="9"/>
      <c r="I1103" s="9"/>
      <c r="J1103" s="9"/>
      <c r="K1103" s="9"/>
      <c r="L1103" s="556"/>
      <c r="M1103" s="9"/>
      <c r="N1103" s="9"/>
      <c r="O1103" s="9"/>
      <c r="P1103" s="9"/>
      <c r="Q1103" s="9"/>
      <c r="R1103" s="9"/>
      <c r="S1103" s="9"/>
      <c r="T1103" s="9"/>
      <c r="U1103" s="9"/>
      <c r="V1103" s="9"/>
      <c r="W1103" s="9"/>
      <c r="X1103" s="589"/>
      <c r="Y1103" s="9"/>
      <c r="Z1103" s="204"/>
      <c r="AA1103" s="9"/>
      <c r="AB1103" s="9"/>
      <c r="AC1103" s="9"/>
      <c r="AD1103" s="9"/>
    </row>
    <row r="1104" ht="15.75" customHeight="1">
      <c r="A1104" s="9"/>
      <c r="B1104" s="9"/>
      <c r="C1104" s="9"/>
      <c r="D1104" s="9"/>
      <c r="E1104" s="9"/>
      <c r="F1104" s="9"/>
      <c r="G1104" s="9"/>
      <c r="H1104" s="9"/>
      <c r="I1104" s="9"/>
      <c r="J1104" s="9"/>
      <c r="K1104" s="9"/>
      <c r="L1104" s="556"/>
      <c r="M1104" s="9"/>
      <c r="N1104" s="9"/>
      <c r="O1104" s="9"/>
      <c r="P1104" s="9"/>
      <c r="Q1104" s="9"/>
      <c r="R1104" s="9"/>
      <c r="S1104" s="9"/>
      <c r="T1104" s="9"/>
      <c r="U1104" s="9"/>
      <c r="V1104" s="9"/>
      <c r="W1104" s="9"/>
      <c r="X1104" s="589"/>
      <c r="Y1104" s="9"/>
      <c r="Z1104" s="204"/>
      <c r="AA1104" s="9"/>
      <c r="AB1104" s="9"/>
      <c r="AC1104" s="9"/>
      <c r="AD1104" s="9"/>
    </row>
    <row r="1105" ht="15.75" customHeight="1">
      <c r="A1105" s="9"/>
      <c r="B1105" s="9"/>
      <c r="C1105" s="9"/>
      <c r="D1105" s="9"/>
      <c r="E1105" s="9"/>
      <c r="F1105" s="9"/>
      <c r="G1105" s="9"/>
      <c r="H1105" s="9"/>
      <c r="I1105" s="9"/>
      <c r="J1105" s="9"/>
      <c r="K1105" s="9"/>
      <c r="L1105" s="556"/>
      <c r="M1105" s="9"/>
      <c r="N1105" s="9"/>
      <c r="O1105" s="9"/>
      <c r="P1105" s="9"/>
      <c r="Q1105" s="9"/>
      <c r="R1105" s="9"/>
      <c r="S1105" s="9"/>
      <c r="T1105" s="9"/>
      <c r="U1105" s="9"/>
      <c r="V1105" s="9"/>
      <c r="W1105" s="9"/>
      <c r="X1105" s="589"/>
      <c r="Y1105" s="9"/>
      <c r="Z1105" s="204"/>
      <c r="AA1105" s="9"/>
      <c r="AB1105" s="9"/>
      <c r="AC1105" s="9"/>
      <c r="AD1105" s="9"/>
    </row>
    <row r="1106" ht="15.75" customHeight="1">
      <c r="A1106" s="9"/>
      <c r="B1106" s="9"/>
      <c r="C1106" s="9"/>
      <c r="D1106" s="9"/>
      <c r="E1106" s="9"/>
      <c r="F1106" s="9"/>
      <c r="G1106" s="9"/>
      <c r="H1106" s="9"/>
      <c r="I1106" s="9"/>
      <c r="J1106" s="9"/>
      <c r="K1106" s="9"/>
      <c r="L1106" s="556"/>
      <c r="M1106" s="9"/>
      <c r="N1106" s="9"/>
      <c r="O1106" s="9"/>
      <c r="P1106" s="9"/>
      <c r="Q1106" s="9"/>
      <c r="R1106" s="9"/>
      <c r="S1106" s="9"/>
      <c r="T1106" s="9"/>
      <c r="U1106" s="9"/>
      <c r="V1106" s="9"/>
      <c r="W1106" s="9"/>
      <c r="X1106" s="589"/>
      <c r="Y1106" s="9"/>
      <c r="Z1106" s="204"/>
      <c r="AA1106" s="9"/>
      <c r="AB1106" s="9"/>
      <c r="AC1106" s="9"/>
      <c r="AD1106" s="9"/>
    </row>
    <row r="1107" ht="15.75" customHeight="1">
      <c r="A1107" s="9"/>
      <c r="B1107" s="9"/>
      <c r="C1107" s="9"/>
      <c r="D1107" s="9"/>
      <c r="E1107" s="9"/>
      <c r="F1107" s="9"/>
      <c r="G1107" s="9"/>
      <c r="H1107" s="9"/>
      <c r="I1107" s="9"/>
      <c r="J1107" s="9"/>
      <c r="K1107" s="9"/>
      <c r="L1107" s="556"/>
      <c r="M1107" s="9"/>
      <c r="N1107" s="9"/>
      <c r="O1107" s="9"/>
      <c r="P1107" s="9"/>
      <c r="Q1107" s="9"/>
      <c r="R1107" s="9"/>
      <c r="S1107" s="9"/>
      <c r="T1107" s="9"/>
      <c r="U1107" s="9"/>
      <c r="V1107" s="9"/>
      <c r="W1107" s="9"/>
      <c r="X1107" s="589"/>
      <c r="Y1107" s="9"/>
      <c r="Z1107" s="204"/>
      <c r="AA1107" s="9"/>
      <c r="AB1107" s="9"/>
      <c r="AC1107" s="9"/>
      <c r="AD1107" s="9"/>
    </row>
    <row r="1108" ht="15.75" customHeight="1">
      <c r="A1108" s="9"/>
      <c r="B1108" s="9"/>
      <c r="C1108" s="9"/>
      <c r="D1108" s="9"/>
      <c r="E1108" s="9"/>
      <c r="F1108" s="9"/>
      <c r="G1108" s="9"/>
      <c r="H1108" s="9"/>
      <c r="I1108" s="9"/>
      <c r="J1108" s="9"/>
      <c r="K1108" s="9"/>
      <c r="L1108" s="556"/>
      <c r="M1108" s="9"/>
      <c r="N1108" s="9"/>
      <c r="O1108" s="9"/>
      <c r="P1108" s="9"/>
      <c r="Q1108" s="9"/>
      <c r="R1108" s="9"/>
      <c r="S1108" s="9"/>
      <c r="T1108" s="9"/>
      <c r="U1108" s="9"/>
      <c r="V1108" s="9"/>
      <c r="W1108" s="9"/>
      <c r="X1108" s="589"/>
      <c r="Y1108" s="9"/>
      <c r="Z1108" s="204"/>
      <c r="AA1108" s="9"/>
      <c r="AB1108" s="9"/>
      <c r="AC1108" s="9"/>
      <c r="AD1108" s="9"/>
    </row>
    <row r="1109" ht="15.75" customHeight="1">
      <c r="A1109" s="9"/>
      <c r="B1109" s="9"/>
      <c r="C1109" s="9"/>
      <c r="D1109" s="9"/>
      <c r="E1109" s="9"/>
      <c r="F1109" s="9"/>
      <c r="G1109" s="9"/>
      <c r="H1109" s="9"/>
      <c r="I1109" s="9"/>
      <c r="J1109" s="9"/>
      <c r="K1109" s="9"/>
      <c r="L1109" s="556"/>
      <c r="M1109" s="9"/>
      <c r="N1109" s="9"/>
      <c r="O1109" s="9"/>
      <c r="P1109" s="9"/>
      <c r="Q1109" s="9"/>
      <c r="R1109" s="9"/>
      <c r="S1109" s="9"/>
      <c r="T1109" s="9"/>
      <c r="U1109" s="9"/>
      <c r="V1109" s="9"/>
      <c r="W1109" s="9"/>
      <c r="X1109" s="589"/>
      <c r="Y1109" s="9"/>
      <c r="Z1109" s="204"/>
      <c r="AA1109" s="9"/>
      <c r="AB1109" s="9"/>
      <c r="AC1109" s="9"/>
      <c r="AD1109" s="9"/>
    </row>
    <row r="1110" ht="15.75" customHeight="1">
      <c r="A1110" s="9"/>
      <c r="B1110" s="9"/>
      <c r="C1110" s="9"/>
      <c r="D1110" s="9"/>
      <c r="E1110" s="9"/>
      <c r="F1110" s="9"/>
      <c r="G1110" s="9"/>
      <c r="H1110" s="9"/>
      <c r="I1110" s="9"/>
      <c r="J1110" s="9"/>
      <c r="K1110" s="9"/>
      <c r="L1110" s="556"/>
      <c r="M1110" s="9"/>
      <c r="N1110" s="9"/>
      <c r="O1110" s="9"/>
      <c r="P1110" s="9"/>
      <c r="Q1110" s="9"/>
      <c r="R1110" s="9"/>
      <c r="S1110" s="9"/>
      <c r="T1110" s="9"/>
      <c r="U1110" s="9"/>
      <c r="V1110" s="9"/>
      <c r="W1110" s="9"/>
      <c r="X1110" s="589"/>
      <c r="Y1110" s="9"/>
      <c r="Z1110" s="204"/>
      <c r="AA1110" s="9"/>
      <c r="AB1110" s="9"/>
      <c r="AC1110" s="9"/>
      <c r="AD1110" s="9"/>
    </row>
    <row r="1111" ht="15.75" customHeight="1">
      <c r="A1111" s="9"/>
      <c r="B1111" s="9"/>
      <c r="C1111" s="9"/>
      <c r="D1111" s="9"/>
      <c r="E1111" s="9"/>
      <c r="F1111" s="9"/>
      <c r="G1111" s="9"/>
      <c r="H1111" s="9"/>
      <c r="I1111" s="9"/>
      <c r="J1111" s="9"/>
      <c r="K1111" s="9"/>
      <c r="L1111" s="556"/>
      <c r="M1111" s="9"/>
      <c r="N1111" s="9"/>
      <c r="O1111" s="9"/>
      <c r="P1111" s="9"/>
      <c r="Q1111" s="9"/>
      <c r="R1111" s="9"/>
      <c r="S1111" s="9"/>
      <c r="T1111" s="9"/>
      <c r="U1111" s="9"/>
      <c r="V1111" s="9"/>
      <c r="W1111" s="9"/>
      <c r="X1111" s="589"/>
      <c r="Y1111" s="9"/>
      <c r="Z1111" s="204"/>
      <c r="AA1111" s="9"/>
      <c r="AB1111" s="9"/>
      <c r="AC1111" s="9"/>
      <c r="AD1111" s="9"/>
    </row>
    <row r="1112" ht="15.75" customHeight="1">
      <c r="A1112" s="9"/>
      <c r="B1112" s="9"/>
      <c r="C1112" s="9"/>
      <c r="D1112" s="9"/>
      <c r="E1112" s="9"/>
      <c r="F1112" s="9"/>
      <c r="G1112" s="9"/>
      <c r="H1112" s="9"/>
      <c r="I1112" s="9"/>
      <c r="J1112" s="9"/>
      <c r="K1112" s="9"/>
      <c r="L1112" s="556"/>
      <c r="M1112" s="9"/>
      <c r="N1112" s="9"/>
      <c r="O1112" s="9"/>
      <c r="P1112" s="9"/>
      <c r="Q1112" s="9"/>
      <c r="R1112" s="9"/>
      <c r="S1112" s="9"/>
      <c r="T1112" s="9"/>
      <c r="U1112" s="9"/>
      <c r="V1112" s="9"/>
      <c r="W1112" s="9"/>
      <c r="X1112" s="589"/>
      <c r="Y1112" s="9"/>
      <c r="Z1112" s="204"/>
      <c r="AA1112" s="9"/>
      <c r="AB1112" s="9"/>
      <c r="AC1112" s="9"/>
      <c r="AD1112" s="9"/>
    </row>
    <row r="1113" ht="15.75" customHeight="1">
      <c r="A1113" s="9"/>
      <c r="B1113" s="9"/>
      <c r="C1113" s="9"/>
      <c r="D1113" s="9"/>
      <c r="E1113" s="9"/>
      <c r="F1113" s="9"/>
      <c r="G1113" s="9"/>
      <c r="H1113" s="9"/>
      <c r="I1113" s="9"/>
      <c r="J1113" s="9"/>
      <c r="K1113" s="9"/>
      <c r="L1113" s="556"/>
      <c r="M1113" s="9"/>
      <c r="N1113" s="9"/>
      <c r="O1113" s="9"/>
      <c r="P1113" s="9"/>
      <c r="Q1113" s="9"/>
      <c r="R1113" s="9"/>
      <c r="S1113" s="9"/>
      <c r="T1113" s="9"/>
      <c r="U1113" s="9"/>
      <c r="V1113" s="9"/>
      <c r="W1113" s="9"/>
      <c r="X1113" s="589"/>
      <c r="Y1113" s="9"/>
      <c r="Z1113" s="204"/>
      <c r="AA1113" s="9"/>
      <c r="AB1113" s="9"/>
      <c r="AC1113" s="9"/>
      <c r="AD1113" s="9"/>
    </row>
    <row r="1114" ht="15.75" customHeight="1">
      <c r="A1114" s="9"/>
      <c r="B1114" s="9"/>
      <c r="C1114" s="9"/>
      <c r="D1114" s="9"/>
      <c r="E1114" s="9"/>
      <c r="F1114" s="9"/>
      <c r="G1114" s="9"/>
      <c r="H1114" s="9"/>
      <c r="I1114" s="9"/>
      <c r="J1114" s="9"/>
      <c r="K1114" s="9"/>
      <c r="L1114" s="556"/>
      <c r="M1114" s="9"/>
      <c r="N1114" s="9"/>
      <c r="O1114" s="9"/>
      <c r="P1114" s="9"/>
      <c r="Q1114" s="9"/>
      <c r="R1114" s="9"/>
      <c r="S1114" s="9"/>
      <c r="T1114" s="9"/>
      <c r="U1114" s="9"/>
      <c r="V1114" s="9"/>
      <c r="W1114" s="9"/>
      <c r="X1114" s="589"/>
      <c r="Y1114" s="9"/>
      <c r="Z1114" s="204"/>
      <c r="AA1114" s="9"/>
      <c r="AB1114" s="9"/>
      <c r="AC1114" s="9"/>
      <c r="AD1114" s="9"/>
    </row>
    <row r="1115" ht="15.75" customHeight="1">
      <c r="A1115" s="9"/>
      <c r="B1115" s="9"/>
      <c r="C1115" s="9"/>
      <c r="D1115" s="9"/>
      <c r="E1115" s="9"/>
      <c r="F1115" s="9"/>
      <c r="G1115" s="9"/>
      <c r="H1115" s="9"/>
      <c r="I1115" s="9"/>
      <c r="J1115" s="9"/>
      <c r="K1115" s="9"/>
      <c r="L1115" s="556"/>
      <c r="M1115" s="9"/>
      <c r="N1115" s="9"/>
      <c r="O1115" s="9"/>
      <c r="P1115" s="9"/>
      <c r="Q1115" s="9"/>
      <c r="R1115" s="9"/>
      <c r="S1115" s="9"/>
      <c r="T1115" s="9"/>
      <c r="U1115" s="9"/>
      <c r="V1115" s="9"/>
      <c r="W1115" s="9"/>
      <c r="X1115" s="589"/>
      <c r="Y1115" s="9"/>
      <c r="Z1115" s="204"/>
      <c r="AA1115" s="9"/>
      <c r="AB1115" s="9"/>
      <c r="AC1115" s="9"/>
      <c r="AD1115" s="9"/>
    </row>
    <row r="1116" ht="15.75" customHeight="1">
      <c r="A1116" s="9"/>
      <c r="B1116" s="9"/>
      <c r="C1116" s="9"/>
      <c r="D1116" s="9"/>
      <c r="E1116" s="9"/>
      <c r="F1116" s="9"/>
      <c r="G1116" s="9"/>
      <c r="H1116" s="9"/>
      <c r="I1116" s="9"/>
      <c r="J1116" s="9"/>
      <c r="K1116" s="9"/>
      <c r="L1116" s="556"/>
      <c r="M1116" s="9"/>
      <c r="N1116" s="9"/>
      <c r="O1116" s="9"/>
      <c r="P1116" s="9"/>
      <c r="Q1116" s="9"/>
      <c r="R1116" s="9"/>
      <c r="S1116" s="9"/>
      <c r="T1116" s="9"/>
      <c r="U1116" s="9"/>
      <c r="V1116" s="9"/>
      <c r="W1116" s="9"/>
      <c r="X1116" s="589"/>
      <c r="Y1116" s="9"/>
      <c r="Z1116" s="204"/>
      <c r="AA1116" s="9"/>
      <c r="AB1116" s="9"/>
      <c r="AC1116" s="9"/>
      <c r="AD1116" s="9"/>
    </row>
    <row r="1117" ht="15.75" customHeight="1">
      <c r="A1117" s="9"/>
      <c r="B1117" s="9"/>
      <c r="C1117" s="9"/>
      <c r="D1117" s="9"/>
      <c r="E1117" s="9"/>
      <c r="F1117" s="9"/>
      <c r="G1117" s="9"/>
      <c r="H1117" s="9"/>
      <c r="I1117" s="9"/>
      <c r="J1117" s="9"/>
      <c r="K1117" s="9"/>
      <c r="L1117" s="556"/>
      <c r="M1117" s="9"/>
      <c r="N1117" s="9"/>
      <c r="O1117" s="9"/>
      <c r="P1117" s="9"/>
      <c r="Q1117" s="9"/>
      <c r="R1117" s="9"/>
      <c r="S1117" s="9"/>
      <c r="T1117" s="9"/>
      <c r="U1117" s="9"/>
      <c r="V1117" s="9"/>
      <c r="W1117" s="9"/>
      <c r="X1117" s="589"/>
      <c r="Y1117" s="9"/>
      <c r="Z1117" s="204"/>
      <c r="AA1117" s="9"/>
      <c r="AB1117" s="9"/>
      <c r="AC1117" s="9"/>
      <c r="AD1117" s="9"/>
    </row>
    <row r="1118" ht="15.75" customHeight="1">
      <c r="A1118" s="9"/>
      <c r="B1118" s="9"/>
      <c r="C1118" s="9"/>
      <c r="D1118" s="9"/>
      <c r="E1118" s="9"/>
      <c r="F1118" s="9"/>
      <c r="G1118" s="9"/>
      <c r="H1118" s="9"/>
      <c r="I1118" s="9"/>
      <c r="J1118" s="9"/>
      <c r="K1118" s="9"/>
      <c r="L1118" s="556"/>
      <c r="M1118" s="9"/>
      <c r="N1118" s="9"/>
      <c r="O1118" s="9"/>
      <c r="P1118" s="9"/>
      <c r="Q1118" s="9"/>
      <c r="R1118" s="9"/>
      <c r="S1118" s="9"/>
      <c r="T1118" s="9"/>
      <c r="U1118" s="9"/>
      <c r="V1118" s="9"/>
      <c r="W1118" s="9"/>
      <c r="X1118" s="589"/>
      <c r="Y1118" s="9"/>
      <c r="Z1118" s="204"/>
      <c r="AA1118" s="9"/>
      <c r="AB1118" s="9"/>
      <c r="AC1118" s="9"/>
      <c r="AD1118" s="9"/>
    </row>
    <row r="1119" ht="15.75" customHeight="1">
      <c r="A1119" s="9"/>
      <c r="B1119" s="9"/>
      <c r="C1119" s="9"/>
      <c r="D1119" s="9"/>
      <c r="E1119" s="9"/>
      <c r="F1119" s="9"/>
      <c r="G1119" s="9"/>
      <c r="H1119" s="9"/>
      <c r="I1119" s="9"/>
      <c r="J1119" s="9"/>
      <c r="K1119" s="9"/>
      <c r="L1119" s="556"/>
      <c r="M1119" s="9"/>
      <c r="N1119" s="9"/>
      <c r="O1119" s="9"/>
      <c r="P1119" s="9"/>
      <c r="Q1119" s="9"/>
      <c r="R1119" s="9"/>
      <c r="S1119" s="9"/>
      <c r="T1119" s="9"/>
      <c r="U1119" s="9"/>
      <c r="V1119" s="9"/>
      <c r="W1119" s="9"/>
      <c r="X1119" s="589"/>
      <c r="Y1119" s="9"/>
      <c r="Z1119" s="204"/>
      <c r="AA1119" s="9"/>
      <c r="AB1119" s="9"/>
      <c r="AC1119" s="9"/>
      <c r="AD1119" s="9"/>
    </row>
    <row r="1120" ht="15.75" customHeight="1">
      <c r="A1120" s="9"/>
      <c r="B1120" s="9"/>
      <c r="C1120" s="9"/>
      <c r="D1120" s="9"/>
      <c r="E1120" s="9"/>
      <c r="F1120" s="9"/>
      <c r="G1120" s="9"/>
      <c r="H1120" s="9"/>
      <c r="I1120" s="9"/>
      <c r="J1120" s="9"/>
      <c r="K1120" s="9"/>
      <c r="L1120" s="556"/>
      <c r="M1120" s="9"/>
      <c r="N1120" s="9"/>
      <c r="O1120" s="9"/>
      <c r="P1120" s="9"/>
      <c r="Q1120" s="9"/>
      <c r="R1120" s="9"/>
      <c r="S1120" s="9"/>
      <c r="T1120" s="9"/>
      <c r="U1120" s="9"/>
      <c r="V1120" s="9"/>
      <c r="W1120" s="9"/>
      <c r="X1120" s="589"/>
      <c r="Y1120" s="9"/>
      <c r="Z1120" s="204"/>
      <c r="AA1120" s="9"/>
      <c r="AB1120" s="9"/>
      <c r="AC1120" s="9"/>
      <c r="AD1120" s="9"/>
    </row>
    <row r="1121" ht="15.75" customHeight="1">
      <c r="A1121" s="9"/>
      <c r="B1121" s="9"/>
      <c r="C1121" s="9"/>
      <c r="D1121" s="9"/>
      <c r="E1121" s="9"/>
      <c r="F1121" s="9"/>
      <c r="G1121" s="9"/>
      <c r="H1121" s="9"/>
      <c r="I1121" s="9"/>
      <c r="J1121" s="9"/>
      <c r="K1121" s="9"/>
      <c r="L1121" s="556"/>
      <c r="M1121" s="9"/>
      <c r="N1121" s="9"/>
      <c r="O1121" s="9"/>
      <c r="P1121" s="9"/>
      <c r="Q1121" s="9"/>
      <c r="R1121" s="9"/>
      <c r="S1121" s="9"/>
      <c r="T1121" s="9"/>
      <c r="U1121" s="9"/>
      <c r="V1121" s="9"/>
      <c r="W1121" s="9"/>
      <c r="X1121" s="589"/>
      <c r="Y1121" s="9"/>
      <c r="Z1121" s="204"/>
      <c r="AA1121" s="9"/>
      <c r="AB1121" s="9"/>
      <c r="AC1121" s="9"/>
      <c r="AD1121" s="9"/>
    </row>
    <row r="1122" ht="15.75" customHeight="1">
      <c r="A1122" s="9"/>
      <c r="B1122" s="9"/>
      <c r="C1122" s="9"/>
      <c r="D1122" s="9"/>
      <c r="E1122" s="9"/>
      <c r="F1122" s="9"/>
      <c r="G1122" s="9"/>
      <c r="H1122" s="9"/>
      <c r="I1122" s="9"/>
      <c r="J1122" s="9"/>
      <c r="K1122" s="9"/>
      <c r="L1122" s="556"/>
      <c r="M1122" s="9"/>
      <c r="N1122" s="9"/>
      <c r="O1122" s="9"/>
      <c r="P1122" s="9"/>
      <c r="Q1122" s="9"/>
      <c r="R1122" s="9"/>
      <c r="S1122" s="9"/>
      <c r="T1122" s="9"/>
      <c r="U1122" s="9"/>
      <c r="V1122" s="9"/>
      <c r="W1122" s="9"/>
      <c r="X1122" s="589"/>
      <c r="Y1122" s="9"/>
      <c r="Z1122" s="204"/>
      <c r="AA1122" s="9"/>
      <c r="AB1122" s="9"/>
      <c r="AC1122" s="9"/>
      <c r="AD1122" s="9"/>
    </row>
    <row r="1123" ht="15.75" customHeight="1">
      <c r="A1123" s="9"/>
      <c r="B1123" s="9"/>
      <c r="C1123" s="9"/>
      <c r="D1123" s="9"/>
      <c r="E1123" s="9"/>
      <c r="F1123" s="9"/>
      <c r="G1123" s="9"/>
      <c r="H1123" s="9"/>
      <c r="I1123" s="9"/>
      <c r="J1123" s="9"/>
      <c r="K1123" s="9"/>
      <c r="L1123" s="556"/>
      <c r="M1123" s="9"/>
      <c r="N1123" s="9"/>
      <c r="O1123" s="9"/>
      <c r="P1123" s="9"/>
      <c r="Q1123" s="9"/>
      <c r="R1123" s="9"/>
      <c r="S1123" s="9"/>
      <c r="T1123" s="9"/>
      <c r="U1123" s="9"/>
      <c r="V1123" s="9"/>
      <c r="W1123" s="9"/>
      <c r="X1123" s="589"/>
      <c r="Y1123" s="9"/>
      <c r="Z1123" s="204"/>
      <c r="AA1123" s="9"/>
      <c r="AB1123" s="9"/>
      <c r="AC1123" s="9"/>
      <c r="AD1123" s="9"/>
    </row>
    <row r="1124" ht="15.75" customHeight="1">
      <c r="A1124" s="9"/>
      <c r="B1124" s="9"/>
      <c r="C1124" s="9"/>
      <c r="D1124" s="9"/>
      <c r="E1124" s="9"/>
      <c r="F1124" s="9"/>
      <c r="G1124" s="9"/>
      <c r="H1124" s="9"/>
      <c r="I1124" s="9"/>
      <c r="J1124" s="9"/>
      <c r="K1124" s="9"/>
      <c r="L1124" s="556"/>
      <c r="M1124" s="9"/>
      <c r="N1124" s="9"/>
      <c r="O1124" s="9"/>
      <c r="P1124" s="9"/>
      <c r="Q1124" s="9"/>
      <c r="R1124" s="9"/>
      <c r="S1124" s="9"/>
      <c r="T1124" s="9"/>
      <c r="U1124" s="9"/>
      <c r="V1124" s="9"/>
      <c r="W1124" s="9"/>
      <c r="X1124" s="589"/>
      <c r="Y1124" s="9"/>
      <c r="Z1124" s="204"/>
      <c r="AA1124" s="9"/>
      <c r="AB1124" s="9"/>
      <c r="AC1124" s="9"/>
      <c r="AD1124" s="9"/>
    </row>
    <row r="1125" ht="15.75" customHeight="1">
      <c r="A1125" s="9"/>
      <c r="B1125" s="9"/>
      <c r="C1125" s="9"/>
      <c r="D1125" s="9"/>
      <c r="E1125" s="9"/>
      <c r="F1125" s="9"/>
      <c r="G1125" s="9"/>
      <c r="H1125" s="9"/>
      <c r="I1125" s="9"/>
      <c r="J1125" s="9"/>
      <c r="K1125" s="9"/>
      <c r="L1125" s="556"/>
      <c r="M1125" s="9"/>
      <c r="N1125" s="9"/>
      <c r="O1125" s="9"/>
      <c r="P1125" s="9"/>
      <c r="Q1125" s="9"/>
      <c r="R1125" s="9"/>
      <c r="S1125" s="9"/>
      <c r="T1125" s="9"/>
      <c r="U1125" s="9"/>
      <c r="V1125" s="9"/>
      <c r="W1125" s="9"/>
      <c r="X1125" s="589"/>
      <c r="Y1125" s="9"/>
      <c r="Z1125" s="204"/>
      <c r="AA1125" s="9"/>
      <c r="AB1125" s="9"/>
      <c r="AC1125" s="9"/>
      <c r="AD1125" s="9"/>
    </row>
    <row r="1126" ht="15.75" customHeight="1">
      <c r="A1126" s="9"/>
      <c r="B1126" s="9"/>
      <c r="C1126" s="9"/>
      <c r="D1126" s="9"/>
      <c r="E1126" s="9"/>
      <c r="F1126" s="9"/>
      <c r="G1126" s="9"/>
      <c r="H1126" s="9"/>
      <c r="I1126" s="9"/>
      <c r="J1126" s="9"/>
      <c r="K1126" s="9"/>
      <c r="L1126" s="556"/>
      <c r="M1126" s="9"/>
      <c r="N1126" s="9"/>
      <c r="O1126" s="9"/>
      <c r="P1126" s="9"/>
      <c r="Q1126" s="9"/>
      <c r="R1126" s="9"/>
      <c r="S1126" s="9"/>
      <c r="T1126" s="9"/>
      <c r="U1126" s="9"/>
      <c r="V1126" s="9"/>
      <c r="W1126" s="9"/>
      <c r="X1126" s="589"/>
      <c r="Y1126" s="9"/>
      <c r="Z1126" s="204"/>
      <c r="AA1126" s="9"/>
      <c r="AB1126" s="9"/>
      <c r="AC1126" s="9"/>
      <c r="AD1126" s="9"/>
    </row>
    <row r="1127" ht="15.75" customHeight="1">
      <c r="A1127" s="9"/>
      <c r="B1127" s="9"/>
      <c r="C1127" s="9"/>
      <c r="D1127" s="9"/>
      <c r="E1127" s="9"/>
      <c r="F1127" s="9"/>
      <c r="G1127" s="9"/>
      <c r="H1127" s="9"/>
      <c r="I1127" s="9"/>
      <c r="J1127" s="9"/>
      <c r="K1127" s="9"/>
      <c r="L1127" s="556"/>
      <c r="M1127" s="9"/>
      <c r="N1127" s="9"/>
      <c r="O1127" s="9"/>
      <c r="P1127" s="9"/>
      <c r="Q1127" s="9"/>
      <c r="R1127" s="9"/>
      <c r="S1127" s="9"/>
      <c r="T1127" s="9"/>
      <c r="U1127" s="9"/>
      <c r="V1127" s="9"/>
      <c r="W1127" s="9"/>
      <c r="X1127" s="589"/>
      <c r="Y1127" s="9"/>
      <c r="Z1127" s="204"/>
      <c r="AA1127" s="9"/>
      <c r="AB1127" s="9"/>
      <c r="AC1127" s="9"/>
      <c r="AD1127" s="9"/>
    </row>
    <row r="1128" ht="15.75" customHeight="1">
      <c r="A1128" s="9"/>
      <c r="B1128" s="9"/>
      <c r="C1128" s="9"/>
      <c r="D1128" s="9"/>
      <c r="E1128" s="9"/>
      <c r="F1128" s="9"/>
      <c r="G1128" s="9"/>
      <c r="H1128" s="9"/>
      <c r="I1128" s="9"/>
      <c r="J1128" s="9"/>
      <c r="K1128" s="9"/>
      <c r="L1128" s="556"/>
      <c r="M1128" s="9"/>
      <c r="N1128" s="9"/>
      <c r="O1128" s="9"/>
      <c r="P1128" s="9"/>
      <c r="Q1128" s="9"/>
      <c r="R1128" s="9"/>
      <c r="S1128" s="9"/>
      <c r="T1128" s="9"/>
      <c r="U1128" s="9"/>
      <c r="V1128" s="9"/>
      <c r="W1128" s="9"/>
      <c r="X1128" s="589"/>
      <c r="Y1128" s="9"/>
      <c r="Z1128" s="204"/>
      <c r="AA1128" s="9"/>
      <c r="AB1128" s="9"/>
      <c r="AC1128" s="9"/>
      <c r="AD1128" s="9"/>
    </row>
    <row r="1129" ht="15.75" customHeight="1">
      <c r="A1129" s="9"/>
      <c r="B1129" s="9"/>
      <c r="C1129" s="9"/>
      <c r="D1129" s="9"/>
      <c r="E1129" s="9"/>
      <c r="F1129" s="9"/>
      <c r="G1129" s="9"/>
      <c r="H1129" s="9"/>
      <c r="I1129" s="9"/>
      <c r="J1129" s="9"/>
      <c r="K1129" s="9"/>
      <c r="L1129" s="556"/>
      <c r="M1129" s="9"/>
      <c r="N1129" s="9"/>
      <c r="O1129" s="9"/>
      <c r="P1129" s="9"/>
      <c r="Q1129" s="9"/>
      <c r="R1129" s="9"/>
      <c r="S1129" s="9"/>
      <c r="T1129" s="9"/>
      <c r="U1129" s="9"/>
      <c r="V1129" s="9"/>
      <c r="W1129" s="9"/>
      <c r="X1129" s="589"/>
      <c r="Y1129" s="9"/>
      <c r="Z1129" s="204"/>
      <c r="AA1129" s="9"/>
      <c r="AB1129" s="9"/>
      <c r="AC1129" s="9"/>
      <c r="AD1129" s="9"/>
    </row>
    <row r="1130" ht="15.75" customHeight="1">
      <c r="A1130" s="9"/>
      <c r="B1130" s="9"/>
      <c r="C1130" s="9"/>
      <c r="D1130" s="9"/>
      <c r="E1130" s="9"/>
      <c r="F1130" s="9"/>
      <c r="G1130" s="9"/>
      <c r="H1130" s="9"/>
      <c r="I1130" s="9"/>
      <c r="J1130" s="9"/>
      <c r="K1130" s="9"/>
      <c r="L1130" s="556"/>
      <c r="M1130" s="9"/>
      <c r="N1130" s="9"/>
      <c r="O1130" s="9"/>
      <c r="P1130" s="9"/>
      <c r="Q1130" s="9"/>
      <c r="R1130" s="9"/>
      <c r="S1130" s="9"/>
      <c r="T1130" s="9"/>
      <c r="U1130" s="9"/>
      <c r="V1130" s="9"/>
      <c r="W1130" s="9"/>
      <c r="X1130" s="589"/>
      <c r="Y1130" s="9"/>
      <c r="Z1130" s="204"/>
      <c r="AA1130" s="9"/>
      <c r="AB1130" s="9"/>
      <c r="AC1130" s="9"/>
      <c r="AD1130" s="9"/>
    </row>
    <row r="1131" ht="15.75" customHeight="1">
      <c r="A1131" s="9"/>
      <c r="B1131" s="9"/>
      <c r="C1131" s="9"/>
      <c r="D1131" s="9"/>
      <c r="E1131" s="9"/>
      <c r="F1131" s="9"/>
      <c r="G1131" s="9"/>
      <c r="H1131" s="9"/>
      <c r="I1131" s="9"/>
      <c r="J1131" s="9"/>
      <c r="K1131" s="9"/>
      <c r="L1131" s="556"/>
      <c r="M1131" s="9"/>
      <c r="N1131" s="9"/>
      <c r="O1131" s="9"/>
      <c r="P1131" s="9"/>
      <c r="Q1131" s="9"/>
      <c r="R1131" s="9"/>
      <c r="S1131" s="9"/>
      <c r="T1131" s="9"/>
      <c r="U1131" s="9"/>
      <c r="V1131" s="9"/>
      <c r="W1131" s="9"/>
      <c r="X1131" s="589"/>
      <c r="Y1131" s="9"/>
      <c r="Z1131" s="204"/>
      <c r="AA1131" s="9"/>
      <c r="AB1131" s="9"/>
      <c r="AC1131" s="9"/>
      <c r="AD1131" s="9"/>
    </row>
    <row r="1132" ht="15.75" customHeight="1">
      <c r="A1132" s="9"/>
      <c r="B1132" s="9"/>
      <c r="C1132" s="9"/>
      <c r="D1132" s="9"/>
      <c r="E1132" s="9"/>
      <c r="F1132" s="9"/>
      <c r="G1132" s="9"/>
      <c r="H1132" s="9"/>
      <c r="I1132" s="9"/>
      <c r="J1132" s="9"/>
      <c r="K1132" s="9"/>
      <c r="L1132" s="556"/>
      <c r="M1132" s="9"/>
      <c r="N1132" s="9"/>
      <c r="O1132" s="9"/>
      <c r="P1132" s="9"/>
      <c r="Q1132" s="9"/>
      <c r="R1132" s="9"/>
      <c r="S1132" s="9"/>
      <c r="T1132" s="9"/>
      <c r="U1132" s="9"/>
      <c r="V1132" s="9"/>
      <c r="W1132" s="9"/>
      <c r="X1132" s="589"/>
      <c r="Y1132" s="9"/>
      <c r="Z1132" s="204"/>
      <c r="AA1132" s="9"/>
      <c r="AB1132" s="9"/>
      <c r="AC1132" s="9"/>
      <c r="AD1132" s="9"/>
    </row>
    <row r="1133" ht="15.75" customHeight="1">
      <c r="A1133" s="9"/>
      <c r="B1133" s="9"/>
      <c r="C1133" s="9"/>
      <c r="D1133" s="9"/>
      <c r="E1133" s="9"/>
      <c r="F1133" s="9"/>
      <c r="G1133" s="9"/>
      <c r="H1133" s="9"/>
      <c r="I1133" s="9"/>
      <c r="J1133" s="9"/>
      <c r="K1133" s="9"/>
      <c r="L1133" s="556"/>
      <c r="M1133" s="9"/>
      <c r="N1133" s="9"/>
      <c r="O1133" s="9"/>
      <c r="P1133" s="9"/>
      <c r="Q1133" s="9"/>
      <c r="R1133" s="9"/>
      <c r="S1133" s="9"/>
      <c r="T1133" s="9"/>
      <c r="U1133" s="9"/>
      <c r="V1133" s="9"/>
      <c r="W1133" s="9"/>
      <c r="X1133" s="589"/>
      <c r="Y1133" s="9"/>
      <c r="Z1133" s="204"/>
      <c r="AA1133" s="9"/>
      <c r="AB1133" s="9"/>
      <c r="AC1133" s="9"/>
      <c r="AD1133" s="9"/>
    </row>
    <row r="1134" ht="15.75" customHeight="1">
      <c r="A1134" s="9"/>
      <c r="B1134" s="9"/>
      <c r="C1134" s="9"/>
      <c r="D1134" s="9"/>
      <c r="E1134" s="9"/>
      <c r="F1134" s="9"/>
      <c r="G1134" s="9"/>
      <c r="H1134" s="9"/>
      <c r="I1134" s="9"/>
      <c r="J1134" s="9"/>
      <c r="K1134" s="9"/>
      <c r="L1134" s="556"/>
      <c r="M1134" s="9"/>
      <c r="N1134" s="9"/>
      <c r="O1134" s="9"/>
      <c r="P1134" s="9"/>
      <c r="Q1134" s="9"/>
      <c r="R1134" s="9"/>
      <c r="S1134" s="9"/>
      <c r="T1134" s="9"/>
      <c r="U1134" s="9"/>
      <c r="V1134" s="9"/>
      <c r="W1134" s="9"/>
      <c r="X1134" s="589"/>
      <c r="Y1134" s="9"/>
      <c r="Z1134" s="204"/>
      <c r="AA1134" s="9"/>
      <c r="AB1134" s="9"/>
      <c r="AC1134" s="9"/>
      <c r="AD1134" s="9"/>
    </row>
    <row r="1135" ht="15.75" customHeight="1">
      <c r="A1135" s="9"/>
      <c r="B1135" s="9"/>
      <c r="C1135" s="9"/>
      <c r="D1135" s="9"/>
      <c r="E1135" s="9"/>
      <c r="F1135" s="9"/>
      <c r="G1135" s="9"/>
      <c r="H1135" s="9"/>
      <c r="I1135" s="9"/>
      <c r="J1135" s="9"/>
      <c r="K1135" s="9"/>
      <c r="L1135" s="556"/>
      <c r="M1135" s="9"/>
      <c r="N1135" s="9"/>
      <c r="O1135" s="9"/>
      <c r="P1135" s="9"/>
      <c r="Q1135" s="9"/>
      <c r="R1135" s="9"/>
      <c r="S1135" s="9"/>
      <c r="T1135" s="9"/>
      <c r="U1135" s="9"/>
      <c r="V1135" s="9"/>
      <c r="W1135" s="9"/>
      <c r="X1135" s="589"/>
      <c r="Y1135" s="9"/>
      <c r="Z1135" s="204"/>
      <c r="AA1135" s="9"/>
      <c r="AB1135" s="9"/>
      <c r="AC1135" s="9"/>
      <c r="AD1135" s="9"/>
    </row>
    <row r="1136" ht="15.75" customHeight="1">
      <c r="A1136" s="9"/>
      <c r="B1136" s="9"/>
      <c r="C1136" s="9"/>
      <c r="D1136" s="9"/>
      <c r="E1136" s="9"/>
      <c r="F1136" s="9"/>
      <c r="G1136" s="9"/>
      <c r="H1136" s="9"/>
      <c r="I1136" s="9"/>
      <c r="J1136" s="9"/>
      <c r="K1136" s="9"/>
      <c r="L1136" s="556"/>
      <c r="M1136" s="9"/>
      <c r="N1136" s="9"/>
      <c r="O1136" s="9"/>
      <c r="P1136" s="9"/>
      <c r="Q1136" s="9"/>
      <c r="R1136" s="9"/>
      <c r="S1136" s="9"/>
      <c r="T1136" s="9"/>
      <c r="U1136" s="9"/>
      <c r="V1136" s="9"/>
      <c r="W1136" s="9"/>
      <c r="X1136" s="589"/>
      <c r="Y1136" s="9"/>
      <c r="Z1136" s="204"/>
      <c r="AA1136" s="9"/>
      <c r="AB1136" s="9"/>
      <c r="AC1136" s="9"/>
      <c r="AD1136" s="9"/>
    </row>
    <row r="1137" ht="15.75" customHeight="1">
      <c r="A1137" s="9"/>
      <c r="B1137" s="9"/>
      <c r="C1137" s="9"/>
      <c r="D1137" s="9"/>
      <c r="E1137" s="9"/>
      <c r="F1137" s="9"/>
      <c r="G1137" s="9"/>
      <c r="H1137" s="9"/>
      <c r="I1137" s="9"/>
      <c r="J1137" s="9"/>
      <c r="K1137" s="9"/>
      <c r="L1137" s="556"/>
      <c r="M1137" s="9"/>
      <c r="N1137" s="9"/>
      <c r="O1137" s="9"/>
      <c r="P1137" s="9"/>
      <c r="Q1137" s="9"/>
      <c r="R1137" s="9"/>
      <c r="S1137" s="9"/>
      <c r="T1137" s="9"/>
      <c r="U1137" s="9"/>
      <c r="V1137" s="9"/>
      <c r="W1137" s="9"/>
      <c r="X1137" s="589"/>
      <c r="Y1137" s="9"/>
      <c r="Z1137" s="204"/>
      <c r="AA1137" s="9"/>
      <c r="AB1137" s="9"/>
      <c r="AC1137" s="9"/>
      <c r="AD1137" s="9"/>
    </row>
    <row r="1138" ht="15.75" customHeight="1">
      <c r="A1138" s="9"/>
      <c r="B1138" s="9"/>
      <c r="C1138" s="9"/>
      <c r="D1138" s="9"/>
      <c r="E1138" s="9"/>
      <c r="F1138" s="9"/>
      <c r="G1138" s="9"/>
      <c r="H1138" s="9"/>
      <c r="I1138" s="9"/>
      <c r="J1138" s="9"/>
      <c r="K1138" s="9"/>
      <c r="L1138" s="556"/>
      <c r="M1138" s="9"/>
      <c r="N1138" s="9"/>
      <c r="O1138" s="9"/>
      <c r="P1138" s="9"/>
      <c r="Q1138" s="9"/>
      <c r="R1138" s="9"/>
      <c r="S1138" s="9"/>
      <c r="T1138" s="9"/>
      <c r="U1138" s="9"/>
      <c r="V1138" s="9"/>
      <c r="W1138" s="9"/>
      <c r="X1138" s="589"/>
      <c r="Y1138" s="9"/>
      <c r="Z1138" s="204"/>
      <c r="AA1138" s="9"/>
      <c r="AB1138" s="9"/>
      <c r="AC1138" s="9"/>
      <c r="AD1138" s="9"/>
    </row>
    <row r="1139" ht="15.75" customHeight="1">
      <c r="A1139" s="9"/>
      <c r="B1139" s="9"/>
      <c r="C1139" s="9"/>
      <c r="D1139" s="9"/>
      <c r="E1139" s="9"/>
      <c r="F1139" s="9"/>
      <c r="G1139" s="9"/>
      <c r="H1139" s="9"/>
      <c r="I1139" s="9"/>
      <c r="J1139" s="9"/>
      <c r="K1139" s="9"/>
      <c r="L1139" s="556"/>
      <c r="M1139" s="9"/>
      <c r="N1139" s="9"/>
      <c r="O1139" s="9"/>
      <c r="P1139" s="9"/>
      <c r="Q1139" s="9"/>
      <c r="R1139" s="9"/>
      <c r="S1139" s="9"/>
      <c r="T1139" s="9"/>
      <c r="U1139" s="9"/>
      <c r="V1139" s="9"/>
      <c r="W1139" s="9"/>
      <c r="X1139" s="589"/>
      <c r="Y1139" s="9"/>
      <c r="Z1139" s="204"/>
      <c r="AA1139" s="9"/>
      <c r="AB1139" s="9"/>
      <c r="AC1139" s="9"/>
      <c r="AD1139" s="9"/>
    </row>
    <row r="1140" ht="15.75" customHeight="1">
      <c r="A1140" s="9"/>
      <c r="B1140" s="9"/>
      <c r="C1140" s="9"/>
      <c r="D1140" s="9"/>
      <c r="E1140" s="9"/>
      <c r="F1140" s="9"/>
      <c r="G1140" s="9"/>
      <c r="H1140" s="9"/>
      <c r="I1140" s="9"/>
      <c r="J1140" s="9"/>
      <c r="K1140" s="9"/>
      <c r="L1140" s="556"/>
      <c r="M1140" s="9"/>
      <c r="N1140" s="9"/>
      <c r="O1140" s="9"/>
      <c r="P1140" s="9"/>
      <c r="Q1140" s="9"/>
      <c r="R1140" s="9"/>
      <c r="S1140" s="9"/>
      <c r="T1140" s="9"/>
      <c r="U1140" s="9"/>
      <c r="V1140" s="9"/>
      <c r="W1140" s="9"/>
      <c r="X1140" s="589"/>
      <c r="Y1140" s="9"/>
      <c r="Z1140" s="204"/>
      <c r="AA1140" s="9"/>
      <c r="AB1140" s="9"/>
      <c r="AC1140" s="9"/>
      <c r="AD1140" s="9"/>
    </row>
    <row r="1141" ht="15.75" customHeight="1">
      <c r="A1141" s="9"/>
      <c r="B1141" s="9"/>
      <c r="C1141" s="9"/>
      <c r="D1141" s="9"/>
      <c r="E1141" s="9"/>
      <c r="F1141" s="9"/>
      <c r="G1141" s="9"/>
      <c r="H1141" s="9"/>
      <c r="I1141" s="9"/>
      <c r="J1141" s="9"/>
      <c r="K1141" s="9"/>
      <c r="L1141" s="556"/>
      <c r="M1141" s="9"/>
      <c r="N1141" s="9"/>
      <c r="O1141" s="9"/>
      <c r="P1141" s="9"/>
      <c r="Q1141" s="9"/>
      <c r="R1141" s="9"/>
      <c r="S1141" s="9"/>
      <c r="T1141" s="9"/>
      <c r="U1141" s="9"/>
      <c r="V1141" s="9"/>
      <c r="W1141" s="9"/>
      <c r="X1141" s="589"/>
      <c r="Y1141" s="9"/>
      <c r="Z1141" s="204"/>
      <c r="AA1141" s="9"/>
      <c r="AB1141" s="9"/>
      <c r="AC1141" s="9"/>
      <c r="AD1141" s="9"/>
    </row>
    <row r="1142" ht="15.75" customHeight="1">
      <c r="A1142" s="9"/>
      <c r="B1142" s="9"/>
      <c r="C1142" s="9"/>
      <c r="D1142" s="9"/>
      <c r="E1142" s="9"/>
      <c r="F1142" s="9"/>
      <c r="G1142" s="9"/>
      <c r="H1142" s="9"/>
      <c r="I1142" s="9"/>
      <c r="J1142" s="9"/>
      <c r="K1142" s="9"/>
      <c r="L1142" s="556"/>
      <c r="M1142" s="9"/>
      <c r="N1142" s="9"/>
      <c r="O1142" s="9"/>
      <c r="P1142" s="9"/>
      <c r="Q1142" s="9"/>
      <c r="R1142" s="9"/>
      <c r="S1142" s="9"/>
      <c r="T1142" s="9"/>
      <c r="U1142" s="9"/>
      <c r="V1142" s="9"/>
      <c r="W1142" s="9"/>
      <c r="X1142" s="589"/>
      <c r="Y1142" s="9"/>
      <c r="Z1142" s="204"/>
      <c r="AA1142" s="9"/>
      <c r="AB1142" s="9"/>
      <c r="AC1142" s="9"/>
      <c r="AD1142" s="9"/>
    </row>
    <row r="1143" ht="15.75" customHeight="1">
      <c r="A1143" s="9"/>
      <c r="B1143" s="9"/>
      <c r="C1143" s="9"/>
      <c r="D1143" s="9"/>
      <c r="E1143" s="9"/>
      <c r="F1143" s="9"/>
      <c r="G1143" s="9"/>
      <c r="H1143" s="9"/>
      <c r="I1143" s="9"/>
      <c r="J1143" s="9"/>
      <c r="K1143" s="9"/>
      <c r="L1143" s="556"/>
      <c r="M1143" s="9"/>
      <c r="N1143" s="9"/>
      <c r="O1143" s="9"/>
      <c r="P1143" s="9"/>
      <c r="Q1143" s="9"/>
      <c r="R1143" s="9"/>
      <c r="S1143" s="9"/>
      <c r="T1143" s="9"/>
      <c r="U1143" s="9"/>
      <c r="V1143" s="9"/>
      <c r="W1143" s="9"/>
      <c r="X1143" s="589"/>
      <c r="Y1143" s="9"/>
      <c r="Z1143" s="204"/>
      <c r="AA1143" s="9"/>
      <c r="AB1143" s="9"/>
      <c r="AC1143" s="9"/>
      <c r="AD1143" s="9"/>
    </row>
    <row r="1144" ht="15.75" customHeight="1">
      <c r="A1144" s="9"/>
      <c r="B1144" s="9"/>
      <c r="C1144" s="9"/>
      <c r="D1144" s="9"/>
      <c r="E1144" s="9"/>
      <c r="F1144" s="9"/>
      <c r="G1144" s="9"/>
      <c r="H1144" s="9"/>
      <c r="I1144" s="9"/>
      <c r="J1144" s="9"/>
      <c r="K1144" s="9"/>
      <c r="L1144" s="556"/>
      <c r="M1144" s="9"/>
      <c r="N1144" s="9"/>
      <c r="O1144" s="9"/>
      <c r="P1144" s="9"/>
      <c r="Q1144" s="9"/>
      <c r="R1144" s="9"/>
      <c r="S1144" s="9"/>
      <c r="T1144" s="9"/>
      <c r="U1144" s="9"/>
      <c r="V1144" s="9"/>
      <c r="W1144" s="9"/>
      <c r="X1144" s="589"/>
      <c r="Y1144" s="9"/>
      <c r="Z1144" s="204"/>
      <c r="AA1144" s="9"/>
      <c r="AB1144" s="9"/>
      <c r="AC1144" s="9"/>
      <c r="AD1144" s="9"/>
    </row>
    <row r="1145" ht="15.75" customHeight="1">
      <c r="A1145" s="9"/>
      <c r="B1145" s="9"/>
      <c r="C1145" s="9"/>
      <c r="D1145" s="9"/>
      <c r="E1145" s="9"/>
      <c r="F1145" s="9"/>
      <c r="G1145" s="9"/>
      <c r="H1145" s="9"/>
      <c r="I1145" s="9"/>
      <c r="J1145" s="9"/>
      <c r="K1145" s="9"/>
      <c r="L1145" s="556"/>
      <c r="M1145" s="9"/>
      <c r="N1145" s="9"/>
      <c r="O1145" s="9"/>
      <c r="P1145" s="9"/>
      <c r="Q1145" s="9"/>
      <c r="R1145" s="9"/>
      <c r="S1145" s="9"/>
      <c r="T1145" s="9"/>
      <c r="U1145" s="9"/>
      <c r="V1145" s="9"/>
      <c r="W1145" s="9"/>
      <c r="X1145" s="589"/>
      <c r="Y1145" s="9"/>
      <c r="Z1145" s="204"/>
      <c r="AA1145" s="9"/>
      <c r="AB1145" s="9"/>
      <c r="AC1145" s="9"/>
      <c r="AD1145" s="9"/>
    </row>
    <row r="1146" ht="15.75" customHeight="1">
      <c r="A1146" s="9"/>
      <c r="B1146" s="9"/>
      <c r="C1146" s="9"/>
      <c r="D1146" s="9"/>
      <c r="E1146" s="9"/>
      <c r="F1146" s="9"/>
      <c r="G1146" s="9"/>
      <c r="H1146" s="9"/>
      <c r="I1146" s="9"/>
      <c r="J1146" s="9"/>
      <c r="K1146" s="9"/>
      <c r="L1146" s="556"/>
      <c r="M1146" s="9"/>
      <c r="N1146" s="9"/>
      <c r="O1146" s="9"/>
      <c r="P1146" s="9"/>
      <c r="Q1146" s="9"/>
      <c r="R1146" s="9"/>
      <c r="S1146" s="9"/>
      <c r="T1146" s="9"/>
      <c r="U1146" s="9"/>
      <c r="V1146" s="9"/>
      <c r="W1146" s="9"/>
      <c r="X1146" s="589"/>
      <c r="Y1146" s="9"/>
      <c r="Z1146" s="204"/>
      <c r="AA1146" s="9"/>
      <c r="AB1146" s="9"/>
      <c r="AC1146" s="9"/>
      <c r="AD1146" s="9"/>
    </row>
    <row r="1147" ht="15.75" customHeight="1">
      <c r="A1147" s="9"/>
      <c r="B1147" s="9"/>
      <c r="C1147" s="9"/>
      <c r="D1147" s="9"/>
      <c r="E1147" s="9"/>
      <c r="F1147" s="9"/>
      <c r="G1147" s="9"/>
      <c r="H1147" s="9"/>
      <c r="I1147" s="9"/>
      <c r="J1147" s="9"/>
      <c r="K1147" s="9"/>
      <c r="L1147" s="556"/>
      <c r="M1147" s="9"/>
      <c r="N1147" s="9"/>
      <c r="O1147" s="9"/>
      <c r="P1147" s="9"/>
      <c r="Q1147" s="9"/>
      <c r="R1147" s="9"/>
      <c r="S1147" s="9"/>
      <c r="T1147" s="9"/>
      <c r="U1147" s="9"/>
      <c r="V1147" s="9"/>
      <c r="W1147" s="9"/>
      <c r="X1147" s="589"/>
      <c r="Y1147" s="9"/>
      <c r="Z1147" s="204"/>
      <c r="AA1147" s="9"/>
      <c r="AB1147" s="9"/>
      <c r="AC1147" s="9"/>
      <c r="AD1147" s="9"/>
    </row>
    <row r="1148" ht="15.75" customHeight="1">
      <c r="A1148" s="9"/>
      <c r="B1148" s="9"/>
      <c r="C1148" s="9"/>
      <c r="D1148" s="9"/>
      <c r="E1148" s="9"/>
      <c r="F1148" s="9"/>
      <c r="G1148" s="9"/>
      <c r="H1148" s="9"/>
      <c r="I1148" s="9"/>
      <c r="J1148" s="9"/>
      <c r="K1148" s="9"/>
      <c r="L1148" s="556"/>
      <c r="M1148" s="9"/>
      <c r="N1148" s="9"/>
      <c r="O1148" s="9"/>
      <c r="P1148" s="9"/>
      <c r="Q1148" s="9"/>
      <c r="R1148" s="9"/>
      <c r="S1148" s="9"/>
      <c r="T1148" s="9"/>
      <c r="U1148" s="9"/>
      <c r="V1148" s="9"/>
      <c r="W1148" s="9"/>
      <c r="X1148" s="589"/>
      <c r="Y1148" s="9"/>
      <c r="Z1148" s="204"/>
      <c r="AA1148" s="9"/>
      <c r="AB1148" s="9"/>
      <c r="AC1148" s="9"/>
      <c r="AD1148" s="9"/>
    </row>
    <row r="1149" ht="15.75" customHeight="1">
      <c r="A1149" s="9"/>
      <c r="B1149" s="9"/>
      <c r="C1149" s="9"/>
      <c r="D1149" s="9"/>
      <c r="E1149" s="9"/>
      <c r="F1149" s="9"/>
      <c r="G1149" s="9"/>
      <c r="H1149" s="9"/>
      <c r="I1149" s="9"/>
      <c r="J1149" s="9"/>
      <c r="K1149" s="9"/>
      <c r="L1149" s="556"/>
      <c r="M1149" s="9"/>
      <c r="N1149" s="9"/>
      <c r="O1149" s="9"/>
      <c r="P1149" s="9"/>
      <c r="Q1149" s="9"/>
      <c r="R1149" s="9"/>
      <c r="S1149" s="9"/>
      <c r="T1149" s="9"/>
      <c r="U1149" s="9"/>
      <c r="V1149" s="9"/>
      <c r="W1149" s="9"/>
      <c r="X1149" s="589"/>
      <c r="Y1149" s="9"/>
      <c r="Z1149" s="204"/>
      <c r="AA1149" s="9"/>
      <c r="AB1149" s="9"/>
      <c r="AC1149" s="9"/>
      <c r="AD1149" s="9"/>
    </row>
    <row r="1150" ht="15.75" customHeight="1">
      <c r="A1150" s="9"/>
      <c r="B1150" s="9"/>
      <c r="C1150" s="9"/>
      <c r="D1150" s="9"/>
      <c r="E1150" s="9"/>
      <c r="F1150" s="9"/>
      <c r="G1150" s="9"/>
      <c r="H1150" s="9"/>
      <c r="I1150" s="9"/>
      <c r="J1150" s="9"/>
      <c r="K1150" s="9"/>
      <c r="L1150" s="556"/>
      <c r="M1150" s="9"/>
      <c r="N1150" s="9"/>
      <c r="O1150" s="9"/>
      <c r="P1150" s="9"/>
      <c r="Q1150" s="9"/>
      <c r="R1150" s="9"/>
      <c r="S1150" s="9"/>
      <c r="T1150" s="9"/>
      <c r="U1150" s="9"/>
      <c r="V1150" s="9"/>
      <c r="W1150" s="9"/>
      <c r="X1150" s="589"/>
      <c r="Y1150" s="9"/>
      <c r="Z1150" s="204"/>
      <c r="AA1150" s="9"/>
      <c r="AB1150" s="9"/>
      <c r="AC1150" s="9"/>
      <c r="AD1150" s="9"/>
    </row>
    <row r="1151" ht="15.75" customHeight="1">
      <c r="A1151" s="9"/>
      <c r="B1151" s="9"/>
      <c r="C1151" s="9"/>
      <c r="D1151" s="9"/>
      <c r="E1151" s="9"/>
      <c r="F1151" s="9"/>
      <c r="G1151" s="9"/>
      <c r="H1151" s="9"/>
      <c r="I1151" s="9"/>
      <c r="J1151" s="9"/>
      <c r="K1151" s="9"/>
      <c r="L1151" s="556"/>
      <c r="M1151" s="9"/>
      <c r="N1151" s="9"/>
      <c r="O1151" s="9"/>
      <c r="P1151" s="9"/>
      <c r="Q1151" s="9"/>
      <c r="R1151" s="9"/>
      <c r="S1151" s="9"/>
      <c r="T1151" s="9"/>
      <c r="U1151" s="9"/>
      <c r="V1151" s="9"/>
      <c r="W1151" s="9"/>
      <c r="X1151" s="589"/>
      <c r="Y1151" s="9"/>
      <c r="Z1151" s="204"/>
      <c r="AA1151" s="9"/>
      <c r="AB1151" s="9"/>
      <c r="AC1151" s="9"/>
      <c r="AD1151" s="9"/>
    </row>
    <row r="1152" ht="15.75" customHeight="1">
      <c r="A1152" s="9"/>
      <c r="B1152" s="9"/>
      <c r="C1152" s="9"/>
      <c r="D1152" s="9"/>
      <c r="E1152" s="9"/>
      <c r="F1152" s="9"/>
      <c r="G1152" s="9"/>
      <c r="H1152" s="9"/>
      <c r="I1152" s="9"/>
      <c r="J1152" s="9"/>
      <c r="K1152" s="9"/>
      <c r="L1152" s="556"/>
      <c r="M1152" s="9"/>
      <c r="N1152" s="9"/>
      <c r="O1152" s="9"/>
      <c r="P1152" s="9"/>
      <c r="Q1152" s="9"/>
      <c r="R1152" s="9"/>
      <c r="S1152" s="9"/>
      <c r="T1152" s="9"/>
      <c r="U1152" s="9"/>
      <c r="V1152" s="9"/>
      <c r="W1152" s="9"/>
      <c r="X1152" s="589"/>
      <c r="Y1152" s="9"/>
      <c r="Z1152" s="204"/>
      <c r="AA1152" s="9"/>
      <c r="AB1152" s="9"/>
      <c r="AC1152" s="9"/>
      <c r="AD1152" s="9"/>
    </row>
    <row r="1153" ht="15.75" customHeight="1">
      <c r="A1153" s="9"/>
      <c r="B1153" s="9"/>
      <c r="C1153" s="9"/>
      <c r="D1153" s="9"/>
      <c r="E1153" s="9"/>
      <c r="F1153" s="9"/>
      <c r="G1153" s="9"/>
      <c r="H1153" s="9"/>
      <c r="I1153" s="9"/>
      <c r="J1153" s="9"/>
      <c r="K1153" s="9"/>
      <c r="L1153" s="556"/>
      <c r="M1153" s="9"/>
      <c r="N1153" s="9"/>
      <c r="O1153" s="9"/>
      <c r="P1153" s="9"/>
      <c r="Q1153" s="9"/>
      <c r="R1153" s="9"/>
      <c r="S1153" s="9"/>
      <c r="T1153" s="9"/>
      <c r="U1153" s="9"/>
      <c r="V1153" s="9"/>
      <c r="W1153" s="9"/>
      <c r="X1153" s="589"/>
      <c r="Y1153" s="9"/>
      <c r="Z1153" s="204"/>
      <c r="AA1153" s="9"/>
      <c r="AB1153" s="9"/>
      <c r="AC1153" s="9"/>
      <c r="AD1153" s="9"/>
    </row>
    <row r="1154" ht="15.75" customHeight="1">
      <c r="A1154" s="9"/>
      <c r="B1154" s="9"/>
      <c r="C1154" s="9"/>
      <c r="D1154" s="9"/>
      <c r="E1154" s="9"/>
      <c r="F1154" s="9"/>
      <c r="G1154" s="9"/>
      <c r="H1154" s="9"/>
      <c r="I1154" s="9"/>
      <c r="J1154" s="9"/>
      <c r="K1154" s="9"/>
      <c r="L1154" s="556"/>
      <c r="M1154" s="9"/>
      <c r="N1154" s="9"/>
      <c r="O1154" s="9"/>
      <c r="P1154" s="9"/>
      <c r="Q1154" s="9"/>
      <c r="R1154" s="9"/>
      <c r="S1154" s="9"/>
      <c r="T1154" s="9"/>
      <c r="U1154" s="9"/>
      <c r="V1154" s="9"/>
      <c r="W1154" s="9"/>
      <c r="X1154" s="589"/>
      <c r="Y1154" s="9"/>
      <c r="Z1154" s="204"/>
      <c r="AA1154" s="9"/>
      <c r="AB1154" s="9"/>
      <c r="AC1154" s="9"/>
      <c r="AD1154" s="9"/>
    </row>
    <row r="1155" ht="15.75" customHeight="1">
      <c r="A1155" s="9"/>
      <c r="B1155" s="9"/>
      <c r="C1155" s="9"/>
      <c r="D1155" s="9"/>
      <c r="E1155" s="9"/>
      <c r="F1155" s="9"/>
      <c r="G1155" s="9"/>
      <c r="H1155" s="9"/>
      <c r="I1155" s="9"/>
      <c r="J1155" s="9"/>
      <c r="K1155" s="9"/>
      <c r="L1155" s="556"/>
      <c r="M1155" s="9"/>
      <c r="N1155" s="9"/>
      <c r="O1155" s="9"/>
      <c r="P1155" s="9"/>
      <c r="Q1155" s="9"/>
      <c r="R1155" s="9"/>
      <c r="S1155" s="9"/>
      <c r="T1155" s="9"/>
      <c r="U1155" s="9"/>
      <c r="V1155" s="9"/>
      <c r="W1155" s="9"/>
      <c r="X1155" s="589"/>
      <c r="Y1155" s="9"/>
      <c r="Z1155" s="204"/>
      <c r="AA1155" s="9"/>
      <c r="AB1155" s="9"/>
      <c r="AC1155" s="9"/>
      <c r="AD1155" s="9"/>
    </row>
    <row r="1156" ht="15.75" customHeight="1">
      <c r="A1156" s="9"/>
      <c r="B1156" s="9"/>
      <c r="C1156" s="9"/>
      <c r="D1156" s="9"/>
      <c r="E1156" s="9"/>
      <c r="F1156" s="9"/>
      <c r="G1156" s="9"/>
      <c r="H1156" s="9"/>
      <c r="I1156" s="9"/>
      <c r="J1156" s="9"/>
      <c r="K1156" s="9"/>
      <c r="L1156" s="556"/>
      <c r="M1156" s="9"/>
      <c r="N1156" s="9"/>
      <c r="O1156" s="9"/>
      <c r="P1156" s="9"/>
      <c r="Q1156" s="9"/>
      <c r="R1156" s="9"/>
      <c r="S1156" s="9"/>
      <c r="T1156" s="9"/>
      <c r="U1156" s="9"/>
      <c r="V1156" s="9"/>
      <c r="W1156" s="9"/>
      <c r="X1156" s="589"/>
      <c r="Y1156" s="9"/>
      <c r="Z1156" s="204"/>
      <c r="AA1156" s="9"/>
      <c r="AB1156" s="9"/>
      <c r="AC1156" s="9"/>
      <c r="AD1156" s="9"/>
    </row>
    <row r="1157" ht="15.75" customHeight="1">
      <c r="A1157" s="9"/>
      <c r="B1157" s="9"/>
      <c r="C1157" s="9"/>
      <c r="D1157" s="9"/>
      <c r="E1157" s="9"/>
      <c r="F1157" s="9"/>
      <c r="G1157" s="9"/>
      <c r="H1157" s="9"/>
      <c r="I1157" s="9"/>
      <c r="J1157" s="9"/>
      <c r="K1157" s="9"/>
      <c r="L1157" s="556"/>
      <c r="M1157" s="9"/>
      <c r="N1157" s="9"/>
      <c r="O1157" s="9"/>
      <c r="P1157" s="9"/>
      <c r="Q1157" s="9"/>
      <c r="R1157" s="9"/>
      <c r="S1157" s="9"/>
      <c r="T1157" s="9"/>
      <c r="U1157" s="9"/>
      <c r="V1157" s="9"/>
      <c r="W1157" s="9"/>
      <c r="X1157" s="589"/>
      <c r="Y1157" s="9"/>
      <c r="Z1157" s="204"/>
      <c r="AA1157" s="9"/>
      <c r="AB1157" s="9"/>
      <c r="AC1157" s="9"/>
      <c r="AD1157" s="9"/>
    </row>
    <row r="1158" ht="15.75" customHeight="1">
      <c r="A1158" s="9"/>
      <c r="B1158" s="9"/>
      <c r="C1158" s="9"/>
      <c r="D1158" s="9"/>
      <c r="E1158" s="9"/>
      <c r="F1158" s="9"/>
      <c r="G1158" s="9"/>
      <c r="H1158" s="9"/>
      <c r="I1158" s="9"/>
      <c r="J1158" s="9"/>
      <c r="K1158" s="9"/>
      <c r="L1158" s="556"/>
      <c r="M1158" s="9"/>
      <c r="N1158" s="9"/>
      <c r="O1158" s="9"/>
      <c r="P1158" s="9"/>
      <c r="Q1158" s="9"/>
      <c r="R1158" s="9"/>
      <c r="S1158" s="9"/>
      <c r="T1158" s="9"/>
      <c r="U1158" s="9"/>
      <c r="V1158" s="9"/>
      <c r="W1158" s="9"/>
      <c r="X1158" s="589"/>
      <c r="Y1158" s="9"/>
      <c r="Z1158" s="204"/>
      <c r="AA1158" s="9"/>
      <c r="AB1158" s="9"/>
      <c r="AC1158" s="9"/>
      <c r="AD1158" s="9"/>
    </row>
    <row r="1159" ht="15.75" customHeight="1">
      <c r="A1159" s="9"/>
      <c r="B1159" s="9"/>
      <c r="C1159" s="9"/>
      <c r="D1159" s="9"/>
      <c r="E1159" s="9"/>
      <c r="F1159" s="9"/>
      <c r="G1159" s="9"/>
      <c r="H1159" s="9"/>
      <c r="I1159" s="9"/>
      <c r="J1159" s="9"/>
      <c r="K1159" s="9"/>
      <c r="L1159" s="556"/>
      <c r="M1159" s="9"/>
      <c r="N1159" s="9"/>
      <c r="O1159" s="9"/>
      <c r="P1159" s="9"/>
      <c r="Q1159" s="9"/>
      <c r="R1159" s="9"/>
      <c r="S1159" s="9"/>
      <c r="T1159" s="9"/>
      <c r="U1159" s="9"/>
      <c r="V1159" s="9"/>
      <c r="W1159" s="9"/>
      <c r="X1159" s="589"/>
      <c r="Y1159" s="9"/>
      <c r="Z1159" s="204"/>
      <c r="AA1159" s="9"/>
      <c r="AB1159" s="9"/>
      <c r="AC1159" s="9"/>
      <c r="AD1159" s="9"/>
    </row>
    <row r="1160" ht="15.75" customHeight="1">
      <c r="A1160" s="9"/>
      <c r="B1160" s="9"/>
      <c r="C1160" s="9"/>
      <c r="D1160" s="9"/>
      <c r="E1160" s="9"/>
      <c r="F1160" s="9"/>
      <c r="G1160" s="9"/>
      <c r="H1160" s="9"/>
      <c r="I1160" s="9"/>
      <c r="J1160" s="9"/>
      <c r="K1160" s="9"/>
      <c r="L1160" s="556"/>
      <c r="M1160" s="9"/>
      <c r="N1160" s="9"/>
      <c r="O1160" s="9"/>
      <c r="P1160" s="9"/>
      <c r="Q1160" s="9"/>
      <c r="R1160" s="9"/>
      <c r="S1160" s="9"/>
      <c r="T1160" s="9"/>
      <c r="U1160" s="9"/>
      <c r="V1160" s="9"/>
      <c r="W1160" s="9"/>
      <c r="X1160" s="589"/>
      <c r="Y1160" s="9"/>
      <c r="Z1160" s="204"/>
      <c r="AA1160" s="9"/>
      <c r="AB1160" s="9"/>
      <c r="AC1160" s="9"/>
      <c r="AD1160" s="9"/>
    </row>
    <row r="1161" ht="15.75" customHeight="1">
      <c r="A1161" s="9"/>
      <c r="B1161" s="9"/>
      <c r="C1161" s="9"/>
      <c r="D1161" s="9"/>
      <c r="E1161" s="9"/>
      <c r="F1161" s="9"/>
      <c r="G1161" s="9"/>
      <c r="H1161" s="9"/>
      <c r="I1161" s="9"/>
      <c r="J1161" s="9"/>
      <c r="K1161" s="9"/>
      <c r="L1161" s="556"/>
      <c r="M1161" s="9"/>
      <c r="N1161" s="9"/>
      <c r="O1161" s="9"/>
      <c r="P1161" s="9"/>
      <c r="Q1161" s="9"/>
      <c r="R1161" s="9"/>
      <c r="S1161" s="9"/>
      <c r="T1161" s="9"/>
      <c r="U1161" s="9"/>
      <c r="V1161" s="9"/>
      <c r="W1161" s="9"/>
      <c r="X1161" s="589"/>
      <c r="Y1161" s="9"/>
      <c r="Z1161" s="204"/>
      <c r="AA1161" s="9"/>
      <c r="AB1161" s="9"/>
      <c r="AC1161" s="9"/>
      <c r="AD1161" s="9"/>
    </row>
    <row r="1162" ht="15.75" customHeight="1">
      <c r="A1162" s="9"/>
      <c r="B1162" s="9"/>
      <c r="C1162" s="9"/>
      <c r="D1162" s="9"/>
      <c r="E1162" s="9"/>
      <c r="F1162" s="9"/>
      <c r="G1162" s="9"/>
      <c r="H1162" s="9"/>
      <c r="I1162" s="9"/>
      <c r="J1162" s="9"/>
      <c r="K1162" s="9"/>
      <c r="L1162" s="556"/>
      <c r="M1162" s="9"/>
      <c r="N1162" s="9"/>
      <c r="O1162" s="9"/>
      <c r="P1162" s="9"/>
      <c r="Q1162" s="9"/>
      <c r="R1162" s="9"/>
      <c r="S1162" s="9"/>
      <c r="T1162" s="9"/>
      <c r="U1162" s="9"/>
      <c r="V1162" s="9"/>
      <c r="W1162" s="9"/>
      <c r="X1162" s="589"/>
      <c r="Y1162" s="9"/>
      <c r="Z1162" s="204"/>
      <c r="AA1162" s="9"/>
      <c r="AB1162" s="9"/>
      <c r="AC1162" s="9"/>
      <c r="AD1162" s="9"/>
    </row>
    <row r="1163" ht="15.75" customHeight="1">
      <c r="A1163" s="9"/>
      <c r="B1163" s="9"/>
      <c r="C1163" s="9"/>
      <c r="D1163" s="9"/>
      <c r="E1163" s="9"/>
      <c r="F1163" s="9"/>
      <c r="G1163" s="9"/>
      <c r="H1163" s="9"/>
      <c r="I1163" s="9"/>
      <c r="J1163" s="9"/>
      <c r="K1163" s="9"/>
      <c r="L1163" s="556"/>
      <c r="M1163" s="9"/>
      <c r="N1163" s="9"/>
      <c r="O1163" s="9"/>
      <c r="P1163" s="9"/>
      <c r="Q1163" s="9"/>
      <c r="R1163" s="9"/>
      <c r="S1163" s="9"/>
      <c r="T1163" s="9"/>
      <c r="U1163" s="9"/>
      <c r="V1163" s="9"/>
      <c r="W1163" s="9"/>
      <c r="X1163" s="589"/>
      <c r="Y1163" s="9"/>
      <c r="Z1163" s="204"/>
      <c r="AA1163" s="9"/>
      <c r="AB1163" s="9"/>
      <c r="AC1163" s="9"/>
      <c r="AD1163" s="9"/>
    </row>
    <row r="1164" ht="15.75" customHeight="1">
      <c r="A1164" s="9"/>
      <c r="B1164" s="9"/>
      <c r="C1164" s="9"/>
      <c r="D1164" s="9"/>
      <c r="E1164" s="9"/>
      <c r="F1164" s="9"/>
      <c r="G1164" s="9"/>
      <c r="H1164" s="9"/>
      <c r="I1164" s="9"/>
      <c r="J1164" s="9"/>
      <c r="K1164" s="9"/>
      <c r="L1164" s="556"/>
      <c r="M1164" s="9"/>
      <c r="N1164" s="9"/>
      <c r="O1164" s="9"/>
      <c r="P1164" s="9"/>
      <c r="Q1164" s="9"/>
      <c r="R1164" s="9"/>
      <c r="S1164" s="9"/>
      <c r="T1164" s="9"/>
      <c r="U1164" s="9"/>
      <c r="V1164" s="9"/>
      <c r="W1164" s="9"/>
      <c r="X1164" s="589"/>
      <c r="Y1164" s="9"/>
      <c r="Z1164" s="204"/>
      <c r="AA1164" s="9"/>
      <c r="AB1164" s="9"/>
      <c r="AC1164" s="9"/>
      <c r="AD1164" s="9"/>
    </row>
    <row r="1165" ht="15.75" customHeight="1">
      <c r="A1165" s="9"/>
      <c r="B1165" s="9"/>
      <c r="C1165" s="9"/>
      <c r="D1165" s="9"/>
      <c r="E1165" s="9"/>
      <c r="F1165" s="9"/>
      <c r="G1165" s="9"/>
      <c r="H1165" s="9"/>
      <c r="I1165" s="9"/>
      <c r="J1165" s="9"/>
      <c r="K1165" s="9"/>
      <c r="L1165" s="556"/>
      <c r="M1165" s="9"/>
      <c r="N1165" s="9"/>
      <c r="O1165" s="9"/>
      <c r="P1165" s="9"/>
      <c r="Q1165" s="9"/>
      <c r="R1165" s="9"/>
      <c r="S1165" s="9"/>
      <c r="T1165" s="9"/>
      <c r="U1165" s="9"/>
      <c r="V1165" s="9"/>
      <c r="W1165" s="9"/>
      <c r="X1165" s="589"/>
      <c r="Y1165" s="9"/>
      <c r="Z1165" s="204"/>
      <c r="AA1165" s="9"/>
      <c r="AB1165" s="9"/>
      <c r="AC1165" s="9"/>
      <c r="AD1165" s="9"/>
    </row>
    <row r="1166" ht="15.75" customHeight="1">
      <c r="A1166" s="9"/>
      <c r="B1166" s="9"/>
      <c r="C1166" s="9"/>
      <c r="D1166" s="9"/>
      <c r="E1166" s="9"/>
      <c r="F1166" s="9"/>
      <c r="G1166" s="9"/>
      <c r="H1166" s="9"/>
      <c r="I1166" s="9"/>
      <c r="J1166" s="9"/>
      <c r="K1166" s="9"/>
      <c r="L1166" s="556"/>
      <c r="M1166" s="9"/>
      <c r="N1166" s="9"/>
      <c r="O1166" s="9"/>
      <c r="P1166" s="9"/>
      <c r="Q1166" s="9"/>
      <c r="R1166" s="9"/>
      <c r="S1166" s="9"/>
      <c r="T1166" s="9"/>
      <c r="U1166" s="9"/>
      <c r="V1166" s="9"/>
      <c r="W1166" s="9"/>
      <c r="X1166" s="589"/>
      <c r="Y1166" s="9"/>
      <c r="Z1166" s="204"/>
      <c r="AA1166" s="9"/>
      <c r="AB1166" s="9"/>
      <c r="AC1166" s="9"/>
      <c r="AD1166" s="9"/>
    </row>
    <row r="1167" ht="15.75" customHeight="1">
      <c r="A1167" s="9"/>
      <c r="B1167" s="9"/>
      <c r="C1167" s="9"/>
      <c r="D1167" s="9"/>
      <c r="E1167" s="9"/>
      <c r="F1167" s="9"/>
      <c r="G1167" s="9"/>
      <c r="H1167" s="9"/>
      <c r="I1167" s="9"/>
      <c r="J1167" s="9"/>
      <c r="K1167" s="9"/>
      <c r="L1167" s="556"/>
      <c r="M1167" s="9"/>
      <c r="N1167" s="9"/>
      <c r="O1167" s="9"/>
      <c r="P1167" s="9"/>
      <c r="Q1167" s="9"/>
      <c r="R1167" s="9"/>
      <c r="S1167" s="9"/>
      <c r="T1167" s="9"/>
      <c r="U1167" s="9"/>
      <c r="V1167" s="9"/>
      <c r="W1167" s="9"/>
      <c r="X1167" s="589"/>
      <c r="Y1167" s="9"/>
      <c r="Z1167" s="204"/>
      <c r="AA1167" s="9"/>
      <c r="AB1167" s="9"/>
      <c r="AC1167" s="9"/>
      <c r="AD1167" s="9"/>
    </row>
    <row r="1168" ht="15.75" customHeight="1">
      <c r="A1168" s="9"/>
      <c r="B1168" s="9"/>
      <c r="C1168" s="9"/>
      <c r="D1168" s="9"/>
      <c r="E1168" s="9"/>
      <c r="F1168" s="9"/>
      <c r="G1168" s="9"/>
      <c r="H1168" s="9"/>
      <c r="I1168" s="9"/>
      <c r="J1168" s="9"/>
      <c r="K1168" s="9"/>
      <c r="L1168" s="556"/>
      <c r="M1168" s="9"/>
      <c r="N1168" s="9"/>
      <c r="O1168" s="9"/>
      <c r="P1168" s="9"/>
      <c r="Q1168" s="9"/>
      <c r="R1168" s="9"/>
      <c r="S1168" s="9"/>
      <c r="T1168" s="9"/>
      <c r="U1168" s="9"/>
      <c r="V1168" s="9"/>
      <c r="W1168" s="9"/>
      <c r="X1168" s="589"/>
      <c r="Y1168" s="9"/>
      <c r="Z1168" s="204"/>
      <c r="AA1168" s="9"/>
      <c r="AB1168" s="9"/>
      <c r="AC1168" s="9"/>
      <c r="AD1168" s="9"/>
    </row>
    <row r="1169" ht="15.75" customHeight="1">
      <c r="A1169" s="9"/>
      <c r="B1169" s="9"/>
      <c r="C1169" s="9"/>
      <c r="D1169" s="9"/>
      <c r="E1169" s="9"/>
      <c r="F1169" s="9"/>
      <c r="G1169" s="9"/>
      <c r="H1169" s="9"/>
      <c r="I1169" s="9"/>
      <c r="J1169" s="9"/>
      <c r="K1169" s="9"/>
      <c r="L1169" s="556"/>
      <c r="M1169" s="9"/>
      <c r="N1169" s="9"/>
      <c r="O1169" s="9"/>
      <c r="P1169" s="9"/>
      <c r="Q1169" s="9"/>
      <c r="R1169" s="9"/>
      <c r="S1169" s="9"/>
      <c r="T1169" s="9"/>
      <c r="U1169" s="9"/>
      <c r="V1169" s="9"/>
      <c r="W1169" s="9"/>
      <c r="X1169" s="589"/>
      <c r="Y1169" s="9"/>
      <c r="Z1169" s="204"/>
      <c r="AA1169" s="9"/>
      <c r="AB1169" s="9"/>
      <c r="AC1169" s="9"/>
      <c r="AD1169" s="9"/>
    </row>
    <row r="1170" ht="15.75" customHeight="1">
      <c r="A1170" s="9"/>
      <c r="B1170" s="9"/>
      <c r="C1170" s="9"/>
      <c r="D1170" s="9"/>
      <c r="E1170" s="9"/>
      <c r="F1170" s="9"/>
      <c r="G1170" s="9"/>
      <c r="H1170" s="9"/>
      <c r="I1170" s="9"/>
      <c r="J1170" s="9"/>
      <c r="K1170" s="9"/>
      <c r="L1170" s="556"/>
      <c r="M1170" s="9"/>
      <c r="N1170" s="9"/>
      <c r="O1170" s="9"/>
      <c r="P1170" s="9"/>
      <c r="Q1170" s="9"/>
      <c r="R1170" s="9"/>
      <c r="S1170" s="9"/>
      <c r="T1170" s="9"/>
      <c r="U1170" s="9"/>
      <c r="V1170" s="9"/>
      <c r="W1170" s="9"/>
      <c r="X1170" s="589"/>
      <c r="Y1170" s="9"/>
      <c r="Z1170" s="204"/>
      <c r="AA1170" s="9"/>
      <c r="AB1170" s="9"/>
      <c r="AC1170" s="9"/>
      <c r="AD1170" s="9"/>
    </row>
    <row r="1171" ht="15.75" customHeight="1">
      <c r="A1171" s="9"/>
      <c r="B1171" s="9"/>
      <c r="C1171" s="9"/>
      <c r="D1171" s="9"/>
      <c r="E1171" s="9"/>
      <c r="F1171" s="9"/>
      <c r="G1171" s="9"/>
      <c r="H1171" s="9"/>
      <c r="I1171" s="9"/>
      <c r="J1171" s="9"/>
      <c r="K1171" s="9"/>
      <c r="L1171" s="556"/>
      <c r="M1171" s="9"/>
      <c r="N1171" s="9"/>
      <c r="O1171" s="9"/>
      <c r="P1171" s="9"/>
      <c r="Q1171" s="9"/>
      <c r="R1171" s="9"/>
      <c r="S1171" s="9"/>
      <c r="T1171" s="9"/>
      <c r="U1171" s="9"/>
      <c r="V1171" s="9"/>
      <c r="W1171" s="9"/>
      <c r="X1171" s="589"/>
      <c r="Y1171" s="9"/>
      <c r="Z1171" s="204"/>
      <c r="AA1171" s="9"/>
      <c r="AB1171" s="9"/>
      <c r="AC1171" s="9"/>
      <c r="AD1171" s="9"/>
    </row>
    <row r="1172" ht="15.75" customHeight="1">
      <c r="A1172" s="9"/>
      <c r="B1172" s="9"/>
      <c r="C1172" s="9"/>
      <c r="D1172" s="9"/>
      <c r="E1172" s="9"/>
      <c r="F1172" s="9"/>
      <c r="G1172" s="9"/>
      <c r="H1172" s="9"/>
      <c r="I1172" s="9"/>
      <c r="J1172" s="9"/>
      <c r="K1172" s="9"/>
      <c r="L1172" s="556"/>
      <c r="M1172" s="9"/>
      <c r="N1172" s="9"/>
      <c r="O1172" s="9"/>
      <c r="P1172" s="9"/>
      <c r="Q1172" s="9"/>
      <c r="R1172" s="9"/>
      <c r="S1172" s="9"/>
      <c r="T1172" s="9"/>
      <c r="U1172" s="9"/>
      <c r="V1172" s="9"/>
      <c r="W1172" s="9"/>
      <c r="X1172" s="589"/>
      <c r="Y1172" s="9"/>
      <c r="Z1172" s="204"/>
      <c r="AA1172" s="9"/>
      <c r="AB1172" s="9"/>
      <c r="AC1172" s="9"/>
      <c r="AD1172" s="9"/>
    </row>
    <row r="1173" ht="15.75" customHeight="1">
      <c r="A1173" s="9"/>
      <c r="B1173" s="9"/>
      <c r="C1173" s="9"/>
      <c r="D1173" s="9"/>
      <c r="E1173" s="9"/>
      <c r="F1173" s="9"/>
      <c r="G1173" s="9"/>
      <c r="H1173" s="9"/>
      <c r="I1173" s="9"/>
      <c r="J1173" s="9"/>
      <c r="K1173" s="9"/>
      <c r="L1173" s="556"/>
      <c r="M1173" s="9"/>
      <c r="N1173" s="9"/>
      <c r="O1173" s="9"/>
      <c r="P1173" s="9"/>
      <c r="Q1173" s="9"/>
      <c r="R1173" s="9"/>
      <c r="S1173" s="9"/>
      <c r="T1173" s="9"/>
      <c r="U1173" s="9"/>
      <c r="V1173" s="9"/>
      <c r="W1173" s="9"/>
      <c r="X1173" s="589"/>
      <c r="Y1173" s="9"/>
      <c r="Z1173" s="204"/>
      <c r="AA1173" s="9"/>
      <c r="AB1173" s="9"/>
      <c r="AC1173" s="9"/>
      <c r="AD1173" s="9"/>
    </row>
    <row r="1174" ht="15.75" customHeight="1">
      <c r="A1174" s="9"/>
      <c r="B1174" s="9"/>
      <c r="C1174" s="9"/>
      <c r="D1174" s="9"/>
      <c r="E1174" s="9"/>
      <c r="F1174" s="9"/>
      <c r="G1174" s="9"/>
      <c r="H1174" s="9"/>
      <c r="I1174" s="9"/>
      <c r="J1174" s="9"/>
      <c r="K1174" s="9"/>
      <c r="L1174" s="556"/>
      <c r="M1174" s="9"/>
      <c r="N1174" s="9"/>
      <c r="O1174" s="9"/>
      <c r="P1174" s="9"/>
      <c r="Q1174" s="9"/>
      <c r="R1174" s="9"/>
      <c r="S1174" s="9"/>
      <c r="T1174" s="9"/>
      <c r="U1174" s="9"/>
      <c r="V1174" s="9"/>
      <c r="W1174" s="9"/>
      <c r="X1174" s="589"/>
      <c r="Y1174" s="9"/>
      <c r="Z1174" s="204"/>
      <c r="AA1174" s="9"/>
      <c r="AB1174" s="9"/>
      <c r="AC1174" s="9"/>
      <c r="AD1174" s="9"/>
    </row>
    <row r="1175" ht="15.75" customHeight="1">
      <c r="A1175" s="9"/>
      <c r="B1175" s="9"/>
      <c r="C1175" s="9"/>
      <c r="D1175" s="9"/>
      <c r="E1175" s="9"/>
      <c r="F1175" s="9"/>
      <c r="G1175" s="9"/>
      <c r="H1175" s="9"/>
      <c r="I1175" s="9"/>
      <c r="J1175" s="9"/>
      <c r="K1175" s="9"/>
      <c r="L1175" s="556"/>
      <c r="M1175" s="9"/>
      <c r="N1175" s="9"/>
      <c r="O1175" s="9"/>
      <c r="P1175" s="9"/>
      <c r="Q1175" s="9"/>
      <c r="R1175" s="9"/>
      <c r="S1175" s="9"/>
      <c r="T1175" s="9"/>
      <c r="U1175" s="9"/>
      <c r="V1175" s="9"/>
      <c r="W1175" s="9"/>
      <c r="X1175" s="589"/>
      <c r="Y1175" s="9"/>
      <c r="Z1175" s="204"/>
      <c r="AA1175" s="9"/>
      <c r="AB1175" s="9"/>
      <c r="AC1175" s="9"/>
      <c r="AD1175" s="9"/>
    </row>
    <row r="1176" ht="15.75" customHeight="1">
      <c r="A1176" s="9"/>
      <c r="B1176" s="9"/>
      <c r="C1176" s="9"/>
      <c r="D1176" s="9"/>
      <c r="E1176" s="9"/>
      <c r="F1176" s="9"/>
      <c r="G1176" s="9"/>
      <c r="H1176" s="9"/>
      <c r="I1176" s="9"/>
      <c r="J1176" s="9"/>
      <c r="K1176" s="9"/>
      <c r="L1176" s="556"/>
      <c r="M1176" s="9"/>
      <c r="N1176" s="9"/>
      <c r="O1176" s="9"/>
      <c r="P1176" s="9"/>
      <c r="Q1176" s="9"/>
      <c r="R1176" s="9"/>
      <c r="S1176" s="9"/>
      <c r="T1176" s="9"/>
      <c r="U1176" s="9"/>
      <c r="V1176" s="9"/>
      <c r="W1176" s="9"/>
      <c r="X1176" s="589"/>
      <c r="Y1176" s="9"/>
      <c r="Z1176" s="204"/>
      <c r="AA1176" s="9"/>
      <c r="AB1176" s="9"/>
      <c r="AC1176" s="9"/>
      <c r="AD1176" s="9"/>
    </row>
    <row r="1177" ht="15.75" customHeight="1">
      <c r="A1177" s="9"/>
      <c r="B1177" s="9"/>
      <c r="C1177" s="9"/>
      <c r="D1177" s="9"/>
      <c r="E1177" s="9"/>
      <c r="F1177" s="9"/>
      <c r="G1177" s="9"/>
      <c r="H1177" s="9"/>
      <c r="I1177" s="9"/>
      <c r="J1177" s="9"/>
      <c r="K1177" s="9"/>
      <c r="L1177" s="556"/>
      <c r="M1177" s="9"/>
      <c r="N1177" s="9"/>
      <c r="O1177" s="9"/>
      <c r="P1177" s="9"/>
      <c r="Q1177" s="9"/>
      <c r="R1177" s="9"/>
      <c r="S1177" s="9"/>
      <c r="T1177" s="9"/>
      <c r="U1177" s="9"/>
      <c r="V1177" s="9"/>
      <c r="W1177" s="9"/>
      <c r="X1177" s="589"/>
      <c r="Y1177" s="9"/>
      <c r="Z1177" s="204"/>
      <c r="AA1177" s="9"/>
      <c r="AB1177" s="9"/>
      <c r="AC1177" s="9"/>
      <c r="AD1177" s="9"/>
    </row>
    <row r="1178" ht="15.75" customHeight="1">
      <c r="A1178" s="9"/>
      <c r="B1178" s="9"/>
      <c r="C1178" s="9"/>
      <c r="D1178" s="9"/>
      <c r="E1178" s="9"/>
      <c r="F1178" s="9"/>
      <c r="G1178" s="9"/>
      <c r="H1178" s="9"/>
      <c r="I1178" s="9"/>
      <c r="J1178" s="9"/>
      <c r="K1178" s="9"/>
      <c r="L1178" s="556"/>
      <c r="M1178" s="9"/>
      <c r="N1178" s="9"/>
      <c r="O1178" s="9"/>
      <c r="P1178" s="9"/>
      <c r="Q1178" s="9"/>
      <c r="R1178" s="9"/>
      <c r="S1178" s="9"/>
      <c r="T1178" s="9"/>
      <c r="U1178" s="9"/>
      <c r="V1178" s="9"/>
      <c r="W1178" s="9"/>
      <c r="X1178" s="589"/>
      <c r="Y1178" s="9"/>
      <c r="Z1178" s="204"/>
      <c r="AA1178" s="9"/>
      <c r="AB1178" s="9"/>
      <c r="AC1178" s="9"/>
      <c r="AD1178" s="9"/>
    </row>
    <row r="1179" ht="15.75" customHeight="1">
      <c r="A1179" s="9"/>
      <c r="B1179" s="9"/>
      <c r="C1179" s="9"/>
      <c r="D1179" s="9"/>
      <c r="E1179" s="9"/>
      <c r="F1179" s="9"/>
      <c r="G1179" s="9"/>
      <c r="H1179" s="9"/>
      <c r="I1179" s="9"/>
      <c r="J1179" s="9"/>
      <c r="K1179" s="9"/>
      <c r="L1179" s="556"/>
      <c r="M1179" s="9"/>
      <c r="N1179" s="9"/>
      <c r="O1179" s="9"/>
      <c r="P1179" s="9"/>
      <c r="Q1179" s="9"/>
      <c r="R1179" s="9"/>
      <c r="S1179" s="9"/>
      <c r="T1179" s="9"/>
      <c r="U1179" s="9"/>
      <c r="V1179" s="9"/>
      <c r="W1179" s="9"/>
      <c r="X1179" s="589"/>
      <c r="Y1179" s="9"/>
      <c r="Z1179" s="204"/>
      <c r="AA1179" s="9"/>
      <c r="AB1179" s="9"/>
      <c r="AC1179" s="9"/>
      <c r="AD1179" s="9"/>
    </row>
    <row r="1180" ht="15.75" customHeight="1">
      <c r="A1180" s="9"/>
      <c r="B1180" s="9"/>
      <c r="C1180" s="9"/>
      <c r="D1180" s="9"/>
      <c r="E1180" s="9"/>
      <c r="F1180" s="9"/>
      <c r="G1180" s="9"/>
      <c r="H1180" s="9"/>
      <c r="I1180" s="9"/>
      <c r="J1180" s="9"/>
      <c r="K1180" s="9"/>
      <c r="L1180" s="556"/>
      <c r="M1180" s="9"/>
      <c r="N1180" s="9"/>
      <c r="O1180" s="9"/>
      <c r="P1180" s="9"/>
      <c r="Q1180" s="9"/>
      <c r="R1180" s="9"/>
      <c r="S1180" s="9"/>
      <c r="T1180" s="9"/>
      <c r="U1180" s="9"/>
      <c r="V1180" s="9"/>
      <c r="W1180" s="9"/>
      <c r="X1180" s="589"/>
      <c r="Y1180" s="9"/>
      <c r="Z1180" s="204"/>
      <c r="AA1180" s="9"/>
      <c r="AB1180" s="9"/>
      <c r="AC1180" s="9"/>
      <c r="AD1180" s="9"/>
    </row>
    <row r="1181" ht="15.75" customHeight="1">
      <c r="A1181" s="9"/>
      <c r="B1181" s="9"/>
      <c r="C1181" s="9"/>
      <c r="D1181" s="9"/>
      <c r="E1181" s="9"/>
      <c r="F1181" s="9"/>
      <c r="G1181" s="9"/>
      <c r="H1181" s="9"/>
      <c r="I1181" s="9"/>
      <c r="J1181" s="9"/>
      <c r="K1181" s="9"/>
      <c r="L1181" s="556"/>
      <c r="M1181" s="9"/>
      <c r="N1181" s="9"/>
      <c r="O1181" s="9"/>
      <c r="P1181" s="9"/>
      <c r="Q1181" s="9"/>
      <c r="R1181" s="9"/>
      <c r="S1181" s="9"/>
      <c r="T1181" s="9"/>
      <c r="U1181" s="9"/>
      <c r="V1181" s="9"/>
      <c r="W1181" s="9"/>
      <c r="X1181" s="589"/>
      <c r="Y1181" s="9"/>
      <c r="Z1181" s="204"/>
      <c r="AA1181" s="9"/>
      <c r="AB1181" s="9"/>
      <c r="AC1181" s="9"/>
      <c r="AD1181" s="9"/>
    </row>
    <row r="1182" ht="15.75" customHeight="1">
      <c r="A1182" s="9"/>
      <c r="B1182" s="9"/>
      <c r="C1182" s="9"/>
      <c r="D1182" s="9"/>
      <c r="E1182" s="9"/>
      <c r="F1182" s="9"/>
      <c r="G1182" s="9"/>
      <c r="H1182" s="9"/>
      <c r="I1182" s="9"/>
      <c r="J1182" s="9"/>
      <c r="K1182" s="9"/>
      <c r="L1182" s="556"/>
      <c r="M1182" s="9"/>
      <c r="N1182" s="9"/>
      <c r="O1182" s="9"/>
      <c r="P1182" s="9"/>
      <c r="Q1182" s="9"/>
      <c r="R1182" s="9"/>
      <c r="S1182" s="9"/>
      <c r="T1182" s="9"/>
      <c r="U1182" s="9"/>
      <c r="V1182" s="9"/>
      <c r="W1182" s="9"/>
      <c r="X1182" s="589"/>
      <c r="Y1182" s="9"/>
      <c r="Z1182" s="204"/>
      <c r="AA1182" s="9"/>
      <c r="AB1182" s="9"/>
      <c r="AC1182" s="9"/>
      <c r="AD1182" s="9"/>
    </row>
    <row r="1183" ht="15.75" customHeight="1">
      <c r="A1183" s="9"/>
      <c r="B1183" s="9"/>
      <c r="C1183" s="9"/>
      <c r="D1183" s="9"/>
      <c r="E1183" s="9"/>
      <c r="F1183" s="9"/>
      <c r="G1183" s="9"/>
      <c r="H1183" s="9"/>
      <c r="I1183" s="9"/>
      <c r="J1183" s="9"/>
      <c r="K1183" s="9"/>
      <c r="L1183" s="556"/>
      <c r="M1183" s="9"/>
      <c r="N1183" s="9"/>
      <c r="O1183" s="9"/>
      <c r="P1183" s="9"/>
      <c r="Q1183" s="9"/>
      <c r="R1183" s="9"/>
      <c r="S1183" s="9"/>
      <c r="T1183" s="9"/>
      <c r="U1183" s="9"/>
      <c r="V1183" s="9"/>
      <c r="W1183" s="9"/>
      <c r="X1183" s="589"/>
      <c r="Y1183" s="9"/>
      <c r="Z1183" s="204"/>
      <c r="AA1183" s="9"/>
      <c r="AB1183" s="9"/>
      <c r="AC1183" s="9"/>
      <c r="AD1183" s="9"/>
    </row>
    <row r="1184" ht="15.75" customHeight="1">
      <c r="A1184" s="9"/>
      <c r="B1184" s="9"/>
      <c r="C1184" s="9"/>
      <c r="D1184" s="9"/>
      <c r="E1184" s="9"/>
      <c r="F1184" s="9"/>
      <c r="G1184" s="9"/>
      <c r="H1184" s="9"/>
      <c r="I1184" s="9"/>
      <c r="J1184" s="9"/>
      <c r="K1184" s="9"/>
      <c r="L1184" s="556"/>
      <c r="M1184" s="9"/>
      <c r="N1184" s="9"/>
      <c r="O1184" s="9"/>
      <c r="P1184" s="9"/>
      <c r="Q1184" s="9"/>
      <c r="R1184" s="9"/>
      <c r="S1184" s="9"/>
      <c r="T1184" s="9"/>
      <c r="U1184" s="9"/>
      <c r="V1184" s="9"/>
      <c r="W1184" s="9"/>
      <c r="X1184" s="589"/>
      <c r="Y1184" s="9"/>
      <c r="Z1184" s="204"/>
      <c r="AA1184" s="9"/>
      <c r="AB1184" s="9"/>
      <c r="AC1184" s="9"/>
      <c r="AD1184" s="9"/>
    </row>
    <row r="1185" ht="15.75" customHeight="1">
      <c r="A1185" s="9"/>
      <c r="B1185" s="9"/>
      <c r="C1185" s="9"/>
      <c r="D1185" s="9"/>
      <c r="E1185" s="9"/>
      <c r="F1185" s="9"/>
      <c r="G1185" s="9"/>
      <c r="H1185" s="9"/>
      <c r="I1185" s="9"/>
      <c r="J1185" s="9"/>
      <c r="K1185" s="9"/>
      <c r="L1185" s="556"/>
      <c r="M1185" s="9"/>
      <c r="N1185" s="9"/>
      <c r="O1185" s="9"/>
      <c r="P1185" s="9"/>
      <c r="Q1185" s="9"/>
      <c r="R1185" s="9"/>
      <c r="S1185" s="9"/>
      <c r="T1185" s="9"/>
      <c r="U1185" s="9"/>
      <c r="V1185" s="9"/>
      <c r="W1185" s="9"/>
      <c r="X1185" s="589"/>
      <c r="Y1185" s="9"/>
      <c r="Z1185" s="204"/>
      <c r="AA1185" s="9"/>
      <c r="AB1185" s="9"/>
      <c r="AC1185" s="9"/>
      <c r="AD1185" s="9"/>
    </row>
    <row r="1186" ht="15.75" customHeight="1">
      <c r="A1186" s="9"/>
      <c r="B1186" s="9"/>
      <c r="C1186" s="9"/>
      <c r="D1186" s="9"/>
      <c r="E1186" s="9"/>
      <c r="F1186" s="9"/>
      <c r="G1186" s="9"/>
      <c r="H1186" s="9"/>
      <c r="I1186" s="9"/>
      <c r="J1186" s="9"/>
      <c r="K1186" s="9"/>
      <c r="L1186" s="556"/>
      <c r="M1186" s="9"/>
      <c r="N1186" s="9"/>
      <c r="O1186" s="9"/>
      <c r="P1186" s="9"/>
      <c r="Q1186" s="9"/>
      <c r="R1186" s="9"/>
      <c r="S1186" s="9"/>
      <c r="T1186" s="9"/>
      <c r="U1186" s="9"/>
      <c r="V1186" s="9"/>
      <c r="W1186" s="9"/>
      <c r="X1186" s="589"/>
      <c r="Y1186" s="9"/>
      <c r="Z1186" s="204"/>
      <c r="AA1186" s="9"/>
      <c r="AB1186" s="9"/>
      <c r="AC1186" s="9"/>
      <c r="AD1186" s="9"/>
    </row>
    <row r="1187" ht="15.75" customHeight="1">
      <c r="A1187" s="9"/>
      <c r="B1187" s="9"/>
      <c r="C1187" s="9"/>
      <c r="D1187" s="9"/>
      <c r="E1187" s="9"/>
      <c r="F1187" s="9"/>
      <c r="G1187" s="9"/>
      <c r="H1187" s="9"/>
      <c r="I1187" s="9"/>
      <c r="J1187" s="9"/>
      <c r="K1187" s="9"/>
      <c r="L1187" s="556"/>
      <c r="M1187" s="9"/>
      <c r="N1187" s="9"/>
      <c r="O1187" s="9"/>
      <c r="P1187" s="9"/>
      <c r="Q1187" s="9"/>
      <c r="R1187" s="9"/>
      <c r="S1187" s="9"/>
      <c r="T1187" s="9"/>
      <c r="U1187" s="9"/>
      <c r="V1187" s="9"/>
      <c r="W1187" s="9"/>
      <c r="X1187" s="589"/>
      <c r="Y1187" s="9"/>
      <c r="Z1187" s="204"/>
      <c r="AA1187" s="9"/>
      <c r="AB1187" s="9"/>
      <c r="AC1187" s="9"/>
      <c r="AD1187" s="9"/>
    </row>
    <row r="1188" ht="15.75" customHeight="1">
      <c r="A1188" s="9"/>
      <c r="B1188" s="9"/>
      <c r="C1188" s="9"/>
      <c r="D1188" s="9"/>
      <c r="E1188" s="9"/>
      <c r="F1188" s="9"/>
      <c r="G1188" s="9"/>
      <c r="H1188" s="9"/>
      <c r="I1188" s="9"/>
      <c r="J1188" s="9"/>
      <c r="K1188" s="9"/>
      <c r="L1188" s="556"/>
      <c r="M1188" s="9"/>
      <c r="N1188" s="9"/>
      <c r="O1188" s="9"/>
      <c r="P1188" s="9"/>
      <c r="Q1188" s="9"/>
      <c r="R1188" s="9"/>
      <c r="S1188" s="9"/>
      <c r="T1188" s="9"/>
      <c r="U1188" s="9"/>
      <c r="V1188" s="9"/>
      <c r="W1188" s="9"/>
      <c r="X1188" s="589"/>
      <c r="Y1188" s="9"/>
      <c r="Z1188" s="204"/>
      <c r="AA1188" s="9"/>
      <c r="AB1188" s="9"/>
      <c r="AC1188" s="9"/>
      <c r="AD1188" s="9"/>
    </row>
    <row r="1189" ht="15.75" customHeight="1">
      <c r="A1189" s="9"/>
      <c r="B1189" s="9"/>
      <c r="C1189" s="9"/>
      <c r="D1189" s="9"/>
      <c r="E1189" s="9"/>
      <c r="F1189" s="9"/>
      <c r="G1189" s="9"/>
      <c r="H1189" s="9"/>
      <c r="I1189" s="9"/>
      <c r="J1189" s="9"/>
      <c r="K1189" s="9"/>
      <c r="L1189" s="556"/>
      <c r="M1189" s="9"/>
      <c r="N1189" s="9"/>
      <c r="O1189" s="9"/>
      <c r="P1189" s="9"/>
      <c r="Q1189" s="9"/>
      <c r="R1189" s="9"/>
      <c r="S1189" s="9"/>
      <c r="T1189" s="9"/>
      <c r="U1189" s="9"/>
      <c r="V1189" s="9"/>
      <c r="W1189" s="9"/>
      <c r="X1189" s="589"/>
      <c r="Y1189" s="9"/>
      <c r="Z1189" s="204"/>
      <c r="AA1189" s="9"/>
      <c r="AB1189" s="9"/>
      <c r="AC1189" s="9"/>
      <c r="AD1189" s="9"/>
    </row>
    <row r="1190" ht="15.75" customHeight="1">
      <c r="A1190" s="9"/>
      <c r="B1190" s="9"/>
      <c r="C1190" s="9"/>
      <c r="D1190" s="9"/>
      <c r="E1190" s="9"/>
      <c r="F1190" s="9"/>
      <c r="G1190" s="9"/>
      <c r="H1190" s="9"/>
      <c r="I1190" s="9"/>
      <c r="J1190" s="9"/>
      <c r="K1190" s="9"/>
      <c r="L1190" s="556"/>
      <c r="M1190" s="9"/>
      <c r="N1190" s="9"/>
      <c r="O1190" s="9"/>
      <c r="P1190" s="9"/>
      <c r="Q1190" s="9"/>
      <c r="R1190" s="9"/>
      <c r="S1190" s="9"/>
      <c r="T1190" s="9"/>
      <c r="U1190" s="9"/>
      <c r="V1190" s="9"/>
      <c r="W1190" s="9"/>
      <c r="X1190" s="589"/>
      <c r="Y1190" s="9"/>
      <c r="Z1190" s="204"/>
      <c r="AA1190" s="9"/>
      <c r="AB1190" s="9"/>
      <c r="AC1190" s="9"/>
      <c r="AD1190" s="9"/>
    </row>
    <row r="1191" ht="15.75" customHeight="1">
      <c r="A1191" s="9"/>
      <c r="B1191" s="9"/>
      <c r="C1191" s="9"/>
      <c r="D1191" s="9"/>
      <c r="E1191" s="9"/>
      <c r="F1191" s="9"/>
      <c r="G1191" s="9"/>
      <c r="H1191" s="9"/>
      <c r="I1191" s="9"/>
      <c r="J1191" s="9"/>
      <c r="K1191" s="9"/>
      <c r="L1191" s="556"/>
      <c r="M1191" s="9"/>
      <c r="N1191" s="9"/>
      <c r="O1191" s="9"/>
      <c r="P1191" s="9"/>
      <c r="Q1191" s="9"/>
      <c r="R1191" s="9"/>
      <c r="S1191" s="9"/>
      <c r="T1191" s="9"/>
      <c r="U1191" s="9"/>
      <c r="V1191" s="9"/>
      <c r="W1191" s="9"/>
      <c r="X1191" s="589"/>
      <c r="Y1191" s="9"/>
      <c r="Z1191" s="204"/>
      <c r="AA1191" s="9"/>
      <c r="AB1191" s="9"/>
      <c r="AC1191" s="9"/>
      <c r="AD1191" s="9"/>
    </row>
    <row r="1192" ht="15.75" customHeight="1">
      <c r="A1192" s="9"/>
      <c r="B1192" s="9"/>
      <c r="C1192" s="9"/>
      <c r="D1192" s="9"/>
      <c r="E1192" s="9"/>
      <c r="F1192" s="9"/>
      <c r="G1192" s="9"/>
      <c r="H1192" s="9"/>
      <c r="I1192" s="9"/>
      <c r="J1192" s="9"/>
      <c r="K1192" s="9"/>
      <c r="L1192" s="556"/>
      <c r="M1192" s="9"/>
      <c r="N1192" s="9"/>
      <c r="O1192" s="9"/>
      <c r="P1192" s="9"/>
      <c r="Q1192" s="9"/>
      <c r="R1192" s="9"/>
      <c r="S1192" s="9"/>
      <c r="T1192" s="9"/>
      <c r="U1192" s="9"/>
      <c r="V1192" s="9"/>
      <c r="W1192" s="9"/>
      <c r="X1192" s="589"/>
      <c r="Y1192" s="9"/>
      <c r="Z1192" s="204"/>
      <c r="AA1192" s="9"/>
      <c r="AB1192" s="9"/>
      <c r="AC1192" s="9"/>
      <c r="AD1192" s="9"/>
    </row>
    <row r="1193" ht="15.75" customHeight="1">
      <c r="A1193" s="9"/>
      <c r="B1193" s="9"/>
      <c r="C1193" s="9"/>
      <c r="D1193" s="9"/>
      <c r="E1193" s="9"/>
      <c r="F1193" s="9"/>
      <c r="G1193" s="9"/>
      <c r="H1193" s="9"/>
      <c r="I1193" s="9"/>
      <c r="J1193" s="9"/>
      <c r="K1193" s="9"/>
      <c r="L1193" s="556"/>
      <c r="M1193" s="9"/>
      <c r="N1193" s="9"/>
      <c r="O1193" s="9"/>
      <c r="P1193" s="9"/>
      <c r="Q1193" s="9"/>
      <c r="R1193" s="9"/>
      <c r="S1193" s="9"/>
      <c r="T1193" s="9"/>
      <c r="U1193" s="9"/>
      <c r="V1193" s="9"/>
      <c r="W1193" s="9"/>
      <c r="X1193" s="589"/>
      <c r="Y1193" s="9"/>
      <c r="Z1193" s="204"/>
      <c r="AA1193" s="9"/>
      <c r="AB1193" s="9"/>
      <c r="AC1193" s="9"/>
      <c r="AD1193" s="9"/>
    </row>
    <row r="1194" ht="15.75" customHeight="1">
      <c r="A1194" s="9"/>
      <c r="B1194" s="9"/>
      <c r="C1194" s="9"/>
      <c r="D1194" s="9"/>
      <c r="E1194" s="9"/>
      <c r="F1194" s="9"/>
      <c r="G1194" s="9"/>
      <c r="H1194" s="9"/>
      <c r="I1194" s="9"/>
      <c r="J1194" s="9"/>
      <c r="K1194" s="9"/>
      <c r="L1194" s="556"/>
      <c r="M1194" s="9"/>
      <c r="N1194" s="9"/>
      <c r="O1194" s="9"/>
      <c r="P1194" s="9"/>
      <c r="Q1194" s="9"/>
      <c r="R1194" s="9"/>
      <c r="S1194" s="9"/>
      <c r="T1194" s="9"/>
      <c r="U1194" s="9"/>
      <c r="V1194" s="9"/>
      <c r="W1194" s="9"/>
      <c r="X1194" s="589"/>
      <c r="Y1194" s="9"/>
      <c r="Z1194" s="204"/>
      <c r="AA1194" s="9"/>
      <c r="AB1194" s="9"/>
      <c r="AC1194" s="9"/>
      <c r="AD1194" s="9"/>
    </row>
    <row r="1195" ht="15.75" customHeight="1">
      <c r="A1195" s="9"/>
      <c r="B1195" s="9"/>
      <c r="C1195" s="9"/>
      <c r="D1195" s="9"/>
      <c r="E1195" s="9"/>
      <c r="F1195" s="9"/>
      <c r="G1195" s="9"/>
      <c r="H1195" s="9"/>
      <c r="I1195" s="9"/>
      <c r="J1195" s="9"/>
      <c r="K1195" s="9"/>
      <c r="L1195" s="556"/>
      <c r="M1195" s="9"/>
      <c r="N1195" s="9"/>
      <c r="O1195" s="9"/>
      <c r="P1195" s="9"/>
      <c r="Q1195" s="9"/>
      <c r="R1195" s="9"/>
      <c r="S1195" s="9"/>
      <c r="T1195" s="9"/>
      <c r="U1195" s="9"/>
      <c r="V1195" s="9"/>
      <c r="W1195" s="9"/>
      <c r="X1195" s="589"/>
      <c r="Y1195" s="9"/>
      <c r="Z1195" s="204"/>
      <c r="AA1195" s="9"/>
      <c r="AB1195" s="9"/>
      <c r="AC1195" s="9"/>
      <c r="AD1195" s="9"/>
    </row>
    <row r="1196" ht="15.75" customHeight="1">
      <c r="A1196" s="9"/>
      <c r="B1196" s="9"/>
      <c r="C1196" s="9"/>
      <c r="D1196" s="9"/>
      <c r="E1196" s="9"/>
      <c r="F1196" s="9"/>
      <c r="G1196" s="9"/>
      <c r="H1196" s="9"/>
      <c r="I1196" s="9"/>
      <c r="J1196" s="9"/>
      <c r="K1196" s="9"/>
      <c r="L1196" s="556"/>
      <c r="M1196" s="9"/>
      <c r="N1196" s="9"/>
      <c r="O1196" s="9"/>
      <c r="P1196" s="9"/>
      <c r="Q1196" s="9"/>
      <c r="R1196" s="9"/>
      <c r="S1196" s="9"/>
      <c r="T1196" s="9"/>
      <c r="U1196" s="9"/>
      <c r="V1196" s="9"/>
      <c r="W1196" s="9"/>
      <c r="X1196" s="589"/>
      <c r="Y1196" s="9"/>
      <c r="Z1196" s="204"/>
      <c r="AA1196" s="9"/>
      <c r="AB1196" s="9"/>
      <c r="AC1196" s="9"/>
      <c r="AD1196" s="9"/>
    </row>
    <row r="1197" ht="15.75" customHeight="1">
      <c r="A1197" s="9"/>
      <c r="B1197" s="9"/>
      <c r="C1197" s="9"/>
      <c r="D1197" s="9"/>
      <c r="E1197" s="9"/>
      <c r="F1197" s="9"/>
      <c r="G1197" s="9"/>
      <c r="H1197" s="9"/>
      <c r="I1197" s="9"/>
      <c r="J1197" s="9"/>
      <c r="K1197" s="9"/>
      <c r="L1197" s="556"/>
      <c r="M1197" s="9"/>
      <c r="N1197" s="9"/>
      <c r="O1197" s="9"/>
      <c r="P1197" s="9"/>
      <c r="Q1197" s="9"/>
      <c r="R1197" s="9"/>
      <c r="S1197" s="9"/>
      <c r="T1197" s="9"/>
      <c r="U1197" s="9"/>
      <c r="V1197" s="9"/>
      <c r="W1197" s="9"/>
      <c r="X1197" s="589"/>
      <c r="Y1197" s="9"/>
      <c r="Z1197" s="204"/>
      <c r="AA1197" s="9"/>
      <c r="AB1197" s="9"/>
      <c r="AC1197" s="9"/>
      <c r="AD1197" s="9"/>
    </row>
    <row r="1198" ht="15.75" customHeight="1">
      <c r="A1198" s="9"/>
      <c r="B1198" s="9"/>
      <c r="C1198" s="9"/>
      <c r="D1198" s="9"/>
      <c r="E1198" s="9"/>
      <c r="F1198" s="9"/>
      <c r="G1198" s="9"/>
      <c r="H1198" s="9"/>
      <c r="I1198" s="9"/>
      <c r="J1198" s="9"/>
      <c r="K1198" s="9"/>
      <c r="L1198" s="556"/>
      <c r="M1198" s="9"/>
      <c r="N1198" s="9"/>
      <c r="O1198" s="9"/>
      <c r="P1198" s="9"/>
      <c r="Q1198" s="9"/>
      <c r="R1198" s="9"/>
      <c r="S1198" s="9"/>
      <c r="T1198" s="9"/>
      <c r="U1198" s="9"/>
      <c r="V1198" s="9"/>
      <c r="W1198" s="9"/>
      <c r="X1198" s="589"/>
      <c r="Y1198" s="9"/>
      <c r="Z1198" s="204"/>
      <c r="AA1198" s="9"/>
      <c r="AB1198" s="9"/>
      <c r="AC1198" s="9"/>
      <c r="AD1198" s="9"/>
    </row>
    <row r="1199" ht="15.75" customHeight="1">
      <c r="A1199" s="9"/>
      <c r="B1199" s="9"/>
      <c r="C1199" s="9"/>
      <c r="D1199" s="9"/>
      <c r="E1199" s="9"/>
      <c r="F1199" s="9"/>
      <c r="G1199" s="9"/>
      <c r="H1199" s="9"/>
      <c r="I1199" s="9"/>
      <c r="J1199" s="9"/>
      <c r="K1199" s="9"/>
      <c r="L1199" s="556"/>
      <c r="M1199" s="9"/>
      <c r="N1199" s="9"/>
      <c r="O1199" s="9"/>
      <c r="P1199" s="9"/>
      <c r="Q1199" s="9"/>
      <c r="R1199" s="9"/>
      <c r="S1199" s="9"/>
      <c r="T1199" s="9"/>
      <c r="U1199" s="9"/>
      <c r="V1199" s="9"/>
      <c r="W1199" s="9"/>
      <c r="X1199" s="589"/>
      <c r="Y1199" s="9"/>
      <c r="Z1199" s="204"/>
      <c r="AA1199" s="9"/>
      <c r="AB1199" s="9"/>
      <c r="AC1199" s="9"/>
      <c r="AD1199" s="9"/>
    </row>
    <row r="1200" ht="15.75" customHeight="1">
      <c r="A1200" s="9"/>
      <c r="B1200" s="9"/>
      <c r="C1200" s="9"/>
      <c r="D1200" s="9"/>
      <c r="E1200" s="9"/>
      <c r="F1200" s="9"/>
      <c r="G1200" s="9"/>
      <c r="H1200" s="9"/>
      <c r="I1200" s="9"/>
      <c r="J1200" s="9"/>
      <c r="K1200" s="9"/>
      <c r="L1200" s="556"/>
      <c r="M1200" s="9"/>
      <c r="N1200" s="9"/>
      <c r="O1200" s="9"/>
      <c r="P1200" s="9"/>
      <c r="Q1200" s="9"/>
      <c r="R1200" s="9"/>
      <c r="S1200" s="9"/>
      <c r="T1200" s="9"/>
      <c r="U1200" s="9"/>
      <c r="V1200" s="9"/>
      <c r="W1200" s="9"/>
      <c r="X1200" s="589"/>
      <c r="Y1200" s="9"/>
      <c r="Z1200" s="204"/>
      <c r="AA1200" s="9"/>
      <c r="AB1200" s="9"/>
      <c r="AC1200" s="9"/>
      <c r="AD1200" s="9"/>
    </row>
    <row r="1201" ht="15.75" customHeight="1">
      <c r="A1201" s="9"/>
      <c r="B1201" s="9"/>
      <c r="C1201" s="9"/>
      <c r="D1201" s="9"/>
      <c r="E1201" s="9"/>
      <c r="F1201" s="9"/>
      <c r="G1201" s="9"/>
      <c r="H1201" s="9"/>
      <c r="I1201" s="9"/>
      <c r="J1201" s="9"/>
      <c r="K1201" s="9"/>
      <c r="L1201" s="556"/>
      <c r="M1201" s="9"/>
      <c r="N1201" s="9"/>
      <c r="O1201" s="9"/>
      <c r="P1201" s="9"/>
      <c r="Q1201" s="9"/>
      <c r="R1201" s="9"/>
      <c r="S1201" s="9"/>
      <c r="T1201" s="9"/>
      <c r="U1201" s="9"/>
      <c r="V1201" s="9"/>
      <c r="W1201" s="9"/>
      <c r="X1201" s="589"/>
      <c r="Y1201" s="9"/>
      <c r="Z1201" s="204"/>
      <c r="AA1201" s="9"/>
      <c r="AB1201" s="9"/>
      <c r="AC1201" s="9"/>
      <c r="AD1201" s="9"/>
    </row>
    <row r="1202" ht="15.75" customHeight="1">
      <c r="A1202" s="9"/>
      <c r="B1202" s="9"/>
      <c r="C1202" s="9"/>
      <c r="D1202" s="9"/>
      <c r="E1202" s="9"/>
      <c r="F1202" s="9"/>
      <c r="G1202" s="9"/>
      <c r="H1202" s="9"/>
      <c r="I1202" s="9"/>
      <c r="J1202" s="9"/>
      <c r="K1202" s="9"/>
      <c r="L1202" s="556"/>
      <c r="M1202" s="9"/>
      <c r="N1202" s="9"/>
      <c r="O1202" s="9"/>
      <c r="P1202" s="9"/>
      <c r="Q1202" s="9"/>
      <c r="R1202" s="9"/>
      <c r="S1202" s="9"/>
      <c r="T1202" s="9"/>
      <c r="U1202" s="9"/>
      <c r="V1202" s="9"/>
      <c r="W1202" s="9"/>
      <c r="X1202" s="589"/>
      <c r="Y1202" s="9"/>
      <c r="Z1202" s="204"/>
      <c r="AA1202" s="9"/>
      <c r="AB1202" s="9"/>
      <c r="AC1202" s="9"/>
      <c r="AD1202" s="9"/>
    </row>
    <row r="1203" ht="15.75" customHeight="1">
      <c r="A1203" s="9"/>
      <c r="B1203" s="9"/>
      <c r="C1203" s="9"/>
      <c r="D1203" s="9"/>
      <c r="E1203" s="9"/>
      <c r="F1203" s="9"/>
      <c r="G1203" s="9"/>
      <c r="H1203" s="9"/>
      <c r="I1203" s="9"/>
      <c r="J1203" s="9"/>
      <c r="K1203" s="9"/>
      <c r="L1203" s="556"/>
      <c r="M1203" s="9"/>
      <c r="N1203" s="9"/>
      <c r="O1203" s="9"/>
      <c r="P1203" s="9"/>
      <c r="Q1203" s="9"/>
      <c r="R1203" s="9"/>
      <c r="S1203" s="9"/>
      <c r="T1203" s="9"/>
      <c r="U1203" s="9"/>
      <c r="V1203" s="9"/>
      <c r="W1203" s="9"/>
      <c r="X1203" s="589"/>
      <c r="Y1203" s="9"/>
      <c r="Z1203" s="204"/>
      <c r="AA1203" s="9"/>
      <c r="AB1203" s="9"/>
      <c r="AC1203" s="9"/>
      <c r="AD1203" s="9"/>
    </row>
    <row r="1204" ht="15.75" customHeight="1">
      <c r="A1204" s="9"/>
      <c r="B1204" s="9"/>
      <c r="C1204" s="9"/>
      <c r="D1204" s="9"/>
      <c r="E1204" s="9"/>
      <c r="F1204" s="9"/>
      <c r="G1204" s="9"/>
      <c r="H1204" s="9"/>
      <c r="I1204" s="9"/>
      <c r="J1204" s="9"/>
      <c r="K1204" s="9"/>
      <c r="L1204" s="556"/>
      <c r="M1204" s="9"/>
      <c r="N1204" s="9"/>
      <c r="O1204" s="9"/>
      <c r="P1204" s="9"/>
      <c r="Q1204" s="9"/>
      <c r="R1204" s="9"/>
      <c r="S1204" s="9"/>
      <c r="T1204" s="9"/>
      <c r="U1204" s="9"/>
      <c r="V1204" s="9"/>
      <c r="W1204" s="9"/>
      <c r="X1204" s="589"/>
      <c r="Y1204" s="9"/>
      <c r="Z1204" s="204"/>
      <c r="AA1204" s="9"/>
      <c r="AB1204" s="9"/>
      <c r="AC1204" s="9"/>
      <c r="AD1204" s="9"/>
    </row>
    <row r="1205" ht="15.75" customHeight="1">
      <c r="A1205" s="9"/>
      <c r="B1205" s="9"/>
      <c r="C1205" s="9"/>
      <c r="D1205" s="9"/>
      <c r="E1205" s="9"/>
      <c r="F1205" s="9"/>
      <c r="G1205" s="9"/>
      <c r="H1205" s="9"/>
      <c r="I1205" s="9"/>
      <c r="J1205" s="9"/>
      <c r="K1205" s="9"/>
      <c r="L1205" s="556"/>
      <c r="M1205" s="9"/>
      <c r="N1205" s="9"/>
      <c r="O1205" s="9"/>
      <c r="P1205" s="9"/>
      <c r="Q1205" s="9"/>
      <c r="R1205" s="9"/>
      <c r="S1205" s="9"/>
      <c r="T1205" s="9"/>
      <c r="U1205" s="9"/>
      <c r="V1205" s="9"/>
      <c r="W1205" s="9"/>
      <c r="X1205" s="589"/>
      <c r="Y1205" s="9"/>
      <c r="Z1205" s="204"/>
      <c r="AA1205" s="9"/>
      <c r="AB1205" s="9"/>
      <c r="AC1205" s="9"/>
      <c r="AD1205" s="9"/>
    </row>
    <row r="1206" ht="15.75" customHeight="1">
      <c r="A1206" s="9"/>
      <c r="B1206" s="9"/>
      <c r="C1206" s="9"/>
      <c r="D1206" s="9"/>
      <c r="E1206" s="9"/>
      <c r="F1206" s="9"/>
      <c r="G1206" s="9"/>
      <c r="H1206" s="9"/>
      <c r="I1206" s="9"/>
      <c r="J1206" s="9"/>
      <c r="K1206" s="9"/>
      <c r="L1206" s="556"/>
      <c r="M1206" s="9"/>
      <c r="N1206" s="9"/>
      <c r="O1206" s="9"/>
      <c r="P1206" s="9"/>
      <c r="Q1206" s="9"/>
      <c r="R1206" s="9"/>
      <c r="S1206" s="9"/>
      <c r="T1206" s="9"/>
      <c r="U1206" s="9"/>
      <c r="V1206" s="9"/>
      <c r="W1206" s="9"/>
      <c r="X1206" s="589"/>
      <c r="Y1206" s="9"/>
      <c r="Z1206" s="204"/>
      <c r="AA1206" s="9"/>
      <c r="AB1206" s="9"/>
      <c r="AC1206" s="9"/>
      <c r="AD1206" s="9"/>
    </row>
    <row r="1207" ht="15.75" customHeight="1">
      <c r="A1207" s="9"/>
      <c r="B1207" s="9"/>
      <c r="C1207" s="9"/>
      <c r="D1207" s="9"/>
      <c r="E1207" s="9"/>
      <c r="F1207" s="9"/>
      <c r="G1207" s="9"/>
      <c r="H1207" s="9"/>
      <c r="I1207" s="9"/>
      <c r="J1207" s="9"/>
      <c r="K1207" s="9"/>
      <c r="L1207" s="556"/>
      <c r="M1207" s="9"/>
      <c r="N1207" s="9"/>
      <c r="O1207" s="9"/>
      <c r="P1207" s="9"/>
      <c r="Q1207" s="9"/>
      <c r="R1207" s="9"/>
      <c r="S1207" s="9"/>
      <c r="T1207" s="9"/>
      <c r="U1207" s="9"/>
      <c r="V1207" s="9"/>
      <c r="W1207" s="9"/>
      <c r="X1207" s="589"/>
      <c r="Y1207" s="9"/>
      <c r="Z1207" s="204"/>
      <c r="AA1207" s="9"/>
      <c r="AB1207" s="9"/>
      <c r="AC1207" s="9"/>
      <c r="AD1207" s="9"/>
    </row>
    <row r="1208" ht="15.75" customHeight="1">
      <c r="A1208" s="9"/>
      <c r="B1208" s="9"/>
      <c r="C1208" s="9"/>
      <c r="D1208" s="9"/>
      <c r="E1208" s="9"/>
      <c r="F1208" s="9"/>
      <c r="G1208" s="9"/>
      <c r="H1208" s="9"/>
      <c r="I1208" s="9"/>
      <c r="J1208" s="9"/>
      <c r="K1208" s="9"/>
      <c r="L1208" s="556"/>
      <c r="M1208" s="9"/>
      <c r="N1208" s="9"/>
      <c r="O1208" s="9"/>
      <c r="P1208" s="9"/>
      <c r="Q1208" s="9"/>
      <c r="R1208" s="9"/>
      <c r="S1208" s="9"/>
      <c r="T1208" s="9"/>
      <c r="U1208" s="9"/>
      <c r="V1208" s="9"/>
      <c r="W1208" s="9"/>
      <c r="X1208" s="589"/>
      <c r="Y1208" s="9"/>
      <c r="Z1208" s="204"/>
      <c r="AA1208" s="9"/>
      <c r="AB1208" s="9"/>
      <c r="AC1208" s="9"/>
      <c r="AD1208" s="9"/>
    </row>
    <row r="1209" ht="15.75" customHeight="1">
      <c r="A1209" s="9"/>
      <c r="B1209" s="9"/>
      <c r="C1209" s="9"/>
      <c r="D1209" s="9"/>
      <c r="E1209" s="9"/>
      <c r="F1209" s="9"/>
      <c r="G1209" s="9"/>
      <c r="H1209" s="9"/>
      <c r="I1209" s="9"/>
      <c r="J1209" s="9"/>
      <c r="K1209" s="9"/>
      <c r="L1209" s="556"/>
      <c r="M1209" s="9"/>
      <c r="N1209" s="9"/>
      <c r="O1209" s="9"/>
      <c r="P1209" s="9"/>
      <c r="Q1209" s="9"/>
      <c r="R1209" s="9"/>
      <c r="S1209" s="9"/>
      <c r="T1209" s="9"/>
      <c r="U1209" s="9"/>
      <c r="V1209" s="9"/>
      <c r="W1209" s="9"/>
      <c r="X1209" s="589"/>
      <c r="Y1209" s="9"/>
      <c r="Z1209" s="204"/>
      <c r="AA1209" s="9"/>
      <c r="AB1209" s="9"/>
      <c r="AC1209" s="9"/>
      <c r="AD1209" s="9"/>
    </row>
    <row r="1210" ht="15.75" customHeight="1">
      <c r="A1210" s="9"/>
      <c r="B1210" s="9"/>
      <c r="C1210" s="9"/>
      <c r="D1210" s="9"/>
      <c r="E1210" s="9"/>
      <c r="F1210" s="9"/>
      <c r="G1210" s="9"/>
      <c r="H1210" s="9"/>
      <c r="I1210" s="9"/>
      <c r="J1210" s="9"/>
      <c r="K1210" s="9"/>
      <c r="L1210" s="556"/>
      <c r="M1210" s="9"/>
      <c r="N1210" s="9"/>
      <c r="O1210" s="9"/>
      <c r="P1210" s="9"/>
      <c r="Q1210" s="9"/>
      <c r="R1210" s="9"/>
      <c r="S1210" s="9"/>
      <c r="T1210" s="9"/>
      <c r="U1210" s="9"/>
      <c r="V1210" s="9"/>
      <c r="W1210" s="9"/>
      <c r="X1210" s="589"/>
      <c r="Y1210" s="9"/>
      <c r="Z1210" s="204"/>
      <c r="AA1210" s="9"/>
      <c r="AB1210" s="9"/>
      <c r="AC1210" s="9"/>
      <c r="AD1210" s="9"/>
    </row>
    <row r="1211" ht="15.75" customHeight="1">
      <c r="A1211" s="9"/>
      <c r="B1211" s="9"/>
      <c r="C1211" s="9"/>
      <c r="D1211" s="9"/>
      <c r="E1211" s="9"/>
      <c r="F1211" s="9"/>
      <c r="G1211" s="9"/>
      <c r="H1211" s="9"/>
      <c r="I1211" s="9"/>
      <c r="J1211" s="9"/>
      <c r="K1211" s="9"/>
      <c r="L1211" s="556"/>
      <c r="M1211" s="9"/>
      <c r="N1211" s="9"/>
      <c r="O1211" s="9"/>
      <c r="P1211" s="9"/>
      <c r="Q1211" s="9"/>
      <c r="R1211" s="9"/>
      <c r="S1211" s="9"/>
      <c r="T1211" s="9"/>
      <c r="U1211" s="9"/>
      <c r="V1211" s="9"/>
      <c r="W1211" s="9"/>
      <c r="X1211" s="589"/>
      <c r="Y1211" s="9"/>
      <c r="Z1211" s="204"/>
      <c r="AA1211" s="9"/>
      <c r="AB1211" s="9"/>
      <c r="AC1211" s="9"/>
      <c r="AD1211" s="9"/>
    </row>
    <row r="1212" ht="15.75" customHeight="1">
      <c r="A1212" s="9"/>
      <c r="B1212" s="9"/>
      <c r="C1212" s="9"/>
      <c r="D1212" s="9"/>
      <c r="E1212" s="9"/>
      <c r="F1212" s="9"/>
      <c r="G1212" s="9"/>
      <c r="H1212" s="9"/>
      <c r="I1212" s="9"/>
      <c r="J1212" s="9"/>
      <c r="K1212" s="9"/>
      <c r="L1212" s="556"/>
      <c r="M1212" s="9"/>
      <c r="N1212" s="9"/>
      <c r="O1212" s="9"/>
      <c r="P1212" s="9"/>
      <c r="Q1212" s="9"/>
      <c r="R1212" s="9"/>
      <c r="S1212" s="9"/>
      <c r="T1212" s="9"/>
      <c r="U1212" s="9"/>
      <c r="V1212" s="9"/>
      <c r="W1212" s="9"/>
      <c r="X1212" s="589"/>
      <c r="Y1212" s="9"/>
      <c r="Z1212" s="204"/>
      <c r="AA1212" s="9"/>
      <c r="AB1212" s="9"/>
      <c r="AC1212" s="9"/>
      <c r="AD1212" s="9"/>
    </row>
    <row r="1213" ht="15.75" customHeight="1">
      <c r="A1213" s="9"/>
      <c r="B1213" s="9"/>
      <c r="C1213" s="9"/>
      <c r="D1213" s="9"/>
      <c r="E1213" s="9"/>
      <c r="F1213" s="9"/>
      <c r="G1213" s="9"/>
      <c r="H1213" s="9"/>
      <c r="I1213" s="9"/>
      <c r="J1213" s="9"/>
      <c r="K1213" s="9"/>
      <c r="L1213" s="556"/>
      <c r="M1213" s="9"/>
      <c r="N1213" s="9"/>
      <c r="O1213" s="9"/>
      <c r="P1213" s="9"/>
      <c r="Q1213" s="9"/>
      <c r="R1213" s="9"/>
      <c r="S1213" s="9"/>
      <c r="T1213" s="9"/>
      <c r="U1213" s="9"/>
      <c r="V1213" s="9"/>
      <c r="W1213" s="9"/>
      <c r="X1213" s="589"/>
      <c r="Y1213" s="9"/>
      <c r="Z1213" s="204"/>
      <c r="AA1213" s="9"/>
      <c r="AB1213" s="9"/>
      <c r="AC1213" s="9"/>
      <c r="AD1213" s="9"/>
    </row>
    <row r="1214" ht="15.75" customHeight="1">
      <c r="A1214" s="9"/>
      <c r="B1214" s="9"/>
      <c r="C1214" s="9"/>
      <c r="D1214" s="9"/>
      <c r="E1214" s="9"/>
      <c r="F1214" s="9"/>
      <c r="G1214" s="9"/>
      <c r="H1214" s="9"/>
      <c r="I1214" s="9"/>
      <c r="J1214" s="9"/>
      <c r="K1214" s="9"/>
      <c r="L1214" s="556"/>
      <c r="M1214" s="9"/>
      <c r="N1214" s="9"/>
      <c r="O1214" s="9"/>
      <c r="P1214" s="9"/>
      <c r="Q1214" s="9"/>
      <c r="R1214" s="9"/>
      <c r="S1214" s="9"/>
      <c r="T1214" s="9"/>
      <c r="U1214" s="9"/>
      <c r="V1214" s="9"/>
      <c r="W1214" s="9"/>
      <c r="X1214" s="589"/>
      <c r="Y1214" s="9"/>
      <c r="Z1214" s="204"/>
      <c r="AA1214" s="9"/>
      <c r="AB1214" s="9"/>
      <c r="AC1214" s="9"/>
      <c r="AD1214" s="9"/>
    </row>
    <row r="1215" ht="15.75" customHeight="1">
      <c r="A1215" s="9"/>
      <c r="B1215" s="9"/>
      <c r="C1215" s="9"/>
      <c r="D1215" s="9"/>
      <c r="E1215" s="9"/>
      <c r="F1215" s="9"/>
      <c r="G1215" s="9"/>
      <c r="H1215" s="9"/>
      <c r="I1215" s="9"/>
      <c r="J1215" s="9"/>
      <c r="K1215" s="9"/>
      <c r="L1215" s="556"/>
      <c r="M1215" s="9"/>
      <c r="N1215" s="9"/>
      <c r="O1215" s="9"/>
      <c r="P1215" s="9"/>
      <c r="Q1215" s="9"/>
      <c r="R1215" s="9"/>
      <c r="S1215" s="9"/>
      <c r="T1215" s="9"/>
      <c r="U1215" s="9"/>
      <c r="V1215" s="9"/>
      <c r="W1215" s="9"/>
      <c r="X1215" s="589"/>
      <c r="Y1215" s="9"/>
      <c r="Z1215" s="204"/>
      <c r="AA1215" s="9"/>
      <c r="AB1215" s="9"/>
      <c r="AC1215" s="9"/>
      <c r="AD1215" s="9"/>
    </row>
    <row r="1216" ht="15.75" customHeight="1">
      <c r="A1216" s="9"/>
      <c r="B1216" s="9"/>
      <c r="C1216" s="9"/>
      <c r="D1216" s="9"/>
      <c r="E1216" s="9"/>
      <c r="F1216" s="9"/>
      <c r="G1216" s="9"/>
      <c r="H1216" s="9"/>
      <c r="I1216" s="9"/>
      <c r="J1216" s="9"/>
      <c r="K1216" s="9"/>
      <c r="L1216" s="556"/>
      <c r="M1216" s="9"/>
      <c r="N1216" s="9"/>
      <c r="O1216" s="9"/>
      <c r="P1216" s="9"/>
      <c r="Q1216" s="9"/>
      <c r="R1216" s="9"/>
      <c r="S1216" s="9"/>
      <c r="T1216" s="9"/>
      <c r="U1216" s="9"/>
      <c r="V1216" s="9"/>
      <c r="W1216" s="9"/>
      <c r="X1216" s="589"/>
      <c r="Y1216" s="9"/>
      <c r="Z1216" s="204"/>
      <c r="AA1216" s="9"/>
      <c r="AB1216" s="9"/>
      <c r="AC1216" s="9"/>
      <c r="AD1216" s="9"/>
    </row>
    <row r="1217" ht="15.75" customHeight="1">
      <c r="A1217" s="9"/>
      <c r="B1217" s="9"/>
      <c r="C1217" s="9"/>
      <c r="D1217" s="9"/>
      <c r="E1217" s="9"/>
      <c r="F1217" s="9"/>
      <c r="G1217" s="9"/>
      <c r="H1217" s="9"/>
      <c r="I1217" s="9"/>
      <c r="J1217" s="9"/>
      <c r="K1217" s="9"/>
      <c r="L1217" s="556"/>
      <c r="M1217" s="9"/>
      <c r="N1217" s="9"/>
      <c r="O1217" s="9"/>
      <c r="P1217" s="9"/>
      <c r="Q1217" s="9"/>
      <c r="R1217" s="9"/>
      <c r="S1217" s="9"/>
      <c r="T1217" s="9"/>
      <c r="U1217" s="9"/>
      <c r="V1217" s="9"/>
      <c r="W1217" s="9"/>
      <c r="X1217" s="589"/>
      <c r="Y1217" s="9"/>
      <c r="Z1217" s="204"/>
      <c r="AA1217" s="9"/>
      <c r="AB1217" s="9"/>
      <c r="AC1217" s="9"/>
      <c r="AD1217" s="9"/>
    </row>
    <row r="1218" ht="15.75" customHeight="1">
      <c r="A1218" s="9"/>
      <c r="B1218" s="9"/>
      <c r="C1218" s="9"/>
      <c r="D1218" s="9"/>
      <c r="E1218" s="9"/>
      <c r="F1218" s="9"/>
      <c r="G1218" s="9"/>
      <c r="H1218" s="9"/>
      <c r="I1218" s="9"/>
      <c r="J1218" s="9"/>
      <c r="K1218" s="9"/>
      <c r="L1218" s="556"/>
      <c r="M1218" s="9"/>
      <c r="N1218" s="9"/>
      <c r="O1218" s="9"/>
      <c r="P1218" s="9"/>
      <c r="Q1218" s="9"/>
      <c r="R1218" s="9"/>
      <c r="S1218" s="9"/>
      <c r="T1218" s="9"/>
      <c r="U1218" s="9"/>
      <c r="V1218" s="9"/>
      <c r="W1218" s="9"/>
      <c r="X1218" s="589"/>
      <c r="Y1218" s="9"/>
      <c r="Z1218" s="204"/>
      <c r="AA1218" s="9"/>
      <c r="AB1218" s="9"/>
      <c r="AC1218" s="9"/>
      <c r="AD1218" s="9"/>
    </row>
    <row r="1219" ht="15.75" customHeight="1">
      <c r="A1219" s="9"/>
      <c r="B1219" s="9"/>
      <c r="C1219" s="9"/>
      <c r="D1219" s="9"/>
      <c r="E1219" s="9"/>
      <c r="F1219" s="9"/>
      <c r="G1219" s="9"/>
      <c r="H1219" s="9"/>
      <c r="I1219" s="9"/>
      <c r="J1219" s="9"/>
      <c r="K1219" s="9"/>
      <c r="L1219" s="556"/>
      <c r="M1219" s="9"/>
      <c r="N1219" s="9"/>
      <c r="O1219" s="9"/>
      <c r="P1219" s="9"/>
      <c r="Q1219" s="9"/>
      <c r="R1219" s="9"/>
      <c r="S1219" s="9"/>
      <c r="T1219" s="9"/>
      <c r="U1219" s="9"/>
      <c r="V1219" s="9"/>
      <c r="W1219" s="9"/>
      <c r="X1219" s="589"/>
      <c r="Y1219" s="9"/>
      <c r="Z1219" s="204"/>
      <c r="AA1219" s="9"/>
      <c r="AB1219" s="9"/>
      <c r="AC1219" s="9"/>
      <c r="AD1219" s="9"/>
    </row>
    <row r="1220" ht="15.75" customHeight="1">
      <c r="A1220" s="9"/>
      <c r="B1220" s="9"/>
      <c r="C1220" s="9"/>
      <c r="D1220" s="9"/>
      <c r="E1220" s="9"/>
      <c r="F1220" s="9"/>
      <c r="G1220" s="9"/>
      <c r="H1220" s="9"/>
      <c r="I1220" s="9"/>
      <c r="J1220" s="9"/>
      <c r="K1220" s="9"/>
      <c r="L1220" s="556"/>
      <c r="M1220" s="9"/>
      <c r="N1220" s="9"/>
      <c r="O1220" s="9"/>
      <c r="P1220" s="9"/>
      <c r="Q1220" s="9"/>
      <c r="R1220" s="9"/>
      <c r="S1220" s="9"/>
      <c r="T1220" s="9"/>
      <c r="U1220" s="9"/>
      <c r="V1220" s="9"/>
      <c r="W1220" s="9"/>
      <c r="X1220" s="589"/>
      <c r="Y1220" s="9"/>
      <c r="Z1220" s="204"/>
      <c r="AA1220" s="9"/>
      <c r="AB1220" s="9"/>
      <c r="AC1220" s="9"/>
      <c r="AD1220" s="9"/>
    </row>
    <row r="1221" ht="15.75" customHeight="1">
      <c r="A1221" s="9"/>
      <c r="B1221" s="9"/>
      <c r="C1221" s="9"/>
      <c r="D1221" s="9"/>
      <c r="E1221" s="9"/>
      <c r="F1221" s="9"/>
      <c r="G1221" s="9"/>
      <c r="H1221" s="9"/>
      <c r="I1221" s="9"/>
      <c r="J1221" s="9"/>
      <c r="K1221" s="9"/>
      <c r="L1221" s="556"/>
      <c r="M1221" s="9"/>
      <c r="N1221" s="9"/>
      <c r="O1221" s="9"/>
      <c r="P1221" s="9"/>
      <c r="Q1221" s="9"/>
      <c r="R1221" s="9"/>
      <c r="S1221" s="9"/>
      <c r="T1221" s="9"/>
      <c r="U1221" s="9"/>
      <c r="V1221" s="9"/>
      <c r="W1221" s="9"/>
      <c r="X1221" s="589"/>
      <c r="Y1221" s="9"/>
      <c r="Z1221" s="204"/>
      <c r="AA1221" s="9"/>
      <c r="AB1221" s="9"/>
      <c r="AC1221" s="9"/>
      <c r="AD1221" s="9"/>
    </row>
    <row r="1222" ht="15.75" customHeight="1">
      <c r="A1222" s="9"/>
      <c r="B1222" s="9"/>
      <c r="C1222" s="9"/>
      <c r="D1222" s="9"/>
      <c r="E1222" s="9"/>
      <c r="F1222" s="9"/>
      <c r="G1222" s="9"/>
      <c r="H1222" s="9"/>
      <c r="I1222" s="9"/>
      <c r="J1222" s="9"/>
      <c r="K1222" s="9"/>
      <c r="L1222" s="556"/>
      <c r="M1222" s="9"/>
      <c r="N1222" s="9"/>
      <c r="O1222" s="9"/>
      <c r="P1222" s="9"/>
      <c r="Q1222" s="9"/>
      <c r="R1222" s="9"/>
      <c r="S1222" s="9"/>
      <c r="T1222" s="9"/>
      <c r="U1222" s="9"/>
      <c r="V1222" s="9"/>
      <c r="W1222" s="9"/>
      <c r="X1222" s="589"/>
      <c r="Y1222" s="9"/>
      <c r="Z1222" s="204"/>
      <c r="AA1222" s="9"/>
      <c r="AB1222" s="9"/>
      <c r="AC1222" s="9"/>
      <c r="AD1222" s="9"/>
    </row>
    <row r="1223" ht="15.75" customHeight="1">
      <c r="A1223" s="9"/>
      <c r="B1223" s="9"/>
      <c r="C1223" s="9"/>
      <c r="D1223" s="9"/>
      <c r="E1223" s="9"/>
      <c r="F1223" s="9"/>
      <c r="G1223" s="9"/>
      <c r="H1223" s="9"/>
      <c r="I1223" s="9"/>
      <c r="J1223" s="9"/>
      <c r="K1223" s="9"/>
      <c r="L1223" s="556"/>
      <c r="M1223" s="9"/>
      <c r="N1223" s="9"/>
      <c r="O1223" s="9"/>
      <c r="P1223" s="9"/>
      <c r="Q1223" s="9"/>
      <c r="R1223" s="9"/>
      <c r="S1223" s="9"/>
      <c r="T1223" s="9"/>
      <c r="U1223" s="9"/>
      <c r="V1223" s="9"/>
      <c r="W1223" s="9"/>
      <c r="X1223" s="589"/>
      <c r="Y1223" s="9"/>
      <c r="Z1223" s="204"/>
      <c r="AA1223" s="9"/>
      <c r="AB1223" s="9"/>
      <c r="AC1223" s="9"/>
      <c r="AD1223" s="9"/>
    </row>
    <row r="1224" ht="15.75" customHeight="1">
      <c r="A1224" s="9"/>
      <c r="B1224" s="9"/>
      <c r="C1224" s="9"/>
      <c r="D1224" s="9"/>
      <c r="E1224" s="9"/>
      <c r="F1224" s="9"/>
      <c r="G1224" s="9"/>
      <c r="H1224" s="9"/>
      <c r="I1224" s="9"/>
      <c r="J1224" s="9"/>
      <c r="K1224" s="9"/>
      <c r="L1224" s="556"/>
      <c r="M1224" s="9"/>
      <c r="N1224" s="9"/>
      <c r="O1224" s="9"/>
      <c r="P1224" s="9"/>
      <c r="Q1224" s="9"/>
      <c r="R1224" s="9"/>
      <c r="S1224" s="9"/>
      <c r="T1224" s="9"/>
      <c r="U1224" s="9"/>
      <c r="V1224" s="9"/>
      <c r="W1224" s="9"/>
      <c r="X1224" s="589"/>
      <c r="Y1224" s="9"/>
      <c r="Z1224" s="204"/>
      <c r="AA1224" s="9"/>
      <c r="AB1224" s="9"/>
      <c r="AC1224" s="9"/>
      <c r="AD1224" s="9"/>
    </row>
    <row r="1225" ht="15.75" customHeight="1">
      <c r="A1225" s="9"/>
      <c r="B1225" s="9"/>
      <c r="C1225" s="9"/>
      <c r="D1225" s="9"/>
      <c r="E1225" s="9"/>
      <c r="F1225" s="9"/>
      <c r="G1225" s="9"/>
      <c r="H1225" s="9"/>
      <c r="I1225" s="9"/>
      <c r="J1225" s="9"/>
      <c r="K1225" s="9"/>
      <c r="L1225" s="556"/>
      <c r="M1225" s="9"/>
      <c r="N1225" s="9"/>
      <c r="O1225" s="9"/>
      <c r="P1225" s="9"/>
      <c r="Q1225" s="9"/>
      <c r="R1225" s="9"/>
      <c r="S1225" s="9"/>
      <c r="T1225" s="9"/>
      <c r="U1225" s="9"/>
      <c r="V1225" s="9"/>
      <c r="W1225" s="9"/>
      <c r="X1225" s="589"/>
      <c r="Y1225" s="9"/>
      <c r="Z1225" s="204"/>
      <c r="AA1225" s="9"/>
      <c r="AB1225" s="9"/>
      <c r="AC1225" s="9"/>
      <c r="AD1225" s="9"/>
    </row>
    <row r="1226" ht="15.75" customHeight="1">
      <c r="A1226" s="9"/>
      <c r="B1226" s="9"/>
      <c r="C1226" s="9"/>
      <c r="D1226" s="9"/>
      <c r="E1226" s="9"/>
      <c r="F1226" s="9"/>
      <c r="G1226" s="9"/>
      <c r="H1226" s="9"/>
      <c r="I1226" s="9"/>
      <c r="J1226" s="9"/>
      <c r="K1226" s="9"/>
      <c r="L1226" s="556"/>
      <c r="M1226" s="9"/>
      <c r="N1226" s="9"/>
      <c r="O1226" s="9"/>
      <c r="P1226" s="9"/>
      <c r="Q1226" s="9"/>
      <c r="R1226" s="9"/>
      <c r="S1226" s="9"/>
      <c r="T1226" s="9"/>
      <c r="U1226" s="9"/>
      <c r="V1226" s="9"/>
      <c r="W1226" s="9"/>
      <c r="X1226" s="589"/>
      <c r="Y1226" s="9"/>
      <c r="Z1226" s="204"/>
      <c r="AA1226" s="9"/>
      <c r="AB1226" s="9"/>
      <c r="AC1226" s="9"/>
      <c r="AD1226" s="9"/>
    </row>
    <row r="1227" ht="15.75" customHeight="1">
      <c r="A1227" s="9"/>
      <c r="B1227" s="9"/>
      <c r="C1227" s="9"/>
      <c r="D1227" s="9"/>
      <c r="E1227" s="9"/>
      <c r="F1227" s="9"/>
      <c r="G1227" s="9"/>
      <c r="H1227" s="9"/>
      <c r="I1227" s="9"/>
      <c r="J1227" s="9"/>
      <c r="K1227" s="9"/>
      <c r="L1227" s="556"/>
      <c r="M1227" s="9"/>
      <c r="N1227" s="9"/>
      <c r="O1227" s="9"/>
      <c r="P1227" s="9"/>
      <c r="Q1227" s="9"/>
      <c r="R1227" s="9"/>
      <c r="S1227" s="9"/>
      <c r="T1227" s="9"/>
      <c r="U1227" s="9"/>
      <c r="V1227" s="9"/>
      <c r="W1227" s="9"/>
      <c r="X1227" s="589"/>
      <c r="Y1227" s="9"/>
      <c r="Z1227" s="204"/>
      <c r="AA1227" s="9"/>
      <c r="AB1227" s="9"/>
      <c r="AC1227" s="9"/>
      <c r="AD1227" s="9"/>
    </row>
    <row r="1228" ht="15.75" customHeight="1">
      <c r="A1228" s="9"/>
      <c r="B1228" s="9"/>
      <c r="C1228" s="9"/>
      <c r="D1228" s="9"/>
      <c r="E1228" s="9"/>
      <c r="F1228" s="9"/>
      <c r="G1228" s="9"/>
      <c r="H1228" s="9"/>
      <c r="I1228" s="9"/>
      <c r="J1228" s="9"/>
      <c r="K1228" s="9"/>
      <c r="L1228" s="556"/>
      <c r="M1228" s="9"/>
      <c r="N1228" s="9"/>
      <c r="O1228" s="9"/>
      <c r="P1228" s="9"/>
      <c r="Q1228" s="9"/>
      <c r="R1228" s="9"/>
      <c r="S1228" s="9"/>
      <c r="T1228" s="9"/>
      <c r="U1228" s="9"/>
      <c r="V1228" s="9"/>
      <c r="W1228" s="9"/>
      <c r="X1228" s="589"/>
      <c r="Y1228" s="9"/>
      <c r="Z1228" s="204"/>
      <c r="AA1228" s="9"/>
      <c r="AB1228" s="9"/>
      <c r="AC1228" s="9"/>
      <c r="AD1228" s="9"/>
    </row>
    <row r="1229" ht="15.75" customHeight="1">
      <c r="A1229" s="9"/>
      <c r="B1229" s="9"/>
      <c r="C1229" s="9"/>
      <c r="D1229" s="9"/>
      <c r="E1229" s="9"/>
      <c r="F1229" s="9"/>
      <c r="G1229" s="9"/>
      <c r="H1229" s="9"/>
      <c r="I1229" s="9"/>
      <c r="J1229" s="9"/>
      <c r="K1229" s="9"/>
      <c r="L1229" s="556"/>
      <c r="M1229" s="9"/>
      <c r="N1229" s="9"/>
      <c r="O1229" s="9"/>
      <c r="P1229" s="9"/>
      <c r="Q1229" s="9"/>
      <c r="R1229" s="9"/>
      <c r="S1229" s="9"/>
      <c r="T1229" s="9"/>
      <c r="U1229" s="9"/>
      <c r="V1229" s="9"/>
      <c r="W1229" s="9"/>
      <c r="X1229" s="589"/>
      <c r="Y1229" s="9"/>
      <c r="Z1229" s="204"/>
      <c r="AA1229" s="9"/>
      <c r="AB1229" s="9"/>
      <c r="AC1229" s="9"/>
      <c r="AD1229" s="9"/>
    </row>
    <row r="1230" ht="15.75" customHeight="1">
      <c r="A1230" s="9"/>
      <c r="B1230" s="9"/>
      <c r="C1230" s="9"/>
      <c r="D1230" s="9"/>
      <c r="E1230" s="9"/>
      <c r="F1230" s="9"/>
      <c r="G1230" s="9"/>
      <c r="H1230" s="9"/>
      <c r="I1230" s="9"/>
      <c r="J1230" s="9"/>
      <c r="K1230" s="9"/>
      <c r="L1230" s="556"/>
      <c r="M1230" s="9"/>
      <c r="N1230" s="9"/>
      <c r="O1230" s="9"/>
      <c r="P1230" s="9"/>
      <c r="Q1230" s="9"/>
      <c r="R1230" s="9"/>
      <c r="S1230" s="9"/>
      <c r="T1230" s="9"/>
      <c r="U1230" s="9"/>
      <c r="V1230" s="9"/>
      <c r="W1230" s="9"/>
      <c r="X1230" s="589"/>
      <c r="Y1230" s="9"/>
      <c r="Z1230" s="204"/>
      <c r="AA1230" s="9"/>
      <c r="AB1230" s="9"/>
      <c r="AC1230" s="9"/>
      <c r="AD1230" s="9"/>
    </row>
    <row r="1231" ht="15.75" customHeight="1">
      <c r="A1231" s="9"/>
      <c r="B1231" s="9"/>
      <c r="C1231" s="9"/>
      <c r="D1231" s="9"/>
      <c r="E1231" s="9"/>
      <c r="F1231" s="9"/>
      <c r="G1231" s="9"/>
      <c r="H1231" s="9"/>
      <c r="I1231" s="9"/>
      <c r="J1231" s="9"/>
      <c r="K1231" s="9"/>
      <c r="L1231" s="556"/>
      <c r="M1231" s="9"/>
      <c r="N1231" s="9"/>
      <c r="O1231" s="9"/>
      <c r="P1231" s="9"/>
      <c r="Q1231" s="9"/>
      <c r="R1231" s="9"/>
      <c r="S1231" s="9"/>
      <c r="T1231" s="9"/>
      <c r="U1231" s="9"/>
      <c r="V1231" s="9"/>
      <c r="W1231" s="9"/>
      <c r="X1231" s="589"/>
      <c r="Y1231" s="9"/>
      <c r="Z1231" s="204"/>
      <c r="AA1231" s="9"/>
      <c r="AB1231" s="9"/>
      <c r="AC1231" s="9"/>
      <c r="AD1231" s="9"/>
    </row>
    <row r="1232" ht="15.75" customHeight="1">
      <c r="A1232" s="9"/>
      <c r="B1232" s="9"/>
      <c r="C1232" s="9"/>
      <c r="D1232" s="9"/>
      <c r="E1232" s="9"/>
      <c r="F1232" s="9"/>
      <c r="G1232" s="9"/>
      <c r="H1232" s="9"/>
      <c r="I1232" s="9"/>
      <c r="J1232" s="9"/>
      <c r="K1232" s="9"/>
      <c r="L1232" s="556"/>
      <c r="M1232" s="9"/>
      <c r="N1232" s="9"/>
      <c r="O1232" s="9"/>
      <c r="P1232" s="9"/>
      <c r="Q1232" s="9"/>
      <c r="R1232" s="9"/>
      <c r="S1232" s="9"/>
      <c r="T1232" s="9"/>
      <c r="U1232" s="9"/>
      <c r="V1232" s="9"/>
      <c r="W1232" s="9"/>
      <c r="X1232" s="589"/>
      <c r="Y1232" s="9"/>
      <c r="Z1232" s="204"/>
      <c r="AA1232" s="9"/>
      <c r="AB1232" s="9"/>
      <c r="AC1232" s="9"/>
      <c r="AD1232" s="9"/>
    </row>
    <row r="1233" ht="15.75" customHeight="1">
      <c r="A1233" s="9"/>
      <c r="B1233" s="9"/>
      <c r="C1233" s="9"/>
      <c r="D1233" s="9"/>
      <c r="E1233" s="9"/>
      <c r="F1233" s="9"/>
      <c r="G1233" s="9"/>
      <c r="H1233" s="9"/>
      <c r="I1233" s="9"/>
      <c r="J1233" s="9"/>
      <c r="K1233" s="9"/>
      <c r="L1233" s="556"/>
      <c r="M1233" s="9"/>
      <c r="N1233" s="9"/>
      <c r="O1233" s="9"/>
      <c r="P1233" s="9"/>
      <c r="Q1233" s="9"/>
      <c r="R1233" s="9"/>
      <c r="S1233" s="9"/>
      <c r="T1233" s="9"/>
      <c r="U1233" s="9"/>
      <c r="V1233" s="9"/>
      <c r="W1233" s="9"/>
      <c r="X1233" s="589"/>
      <c r="Y1233" s="9"/>
      <c r="Z1233" s="204"/>
      <c r="AA1233" s="9"/>
      <c r="AB1233" s="9"/>
      <c r="AC1233" s="9"/>
      <c r="AD1233" s="9"/>
    </row>
    <row r="1234" ht="15.75" customHeight="1">
      <c r="A1234" s="9"/>
      <c r="B1234" s="9"/>
      <c r="C1234" s="9"/>
      <c r="D1234" s="9"/>
      <c r="E1234" s="9"/>
      <c r="F1234" s="9"/>
      <c r="G1234" s="9"/>
      <c r="H1234" s="9"/>
      <c r="I1234" s="9"/>
      <c r="J1234" s="9"/>
      <c r="K1234" s="9"/>
      <c r="L1234" s="556"/>
      <c r="M1234" s="9"/>
      <c r="N1234" s="9"/>
      <c r="O1234" s="9"/>
      <c r="P1234" s="9"/>
      <c r="Q1234" s="9"/>
      <c r="R1234" s="9"/>
      <c r="S1234" s="9"/>
      <c r="T1234" s="9"/>
      <c r="U1234" s="9"/>
      <c r="V1234" s="9"/>
      <c r="W1234" s="9"/>
      <c r="X1234" s="589"/>
      <c r="Y1234" s="9"/>
      <c r="Z1234" s="204"/>
      <c r="AA1234" s="9"/>
      <c r="AB1234" s="9"/>
      <c r="AC1234" s="9"/>
      <c r="AD1234" s="9"/>
    </row>
    <row r="1235" ht="15.75" customHeight="1">
      <c r="A1235" s="9"/>
      <c r="B1235" s="9"/>
      <c r="C1235" s="9"/>
      <c r="D1235" s="9"/>
      <c r="E1235" s="9"/>
      <c r="F1235" s="9"/>
      <c r="G1235" s="9"/>
      <c r="H1235" s="9"/>
      <c r="I1235" s="9"/>
      <c r="J1235" s="9"/>
      <c r="K1235" s="9"/>
      <c r="L1235" s="556"/>
      <c r="M1235" s="9"/>
      <c r="N1235" s="9"/>
      <c r="O1235" s="9"/>
      <c r="P1235" s="9"/>
      <c r="Q1235" s="9"/>
      <c r="R1235" s="9"/>
      <c r="S1235" s="9"/>
      <c r="T1235" s="9"/>
      <c r="U1235" s="9"/>
      <c r="V1235" s="9"/>
      <c r="W1235" s="9"/>
      <c r="X1235" s="589"/>
      <c r="Y1235" s="9"/>
      <c r="Z1235" s="204"/>
      <c r="AA1235" s="9"/>
      <c r="AB1235" s="9"/>
      <c r="AC1235" s="9"/>
      <c r="AD1235" s="9"/>
    </row>
    <row r="1236" ht="15.75" customHeight="1">
      <c r="A1236" s="9"/>
      <c r="B1236" s="9"/>
      <c r="C1236" s="9"/>
      <c r="D1236" s="9"/>
      <c r="E1236" s="9"/>
      <c r="F1236" s="9"/>
      <c r="G1236" s="9"/>
      <c r="H1236" s="9"/>
      <c r="I1236" s="9"/>
      <c r="J1236" s="9"/>
      <c r="K1236" s="9"/>
      <c r="L1236" s="556"/>
      <c r="M1236" s="9"/>
      <c r="N1236" s="9"/>
      <c r="O1236" s="9"/>
      <c r="P1236" s="9"/>
      <c r="Q1236" s="9"/>
      <c r="R1236" s="9"/>
      <c r="S1236" s="9"/>
      <c r="T1236" s="9"/>
      <c r="U1236" s="9"/>
      <c r="V1236" s="9"/>
      <c r="W1236" s="9"/>
      <c r="X1236" s="589"/>
      <c r="Y1236" s="9"/>
      <c r="Z1236" s="204"/>
      <c r="AA1236" s="9"/>
      <c r="AB1236" s="9"/>
      <c r="AC1236" s="9"/>
      <c r="AD1236" s="9"/>
    </row>
    <row r="1237" ht="15.75" customHeight="1">
      <c r="A1237" s="9"/>
      <c r="B1237" s="9"/>
      <c r="C1237" s="9"/>
      <c r="D1237" s="9"/>
      <c r="E1237" s="9"/>
      <c r="F1237" s="9"/>
      <c r="G1237" s="9"/>
      <c r="H1237" s="9"/>
      <c r="I1237" s="9"/>
      <c r="J1237" s="9"/>
      <c r="K1237" s="9"/>
      <c r="L1237" s="556"/>
      <c r="M1237" s="9"/>
      <c r="N1237" s="9"/>
      <c r="O1237" s="9"/>
      <c r="P1237" s="9"/>
      <c r="Q1237" s="9"/>
      <c r="R1237" s="9"/>
      <c r="S1237" s="9"/>
      <c r="T1237" s="9"/>
      <c r="U1237" s="9"/>
      <c r="V1237" s="9"/>
      <c r="W1237" s="9"/>
      <c r="X1237" s="589"/>
      <c r="Y1237" s="9"/>
      <c r="Z1237" s="204"/>
      <c r="AA1237" s="9"/>
      <c r="AB1237" s="9"/>
      <c r="AC1237" s="9"/>
      <c r="AD1237" s="9"/>
    </row>
    <row r="1238" ht="15.75" customHeight="1">
      <c r="A1238" s="9"/>
      <c r="B1238" s="9"/>
      <c r="C1238" s="9"/>
      <c r="D1238" s="9"/>
      <c r="E1238" s="9"/>
      <c r="F1238" s="9"/>
      <c r="G1238" s="9"/>
      <c r="H1238" s="9"/>
      <c r="I1238" s="9"/>
      <c r="J1238" s="9"/>
      <c r="K1238" s="9"/>
      <c r="L1238" s="556"/>
      <c r="M1238" s="9"/>
      <c r="N1238" s="9"/>
      <c r="O1238" s="9"/>
      <c r="P1238" s="9"/>
      <c r="Q1238" s="9"/>
      <c r="R1238" s="9"/>
      <c r="S1238" s="9"/>
      <c r="T1238" s="9"/>
      <c r="U1238" s="9"/>
      <c r="V1238" s="9"/>
      <c r="W1238" s="9"/>
      <c r="X1238" s="589"/>
      <c r="Y1238" s="9"/>
      <c r="Z1238" s="204"/>
      <c r="AA1238" s="9"/>
      <c r="AB1238" s="9"/>
      <c r="AC1238" s="9"/>
      <c r="AD1238" s="9"/>
    </row>
    <row r="1239" ht="15.75" customHeight="1">
      <c r="A1239" s="9"/>
      <c r="B1239" s="9"/>
      <c r="C1239" s="9"/>
      <c r="D1239" s="9"/>
      <c r="E1239" s="9"/>
      <c r="F1239" s="9"/>
      <c r="G1239" s="9"/>
      <c r="H1239" s="9"/>
      <c r="I1239" s="9"/>
      <c r="J1239" s="9"/>
      <c r="K1239" s="9"/>
      <c r="L1239" s="556"/>
      <c r="M1239" s="9"/>
      <c r="N1239" s="9"/>
      <c r="O1239" s="9"/>
      <c r="P1239" s="9"/>
      <c r="Q1239" s="9"/>
      <c r="R1239" s="9"/>
      <c r="S1239" s="9"/>
      <c r="T1239" s="9"/>
      <c r="U1239" s="9"/>
      <c r="V1239" s="9"/>
      <c r="W1239" s="9"/>
      <c r="X1239" s="589"/>
      <c r="Y1239" s="9"/>
      <c r="Z1239" s="204"/>
      <c r="AA1239" s="9"/>
      <c r="AB1239" s="9"/>
      <c r="AC1239" s="9"/>
      <c r="AD1239" s="9"/>
    </row>
    <row r="1240" ht="15.75" customHeight="1">
      <c r="A1240" s="9"/>
      <c r="B1240" s="9"/>
      <c r="C1240" s="9"/>
      <c r="D1240" s="9"/>
      <c r="E1240" s="9"/>
      <c r="F1240" s="9"/>
      <c r="G1240" s="9"/>
      <c r="H1240" s="9"/>
      <c r="I1240" s="9"/>
      <c r="J1240" s="9"/>
      <c r="K1240" s="9"/>
      <c r="L1240" s="556"/>
      <c r="M1240" s="9"/>
      <c r="N1240" s="9"/>
      <c r="O1240" s="9"/>
      <c r="P1240" s="9"/>
      <c r="Q1240" s="9"/>
      <c r="R1240" s="9"/>
      <c r="S1240" s="9"/>
      <c r="T1240" s="9"/>
      <c r="U1240" s="9"/>
      <c r="V1240" s="9"/>
      <c r="W1240" s="9"/>
      <c r="X1240" s="589"/>
      <c r="Y1240" s="9"/>
      <c r="Z1240" s="204"/>
      <c r="AA1240" s="9"/>
      <c r="AB1240" s="9"/>
      <c r="AC1240" s="9"/>
      <c r="AD1240" s="9"/>
    </row>
    <row r="1241" ht="15.75" customHeight="1">
      <c r="A1241" s="9"/>
      <c r="B1241" s="9"/>
      <c r="C1241" s="9"/>
      <c r="D1241" s="9"/>
      <c r="E1241" s="9"/>
      <c r="F1241" s="9"/>
      <c r="G1241" s="9"/>
      <c r="H1241" s="9"/>
      <c r="I1241" s="9"/>
      <c r="J1241" s="9"/>
      <c r="K1241" s="9"/>
      <c r="L1241" s="556"/>
      <c r="M1241" s="9"/>
      <c r="N1241" s="9"/>
      <c r="O1241" s="9"/>
      <c r="P1241" s="9"/>
      <c r="Q1241" s="9"/>
      <c r="R1241" s="9"/>
      <c r="S1241" s="9"/>
      <c r="T1241" s="9"/>
      <c r="U1241" s="9"/>
      <c r="V1241" s="9"/>
      <c r="W1241" s="9"/>
      <c r="X1241" s="589"/>
      <c r="Y1241" s="9"/>
      <c r="Z1241" s="204"/>
      <c r="AA1241" s="9"/>
      <c r="AB1241" s="9"/>
      <c r="AC1241" s="9"/>
      <c r="AD1241" s="9"/>
    </row>
    <row r="1242" ht="15.75" customHeight="1">
      <c r="A1242" s="9"/>
      <c r="B1242" s="9"/>
      <c r="C1242" s="9"/>
      <c r="D1242" s="9"/>
      <c r="E1242" s="9"/>
      <c r="F1242" s="9"/>
      <c r="G1242" s="9"/>
      <c r="H1242" s="9"/>
      <c r="I1242" s="9"/>
      <c r="J1242" s="9"/>
      <c r="K1242" s="9"/>
      <c r="L1242" s="556"/>
      <c r="M1242" s="9"/>
      <c r="N1242" s="9"/>
      <c r="O1242" s="9"/>
      <c r="P1242" s="9"/>
      <c r="Q1242" s="9"/>
      <c r="R1242" s="9"/>
      <c r="S1242" s="9"/>
      <c r="T1242" s="9"/>
      <c r="U1242" s="9"/>
      <c r="V1242" s="9"/>
      <c r="W1242" s="9"/>
      <c r="X1242" s="589"/>
      <c r="Y1242" s="9"/>
      <c r="Z1242" s="204"/>
      <c r="AA1242" s="9"/>
      <c r="AB1242" s="9"/>
      <c r="AC1242" s="9"/>
      <c r="AD1242" s="9"/>
    </row>
    <row r="1243" ht="15.75" customHeight="1">
      <c r="A1243" s="9"/>
      <c r="B1243" s="9"/>
      <c r="C1243" s="9"/>
      <c r="D1243" s="9"/>
      <c r="E1243" s="9"/>
      <c r="F1243" s="9"/>
      <c r="G1243" s="9"/>
      <c r="H1243" s="9"/>
      <c r="I1243" s="9"/>
      <c r="J1243" s="9"/>
      <c r="K1243" s="9"/>
      <c r="L1243" s="556"/>
      <c r="M1243" s="9"/>
      <c r="N1243" s="9"/>
      <c r="O1243" s="9"/>
      <c r="P1243" s="9"/>
      <c r="Q1243" s="9"/>
      <c r="R1243" s="9"/>
      <c r="S1243" s="9"/>
      <c r="T1243" s="9"/>
      <c r="U1243" s="9"/>
      <c r="V1243" s="9"/>
      <c r="W1243" s="9"/>
      <c r="X1243" s="589"/>
      <c r="Y1243" s="9"/>
      <c r="Z1243" s="204"/>
      <c r="AA1243" s="9"/>
      <c r="AB1243" s="9"/>
      <c r="AC1243" s="9"/>
      <c r="AD1243" s="9"/>
    </row>
    <row r="1244" ht="15.75" customHeight="1">
      <c r="A1244" s="9"/>
      <c r="B1244" s="9"/>
      <c r="C1244" s="9"/>
      <c r="D1244" s="9"/>
      <c r="E1244" s="9"/>
      <c r="F1244" s="9"/>
      <c r="G1244" s="9"/>
      <c r="H1244" s="9"/>
      <c r="I1244" s="9"/>
      <c r="J1244" s="9"/>
      <c r="K1244" s="9"/>
      <c r="L1244" s="556"/>
      <c r="M1244" s="9"/>
      <c r="N1244" s="9"/>
      <c r="O1244" s="9"/>
      <c r="P1244" s="9"/>
      <c r="Q1244" s="9"/>
      <c r="R1244" s="9"/>
      <c r="S1244" s="9"/>
      <c r="T1244" s="9"/>
      <c r="U1244" s="9"/>
      <c r="V1244" s="9"/>
      <c r="W1244" s="9"/>
      <c r="X1244" s="589"/>
      <c r="Y1244" s="9"/>
      <c r="Z1244" s="204"/>
      <c r="AA1244" s="9"/>
      <c r="AB1244" s="9"/>
      <c r="AC1244" s="9"/>
      <c r="AD1244" s="9"/>
    </row>
    <row r="1245" ht="15.75" customHeight="1">
      <c r="A1245" s="9"/>
      <c r="B1245" s="9"/>
      <c r="C1245" s="9"/>
      <c r="D1245" s="9"/>
      <c r="E1245" s="9"/>
      <c r="F1245" s="9"/>
      <c r="G1245" s="9"/>
      <c r="H1245" s="9"/>
      <c r="I1245" s="9"/>
      <c r="J1245" s="9"/>
      <c r="K1245" s="9"/>
      <c r="L1245" s="556"/>
      <c r="M1245" s="9"/>
      <c r="N1245" s="9"/>
      <c r="O1245" s="9"/>
      <c r="P1245" s="9"/>
      <c r="Q1245" s="9"/>
      <c r="R1245" s="9"/>
      <c r="S1245" s="9"/>
      <c r="T1245" s="9"/>
      <c r="U1245" s="9"/>
      <c r="V1245" s="9"/>
      <c r="W1245" s="9"/>
      <c r="X1245" s="589"/>
      <c r="Y1245" s="9"/>
      <c r="Z1245" s="204"/>
      <c r="AA1245" s="9"/>
      <c r="AB1245" s="9"/>
      <c r="AC1245" s="9"/>
      <c r="AD1245" s="9"/>
    </row>
    <row r="1246" ht="15.75" customHeight="1">
      <c r="A1246" s="9"/>
      <c r="B1246" s="9"/>
      <c r="C1246" s="9"/>
      <c r="D1246" s="9"/>
      <c r="E1246" s="9"/>
      <c r="F1246" s="9"/>
      <c r="G1246" s="9"/>
      <c r="H1246" s="9"/>
      <c r="I1246" s="9"/>
      <c r="J1246" s="9"/>
      <c r="K1246" s="9"/>
      <c r="L1246" s="556"/>
      <c r="M1246" s="9"/>
      <c r="N1246" s="9"/>
      <c r="O1246" s="9"/>
      <c r="P1246" s="9"/>
      <c r="Q1246" s="9"/>
      <c r="R1246" s="9"/>
      <c r="S1246" s="9"/>
      <c r="T1246" s="9"/>
      <c r="U1246" s="9"/>
      <c r="V1246" s="9"/>
      <c r="W1246" s="9"/>
      <c r="X1246" s="589"/>
      <c r="Y1246" s="9"/>
      <c r="Z1246" s="204"/>
      <c r="AA1246" s="9"/>
      <c r="AB1246" s="9"/>
      <c r="AC1246" s="9"/>
      <c r="AD1246" s="9"/>
    </row>
    <row r="1247" ht="15.75" customHeight="1">
      <c r="A1247" s="9"/>
      <c r="B1247" s="9"/>
      <c r="C1247" s="9"/>
      <c r="D1247" s="9"/>
      <c r="E1247" s="9"/>
      <c r="F1247" s="9"/>
      <c r="G1247" s="9"/>
      <c r="H1247" s="9"/>
      <c r="I1247" s="9"/>
      <c r="J1247" s="9"/>
      <c r="K1247" s="9"/>
      <c r="L1247" s="556"/>
      <c r="M1247" s="9"/>
      <c r="N1247" s="9"/>
      <c r="O1247" s="9"/>
      <c r="P1247" s="9"/>
      <c r="Q1247" s="9"/>
      <c r="R1247" s="9"/>
      <c r="S1247" s="9"/>
      <c r="T1247" s="9"/>
      <c r="U1247" s="9"/>
      <c r="V1247" s="9"/>
      <c r="W1247" s="9"/>
      <c r="X1247" s="589"/>
      <c r="Y1247" s="9"/>
      <c r="Z1247" s="204"/>
      <c r="AA1247" s="9"/>
      <c r="AB1247" s="9"/>
      <c r="AC1247" s="9"/>
      <c r="AD1247" s="9"/>
    </row>
    <row r="1248" ht="15.75" customHeight="1">
      <c r="A1248" s="9"/>
      <c r="B1248" s="9"/>
      <c r="C1248" s="9"/>
      <c r="D1248" s="9"/>
      <c r="E1248" s="9"/>
      <c r="F1248" s="9"/>
      <c r="G1248" s="9"/>
      <c r="H1248" s="9"/>
      <c r="I1248" s="9"/>
      <c r="J1248" s="9"/>
      <c r="K1248" s="9"/>
      <c r="L1248" s="556"/>
      <c r="M1248" s="9"/>
      <c r="N1248" s="9"/>
      <c r="O1248" s="9"/>
      <c r="P1248" s="9"/>
      <c r="Q1248" s="9"/>
      <c r="R1248" s="9"/>
      <c r="S1248" s="9"/>
      <c r="T1248" s="9"/>
      <c r="U1248" s="9"/>
      <c r="V1248" s="9"/>
      <c r="W1248" s="9"/>
      <c r="X1248" s="589"/>
      <c r="Y1248" s="9"/>
      <c r="Z1248" s="204"/>
      <c r="AA1248" s="9"/>
      <c r="AB1248" s="9"/>
      <c r="AC1248" s="9"/>
      <c r="AD1248" s="9"/>
    </row>
    <row r="1249" ht="15.75" customHeight="1">
      <c r="A1249" s="9"/>
      <c r="B1249" s="9"/>
      <c r="C1249" s="9"/>
      <c r="D1249" s="9"/>
      <c r="E1249" s="9"/>
      <c r="F1249" s="9"/>
      <c r="G1249" s="9"/>
      <c r="H1249" s="9"/>
      <c r="I1249" s="9"/>
      <c r="J1249" s="9"/>
      <c r="K1249" s="9"/>
      <c r="L1249" s="556"/>
      <c r="M1249" s="9"/>
      <c r="N1249" s="9"/>
      <c r="O1249" s="9"/>
      <c r="P1249" s="9"/>
      <c r="Q1249" s="9"/>
      <c r="R1249" s="9"/>
      <c r="S1249" s="9"/>
      <c r="T1249" s="9"/>
      <c r="U1249" s="9"/>
      <c r="V1249" s="9"/>
      <c r="W1249" s="9"/>
      <c r="X1249" s="589"/>
      <c r="Y1249" s="9"/>
      <c r="Z1249" s="204"/>
      <c r="AA1249" s="9"/>
      <c r="AB1249" s="9"/>
      <c r="AC1249" s="9"/>
      <c r="AD1249" s="9"/>
    </row>
    <row r="1250" ht="15.75" customHeight="1">
      <c r="A1250" s="9"/>
      <c r="B1250" s="9"/>
      <c r="C1250" s="9"/>
      <c r="D1250" s="9"/>
      <c r="E1250" s="9"/>
      <c r="F1250" s="9"/>
      <c r="G1250" s="9"/>
      <c r="H1250" s="9"/>
      <c r="I1250" s="9"/>
      <c r="J1250" s="9"/>
      <c r="K1250" s="9"/>
      <c r="L1250" s="556"/>
      <c r="M1250" s="9"/>
      <c r="N1250" s="9"/>
      <c r="O1250" s="9"/>
      <c r="P1250" s="9"/>
      <c r="Q1250" s="9"/>
      <c r="R1250" s="9"/>
      <c r="S1250" s="9"/>
      <c r="T1250" s="9"/>
      <c r="U1250" s="9"/>
      <c r="V1250" s="9"/>
      <c r="W1250" s="9"/>
      <c r="X1250" s="589"/>
      <c r="Y1250" s="9"/>
      <c r="Z1250" s="204"/>
      <c r="AA1250" s="9"/>
      <c r="AB1250" s="9"/>
      <c r="AC1250" s="9"/>
      <c r="AD1250" s="9"/>
    </row>
    <row r="1251" ht="15.75" customHeight="1">
      <c r="A1251" s="9"/>
      <c r="B1251" s="9"/>
      <c r="C1251" s="9"/>
      <c r="D1251" s="9"/>
      <c r="E1251" s="9"/>
      <c r="F1251" s="9"/>
      <c r="G1251" s="9"/>
      <c r="H1251" s="9"/>
      <c r="I1251" s="9"/>
      <c r="J1251" s="9"/>
      <c r="K1251" s="9"/>
      <c r="L1251" s="556"/>
      <c r="M1251" s="9"/>
      <c r="N1251" s="9"/>
      <c r="O1251" s="9"/>
      <c r="P1251" s="9"/>
      <c r="Q1251" s="9"/>
      <c r="R1251" s="9"/>
      <c r="S1251" s="9"/>
      <c r="T1251" s="9"/>
      <c r="U1251" s="9"/>
      <c r="V1251" s="9"/>
      <c r="W1251" s="9"/>
      <c r="X1251" s="589"/>
      <c r="Y1251" s="9"/>
      <c r="Z1251" s="204"/>
      <c r="AA1251" s="9"/>
      <c r="AB1251" s="9"/>
      <c r="AC1251" s="9"/>
      <c r="AD1251" s="9"/>
    </row>
    <row r="1252" ht="15.75" customHeight="1">
      <c r="A1252" s="9"/>
      <c r="B1252" s="9"/>
      <c r="C1252" s="9"/>
      <c r="D1252" s="9"/>
      <c r="E1252" s="9"/>
      <c r="F1252" s="9"/>
      <c r="G1252" s="9"/>
      <c r="H1252" s="9"/>
      <c r="I1252" s="9"/>
      <c r="J1252" s="9"/>
      <c r="K1252" s="9"/>
      <c r="L1252" s="556"/>
      <c r="M1252" s="9"/>
      <c r="N1252" s="9"/>
      <c r="O1252" s="9"/>
      <c r="P1252" s="9"/>
      <c r="Q1252" s="9"/>
      <c r="R1252" s="9"/>
      <c r="S1252" s="9"/>
      <c r="T1252" s="9"/>
      <c r="U1252" s="9"/>
      <c r="V1252" s="9"/>
      <c r="W1252" s="9"/>
      <c r="X1252" s="589"/>
      <c r="Y1252" s="9"/>
      <c r="Z1252" s="204"/>
      <c r="AA1252" s="9"/>
      <c r="AB1252" s="9"/>
      <c r="AC1252" s="9"/>
      <c r="AD1252" s="9"/>
    </row>
    <row r="1253" ht="15.75" customHeight="1">
      <c r="A1253" s="9"/>
      <c r="B1253" s="9"/>
      <c r="C1253" s="9"/>
      <c r="D1253" s="9"/>
      <c r="E1253" s="9"/>
      <c r="F1253" s="9"/>
      <c r="G1253" s="9"/>
      <c r="H1253" s="9"/>
      <c r="I1253" s="9"/>
      <c r="J1253" s="9"/>
      <c r="K1253" s="9"/>
      <c r="L1253" s="556"/>
      <c r="M1253" s="9"/>
      <c r="N1253" s="9"/>
      <c r="O1253" s="9"/>
      <c r="P1253" s="9"/>
      <c r="Q1253" s="9"/>
      <c r="R1253" s="9"/>
      <c r="S1253" s="9"/>
      <c r="T1253" s="9"/>
      <c r="U1253" s="9"/>
      <c r="V1253" s="9"/>
      <c r="W1253" s="9"/>
      <c r="X1253" s="589"/>
      <c r="Y1253" s="9"/>
      <c r="Z1253" s="204"/>
      <c r="AA1253" s="9"/>
      <c r="AB1253" s="9"/>
      <c r="AC1253" s="9"/>
      <c r="AD1253" s="9"/>
    </row>
    <row r="1254" ht="15.75" customHeight="1">
      <c r="A1254" s="9"/>
      <c r="B1254" s="9"/>
      <c r="C1254" s="9"/>
      <c r="D1254" s="9"/>
      <c r="E1254" s="9"/>
      <c r="F1254" s="9"/>
      <c r="G1254" s="9"/>
      <c r="H1254" s="9"/>
      <c r="I1254" s="9"/>
      <c r="J1254" s="9"/>
      <c r="K1254" s="9"/>
      <c r="L1254" s="556"/>
      <c r="M1254" s="9"/>
      <c r="N1254" s="9"/>
      <c r="O1254" s="9"/>
      <c r="P1254" s="9"/>
      <c r="Q1254" s="9"/>
      <c r="R1254" s="9"/>
      <c r="S1254" s="9"/>
      <c r="T1254" s="9"/>
      <c r="U1254" s="9"/>
      <c r="V1254" s="9"/>
      <c r="W1254" s="9"/>
      <c r="X1254" s="589"/>
      <c r="Y1254" s="9"/>
      <c r="Z1254" s="204"/>
      <c r="AA1254" s="9"/>
      <c r="AB1254" s="9"/>
      <c r="AC1254" s="9"/>
      <c r="AD1254" s="9"/>
    </row>
    <row r="1255" ht="15.75" customHeight="1">
      <c r="A1255" s="9"/>
      <c r="B1255" s="9"/>
      <c r="C1255" s="9"/>
      <c r="D1255" s="9"/>
      <c r="E1255" s="9"/>
      <c r="F1255" s="9"/>
      <c r="G1255" s="9"/>
      <c r="H1255" s="9"/>
      <c r="I1255" s="9"/>
      <c r="J1255" s="9"/>
      <c r="K1255" s="9"/>
      <c r="L1255" s="556"/>
      <c r="M1255" s="9"/>
      <c r="N1255" s="9"/>
      <c r="O1255" s="9"/>
      <c r="P1255" s="9"/>
      <c r="Q1255" s="9"/>
      <c r="R1255" s="9"/>
      <c r="S1255" s="9"/>
      <c r="T1255" s="9"/>
      <c r="U1255" s="9"/>
      <c r="V1255" s="9"/>
      <c r="W1255" s="9"/>
      <c r="X1255" s="589"/>
      <c r="Y1255" s="9"/>
      <c r="Z1255" s="204"/>
      <c r="AA1255" s="9"/>
      <c r="AB1255" s="9"/>
      <c r="AC1255" s="9"/>
      <c r="AD1255" s="9"/>
    </row>
    <row r="1256" ht="15.75" customHeight="1">
      <c r="A1256" s="9"/>
      <c r="B1256" s="9"/>
      <c r="C1256" s="9"/>
      <c r="D1256" s="9"/>
      <c r="E1256" s="9"/>
      <c r="F1256" s="9"/>
      <c r="G1256" s="9"/>
      <c r="H1256" s="9"/>
      <c r="I1256" s="9"/>
      <c r="J1256" s="9"/>
      <c r="K1256" s="9"/>
      <c r="L1256" s="556"/>
      <c r="M1256" s="9"/>
      <c r="N1256" s="9"/>
      <c r="O1256" s="9"/>
      <c r="P1256" s="9"/>
      <c r="Q1256" s="9"/>
      <c r="R1256" s="9"/>
      <c r="S1256" s="9"/>
      <c r="T1256" s="9"/>
      <c r="U1256" s="9"/>
      <c r="V1256" s="9"/>
      <c r="W1256" s="9"/>
      <c r="X1256" s="589"/>
      <c r="Y1256" s="9"/>
      <c r="Z1256" s="204"/>
      <c r="AA1256" s="9"/>
      <c r="AB1256" s="9"/>
      <c r="AC1256" s="9"/>
      <c r="AD1256" s="9"/>
    </row>
    <row r="1257" ht="15.75" customHeight="1">
      <c r="A1257" s="9"/>
      <c r="B1257" s="9"/>
      <c r="C1257" s="9"/>
      <c r="D1257" s="9"/>
      <c r="E1257" s="9"/>
      <c r="F1257" s="9"/>
      <c r="G1257" s="9"/>
      <c r="H1257" s="9"/>
      <c r="I1257" s="9"/>
      <c r="J1257" s="9"/>
      <c r="K1257" s="9"/>
      <c r="L1257" s="556"/>
      <c r="M1257" s="9"/>
      <c r="N1257" s="9"/>
      <c r="O1257" s="9"/>
      <c r="P1257" s="9"/>
      <c r="Q1257" s="9"/>
      <c r="R1257" s="9"/>
      <c r="S1257" s="9"/>
      <c r="T1257" s="9"/>
      <c r="U1257" s="9"/>
      <c r="V1257" s="9"/>
      <c r="W1257" s="9"/>
      <c r="X1257" s="589"/>
      <c r="Y1257" s="9"/>
      <c r="Z1257" s="204"/>
      <c r="AA1257" s="9"/>
      <c r="AB1257" s="9"/>
      <c r="AC1257" s="9"/>
      <c r="AD1257" s="9"/>
    </row>
    <row r="1258" ht="15.75" customHeight="1">
      <c r="A1258" s="9"/>
      <c r="B1258" s="9"/>
      <c r="C1258" s="9"/>
      <c r="D1258" s="9"/>
      <c r="E1258" s="9"/>
      <c r="F1258" s="9"/>
      <c r="G1258" s="9"/>
      <c r="H1258" s="9"/>
      <c r="I1258" s="9"/>
      <c r="J1258" s="9"/>
      <c r="K1258" s="9"/>
      <c r="L1258" s="556"/>
      <c r="M1258" s="9"/>
      <c r="N1258" s="9"/>
      <c r="O1258" s="9"/>
      <c r="P1258" s="9"/>
      <c r="Q1258" s="9"/>
      <c r="R1258" s="9"/>
      <c r="S1258" s="9"/>
      <c r="T1258" s="9"/>
      <c r="U1258" s="9"/>
      <c r="V1258" s="9"/>
      <c r="W1258" s="9"/>
      <c r="X1258" s="589"/>
      <c r="Y1258" s="9"/>
      <c r="Z1258" s="204"/>
      <c r="AA1258" s="9"/>
      <c r="AB1258" s="9"/>
      <c r="AC1258" s="9"/>
      <c r="AD1258" s="9"/>
    </row>
    <row r="1259" ht="15.75" customHeight="1">
      <c r="A1259" s="9"/>
      <c r="B1259" s="9"/>
      <c r="C1259" s="9"/>
      <c r="D1259" s="9"/>
      <c r="E1259" s="9"/>
      <c r="F1259" s="9"/>
      <c r="G1259" s="9"/>
      <c r="H1259" s="9"/>
      <c r="I1259" s="9"/>
      <c r="J1259" s="9"/>
      <c r="K1259" s="9"/>
      <c r="L1259" s="556"/>
      <c r="M1259" s="9"/>
      <c r="N1259" s="9"/>
      <c r="O1259" s="9"/>
      <c r="P1259" s="9"/>
      <c r="Q1259" s="9"/>
      <c r="R1259" s="9"/>
      <c r="S1259" s="9"/>
      <c r="T1259" s="9"/>
      <c r="U1259" s="9"/>
      <c r="V1259" s="9"/>
      <c r="W1259" s="9"/>
      <c r="X1259" s="589"/>
      <c r="Y1259" s="9"/>
      <c r="Z1259" s="204"/>
      <c r="AA1259" s="9"/>
      <c r="AB1259" s="9"/>
      <c r="AC1259" s="9"/>
      <c r="AD1259" s="9"/>
    </row>
    <row r="1260" ht="15.75" customHeight="1">
      <c r="A1260" s="9"/>
      <c r="B1260" s="9"/>
      <c r="C1260" s="9"/>
      <c r="D1260" s="9"/>
      <c r="E1260" s="9"/>
      <c r="F1260" s="9"/>
      <c r="G1260" s="9"/>
      <c r="H1260" s="9"/>
      <c r="I1260" s="9"/>
      <c r="J1260" s="9"/>
      <c r="K1260" s="9"/>
      <c r="L1260" s="556"/>
      <c r="M1260" s="9"/>
      <c r="N1260" s="9"/>
      <c r="O1260" s="9"/>
      <c r="P1260" s="9"/>
      <c r="Q1260" s="9"/>
      <c r="R1260" s="9"/>
      <c r="S1260" s="9"/>
      <c r="T1260" s="9"/>
      <c r="U1260" s="9"/>
      <c r="V1260" s="9"/>
      <c r="W1260" s="9"/>
      <c r="X1260" s="589"/>
      <c r="Y1260" s="9"/>
      <c r="Z1260" s="204"/>
      <c r="AA1260" s="9"/>
      <c r="AB1260" s="9"/>
      <c r="AC1260" s="9"/>
      <c r="AD1260" s="9"/>
    </row>
    <row r="1261" ht="15.75" customHeight="1">
      <c r="A1261" s="9"/>
      <c r="B1261" s="9"/>
      <c r="C1261" s="9"/>
      <c r="D1261" s="9"/>
      <c r="E1261" s="9"/>
      <c r="F1261" s="9"/>
      <c r="G1261" s="9"/>
      <c r="H1261" s="9"/>
      <c r="I1261" s="9"/>
      <c r="J1261" s="9"/>
      <c r="K1261" s="9"/>
      <c r="L1261" s="556"/>
      <c r="M1261" s="9"/>
      <c r="N1261" s="9"/>
      <c r="O1261" s="9"/>
      <c r="P1261" s="9"/>
      <c r="Q1261" s="9"/>
      <c r="R1261" s="9"/>
      <c r="S1261" s="9"/>
      <c r="T1261" s="9"/>
      <c r="U1261" s="9"/>
      <c r="V1261" s="9"/>
      <c r="W1261" s="9"/>
      <c r="X1261" s="589"/>
      <c r="Y1261" s="9"/>
      <c r="Z1261" s="204"/>
      <c r="AA1261" s="9"/>
      <c r="AB1261" s="9"/>
      <c r="AC1261" s="9"/>
      <c r="AD1261" s="9"/>
    </row>
    <row r="1262" ht="15.75" customHeight="1">
      <c r="A1262" s="9"/>
      <c r="B1262" s="9"/>
      <c r="C1262" s="9"/>
      <c r="D1262" s="9"/>
      <c r="E1262" s="9"/>
      <c r="F1262" s="9"/>
      <c r="G1262" s="9"/>
      <c r="H1262" s="9"/>
      <c r="I1262" s="9"/>
      <c r="J1262" s="9"/>
      <c r="K1262" s="9"/>
      <c r="L1262" s="556"/>
      <c r="M1262" s="9"/>
      <c r="N1262" s="9"/>
      <c r="O1262" s="9"/>
      <c r="P1262" s="9"/>
      <c r="Q1262" s="9"/>
      <c r="R1262" s="9"/>
      <c r="S1262" s="9"/>
      <c r="T1262" s="9"/>
      <c r="U1262" s="9"/>
      <c r="V1262" s="9"/>
      <c r="W1262" s="9"/>
      <c r="X1262" s="589"/>
      <c r="Y1262" s="9"/>
      <c r="Z1262" s="204"/>
      <c r="AA1262" s="9"/>
      <c r="AB1262" s="9"/>
      <c r="AC1262" s="9"/>
      <c r="AD1262" s="9"/>
    </row>
    <row r="1263" ht="15.75" customHeight="1">
      <c r="A1263" s="9"/>
      <c r="B1263" s="9"/>
      <c r="C1263" s="9"/>
      <c r="D1263" s="9"/>
      <c r="E1263" s="9"/>
      <c r="F1263" s="9"/>
      <c r="G1263" s="9"/>
      <c r="H1263" s="9"/>
      <c r="I1263" s="9"/>
      <c r="J1263" s="9"/>
      <c r="K1263" s="9"/>
      <c r="L1263" s="556"/>
      <c r="M1263" s="9"/>
      <c r="N1263" s="9"/>
      <c r="O1263" s="9"/>
      <c r="P1263" s="9"/>
      <c r="Q1263" s="9"/>
      <c r="R1263" s="9"/>
      <c r="S1263" s="9"/>
      <c r="T1263" s="9"/>
      <c r="U1263" s="9"/>
      <c r="V1263" s="9"/>
      <c r="W1263" s="9"/>
      <c r="X1263" s="589"/>
      <c r="Y1263" s="9"/>
      <c r="Z1263" s="204"/>
      <c r="AA1263" s="9"/>
      <c r="AB1263" s="9"/>
      <c r="AC1263" s="9"/>
      <c r="AD1263" s="9"/>
    </row>
    <row r="1264" ht="15.75" customHeight="1">
      <c r="A1264" s="9"/>
      <c r="B1264" s="9"/>
      <c r="C1264" s="9"/>
      <c r="D1264" s="9"/>
      <c r="E1264" s="9"/>
      <c r="F1264" s="9"/>
      <c r="G1264" s="9"/>
      <c r="H1264" s="9"/>
      <c r="I1264" s="9"/>
      <c r="J1264" s="9"/>
      <c r="K1264" s="9"/>
      <c r="L1264" s="556"/>
      <c r="M1264" s="9"/>
      <c r="N1264" s="9"/>
      <c r="O1264" s="9"/>
      <c r="P1264" s="9"/>
      <c r="Q1264" s="9"/>
      <c r="R1264" s="9"/>
      <c r="S1264" s="9"/>
      <c r="T1264" s="9"/>
      <c r="U1264" s="9"/>
      <c r="V1264" s="9"/>
      <c r="W1264" s="9"/>
      <c r="X1264" s="589"/>
      <c r="Y1264" s="9"/>
      <c r="Z1264" s="204"/>
      <c r="AA1264" s="9"/>
      <c r="AB1264" s="9"/>
      <c r="AC1264" s="9"/>
      <c r="AD1264" s="9"/>
    </row>
    <row r="1265" ht="15.75" customHeight="1">
      <c r="A1265" s="9"/>
      <c r="B1265" s="9"/>
      <c r="C1265" s="9"/>
      <c r="D1265" s="9"/>
      <c r="E1265" s="9"/>
      <c r="F1265" s="9"/>
      <c r="G1265" s="9"/>
      <c r="H1265" s="9"/>
      <c r="I1265" s="9"/>
      <c r="J1265" s="9"/>
      <c r="K1265" s="9"/>
      <c r="L1265" s="556"/>
      <c r="M1265" s="9"/>
      <c r="N1265" s="9"/>
      <c r="O1265" s="9"/>
      <c r="P1265" s="9"/>
      <c r="Q1265" s="9"/>
      <c r="R1265" s="9"/>
      <c r="S1265" s="9"/>
      <c r="T1265" s="9"/>
      <c r="U1265" s="9"/>
      <c r="V1265" s="9"/>
      <c r="W1265" s="9"/>
      <c r="X1265" s="589"/>
      <c r="Y1265" s="9"/>
      <c r="Z1265" s="204"/>
      <c r="AA1265" s="9"/>
      <c r="AB1265" s="9"/>
      <c r="AC1265" s="9"/>
      <c r="AD1265" s="9"/>
    </row>
    <row r="1266" ht="15.75" customHeight="1">
      <c r="A1266" s="9"/>
      <c r="B1266" s="9"/>
      <c r="C1266" s="9"/>
      <c r="D1266" s="9"/>
      <c r="E1266" s="9"/>
      <c r="F1266" s="9"/>
      <c r="G1266" s="9"/>
      <c r="H1266" s="9"/>
      <c r="I1266" s="9"/>
      <c r="J1266" s="9"/>
      <c r="K1266" s="9"/>
      <c r="L1266" s="556"/>
      <c r="M1266" s="9"/>
      <c r="N1266" s="9"/>
      <c r="O1266" s="9"/>
      <c r="P1266" s="9"/>
      <c r="Q1266" s="9"/>
      <c r="R1266" s="9"/>
      <c r="S1266" s="9"/>
      <c r="T1266" s="9"/>
      <c r="U1266" s="9"/>
      <c r="V1266" s="9"/>
      <c r="W1266" s="9"/>
      <c r="X1266" s="589"/>
      <c r="Y1266" s="9"/>
      <c r="Z1266" s="204"/>
      <c r="AA1266" s="9"/>
      <c r="AB1266" s="9"/>
      <c r="AC1266" s="9"/>
      <c r="AD1266" s="9"/>
    </row>
    <row r="1267" ht="15.75" customHeight="1">
      <c r="A1267" s="9"/>
      <c r="B1267" s="9"/>
      <c r="C1267" s="9"/>
      <c r="D1267" s="9"/>
      <c r="E1267" s="9"/>
      <c r="F1267" s="9"/>
      <c r="G1267" s="9"/>
      <c r="H1267" s="9"/>
      <c r="I1267" s="9"/>
      <c r="J1267" s="9"/>
      <c r="K1267" s="9"/>
      <c r="L1267" s="556"/>
      <c r="M1267" s="9"/>
      <c r="N1267" s="9"/>
      <c r="O1267" s="9"/>
      <c r="P1267" s="9"/>
      <c r="Q1267" s="9"/>
      <c r="R1267" s="9"/>
      <c r="S1267" s="9"/>
      <c r="T1267" s="9"/>
      <c r="U1267" s="9"/>
      <c r="V1267" s="9"/>
      <c r="W1267" s="9"/>
      <c r="X1267" s="589"/>
      <c r="Y1267" s="9"/>
      <c r="Z1267" s="204"/>
      <c r="AA1267" s="9"/>
      <c r="AB1267" s="9"/>
      <c r="AC1267" s="9"/>
      <c r="AD1267" s="9"/>
    </row>
    <row r="1268" ht="15.75" customHeight="1">
      <c r="A1268" s="9"/>
      <c r="B1268" s="9"/>
      <c r="C1268" s="9"/>
      <c r="D1268" s="9"/>
      <c r="E1268" s="9"/>
      <c r="F1268" s="9"/>
      <c r="G1268" s="9"/>
      <c r="H1268" s="9"/>
      <c r="I1268" s="9"/>
      <c r="J1268" s="9"/>
      <c r="K1268" s="9"/>
      <c r="L1268" s="556"/>
      <c r="M1268" s="9"/>
      <c r="N1268" s="9"/>
      <c r="O1268" s="9"/>
      <c r="P1268" s="9"/>
      <c r="Q1268" s="9"/>
      <c r="R1268" s="9"/>
      <c r="S1268" s="9"/>
      <c r="T1268" s="9"/>
      <c r="U1268" s="9"/>
      <c r="V1268" s="9"/>
      <c r="W1268" s="9"/>
      <c r="X1268" s="589"/>
      <c r="Y1268" s="9"/>
      <c r="Z1268" s="204"/>
      <c r="AA1268" s="9"/>
      <c r="AB1268" s="9"/>
      <c r="AC1268" s="9"/>
      <c r="AD1268" s="9"/>
    </row>
    <row r="1269" ht="15.75" customHeight="1">
      <c r="A1269" s="9"/>
      <c r="B1269" s="9"/>
      <c r="C1269" s="9"/>
      <c r="D1269" s="9"/>
      <c r="E1269" s="9"/>
      <c r="F1269" s="9"/>
      <c r="G1269" s="9"/>
      <c r="H1269" s="9"/>
      <c r="I1269" s="9"/>
      <c r="J1269" s="9"/>
      <c r="K1269" s="9"/>
      <c r="L1269" s="556"/>
      <c r="M1269" s="9"/>
      <c r="N1269" s="9"/>
      <c r="O1269" s="9"/>
      <c r="P1269" s="9"/>
      <c r="Q1269" s="9"/>
      <c r="R1269" s="9"/>
      <c r="S1269" s="9"/>
      <c r="T1269" s="9"/>
      <c r="U1269" s="9"/>
      <c r="V1269" s="9"/>
      <c r="W1269" s="9"/>
      <c r="X1269" s="589"/>
      <c r="Y1269" s="9"/>
      <c r="Z1269" s="204"/>
      <c r="AA1269" s="9"/>
      <c r="AB1269" s="9"/>
      <c r="AC1269" s="9"/>
      <c r="AD1269" s="9"/>
    </row>
    <row r="1270" ht="15.75" customHeight="1">
      <c r="A1270" s="9"/>
      <c r="B1270" s="9"/>
      <c r="C1270" s="9"/>
      <c r="D1270" s="9"/>
      <c r="E1270" s="9"/>
      <c r="F1270" s="9"/>
      <c r="G1270" s="9"/>
      <c r="H1270" s="9"/>
      <c r="I1270" s="9"/>
      <c r="J1270" s="9"/>
      <c r="K1270" s="9"/>
      <c r="L1270" s="556"/>
      <c r="M1270" s="9"/>
      <c r="N1270" s="9"/>
      <c r="O1270" s="9"/>
      <c r="P1270" s="9"/>
      <c r="Q1270" s="9"/>
      <c r="R1270" s="9"/>
      <c r="S1270" s="9"/>
      <c r="T1270" s="9"/>
      <c r="U1270" s="9"/>
      <c r="V1270" s="9"/>
      <c r="W1270" s="9"/>
      <c r="X1270" s="589"/>
      <c r="Y1270" s="9"/>
      <c r="Z1270" s="204"/>
      <c r="AA1270" s="9"/>
      <c r="AB1270" s="9"/>
      <c r="AC1270" s="9"/>
      <c r="AD1270" s="9"/>
    </row>
    <row r="1271" ht="15.75" customHeight="1">
      <c r="A1271" s="9"/>
      <c r="B1271" s="9"/>
      <c r="C1271" s="9"/>
      <c r="D1271" s="9"/>
      <c r="E1271" s="9"/>
      <c r="F1271" s="9"/>
      <c r="G1271" s="9"/>
      <c r="H1271" s="9"/>
      <c r="I1271" s="9"/>
      <c r="J1271" s="9"/>
      <c r="K1271" s="9"/>
      <c r="L1271" s="556"/>
      <c r="M1271" s="9"/>
      <c r="N1271" s="9"/>
      <c r="O1271" s="9"/>
      <c r="P1271" s="9"/>
      <c r="Q1271" s="9"/>
      <c r="R1271" s="9"/>
      <c r="S1271" s="9"/>
      <c r="T1271" s="9"/>
      <c r="U1271" s="9"/>
      <c r="V1271" s="9"/>
      <c r="W1271" s="9"/>
      <c r="X1271" s="589"/>
      <c r="Y1271" s="9"/>
      <c r="Z1271" s="204"/>
      <c r="AA1271" s="9"/>
      <c r="AB1271" s="9"/>
      <c r="AC1271" s="9"/>
      <c r="AD1271" s="9"/>
    </row>
    <row r="1272" ht="15.75" customHeight="1">
      <c r="A1272" s="9"/>
      <c r="B1272" s="9"/>
      <c r="C1272" s="9"/>
      <c r="D1272" s="9"/>
      <c r="E1272" s="9"/>
      <c r="F1272" s="9"/>
      <c r="G1272" s="9"/>
      <c r="H1272" s="9"/>
      <c r="I1272" s="9"/>
      <c r="J1272" s="9"/>
      <c r="K1272" s="9"/>
      <c r="L1272" s="556"/>
      <c r="M1272" s="9"/>
      <c r="N1272" s="9"/>
      <c r="O1272" s="9"/>
      <c r="P1272" s="9"/>
      <c r="Q1272" s="9"/>
      <c r="R1272" s="9"/>
      <c r="S1272" s="9"/>
      <c r="T1272" s="9"/>
      <c r="U1272" s="9"/>
      <c r="V1272" s="9"/>
      <c r="W1272" s="9"/>
      <c r="X1272" s="589"/>
      <c r="Y1272" s="9"/>
      <c r="Z1272" s="204"/>
      <c r="AA1272" s="9"/>
      <c r="AB1272" s="9"/>
      <c r="AC1272" s="9"/>
      <c r="AD1272" s="9"/>
    </row>
    <row r="1273" ht="15.75" customHeight="1">
      <c r="A1273" s="9"/>
      <c r="B1273" s="9"/>
      <c r="C1273" s="9"/>
      <c r="D1273" s="9"/>
      <c r="E1273" s="9"/>
      <c r="F1273" s="9"/>
      <c r="G1273" s="9"/>
      <c r="H1273" s="9"/>
      <c r="I1273" s="9"/>
      <c r="J1273" s="9"/>
      <c r="K1273" s="9"/>
      <c r="L1273" s="556"/>
      <c r="M1273" s="9"/>
      <c r="N1273" s="9"/>
      <c r="O1273" s="9"/>
      <c r="P1273" s="9"/>
      <c r="Q1273" s="9"/>
      <c r="R1273" s="9"/>
      <c r="S1273" s="9"/>
      <c r="T1273" s="9"/>
      <c r="U1273" s="9"/>
      <c r="V1273" s="9"/>
      <c r="W1273" s="9"/>
      <c r="X1273" s="589"/>
      <c r="Y1273" s="9"/>
      <c r="Z1273" s="204"/>
      <c r="AA1273" s="9"/>
      <c r="AB1273" s="9"/>
      <c r="AC1273" s="9"/>
      <c r="AD1273" s="9"/>
    </row>
    <row r="1274" ht="15.75" customHeight="1">
      <c r="A1274" s="9"/>
      <c r="B1274" s="9"/>
      <c r="C1274" s="9"/>
      <c r="D1274" s="9"/>
      <c r="E1274" s="9"/>
      <c r="F1274" s="9"/>
      <c r="G1274" s="9"/>
      <c r="H1274" s="9"/>
      <c r="I1274" s="9"/>
      <c r="J1274" s="9"/>
      <c r="K1274" s="9"/>
      <c r="L1274" s="556"/>
      <c r="M1274" s="9"/>
      <c r="N1274" s="9"/>
      <c r="O1274" s="9"/>
      <c r="P1274" s="9"/>
      <c r="Q1274" s="9"/>
      <c r="R1274" s="9"/>
      <c r="S1274" s="9"/>
      <c r="T1274" s="9"/>
      <c r="U1274" s="9"/>
      <c r="V1274" s="9"/>
      <c r="W1274" s="9"/>
      <c r="X1274" s="589"/>
      <c r="Y1274" s="9"/>
      <c r="Z1274" s="204"/>
      <c r="AA1274" s="9"/>
      <c r="AB1274" s="9"/>
      <c r="AC1274" s="9"/>
      <c r="AD1274" s="9"/>
    </row>
    <row r="1275" ht="15.75" customHeight="1">
      <c r="A1275" s="9"/>
      <c r="B1275" s="9"/>
      <c r="C1275" s="9"/>
      <c r="D1275" s="9"/>
      <c r="E1275" s="9"/>
      <c r="F1275" s="9"/>
      <c r="G1275" s="9"/>
      <c r="H1275" s="9"/>
      <c r="I1275" s="9"/>
      <c r="J1275" s="9"/>
      <c r="K1275" s="9"/>
      <c r="L1275" s="556"/>
      <c r="M1275" s="9"/>
      <c r="N1275" s="9"/>
      <c r="O1275" s="9"/>
      <c r="P1275" s="9"/>
      <c r="Q1275" s="9"/>
      <c r="R1275" s="9"/>
      <c r="S1275" s="9"/>
      <c r="T1275" s="9"/>
      <c r="U1275" s="9"/>
      <c r="V1275" s="9"/>
      <c r="W1275" s="9"/>
      <c r="X1275" s="589"/>
      <c r="Y1275" s="9"/>
      <c r="Z1275" s="204"/>
      <c r="AA1275" s="9"/>
      <c r="AB1275" s="9"/>
      <c r="AC1275" s="9"/>
      <c r="AD1275" s="9"/>
    </row>
    <row r="1276" ht="15.75" customHeight="1">
      <c r="A1276" s="9"/>
      <c r="B1276" s="9"/>
      <c r="C1276" s="9"/>
      <c r="D1276" s="9"/>
      <c r="E1276" s="9"/>
      <c r="F1276" s="9"/>
      <c r="G1276" s="9"/>
      <c r="H1276" s="9"/>
      <c r="I1276" s="9"/>
      <c r="J1276" s="9"/>
      <c r="K1276" s="9"/>
      <c r="L1276" s="556"/>
      <c r="M1276" s="9"/>
      <c r="N1276" s="9"/>
      <c r="O1276" s="9"/>
      <c r="P1276" s="9"/>
      <c r="Q1276" s="9"/>
      <c r="R1276" s="9"/>
      <c r="S1276" s="9"/>
      <c r="T1276" s="9"/>
      <c r="U1276" s="9"/>
      <c r="V1276" s="9"/>
      <c r="W1276" s="9"/>
      <c r="X1276" s="589"/>
      <c r="Y1276" s="9"/>
      <c r="Z1276" s="204"/>
      <c r="AA1276" s="9"/>
      <c r="AB1276" s="9"/>
      <c r="AC1276" s="9"/>
      <c r="AD1276" s="9"/>
    </row>
    <row r="1277" ht="15.75" customHeight="1">
      <c r="A1277" s="9"/>
      <c r="B1277" s="9"/>
      <c r="C1277" s="9"/>
      <c r="D1277" s="9"/>
      <c r="E1277" s="9"/>
      <c r="F1277" s="9"/>
      <c r="G1277" s="9"/>
      <c r="H1277" s="9"/>
      <c r="I1277" s="9"/>
      <c r="J1277" s="9"/>
      <c r="K1277" s="9"/>
      <c r="L1277" s="556"/>
      <c r="M1277" s="9"/>
      <c r="N1277" s="9"/>
      <c r="O1277" s="9"/>
      <c r="P1277" s="9"/>
      <c r="Q1277" s="9"/>
      <c r="R1277" s="9"/>
      <c r="S1277" s="9"/>
      <c r="T1277" s="9"/>
      <c r="U1277" s="9"/>
      <c r="V1277" s="9"/>
      <c r="W1277" s="9"/>
      <c r="X1277" s="589"/>
      <c r="Y1277" s="9"/>
      <c r="Z1277" s="204"/>
      <c r="AA1277" s="9"/>
      <c r="AB1277" s="9"/>
      <c r="AC1277" s="9"/>
      <c r="AD1277" s="9"/>
    </row>
    <row r="1278" ht="15.75" customHeight="1">
      <c r="A1278" s="9"/>
      <c r="B1278" s="9"/>
      <c r="C1278" s="9"/>
      <c r="D1278" s="9"/>
      <c r="E1278" s="9"/>
      <c r="F1278" s="9"/>
      <c r="G1278" s="9"/>
      <c r="H1278" s="9"/>
      <c r="I1278" s="9"/>
      <c r="J1278" s="9"/>
      <c r="K1278" s="9"/>
      <c r="L1278" s="556"/>
      <c r="M1278" s="9"/>
      <c r="N1278" s="9"/>
      <c r="O1278" s="9"/>
      <c r="P1278" s="9"/>
      <c r="Q1278" s="9"/>
      <c r="R1278" s="9"/>
      <c r="S1278" s="9"/>
      <c r="T1278" s="9"/>
      <c r="U1278" s="9"/>
      <c r="V1278" s="9"/>
      <c r="W1278" s="9"/>
      <c r="X1278" s="589"/>
      <c r="Y1278" s="9"/>
      <c r="Z1278" s="204"/>
      <c r="AA1278" s="9"/>
      <c r="AB1278" s="9"/>
      <c r="AC1278" s="9"/>
      <c r="AD1278" s="9"/>
    </row>
    <row r="1279" ht="15.75" customHeight="1">
      <c r="A1279" s="9"/>
      <c r="B1279" s="9"/>
      <c r="C1279" s="9"/>
      <c r="D1279" s="9"/>
      <c r="E1279" s="9"/>
      <c r="F1279" s="9"/>
      <c r="G1279" s="9"/>
      <c r="H1279" s="9"/>
      <c r="I1279" s="9"/>
      <c r="J1279" s="9"/>
      <c r="K1279" s="9"/>
      <c r="L1279" s="556"/>
      <c r="M1279" s="9"/>
      <c r="N1279" s="9"/>
      <c r="O1279" s="9"/>
      <c r="P1279" s="9"/>
      <c r="Q1279" s="9"/>
      <c r="R1279" s="9"/>
      <c r="S1279" s="9"/>
      <c r="T1279" s="9"/>
      <c r="U1279" s="9"/>
      <c r="V1279" s="9"/>
      <c r="W1279" s="9"/>
      <c r="X1279" s="589"/>
      <c r="Y1279" s="9"/>
      <c r="Z1279" s="204"/>
      <c r="AA1279" s="9"/>
      <c r="AB1279" s="9"/>
      <c r="AC1279" s="9"/>
      <c r="AD1279" s="9"/>
    </row>
    <row r="1280" ht="15.75" customHeight="1">
      <c r="A1280" s="9"/>
      <c r="B1280" s="9"/>
      <c r="C1280" s="9"/>
      <c r="D1280" s="9"/>
      <c r="E1280" s="9"/>
      <c r="F1280" s="9"/>
      <c r="G1280" s="9"/>
      <c r="H1280" s="9"/>
      <c r="I1280" s="9"/>
      <c r="J1280" s="9"/>
      <c r="K1280" s="9"/>
      <c r="L1280" s="556"/>
      <c r="M1280" s="9"/>
      <c r="N1280" s="9"/>
      <c r="O1280" s="9"/>
      <c r="P1280" s="9"/>
      <c r="Q1280" s="9"/>
      <c r="R1280" s="9"/>
      <c r="S1280" s="9"/>
      <c r="T1280" s="9"/>
      <c r="U1280" s="9"/>
      <c r="V1280" s="9"/>
      <c r="W1280" s="9"/>
      <c r="X1280" s="589"/>
      <c r="Y1280" s="9"/>
      <c r="Z1280" s="204"/>
      <c r="AA1280" s="9"/>
      <c r="AB1280" s="9"/>
      <c r="AC1280" s="9"/>
      <c r="AD1280" s="9"/>
    </row>
    <row r="1281" ht="15.75" customHeight="1">
      <c r="A1281" s="9"/>
      <c r="B1281" s="9"/>
      <c r="C1281" s="9"/>
      <c r="D1281" s="9"/>
      <c r="E1281" s="9"/>
      <c r="F1281" s="9"/>
      <c r="G1281" s="9"/>
      <c r="H1281" s="9"/>
      <c r="I1281" s="9"/>
      <c r="J1281" s="9"/>
      <c r="K1281" s="9"/>
      <c r="L1281" s="556"/>
      <c r="M1281" s="9"/>
      <c r="N1281" s="9"/>
      <c r="O1281" s="9"/>
      <c r="P1281" s="9"/>
      <c r="Q1281" s="9"/>
      <c r="R1281" s="9"/>
      <c r="S1281" s="9"/>
      <c r="T1281" s="9"/>
      <c r="U1281" s="9"/>
      <c r="V1281" s="9"/>
      <c r="W1281" s="9"/>
      <c r="X1281" s="589"/>
      <c r="Y1281" s="9"/>
      <c r="Z1281" s="204"/>
      <c r="AA1281" s="9"/>
      <c r="AB1281" s="9"/>
      <c r="AC1281" s="9"/>
      <c r="AD1281" s="9"/>
    </row>
    <row r="1282" ht="15.75" customHeight="1">
      <c r="A1282" s="9"/>
      <c r="B1282" s="9"/>
      <c r="C1282" s="9"/>
      <c r="D1282" s="9"/>
      <c r="E1282" s="9"/>
      <c r="F1282" s="9"/>
      <c r="G1282" s="9"/>
      <c r="H1282" s="9"/>
      <c r="I1282" s="9"/>
      <c r="J1282" s="9"/>
      <c r="K1282" s="9"/>
      <c r="L1282" s="556"/>
      <c r="M1282" s="9"/>
      <c r="N1282" s="9"/>
      <c r="O1282" s="9"/>
      <c r="P1282" s="9"/>
      <c r="Q1282" s="9"/>
      <c r="R1282" s="9"/>
      <c r="S1282" s="9"/>
      <c r="T1282" s="9"/>
      <c r="U1282" s="9"/>
      <c r="V1282" s="9"/>
      <c r="W1282" s="9"/>
      <c r="X1282" s="589"/>
      <c r="Y1282" s="9"/>
      <c r="Z1282" s="204"/>
      <c r="AA1282" s="9"/>
      <c r="AB1282" s="9"/>
      <c r="AC1282" s="9"/>
      <c r="AD1282" s="9"/>
    </row>
    <row r="1283" ht="15.75" customHeight="1">
      <c r="A1283" s="9"/>
      <c r="B1283" s="9"/>
      <c r="C1283" s="9"/>
      <c r="D1283" s="9"/>
      <c r="E1283" s="9"/>
      <c r="F1283" s="9"/>
      <c r="G1283" s="9"/>
      <c r="H1283" s="9"/>
      <c r="I1283" s="9"/>
      <c r="J1283" s="9"/>
      <c r="K1283" s="9"/>
      <c r="L1283" s="556"/>
      <c r="M1283" s="9"/>
      <c r="N1283" s="9"/>
      <c r="O1283" s="9"/>
      <c r="P1283" s="9"/>
      <c r="Q1283" s="9"/>
      <c r="R1283" s="9"/>
      <c r="S1283" s="9"/>
      <c r="T1283" s="9"/>
      <c r="U1283" s="9"/>
      <c r="V1283" s="9"/>
      <c r="W1283" s="9"/>
      <c r="X1283" s="589"/>
      <c r="Y1283" s="9"/>
      <c r="Z1283" s="204"/>
      <c r="AA1283" s="9"/>
      <c r="AB1283" s="9"/>
      <c r="AC1283" s="9"/>
      <c r="AD1283" s="9"/>
    </row>
    <row r="1284" ht="15.75" customHeight="1">
      <c r="A1284" s="9"/>
      <c r="B1284" s="9"/>
      <c r="C1284" s="9"/>
      <c r="D1284" s="9"/>
      <c r="E1284" s="9"/>
      <c r="F1284" s="9"/>
      <c r="G1284" s="9"/>
      <c r="H1284" s="9"/>
      <c r="I1284" s="9"/>
      <c r="J1284" s="9"/>
      <c r="K1284" s="9"/>
      <c r="L1284" s="556"/>
      <c r="M1284" s="9"/>
      <c r="N1284" s="9"/>
      <c r="O1284" s="9"/>
      <c r="P1284" s="9"/>
      <c r="Q1284" s="9"/>
      <c r="R1284" s="9"/>
      <c r="S1284" s="9"/>
      <c r="T1284" s="9"/>
      <c r="U1284" s="9"/>
      <c r="V1284" s="9"/>
      <c r="W1284" s="9"/>
      <c r="X1284" s="589"/>
      <c r="Y1284" s="9"/>
      <c r="Z1284" s="204"/>
      <c r="AA1284" s="9"/>
      <c r="AB1284" s="9"/>
      <c r="AC1284" s="9"/>
      <c r="AD1284" s="9"/>
    </row>
    <row r="1285" ht="15.75" customHeight="1">
      <c r="A1285" s="9"/>
      <c r="B1285" s="9"/>
      <c r="C1285" s="9"/>
      <c r="D1285" s="9"/>
      <c r="E1285" s="9"/>
      <c r="F1285" s="9"/>
      <c r="G1285" s="9"/>
      <c r="H1285" s="9"/>
      <c r="I1285" s="9"/>
      <c r="J1285" s="9"/>
      <c r="K1285" s="9"/>
      <c r="L1285" s="556"/>
      <c r="M1285" s="9"/>
      <c r="N1285" s="9"/>
      <c r="O1285" s="9"/>
      <c r="P1285" s="9"/>
      <c r="Q1285" s="9"/>
      <c r="R1285" s="9"/>
      <c r="S1285" s="9"/>
      <c r="T1285" s="9"/>
      <c r="U1285" s="9"/>
      <c r="V1285" s="9"/>
      <c r="W1285" s="9"/>
      <c r="X1285" s="589"/>
      <c r="Y1285" s="9"/>
      <c r="Z1285" s="204"/>
      <c r="AA1285" s="9"/>
      <c r="AB1285" s="9"/>
      <c r="AC1285" s="9"/>
      <c r="AD1285" s="9"/>
    </row>
    <row r="1286" ht="15.75" customHeight="1">
      <c r="A1286" s="9"/>
      <c r="B1286" s="9"/>
      <c r="C1286" s="9"/>
      <c r="D1286" s="9"/>
      <c r="E1286" s="9"/>
      <c r="F1286" s="9"/>
      <c r="G1286" s="9"/>
      <c r="H1286" s="9"/>
      <c r="I1286" s="9"/>
      <c r="J1286" s="9"/>
      <c r="K1286" s="9"/>
      <c r="L1286" s="556"/>
      <c r="M1286" s="9"/>
      <c r="N1286" s="9"/>
      <c r="O1286" s="9"/>
      <c r="P1286" s="9"/>
      <c r="Q1286" s="9"/>
      <c r="R1286" s="9"/>
      <c r="S1286" s="9"/>
      <c r="T1286" s="9"/>
      <c r="U1286" s="9"/>
      <c r="V1286" s="9"/>
      <c r="W1286" s="9"/>
      <c r="X1286" s="589"/>
      <c r="Y1286" s="9"/>
      <c r="Z1286" s="204"/>
      <c r="AA1286" s="9"/>
      <c r="AB1286" s="9"/>
      <c r="AC1286" s="9"/>
      <c r="AD1286" s="9"/>
    </row>
    <row r="1287" ht="15.75" customHeight="1">
      <c r="A1287" s="9"/>
      <c r="B1287" s="9"/>
      <c r="C1287" s="9"/>
      <c r="D1287" s="9"/>
      <c r="E1287" s="9"/>
      <c r="F1287" s="9"/>
      <c r="G1287" s="9"/>
      <c r="H1287" s="9"/>
      <c r="I1287" s="9"/>
      <c r="J1287" s="9"/>
      <c r="K1287" s="9"/>
      <c r="L1287" s="556"/>
      <c r="M1287" s="9"/>
      <c r="N1287" s="9"/>
      <c r="O1287" s="9"/>
      <c r="P1287" s="9"/>
      <c r="Q1287" s="9"/>
      <c r="R1287" s="9"/>
      <c r="S1287" s="9"/>
      <c r="T1287" s="9"/>
      <c r="U1287" s="9"/>
      <c r="V1287" s="9"/>
      <c r="W1287" s="9"/>
      <c r="X1287" s="589"/>
      <c r="Y1287" s="9"/>
      <c r="Z1287" s="204"/>
      <c r="AA1287" s="9"/>
      <c r="AB1287" s="9"/>
      <c r="AC1287" s="9"/>
      <c r="AD1287" s="9"/>
    </row>
    <row r="1288" ht="15.75" customHeight="1">
      <c r="A1288" s="9"/>
      <c r="B1288" s="9"/>
      <c r="C1288" s="9"/>
      <c r="D1288" s="9"/>
      <c r="E1288" s="9"/>
      <c r="F1288" s="9"/>
      <c r="G1288" s="9"/>
      <c r="H1288" s="9"/>
      <c r="I1288" s="9"/>
      <c r="J1288" s="9"/>
      <c r="K1288" s="9"/>
      <c r="L1288" s="556"/>
      <c r="M1288" s="9"/>
      <c r="N1288" s="9"/>
      <c r="O1288" s="9"/>
      <c r="P1288" s="9"/>
      <c r="Q1288" s="9"/>
      <c r="R1288" s="9"/>
      <c r="S1288" s="9"/>
      <c r="T1288" s="9"/>
      <c r="U1288" s="9"/>
      <c r="V1288" s="9"/>
      <c r="W1288" s="9"/>
      <c r="X1288" s="589"/>
      <c r="Y1288" s="9"/>
      <c r="Z1288" s="204"/>
      <c r="AA1288" s="9"/>
      <c r="AB1288" s="9"/>
      <c r="AC1288" s="9"/>
      <c r="AD1288" s="9"/>
    </row>
    <row r="1289" ht="15.75" customHeight="1">
      <c r="A1289" s="9"/>
      <c r="B1289" s="9"/>
      <c r="C1289" s="9"/>
      <c r="D1289" s="9"/>
      <c r="E1289" s="9"/>
      <c r="F1289" s="9"/>
      <c r="G1289" s="9"/>
      <c r="H1289" s="9"/>
      <c r="I1289" s="9"/>
      <c r="J1289" s="9"/>
      <c r="K1289" s="9"/>
      <c r="L1289" s="556"/>
      <c r="M1289" s="9"/>
      <c r="N1289" s="9"/>
      <c r="O1289" s="9"/>
      <c r="P1289" s="9"/>
      <c r="Q1289" s="9"/>
      <c r="R1289" s="9"/>
      <c r="S1289" s="9"/>
      <c r="T1289" s="9"/>
      <c r="U1289" s="9"/>
      <c r="V1289" s="9"/>
      <c r="W1289" s="9"/>
      <c r="X1289" s="589"/>
      <c r="Y1289" s="9"/>
      <c r="Z1289" s="204"/>
      <c r="AA1289" s="9"/>
      <c r="AB1289" s="9"/>
      <c r="AC1289" s="9"/>
      <c r="AD1289" s="9"/>
    </row>
    <row r="1290" ht="15.75" customHeight="1">
      <c r="A1290" s="9"/>
      <c r="B1290" s="9"/>
      <c r="C1290" s="9"/>
      <c r="D1290" s="9"/>
      <c r="E1290" s="9"/>
      <c r="F1290" s="9"/>
      <c r="G1290" s="9"/>
      <c r="H1290" s="9"/>
      <c r="I1290" s="9"/>
      <c r="J1290" s="9"/>
      <c r="K1290" s="9"/>
      <c r="L1290" s="556"/>
      <c r="M1290" s="9"/>
      <c r="N1290" s="9"/>
      <c r="O1290" s="9"/>
      <c r="P1290" s="9"/>
      <c r="Q1290" s="9"/>
      <c r="R1290" s="9"/>
      <c r="S1290" s="9"/>
      <c r="T1290" s="9"/>
      <c r="U1290" s="9"/>
      <c r="V1290" s="9"/>
      <c r="W1290" s="9"/>
      <c r="X1290" s="589"/>
      <c r="Y1290" s="9"/>
      <c r="Z1290" s="204"/>
      <c r="AA1290" s="9"/>
      <c r="AB1290" s="9"/>
      <c r="AC1290" s="9"/>
      <c r="AD1290" s="9"/>
    </row>
    <row r="1291" ht="15.75" customHeight="1">
      <c r="A1291" s="9"/>
      <c r="B1291" s="9"/>
      <c r="C1291" s="9"/>
      <c r="D1291" s="9"/>
      <c r="E1291" s="9"/>
      <c r="F1291" s="9"/>
      <c r="G1291" s="9"/>
      <c r="H1291" s="9"/>
      <c r="I1291" s="9"/>
      <c r="J1291" s="9"/>
      <c r="K1291" s="9"/>
      <c r="L1291" s="556"/>
      <c r="M1291" s="9"/>
      <c r="N1291" s="9"/>
      <c r="O1291" s="9"/>
      <c r="P1291" s="9"/>
      <c r="Q1291" s="9"/>
      <c r="R1291" s="9"/>
      <c r="S1291" s="9"/>
      <c r="T1291" s="9"/>
      <c r="U1291" s="9"/>
      <c r="V1291" s="9"/>
      <c r="W1291" s="9"/>
      <c r="X1291" s="589"/>
      <c r="Y1291" s="9"/>
      <c r="Z1291" s="204"/>
      <c r="AA1291" s="9"/>
      <c r="AB1291" s="9"/>
      <c r="AC1291" s="9"/>
      <c r="AD1291" s="9"/>
    </row>
    <row r="1292" ht="15.75" customHeight="1">
      <c r="A1292" s="9"/>
      <c r="B1292" s="9"/>
      <c r="C1292" s="9"/>
      <c r="D1292" s="9"/>
      <c r="E1292" s="9"/>
      <c r="F1292" s="9"/>
      <c r="G1292" s="9"/>
      <c r="H1292" s="9"/>
      <c r="I1292" s="9"/>
      <c r="J1292" s="9"/>
      <c r="K1292" s="9"/>
      <c r="L1292" s="556"/>
      <c r="M1292" s="9"/>
      <c r="N1292" s="9"/>
      <c r="O1292" s="9"/>
      <c r="P1292" s="9"/>
      <c r="Q1292" s="9"/>
      <c r="R1292" s="9"/>
      <c r="S1292" s="9"/>
      <c r="T1292" s="9"/>
      <c r="U1292" s="9"/>
      <c r="V1292" s="9"/>
      <c r="W1292" s="9"/>
      <c r="X1292" s="589"/>
      <c r="Y1292" s="9"/>
      <c r="Z1292" s="204"/>
      <c r="AA1292" s="9"/>
      <c r="AB1292" s="9"/>
      <c r="AC1292" s="9"/>
      <c r="AD1292" s="9"/>
    </row>
    <row r="1293" ht="15.75" customHeight="1">
      <c r="A1293" s="9"/>
      <c r="B1293" s="9"/>
      <c r="C1293" s="9"/>
      <c r="D1293" s="9"/>
      <c r="E1293" s="9"/>
      <c r="F1293" s="9"/>
      <c r="G1293" s="9"/>
      <c r="H1293" s="9"/>
      <c r="I1293" s="9"/>
      <c r="J1293" s="9"/>
      <c r="K1293" s="9"/>
      <c r="L1293" s="556"/>
      <c r="M1293" s="9"/>
      <c r="N1293" s="9"/>
      <c r="O1293" s="9"/>
      <c r="P1293" s="9"/>
      <c r="Q1293" s="9"/>
      <c r="R1293" s="9"/>
      <c r="S1293" s="9"/>
      <c r="T1293" s="9"/>
      <c r="U1293" s="9"/>
      <c r="V1293" s="9"/>
      <c r="W1293" s="9"/>
      <c r="X1293" s="589"/>
      <c r="Y1293" s="9"/>
      <c r="Z1293" s="204"/>
      <c r="AA1293" s="9"/>
      <c r="AB1293" s="9"/>
      <c r="AC1293" s="9"/>
      <c r="AD1293" s="9"/>
    </row>
    <row r="1294" ht="15.75" customHeight="1">
      <c r="A1294" s="9"/>
      <c r="B1294" s="9"/>
      <c r="C1294" s="9"/>
      <c r="D1294" s="9"/>
      <c r="E1294" s="9"/>
      <c r="F1294" s="9"/>
      <c r="G1294" s="9"/>
      <c r="H1294" s="9"/>
      <c r="I1294" s="9"/>
      <c r="J1294" s="9"/>
      <c r="K1294" s="9"/>
      <c r="L1294" s="556"/>
      <c r="M1294" s="9"/>
      <c r="N1294" s="9"/>
      <c r="O1294" s="9"/>
      <c r="P1294" s="9"/>
      <c r="Q1294" s="9"/>
      <c r="R1294" s="9"/>
      <c r="S1294" s="9"/>
      <c r="T1294" s="9"/>
      <c r="U1294" s="9"/>
      <c r="V1294" s="9"/>
      <c r="W1294" s="9"/>
      <c r="X1294" s="589"/>
      <c r="Y1294" s="9"/>
      <c r="Z1294" s="204"/>
      <c r="AA1294" s="9"/>
      <c r="AB1294" s="9"/>
      <c r="AC1294" s="9"/>
      <c r="AD1294" s="9"/>
    </row>
    <row r="1295" ht="15.75" customHeight="1">
      <c r="A1295" s="9"/>
      <c r="B1295" s="9"/>
      <c r="C1295" s="9"/>
      <c r="D1295" s="9"/>
      <c r="E1295" s="9"/>
      <c r="F1295" s="9"/>
      <c r="G1295" s="9"/>
      <c r="H1295" s="9"/>
      <c r="I1295" s="9"/>
      <c r="J1295" s="9"/>
      <c r="K1295" s="9"/>
      <c r="L1295" s="556"/>
      <c r="M1295" s="9"/>
      <c r="N1295" s="9"/>
      <c r="O1295" s="9"/>
      <c r="P1295" s="9"/>
      <c r="Q1295" s="9"/>
      <c r="R1295" s="9"/>
      <c r="S1295" s="9"/>
      <c r="T1295" s="9"/>
      <c r="U1295" s="9"/>
      <c r="V1295" s="9"/>
      <c r="W1295" s="9"/>
      <c r="X1295" s="589"/>
      <c r="Y1295" s="9"/>
      <c r="Z1295" s="204"/>
      <c r="AA1295" s="9"/>
      <c r="AB1295" s="9"/>
      <c r="AC1295" s="9"/>
      <c r="AD1295" s="9"/>
    </row>
    <row r="1296" ht="15.75" customHeight="1">
      <c r="A1296" s="9"/>
      <c r="B1296" s="9"/>
      <c r="C1296" s="9"/>
      <c r="D1296" s="9"/>
      <c r="E1296" s="9"/>
      <c r="F1296" s="9"/>
      <c r="G1296" s="9"/>
      <c r="H1296" s="9"/>
      <c r="I1296" s="9"/>
      <c r="J1296" s="9"/>
      <c r="K1296" s="9"/>
      <c r="L1296" s="556"/>
      <c r="M1296" s="9"/>
      <c r="N1296" s="9"/>
      <c r="O1296" s="9"/>
      <c r="P1296" s="9"/>
      <c r="Q1296" s="9"/>
      <c r="R1296" s="9"/>
      <c r="S1296" s="9"/>
      <c r="T1296" s="9"/>
      <c r="U1296" s="9"/>
      <c r="V1296" s="9"/>
      <c r="W1296" s="9"/>
      <c r="X1296" s="589"/>
      <c r="Y1296" s="9"/>
      <c r="Z1296" s="204"/>
      <c r="AA1296" s="9"/>
      <c r="AB1296" s="9"/>
      <c r="AC1296" s="9"/>
      <c r="AD1296" s="9"/>
    </row>
    <row r="1297" ht="15.75" customHeight="1">
      <c r="A1297" s="9"/>
      <c r="B1297" s="9"/>
      <c r="C1297" s="9"/>
      <c r="D1297" s="9"/>
      <c r="E1297" s="9"/>
      <c r="F1297" s="9"/>
      <c r="G1297" s="9"/>
      <c r="H1297" s="9"/>
      <c r="I1297" s="9"/>
      <c r="J1297" s="9"/>
      <c r="K1297" s="9"/>
      <c r="L1297" s="556"/>
      <c r="M1297" s="9"/>
      <c r="N1297" s="9"/>
      <c r="O1297" s="9"/>
      <c r="P1297" s="9"/>
      <c r="Q1297" s="9"/>
      <c r="R1297" s="9"/>
      <c r="S1297" s="9"/>
      <c r="T1297" s="9"/>
      <c r="U1297" s="9"/>
      <c r="V1297" s="9"/>
      <c r="W1297" s="9"/>
      <c r="X1297" s="589"/>
      <c r="Y1297" s="9"/>
      <c r="Z1297" s="204"/>
      <c r="AA1297" s="9"/>
      <c r="AB1297" s="9"/>
      <c r="AC1297" s="9"/>
      <c r="AD1297" s="9"/>
    </row>
    <row r="1298" ht="15.75" customHeight="1">
      <c r="A1298" s="9"/>
      <c r="B1298" s="9"/>
      <c r="C1298" s="9"/>
      <c r="D1298" s="9"/>
      <c r="E1298" s="9"/>
      <c r="F1298" s="9"/>
      <c r="G1298" s="9"/>
      <c r="H1298" s="9"/>
      <c r="I1298" s="9"/>
      <c r="J1298" s="9"/>
      <c r="K1298" s="9"/>
      <c r="L1298" s="556"/>
      <c r="M1298" s="9"/>
      <c r="N1298" s="9"/>
      <c r="O1298" s="9"/>
      <c r="P1298" s="9"/>
      <c r="Q1298" s="9"/>
      <c r="R1298" s="9"/>
      <c r="S1298" s="9"/>
      <c r="T1298" s="9"/>
      <c r="U1298" s="9"/>
      <c r="V1298" s="9"/>
      <c r="W1298" s="9"/>
      <c r="X1298" s="589"/>
      <c r="Y1298" s="9"/>
      <c r="Z1298" s="204"/>
      <c r="AA1298" s="9"/>
      <c r="AB1298" s="9"/>
      <c r="AC1298" s="9"/>
      <c r="AD1298" s="9"/>
    </row>
    <row r="1299" ht="15.75" customHeight="1">
      <c r="A1299" s="9"/>
      <c r="B1299" s="9"/>
      <c r="C1299" s="9"/>
      <c r="D1299" s="9"/>
      <c r="E1299" s="9"/>
      <c r="F1299" s="9"/>
      <c r="G1299" s="9"/>
      <c r="H1299" s="9"/>
      <c r="I1299" s="9"/>
      <c r="J1299" s="9"/>
      <c r="K1299" s="9"/>
      <c r="L1299" s="556"/>
      <c r="M1299" s="9"/>
      <c r="N1299" s="9"/>
      <c r="O1299" s="9"/>
      <c r="P1299" s="9"/>
      <c r="Q1299" s="9"/>
      <c r="R1299" s="9"/>
      <c r="S1299" s="9"/>
      <c r="T1299" s="9"/>
      <c r="U1299" s="9"/>
      <c r="V1299" s="9"/>
      <c r="W1299" s="9"/>
      <c r="X1299" s="589"/>
      <c r="Y1299" s="9"/>
      <c r="Z1299" s="204"/>
      <c r="AA1299" s="9"/>
      <c r="AB1299" s="9"/>
      <c r="AC1299" s="9"/>
      <c r="AD1299" s="9"/>
    </row>
    <row r="1300" ht="15.75" customHeight="1">
      <c r="A1300" s="9"/>
      <c r="B1300" s="9"/>
      <c r="C1300" s="9"/>
      <c r="D1300" s="9"/>
      <c r="E1300" s="9"/>
      <c r="F1300" s="9"/>
      <c r="G1300" s="9"/>
      <c r="H1300" s="9"/>
      <c r="I1300" s="9"/>
      <c r="J1300" s="9"/>
      <c r="K1300" s="9"/>
      <c r="L1300" s="556"/>
      <c r="M1300" s="9"/>
      <c r="N1300" s="9"/>
      <c r="O1300" s="9"/>
      <c r="P1300" s="9"/>
      <c r="Q1300" s="9"/>
      <c r="R1300" s="9"/>
      <c r="S1300" s="9"/>
      <c r="T1300" s="9"/>
      <c r="U1300" s="9"/>
      <c r="V1300" s="9"/>
      <c r="W1300" s="9"/>
      <c r="X1300" s="589"/>
      <c r="Y1300" s="9"/>
      <c r="Z1300" s="204"/>
      <c r="AA1300" s="9"/>
      <c r="AB1300" s="9"/>
      <c r="AC1300" s="9"/>
      <c r="AD1300" s="9"/>
    </row>
    <row r="1301" ht="15.75" customHeight="1">
      <c r="A1301" s="9"/>
      <c r="B1301" s="9"/>
      <c r="C1301" s="9"/>
      <c r="D1301" s="9"/>
      <c r="E1301" s="9"/>
      <c r="F1301" s="9"/>
      <c r="G1301" s="9"/>
      <c r="H1301" s="9"/>
      <c r="I1301" s="9"/>
      <c r="J1301" s="9"/>
      <c r="K1301" s="9"/>
      <c r="L1301" s="556"/>
      <c r="M1301" s="9"/>
      <c r="N1301" s="9"/>
      <c r="O1301" s="9"/>
      <c r="P1301" s="9"/>
      <c r="Q1301" s="9"/>
      <c r="R1301" s="9"/>
      <c r="S1301" s="9"/>
      <c r="T1301" s="9"/>
      <c r="U1301" s="9"/>
      <c r="V1301" s="9"/>
      <c r="W1301" s="9"/>
      <c r="X1301" s="589"/>
      <c r="Y1301" s="9"/>
      <c r="Z1301" s="204"/>
      <c r="AA1301" s="9"/>
      <c r="AB1301" s="9"/>
      <c r="AC1301" s="9"/>
      <c r="AD1301" s="9"/>
    </row>
    <row r="1302" ht="15.75" customHeight="1">
      <c r="A1302" s="9"/>
      <c r="B1302" s="9"/>
      <c r="C1302" s="9"/>
      <c r="D1302" s="9"/>
      <c r="E1302" s="9"/>
      <c r="F1302" s="9"/>
      <c r="G1302" s="9"/>
      <c r="H1302" s="9"/>
      <c r="I1302" s="9"/>
      <c r="J1302" s="9"/>
      <c r="K1302" s="9"/>
      <c r="L1302" s="556"/>
      <c r="M1302" s="9"/>
      <c r="N1302" s="9"/>
      <c r="O1302" s="9"/>
      <c r="P1302" s="9"/>
      <c r="Q1302" s="9"/>
      <c r="R1302" s="9"/>
      <c r="S1302" s="9"/>
      <c r="T1302" s="9"/>
      <c r="U1302" s="9"/>
      <c r="V1302" s="9"/>
      <c r="W1302" s="9"/>
      <c r="X1302" s="589"/>
      <c r="Y1302" s="9"/>
      <c r="Z1302" s="204"/>
      <c r="AA1302" s="9"/>
      <c r="AB1302" s="9"/>
      <c r="AC1302" s="9"/>
      <c r="AD1302" s="9"/>
    </row>
    <row r="1303" ht="15.75" customHeight="1">
      <c r="A1303" s="9"/>
      <c r="B1303" s="9"/>
      <c r="C1303" s="9"/>
      <c r="D1303" s="9"/>
      <c r="E1303" s="9"/>
      <c r="F1303" s="9"/>
      <c r="G1303" s="9"/>
      <c r="H1303" s="9"/>
      <c r="I1303" s="9"/>
      <c r="J1303" s="9"/>
      <c r="K1303" s="9"/>
      <c r="L1303" s="556"/>
      <c r="M1303" s="9"/>
      <c r="N1303" s="9"/>
      <c r="O1303" s="9"/>
      <c r="P1303" s="9"/>
      <c r="Q1303" s="9"/>
      <c r="R1303" s="9"/>
      <c r="S1303" s="9"/>
      <c r="T1303" s="9"/>
      <c r="U1303" s="9"/>
      <c r="V1303" s="9"/>
      <c r="W1303" s="9"/>
      <c r="X1303" s="589"/>
      <c r="Y1303" s="9"/>
      <c r="Z1303" s="204"/>
      <c r="AA1303" s="9"/>
      <c r="AB1303" s="9"/>
      <c r="AC1303" s="9"/>
      <c r="AD1303" s="9"/>
    </row>
    <row r="1304" ht="15.75" customHeight="1">
      <c r="A1304" s="9"/>
      <c r="B1304" s="9"/>
      <c r="C1304" s="9"/>
      <c r="D1304" s="9"/>
      <c r="E1304" s="9"/>
      <c r="F1304" s="9"/>
      <c r="G1304" s="9"/>
      <c r="H1304" s="9"/>
      <c r="I1304" s="9"/>
      <c r="J1304" s="9"/>
      <c r="K1304" s="9"/>
      <c r="L1304" s="556"/>
      <c r="M1304" s="9"/>
      <c r="N1304" s="9"/>
      <c r="O1304" s="9"/>
      <c r="P1304" s="9"/>
      <c r="Q1304" s="9"/>
      <c r="R1304" s="9"/>
      <c r="S1304" s="9"/>
      <c r="T1304" s="9"/>
      <c r="U1304" s="9"/>
      <c r="V1304" s="9"/>
      <c r="W1304" s="9"/>
      <c r="X1304" s="589"/>
      <c r="Y1304" s="9"/>
      <c r="Z1304" s="204"/>
      <c r="AA1304" s="9"/>
      <c r="AB1304" s="9"/>
      <c r="AC1304" s="9"/>
      <c r="AD1304" s="9"/>
    </row>
    <row r="1305" ht="15.75" customHeight="1">
      <c r="A1305" s="9"/>
      <c r="B1305" s="9"/>
      <c r="C1305" s="9"/>
      <c r="D1305" s="9"/>
      <c r="E1305" s="9"/>
      <c r="F1305" s="9"/>
      <c r="G1305" s="9"/>
      <c r="H1305" s="9"/>
      <c r="I1305" s="9"/>
      <c r="J1305" s="9"/>
      <c r="K1305" s="9"/>
      <c r="L1305" s="556"/>
      <c r="M1305" s="9"/>
      <c r="N1305" s="9"/>
      <c r="O1305" s="9"/>
      <c r="P1305" s="9"/>
      <c r="Q1305" s="9"/>
      <c r="R1305" s="9"/>
      <c r="S1305" s="9"/>
      <c r="T1305" s="9"/>
      <c r="U1305" s="9"/>
      <c r="V1305" s="9"/>
      <c r="W1305" s="9"/>
      <c r="X1305" s="589"/>
      <c r="Y1305" s="9"/>
      <c r="Z1305" s="204"/>
      <c r="AA1305" s="9"/>
      <c r="AB1305" s="9"/>
      <c r="AC1305" s="9"/>
      <c r="AD1305" s="9"/>
    </row>
    <row r="1306" ht="15.75" customHeight="1">
      <c r="A1306" s="9"/>
      <c r="B1306" s="9"/>
      <c r="C1306" s="9"/>
      <c r="D1306" s="9"/>
      <c r="E1306" s="9"/>
      <c r="F1306" s="9"/>
      <c r="G1306" s="9"/>
      <c r="H1306" s="9"/>
      <c r="I1306" s="9"/>
      <c r="J1306" s="9"/>
      <c r="K1306" s="9"/>
      <c r="L1306" s="556"/>
      <c r="M1306" s="9"/>
      <c r="N1306" s="9"/>
      <c r="O1306" s="9"/>
      <c r="P1306" s="9"/>
      <c r="Q1306" s="9"/>
      <c r="R1306" s="9"/>
      <c r="S1306" s="9"/>
      <c r="T1306" s="9"/>
      <c r="U1306" s="9"/>
      <c r="V1306" s="9"/>
      <c r="W1306" s="9"/>
      <c r="X1306" s="589"/>
      <c r="Y1306" s="9"/>
      <c r="Z1306" s="204"/>
      <c r="AA1306" s="9"/>
      <c r="AB1306" s="9"/>
      <c r="AC1306" s="9"/>
      <c r="AD1306" s="9"/>
    </row>
    <row r="1307" ht="15.75" customHeight="1">
      <c r="A1307" s="9"/>
      <c r="B1307" s="9"/>
      <c r="C1307" s="9"/>
      <c r="D1307" s="9"/>
      <c r="E1307" s="9"/>
      <c r="F1307" s="9"/>
      <c r="G1307" s="9"/>
      <c r="H1307" s="9"/>
      <c r="I1307" s="9"/>
      <c r="J1307" s="9"/>
      <c r="K1307" s="9"/>
      <c r="L1307" s="556"/>
      <c r="M1307" s="9"/>
      <c r="N1307" s="9"/>
      <c r="O1307" s="9"/>
      <c r="P1307" s="9"/>
      <c r="Q1307" s="9"/>
      <c r="R1307" s="9"/>
      <c r="S1307" s="9"/>
      <c r="T1307" s="9"/>
      <c r="U1307" s="9"/>
      <c r="V1307" s="9"/>
      <c r="W1307" s="9"/>
      <c r="X1307" s="589"/>
      <c r="Y1307" s="9"/>
      <c r="Z1307" s="204"/>
      <c r="AA1307" s="9"/>
      <c r="AB1307" s="9"/>
      <c r="AC1307" s="9"/>
      <c r="AD1307" s="9"/>
    </row>
    <row r="1308" ht="15.75" customHeight="1">
      <c r="A1308" s="9"/>
      <c r="B1308" s="9"/>
      <c r="C1308" s="9"/>
      <c r="D1308" s="9"/>
      <c r="E1308" s="9"/>
      <c r="F1308" s="9"/>
      <c r="G1308" s="9"/>
      <c r="H1308" s="9"/>
      <c r="I1308" s="9"/>
      <c r="J1308" s="9"/>
      <c r="K1308" s="9"/>
      <c r="L1308" s="556"/>
      <c r="M1308" s="9"/>
      <c r="N1308" s="9"/>
      <c r="O1308" s="9"/>
      <c r="P1308" s="9"/>
      <c r="Q1308" s="9"/>
      <c r="R1308" s="9"/>
      <c r="S1308" s="9"/>
      <c r="T1308" s="9"/>
      <c r="U1308" s="9"/>
      <c r="V1308" s="9"/>
      <c r="W1308" s="9"/>
      <c r="X1308" s="589"/>
      <c r="Y1308" s="9"/>
      <c r="Z1308" s="204"/>
      <c r="AA1308" s="9"/>
      <c r="AB1308" s="9"/>
      <c r="AC1308" s="9"/>
      <c r="AD1308" s="9"/>
    </row>
    <row r="1309" ht="15.75" customHeight="1">
      <c r="A1309" s="9"/>
      <c r="B1309" s="9"/>
      <c r="C1309" s="9"/>
      <c r="D1309" s="9"/>
      <c r="E1309" s="9"/>
      <c r="F1309" s="9"/>
      <c r="G1309" s="9"/>
      <c r="H1309" s="9"/>
      <c r="I1309" s="9"/>
      <c r="J1309" s="9"/>
      <c r="K1309" s="9"/>
      <c r="L1309" s="556"/>
      <c r="M1309" s="9"/>
      <c r="N1309" s="9"/>
      <c r="O1309" s="9"/>
      <c r="P1309" s="9"/>
      <c r="Q1309" s="9"/>
      <c r="R1309" s="9"/>
      <c r="S1309" s="9"/>
      <c r="T1309" s="9"/>
      <c r="U1309" s="9"/>
      <c r="V1309" s="9"/>
      <c r="W1309" s="9"/>
      <c r="X1309" s="589"/>
      <c r="Y1309" s="9"/>
      <c r="Z1309" s="204"/>
      <c r="AA1309" s="9"/>
      <c r="AB1309" s="9"/>
      <c r="AC1309" s="9"/>
      <c r="AD1309" s="9"/>
    </row>
    <row r="1310" ht="15.75" customHeight="1">
      <c r="A1310" s="9"/>
      <c r="B1310" s="9"/>
      <c r="C1310" s="9"/>
      <c r="D1310" s="9"/>
      <c r="E1310" s="9"/>
      <c r="F1310" s="9"/>
      <c r="G1310" s="9"/>
      <c r="H1310" s="9"/>
      <c r="I1310" s="9"/>
      <c r="J1310" s="9"/>
      <c r="K1310" s="9"/>
      <c r="L1310" s="556"/>
      <c r="M1310" s="9"/>
      <c r="N1310" s="9"/>
      <c r="O1310" s="9"/>
      <c r="P1310" s="9"/>
      <c r="Q1310" s="9"/>
      <c r="R1310" s="9"/>
      <c r="S1310" s="9"/>
      <c r="T1310" s="9"/>
      <c r="U1310" s="9"/>
      <c r="V1310" s="9"/>
      <c r="W1310" s="9"/>
      <c r="X1310" s="589"/>
      <c r="Y1310" s="9"/>
      <c r="Z1310" s="204"/>
      <c r="AA1310" s="9"/>
      <c r="AB1310" s="9"/>
      <c r="AC1310" s="9"/>
      <c r="AD1310" s="9"/>
    </row>
    <row r="1311" ht="15.75" customHeight="1">
      <c r="A1311" s="9"/>
      <c r="B1311" s="9"/>
      <c r="C1311" s="9"/>
      <c r="D1311" s="9"/>
      <c r="E1311" s="9"/>
      <c r="F1311" s="9"/>
      <c r="G1311" s="9"/>
      <c r="H1311" s="9"/>
      <c r="I1311" s="9"/>
      <c r="J1311" s="9"/>
      <c r="K1311" s="9"/>
      <c r="L1311" s="556"/>
      <c r="M1311" s="9"/>
      <c r="N1311" s="9"/>
      <c r="O1311" s="9"/>
      <c r="P1311" s="9"/>
      <c r="Q1311" s="9"/>
      <c r="R1311" s="9"/>
      <c r="S1311" s="9"/>
      <c r="T1311" s="9"/>
      <c r="U1311" s="9"/>
      <c r="V1311" s="9"/>
      <c r="W1311" s="9"/>
      <c r="X1311" s="589"/>
      <c r="Y1311" s="9"/>
      <c r="Z1311" s="204"/>
      <c r="AA1311" s="9"/>
      <c r="AB1311" s="9"/>
      <c r="AC1311" s="9"/>
      <c r="AD1311" s="9"/>
    </row>
    <row r="1312" ht="15.75" customHeight="1">
      <c r="A1312" s="9"/>
      <c r="B1312" s="9"/>
      <c r="C1312" s="9"/>
      <c r="D1312" s="9"/>
      <c r="E1312" s="9"/>
      <c r="F1312" s="9"/>
      <c r="G1312" s="9"/>
      <c r="H1312" s="9"/>
      <c r="I1312" s="9"/>
      <c r="J1312" s="9"/>
      <c r="K1312" s="9"/>
      <c r="L1312" s="556"/>
      <c r="M1312" s="9"/>
      <c r="N1312" s="9"/>
      <c r="O1312" s="9"/>
      <c r="P1312" s="9"/>
      <c r="Q1312" s="9"/>
      <c r="R1312" s="9"/>
      <c r="S1312" s="9"/>
      <c r="T1312" s="9"/>
      <c r="U1312" s="9"/>
      <c r="V1312" s="9"/>
      <c r="W1312" s="9"/>
      <c r="X1312" s="589"/>
      <c r="Y1312" s="9"/>
      <c r="Z1312" s="204"/>
      <c r="AA1312" s="9"/>
      <c r="AB1312" s="9"/>
      <c r="AC1312" s="9"/>
      <c r="AD1312" s="9"/>
    </row>
    <row r="1313" ht="15.75" customHeight="1">
      <c r="A1313" s="9"/>
      <c r="B1313" s="9"/>
      <c r="C1313" s="9"/>
      <c r="D1313" s="9"/>
      <c r="E1313" s="9"/>
      <c r="F1313" s="9"/>
      <c r="G1313" s="9"/>
      <c r="H1313" s="9"/>
      <c r="I1313" s="9"/>
      <c r="J1313" s="9"/>
      <c r="K1313" s="9"/>
      <c r="L1313" s="556"/>
      <c r="M1313" s="9"/>
      <c r="N1313" s="9"/>
      <c r="O1313" s="9"/>
      <c r="P1313" s="9"/>
      <c r="Q1313" s="9"/>
      <c r="R1313" s="9"/>
      <c r="S1313" s="9"/>
      <c r="T1313" s="9"/>
      <c r="U1313" s="9"/>
      <c r="V1313" s="9"/>
      <c r="W1313" s="9"/>
      <c r="X1313" s="589"/>
      <c r="Y1313" s="9"/>
      <c r="Z1313" s="204"/>
      <c r="AA1313" s="9"/>
      <c r="AB1313" s="9"/>
      <c r="AC1313" s="9"/>
      <c r="AD1313" s="9"/>
    </row>
    <row r="1314" ht="15.75" customHeight="1">
      <c r="A1314" s="9"/>
      <c r="B1314" s="9"/>
      <c r="C1314" s="9"/>
      <c r="D1314" s="9"/>
      <c r="E1314" s="9"/>
      <c r="F1314" s="9"/>
      <c r="G1314" s="9"/>
      <c r="H1314" s="9"/>
      <c r="I1314" s="9"/>
      <c r="J1314" s="9"/>
      <c r="K1314" s="9"/>
      <c r="L1314" s="556"/>
      <c r="M1314" s="9"/>
      <c r="N1314" s="9"/>
      <c r="O1314" s="9"/>
      <c r="P1314" s="9"/>
      <c r="Q1314" s="9"/>
      <c r="R1314" s="9"/>
      <c r="S1314" s="9"/>
      <c r="T1314" s="9"/>
      <c r="U1314" s="9"/>
      <c r="V1314" s="9"/>
      <c r="W1314" s="9"/>
      <c r="X1314" s="589"/>
      <c r="Y1314" s="9"/>
      <c r="Z1314" s="204"/>
      <c r="AA1314" s="9"/>
      <c r="AB1314" s="9"/>
      <c r="AC1314" s="9"/>
      <c r="AD1314" s="9"/>
    </row>
    <row r="1315" ht="15.75" customHeight="1">
      <c r="A1315" s="9"/>
      <c r="B1315" s="9"/>
      <c r="C1315" s="9"/>
      <c r="D1315" s="9"/>
      <c r="E1315" s="9"/>
      <c r="F1315" s="9"/>
      <c r="G1315" s="9"/>
      <c r="H1315" s="9"/>
      <c r="I1315" s="9"/>
      <c r="J1315" s="9"/>
      <c r="K1315" s="9"/>
      <c r="L1315" s="556"/>
      <c r="M1315" s="9"/>
      <c r="N1315" s="9"/>
      <c r="O1315" s="9"/>
      <c r="P1315" s="9"/>
      <c r="Q1315" s="9"/>
      <c r="R1315" s="9"/>
      <c r="S1315" s="9"/>
      <c r="T1315" s="9"/>
      <c r="U1315" s="9"/>
      <c r="V1315" s="9"/>
      <c r="W1315" s="9"/>
      <c r="X1315" s="589"/>
      <c r="Y1315" s="9"/>
      <c r="Z1315" s="204"/>
      <c r="AA1315" s="9"/>
      <c r="AB1315" s="9"/>
      <c r="AC1315" s="9"/>
      <c r="AD1315" s="9"/>
    </row>
    <row r="1316" ht="15.75" customHeight="1">
      <c r="A1316" s="9"/>
      <c r="B1316" s="9"/>
      <c r="C1316" s="9"/>
      <c r="D1316" s="9"/>
      <c r="E1316" s="9"/>
      <c r="F1316" s="9"/>
      <c r="G1316" s="9"/>
      <c r="H1316" s="9"/>
      <c r="I1316" s="9"/>
      <c r="J1316" s="9"/>
      <c r="K1316" s="9"/>
      <c r="L1316" s="556"/>
      <c r="M1316" s="9"/>
      <c r="N1316" s="9"/>
      <c r="O1316" s="9"/>
      <c r="P1316" s="9"/>
      <c r="Q1316" s="9"/>
      <c r="R1316" s="9"/>
      <c r="S1316" s="9"/>
      <c r="T1316" s="9"/>
      <c r="U1316" s="9"/>
      <c r="V1316" s="9"/>
      <c r="W1316" s="9"/>
      <c r="X1316" s="589"/>
      <c r="Y1316" s="9"/>
      <c r="Z1316" s="204"/>
      <c r="AA1316" s="9"/>
      <c r="AB1316" s="9"/>
      <c r="AC1316" s="9"/>
      <c r="AD1316" s="9"/>
    </row>
    <row r="1317" ht="15.75" customHeight="1">
      <c r="A1317" s="9"/>
      <c r="B1317" s="9"/>
      <c r="C1317" s="9"/>
      <c r="D1317" s="9"/>
      <c r="E1317" s="9"/>
      <c r="F1317" s="9"/>
      <c r="G1317" s="9"/>
      <c r="H1317" s="9"/>
      <c r="I1317" s="9"/>
      <c r="J1317" s="9"/>
      <c r="K1317" s="9"/>
      <c r="L1317" s="556"/>
      <c r="M1317" s="9"/>
      <c r="N1317" s="9"/>
      <c r="O1317" s="9"/>
      <c r="P1317" s="9"/>
      <c r="Q1317" s="9"/>
      <c r="R1317" s="9"/>
      <c r="S1317" s="9"/>
      <c r="T1317" s="9"/>
      <c r="U1317" s="9"/>
      <c r="V1317" s="9"/>
      <c r="W1317" s="9"/>
      <c r="X1317" s="589"/>
      <c r="Y1317" s="9"/>
      <c r="Z1317" s="204"/>
      <c r="AA1317" s="9"/>
      <c r="AB1317" s="9"/>
      <c r="AC1317" s="9"/>
      <c r="AD1317" s="9"/>
    </row>
    <row r="1318" ht="15.75" customHeight="1">
      <c r="A1318" s="9"/>
      <c r="B1318" s="9"/>
      <c r="C1318" s="9"/>
      <c r="D1318" s="9"/>
      <c r="E1318" s="9"/>
      <c r="F1318" s="9"/>
      <c r="G1318" s="9"/>
      <c r="H1318" s="9"/>
      <c r="I1318" s="9"/>
      <c r="J1318" s="9"/>
      <c r="K1318" s="9"/>
      <c r="L1318" s="556"/>
      <c r="M1318" s="9"/>
      <c r="N1318" s="9"/>
      <c r="O1318" s="9"/>
      <c r="P1318" s="9"/>
      <c r="Q1318" s="9"/>
      <c r="R1318" s="9"/>
      <c r="S1318" s="9"/>
      <c r="T1318" s="9"/>
      <c r="U1318" s="9"/>
      <c r="V1318" s="9"/>
      <c r="W1318" s="9"/>
      <c r="X1318" s="589"/>
      <c r="Y1318" s="9"/>
      <c r="Z1318" s="204"/>
      <c r="AA1318" s="9"/>
      <c r="AB1318" s="9"/>
      <c r="AC1318" s="9"/>
      <c r="AD1318" s="9"/>
    </row>
    <row r="1319" ht="15.75" customHeight="1">
      <c r="A1319" s="9"/>
      <c r="B1319" s="9"/>
      <c r="C1319" s="9"/>
      <c r="D1319" s="9"/>
      <c r="E1319" s="9"/>
      <c r="F1319" s="9"/>
      <c r="G1319" s="9"/>
      <c r="H1319" s="9"/>
      <c r="I1319" s="9"/>
      <c r="J1319" s="9"/>
      <c r="K1319" s="9"/>
      <c r="L1319" s="556"/>
      <c r="M1319" s="9"/>
      <c r="N1319" s="9"/>
      <c r="O1319" s="9"/>
      <c r="P1319" s="9"/>
      <c r="Q1319" s="9"/>
      <c r="R1319" s="9"/>
      <c r="S1319" s="9"/>
      <c r="T1319" s="9"/>
      <c r="U1319" s="9"/>
      <c r="V1319" s="9"/>
      <c r="W1319" s="9"/>
      <c r="X1319" s="589"/>
      <c r="Y1319" s="9"/>
      <c r="Z1319" s="204"/>
      <c r="AA1319" s="9"/>
      <c r="AB1319" s="9"/>
      <c r="AC1319" s="9"/>
      <c r="AD1319" s="9"/>
    </row>
    <row r="1320" ht="15.75" customHeight="1">
      <c r="A1320" s="9"/>
      <c r="B1320" s="9"/>
      <c r="C1320" s="9"/>
      <c r="D1320" s="9"/>
      <c r="E1320" s="9"/>
      <c r="F1320" s="9"/>
      <c r="G1320" s="9"/>
      <c r="H1320" s="9"/>
      <c r="I1320" s="9"/>
      <c r="J1320" s="9"/>
      <c r="K1320" s="9"/>
      <c r="L1320" s="556"/>
      <c r="M1320" s="9"/>
      <c r="N1320" s="9"/>
      <c r="O1320" s="9"/>
      <c r="P1320" s="9"/>
      <c r="Q1320" s="9"/>
      <c r="R1320" s="9"/>
      <c r="S1320" s="9"/>
      <c r="T1320" s="9"/>
      <c r="U1320" s="9"/>
      <c r="V1320" s="9"/>
      <c r="W1320" s="9"/>
      <c r="X1320" s="589"/>
      <c r="Y1320" s="9"/>
      <c r="Z1320" s="204"/>
      <c r="AA1320" s="9"/>
      <c r="AB1320" s="9"/>
      <c r="AC1320" s="9"/>
      <c r="AD1320" s="9"/>
    </row>
    <row r="1321" ht="15.75" customHeight="1">
      <c r="A1321" s="9"/>
      <c r="B1321" s="9"/>
      <c r="C1321" s="9"/>
      <c r="D1321" s="9"/>
      <c r="E1321" s="9"/>
      <c r="F1321" s="9"/>
      <c r="G1321" s="9"/>
      <c r="H1321" s="9"/>
      <c r="I1321" s="9"/>
      <c r="J1321" s="9"/>
      <c r="K1321" s="9"/>
      <c r="L1321" s="556"/>
      <c r="M1321" s="9"/>
      <c r="N1321" s="9"/>
      <c r="O1321" s="9"/>
      <c r="P1321" s="9"/>
      <c r="Q1321" s="9"/>
      <c r="R1321" s="9"/>
      <c r="S1321" s="9"/>
      <c r="T1321" s="9"/>
      <c r="U1321" s="9"/>
      <c r="V1321" s="9"/>
      <c r="W1321" s="9"/>
      <c r="X1321" s="589"/>
      <c r="Y1321" s="9"/>
      <c r="Z1321" s="204"/>
      <c r="AA1321" s="9"/>
      <c r="AB1321" s="9"/>
      <c r="AC1321" s="9"/>
      <c r="AD1321" s="9"/>
    </row>
    <row r="1322" ht="15.75" customHeight="1">
      <c r="A1322" s="9"/>
      <c r="B1322" s="9"/>
      <c r="C1322" s="9"/>
      <c r="D1322" s="9"/>
      <c r="E1322" s="9"/>
      <c r="F1322" s="9"/>
      <c r="G1322" s="9"/>
      <c r="H1322" s="9"/>
      <c r="I1322" s="9"/>
      <c r="J1322" s="9"/>
      <c r="K1322" s="9"/>
      <c r="L1322" s="556"/>
      <c r="M1322" s="9"/>
      <c r="N1322" s="9"/>
      <c r="O1322" s="9"/>
      <c r="P1322" s="9"/>
      <c r="Q1322" s="9"/>
      <c r="R1322" s="9"/>
      <c r="S1322" s="9"/>
      <c r="T1322" s="9"/>
      <c r="U1322" s="9"/>
      <c r="V1322" s="9"/>
      <c r="W1322" s="9"/>
      <c r="X1322" s="589"/>
      <c r="Y1322" s="9"/>
      <c r="Z1322" s="204"/>
      <c r="AA1322" s="9"/>
      <c r="AB1322" s="9"/>
      <c r="AC1322" s="9"/>
      <c r="AD1322" s="9"/>
    </row>
    <row r="1323" ht="15.75" customHeight="1">
      <c r="A1323" s="9"/>
      <c r="B1323" s="9"/>
      <c r="C1323" s="9"/>
      <c r="D1323" s="9"/>
      <c r="E1323" s="9"/>
      <c r="F1323" s="9"/>
      <c r="G1323" s="9"/>
      <c r="H1323" s="9"/>
      <c r="I1323" s="9"/>
      <c r="J1323" s="9"/>
      <c r="K1323" s="9"/>
      <c r="L1323" s="556"/>
      <c r="M1323" s="9"/>
      <c r="N1323" s="9"/>
      <c r="O1323" s="9"/>
      <c r="P1323" s="9"/>
      <c r="Q1323" s="9"/>
      <c r="R1323" s="9"/>
      <c r="S1323" s="9"/>
      <c r="T1323" s="9"/>
      <c r="U1323" s="9"/>
      <c r="V1323" s="9"/>
      <c r="W1323" s="9"/>
      <c r="X1323" s="589"/>
      <c r="Y1323" s="9"/>
      <c r="Z1323" s="204"/>
      <c r="AA1323" s="9"/>
      <c r="AB1323" s="9"/>
      <c r="AC1323" s="9"/>
      <c r="AD1323" s="9"/>
    </row>
    <row r="1324" ht="15.75" customHeight="1">
      <c r="A1324" s="9"/>
      <c r="B1324" s="9"/>
      <c r="C1324" s="9"/>
      <c r="D1324" s="9"/>
      <c r="E1324" s="9"/>
      <c r="F1324" s="9"/>
      <c r="G1324" s="9"/>
      <c r="H1324" s="9"/>
      <c r="I1324" s="9"/>
      <c r="J1324" s="9"/>
      <c r="K1324" s="9"/>
      <c r="L1324" s="556"/>
      <c r="M1324" s="9"/>
      <c r="N1324" s="9"/>
      <c r="O1324" s="9"/>
      <c r="P1324" s="9"/>
      <c r="Q1324" s="9"/>
      <c r="R1324" s="9"/>
      <c r="S1324" s="9"/>
      <c r="T1324" s="9"/>
      <c r="U1324" s="9"/>
      <c r="V1324" s="9"/>
      <c r="W1324" s="9"/>
      <c r="X1324" s="589"/>
      <c r="Y1324" s="9"/>
      <c r="Z1324" s="204"/>
      <c r="AA1324" s="9"/>
      <c r="AB1324" s="9"/>
      <c r="AC1324" s="9"/>
      <c r="AD1324" s="9"/>
    </row>
    <row r="1325" ht="15.75" customHeight="1">
      <c r="A1325" s="9"/>
      <c r="B1325" s="9"/>
      <c r="C1325" s="9"/>
      <c r="D1325" s="9"/>
      <c r="E1325" s="9"/>
      <c r="F1325" s="9"/>
      <c r="G1325" s="9"/>
      <c r="H1325" s="9"/>
      <c r="I1325" s="9"/>
      <c r="J1325" s="9"/>
      <c r="K1325" s="9"/>
      <c r="L1325" s="556"/>
      <c r="M1325" s="9"/>
      <c r="N1325" s="9"/>
      <c r="O1325" s="9"/>
      <c r="P1325" s="9"/>
      <c r="Q1325" s="9"/>
      <c r="R1325" s="9"/>
      <c r="S1325" s="9"/>
      <c r="T1325" s="9"/>
      <c r="U1325" s="9"/>
      <c r="V1325" s="9"/>
      <c r="W1325" s="9"/>
      <c r="X1325" s="589"/>
      <c r="Y1325" s="9"/>
      <c r="Z1325" s="204"/>
      <c r="AA1325" s="9"/>
      <c r="AB1325" s="9"/>
      <c r="AC1325" s="9"/>
      <c r="AD1325" s="9"/>
    </row>
    <row r="1326" ht="15.75" customHeight="1">
      <c r="A1326" s="9"/>
      <c r="B1326" s="9"/>
      <c r="C1326" s="9"/>
      <c r="D1326" s="9"/>
      <c r="E1326" s="9"/>
      <c r="F1326" s="9"/>
      <c r="G1326" s="9"/>
      <c r="H1326" s="9"/>
      <c r="I1326" s="9"/>
      <c r="J1326" s="9"/>
      <c r="K1326" s="9"/>
      <c r="L1326" s="556"/>
      <c r="M1326" s="9"/>
      <c r="N1326" s="9"/>
      <c r="O1326" s="9"/>
      <c r="P1326" s="9"/>
      <c r="Q1326" s="9"/>
      <c r="R1326" s="9"/>
      <c r="S1326" s="9"/>
      <c r="T1326" s="9"/>
      <c r="U1326" s="9"/>
      <c r="V1326" s="9"/>
      <c r="W1326" s="9"/>
      <c r="X1326" s="589"/>
      <c r="Y1326" s="9"/>
      <c r="Z1326" s="204"/>
      <c r="AA1326" s="9"/>
      <c r="AB1326" s="9"/>
      <c r="AC1326" s="9"/>
      <c r="AD1326" s="9"/>
    </row>
    <row r="1327" ht="15.75" customHeight="1">
      <c r="A1327" s="9"/>
      <c r="B1327" s="9"/>
      <c r="C1327" s="9"/>
      <c r="D1327" s="9"/>
      <c r="E1327" s="9"/>
      <c r="F1327" s="9"/>
      <c r="G1327" s="9"/>
      <c r="H1327" s="9"/>
      <c r="I1327" s="9"/>
      <c r="J1327" s="9"/>
      <c r="K1327" s="9"/>
      <c r="L1327" s="556"/>
      <c r="M1327" s="9"/>
      <c r="N1327" s="9"/>
      <c r="O1327" s="9"/>
      <c r="P1327" s="9"/>
      <c r="Q1327" s="9"/>
      <c r="R1327" s="9"/>
      <c r="S1327" s="9"/>
      <c r="T1327" s="9"/>
      <c r="U1327" s="9"/>
      <c r="V1327" s="9"/>
      <c r="W1327" s="9"/>
      <c r="X1327" s="589"/>
      <c r="Y1327" s="9"/>
      <c r="Z1327" s="204"/>
      <c r="AA1327" s="9"/>
      <c r="AB1327" s="9"/>
      <c r="AC1327" s="9"/>
      <c r="AD1327" s="9"/>
    </row>
    <row r="1328" ht="15.75" customHeight="1">
      <c r="A1328" s="9"/>
      <c r="B1328" s="9"/>
      <c r="C1328" s="9"/>
      <c r="D1328" s="9"/>
      <c r="E1328" s="9"/>
      <c r="F1328" s="9"/>
      <c r="G1328" s="9"/>
      <c r="H1328" s="9"/>
      <c r="I1328" s="9"/>
      <c r="J1328" s="9"/>
      <c r="K1328" s="9"/>
      <c r="L1328" s="556"/>
      <c r="M1328" s="9"/>
      <c r="N1328" s="9"/>
      <c r="O1328" s="9"/>
      <c r="P1328" s="9"/>
      <c r="Q1328" s="9"/>
      <c r="R1328" s="9"/>
      <c r="S1328" s="9"/>
      <c r="T1328" s="9"/>
      <c r="U1328" s="9"/>
      <c r="V1328" s="9"/>
      <c r="W1328" s="9"/>
      <c r="X1328" s="589"/>
      <c r="Y1328" s="9"/>
      <c r="Z1328" s="204"/>
      <c r="AA1328" s="9"/>
      <c r="AB1328" s="9"/>
      <c r="AC1328" s="9"/>
      <c r="AD1328" s="9"/>
    </row>
    <row r="1329" ht="15.75" customHeight="1">
      <c r="A1329" s="9"/>
      <c r="B1329" s="9"/>
      <c r="C1329" s="9"/>
      <c r="D1329" s="9"/>
      <c r="E1329" s="9"/>
      <c r="F1329" s="9"/>
      <c r="G1329" s="9"/>
      <c r="H1329" s="9"/>
      <c r="I1329" s="9"/>
      <c r="J1329" s="9"/>
      <c r="K1329" s="9"/>
      <c r="L1329" s="556"/>
      <c r="M1329" s="9"/>
      <c r="N1329" s="9"/>
      <c r="O1329" s="9"/>
      <c r="P1329" s="9"/>
      <c r="Q1329" s="9"/>
      <c r="R1329" s="9"/>
      <c r="S1329" s="9"/>
      <c r="T1329" s="9"/>
      <c r="U1329" s="9"/>
      <c r="V1329" s="9"/>
      <c r="W1329" s="9"/>
      <c r="X1329" s="589"/>
      <c r="Y1329" s="9"/>
      <c r="Z1329" s="204"/>
      <c r="AA1329" s="9"/>
      <c r="AB1329" s="9"/>
      <c r="AC1329" s="9"/>
      <c r="AD1329" s="9"/>
    </row>
    <row r="1330" ht="15.75" customHeight="1">
      <c r="A1330" s="9"/>
      <c r="B1330" s="9"/>
      <c r="C1330" s="9"/>
      <c r="D1330" s="9"/>
      <c r="E1330" s="9"/>
      <c r="F1330" s="9"/>
      <c r="G1330" s="9"/>
      <c r="H1330" s="9"/>
      <c r="I1330" s="9"/>
      <c r="J1330" s="9"/>
      <c r="K1330" s="9"/>
      <c r="L1330" s="556"/>
      <c r="M1330" s="9"/>
      <c r="N1330" s="9"/>
      <c r="O1330" s="9"/>
      <c r="P1330" s="9"/>
      <c r="Q1330" s="9"/>
      <c r="R1330" s="9"/>
      <c r="S1330" s="9"/>
      <c r="T1330" s="9"/>
      <c r="U1330" s="9"/>
      <c r="V1330" s="9"/>
      <c r="W1330" s="9"/>
      <c r="X1330" s="589"/>
      <c r="Y1330" s="9"/>
      <c r="Z1330" s="204"/>
      <c r="AA1330" s="9"/>
      <c r="AB1330" s="9"/>
      <c r="AC1330" s="9"/>
      <c r="AD1330" s="9"/>
    </row>
    <row r="1331" ht="15.75" customHeight="1">
      <c r="A1331" s="9"/>
      <c r="B1331" s="9"/>
      <c r="C1331" s="9"/>
      <c r="D1331" s="9"/>
      <c r="E1331" s="9"/>
      <c r="F1331" s="9"/>
      <c r="G1331" s="9"/>
      <c r="H1331" s="9"/>
      <c r="I1331" s="9"/>
      <c r="J1331" s="9"/>
      <c r="K1331" s="9"/>
      <c r="L1331" s="556"/>
      <c r="M1331" s="9"/>
      <c r="N1331" s="9"/>
      <c r="O1331" s="9"/>
      <c r="P1331" s="9"/>
      <c r="Q1331" s="9"/>
      <c r="R1331" s="9"/>
      <c r="S1331" s="9"/>
      <c r="T1331" s="9"/>
      <c r="U1331" s="9"/>
      <c r="V1331" s="9"/>
      <c r="W1331" s="9"/>
      <c r="X1331" s="589"/>
      <c r="Y1331" s="9"/>
      <c r="Z1331" s="204"/>
      <c r="AA1331" s="9"/>
      <c r="AB1331" s="9"/>
      <c r="AC1331" s="9"/>
      <c r="AD1331" s="9"/>
    </row>
    <row r="1332" ht="15.75" customHeight="1">
      <c r="A1332" s="9"/>
      <c r="B1332" s="9"/>
      <c r="C1332" s="9"/>
      <c r="D1332" s="9"/>
      <c r="E1332" s="9"/>
      <c r="F1332" s="9"/>
      <c r="G1332" s="9"/>
      <c r="H1332" s="9"/>
      <c r="I1332" s="9"/>
      <c r="J1332" s="9"/>
      <c r="K1332" s="9"/>
      <c r="L1332" s="556"/>
      <c r="M1332" s="9"/>
      <c r="N1332" s="9"/>
      <c r="O1332" s="9"/>
      <c r="P1332" s="9"/>
      <c r="Q1332" s="9"/>
      <c r="R1332" s="9"/>
      <c r="S1332" s="9"/>
      <c r="T1332" s="9"/>
      <c r="U1332" s="9"/>
      <c r="V1332" s="9"/>
      <c r="W1332" s="9"/>
      <c r="X1332" s="589"/>
      <c r="Y1332" s="9"/>
      <c r="Z1332" s="204"/>
      <c r="AA1332" s="9"/>
      <c r="AB1332" s="9"/>
      <c r="AC1332" s="9"/>
      <c r="AD1332" s="9"/>
    </row>
    <row r="1333" ht="15.75" customHeight="1">
      <c r="A1333" s="9"/>
      <c r="B1333" s="9"/>
      <c r="C1333" s="9"/>
      <c r="D1333" s="9"/>
      <c r="E1333" s="9"/>
      <c r="F1333" s="9"/>
      <c r="G1333" s="9"/>
      <c r="H1333" s="9"/>
      <c r="I1333" s="9"/>
      <c r="J1333" s="9"/>
      <c r="K1333" s="9"/>
      <c r="L1333" s="556"/>
      <c r="M1333" s="9"/>
      <c r="N1333" s="9"/>
      <c r="O1333" s="9"/>
      <c r="P1333" s="9"/>
      <c r="Q1333" s="9"/>
      <c r="R1333" s="9"/>
      <c r="S1333" s="9"/>
      <c r="T1333" s="9"/>
      <c r="U1333" s="9"/>
      <c r="V1333" s="9"/>
      <c r="W1333" s="9"/>
      <c r="X1333" s="589"/>
      <c r="Y1333" s="9"/>
      <c r="Z1333" s="204"/>
      <c r="AA1333" s="9"/>
      <c r="AB1333" s="9"/>
      <c r="AC1333" s="9"/>
      <c r="AD1333" s="9"/>
    </row>
    <row r="1334" ht="15.75" customHeight="1">
      <c r="A1334" s="9"/>
      <c r="B1334" s="9"/>
      <c r="C1334" s="9"/>
      <c r="D1334" s="9"/>
      <c r="E1334" s="9"/>
      <c r="F1334" s="9"/>
      <c r="G1334" s="9"/>
      <c r="H1334" s="9"/>
      <c r="I1334" s="9"/>
      <c r="J1334" s="9"/>
      <c r="K1334" s="9"/>
      <c r="L1334" s="556"/>
      <c r="M1334" s="9"/>
      <c r="N1334" s="9"/>
      <c r="O1334" s="9"/>
      <c r="P1334" s="9"/>
      <c r="Q1334" s="9"/>
      <c r="R1334" s="9"/>
      <c r="S1334" s="9"/>
      <c r="T1334" s="9"/>
      <c r="U1334" s="9"/>
      <c r="V1334" s="9"/>
      <c r="W1334" s="9"/>
      <c r="X1334" s="589"/>
      <c r="Y1334" s="9"/>
      <c r="Z1334" s="204"/>
      <c r="AA1334" s="9"/>
      <c r="AB1334" s="9"/>
      <c r="AC1334" s="9"/>
      <c r="AD1334" s="9"/>
    </row>
    <row r="1335" ht="15.75" customHeight="1">
      <c r="A1335" s="9"/>
      <c r="B1335" s="9"/>
      <c r="C1335" s="9"/>
      <c r="D1335" s="9"/>
      <c r="E1335" s="9"/>
      <c r="F1335" s="9"/>
      <c r="G1335" s="9"/>
      <c r="H1335" s="9"/>
      <c r="I1335" s="9"/>
      <c r="J1335" s="9"/>
      <c r="K1335" s="9"/>
      <c r="L1335" s="556"/>
      <c r="M1335" s="9"/>
      <c r="N1335" s="9"/>
      <c r="O1335" s="9"/>
      <c r="P1335" s="9"/>
      <c r="Q1335" s="9"/>
      <c r="R1335" s="9"/>
      <c r="S1335" s="9"/>
      <c r="T1335" s="9"/>
      <c r="U1335" s="9"/>
      <c r="V1335" s="9"/>
      <c r="W1335" s="9"/>
      <c r="X1335" s="589"/>
      <c r="Y1335" s="9"/>
      <c r="Z1335" s="204"/>
      <c r="AA1335" s="9"/>
      <c r="AB1335" s="9"/>
      <c r="AC1335" s="9"/>
      <c r="AD1335" s="9"/>
    </row>
    <row r="1336" ht="15.75" customHeight="1">
      <c r="A1336" s="9"/>
      <c r="B1336" s="9"/>
      <c r="C1336" s="9"/>
      <c r="D1336" s="9"/>
      <c r="E1336" s="9"/>
      <c r="F1336" s="9"/>
      <c r="G1336" s="9"/>
      <c r="H1336" s="9"/>
      <c r="I1336" s="9"/>
      <c r="J1336" s="9"/>
      <c r="K1336" s="9"/>
      <c r="L1336" s="556"/>
      <c r="M1336" s="9"/>
      <c r="N1336" s="9"/>
      <c r="O1336" s="9"/>
      <c r="P1336" s="9"/>
      <c r="Q1336" s="9"/>
      <c r="R1336" s="9"/>
      <c r="S1336" s="9"/>
      <c r="T1336" s="9"/>
      <c r="U1336" s="9"/>
      <c r="V1336" s="9"/>
      <c r="W1336" s="9"/>
      <c r="X1336" s="589"/>
      <c r="Y1336" s="9"/>
      <c r="Z1336" s="204"/>
      <c r="AA1336" s="9"/>
      <c r="AB1336" s="9"/>
      <c r="AC1336" s="9"/>
      <c r="AD1336" s="9"/>
    </row>
    <row r="1337" ht="15.75" customHeight="1">
      <c r="A1337" s="9"/>
      <c r="B1337" s="9"/>
      <c r="C1337" s="9"/>
      <c r="D1337" s="9"/>
      <c r="E1337" s="9"/>
      <c r="F1337" s="9"/>
      <c r="G1337" s="9"/>
      <c r="H1337" s="9"/>
      <c r="I1337" s="9"/>
      <c r="J1337" s="9"/>
      <c r="K1337" s="9"/>
      <c r="L1337" s="556"/>
      <c r="M1337" s="9"/>
      <c r="N1337" s="9"/>
      <c r="O1337" s="9"/>
      <c r="P1337" s="9"/>
      <c r="Q1337" s="9"/>
      <c r="R1337" s="9"/>
      <c r="S1337" s="9"/>
      <c r="T1337" s="9"/>
      <c r="U1337" s="9"/>
      <c r="V1337" s="9"/>
      <c r="W1337" s="9"/>
      <c r="X1337" s="589"/>
      <c r="Y1337" s="9"/>
      <c r="Z1337" s="204"/>
      <c r="AA1337" s="9"/>
      <c r="AB1337" s="9"/>
      <c r="AC1337" s="9"/>
      <c r="AD1337" s="9"/>
    </row>
    <row r="1338" ht="15.75" customHeight="1">
      <c r="A1338" s="9"/>
      <c r="B1338" s="9"/>
      <c r="C1338" s="9"/>
      <c r="D1338" s="9"/>
      <c r="E1338" s="9"/>
      <c r="F1338" s="9"/>
      <c r="G1338" s="9"/>
      <c r="H1338" s="9"/>
      <c r="I1338" s="9"/>
      <c r="J1338" s="9"/>
      <c r="K1338" s="9"/>
      <c r="L1338" s="556"/>
      <c r="M1338" s="9"/>
      <c r="N1338" s="9"/>
      <c r="O1338" s="9"/>
      <c r="P1338" s="9"/>
      <c r="Q1338" s="9"/>
      <c r="R1338" s="9"/>
      <c r="S1338" s="9"/>
      <c r="T1338" s="9"/>
      <c r="U1338" s="9"/>
      <c r="V1338" s="9"/>
      <c r="W1338" s="9"/>
      <c r="X1338" s="589"/>
      <c r="Y1338" s="9"/>
      <c r="Z1338" s="204"/>
      <c r="AA1338" s="9"/>
      <c r="AB1338" s="9"/>
      <c r="AC1338" s="9"/>
      <c r="AD1338" s="9"/>
    </row>
    <row r="1339" ht="15.75" customHeight="1">
      <c r="A1339" s="9"/>
      <c r="B1339" s="9"/>
      <c r="C1339" s="9"/>
      <c r="D1339" s="9"/>
      <c r="E1339" s="9"/>
      <c r="F1339" s="9"/>
      <c r="G1339" s="9"/>
      <c r="H1339" s="9"/>
      <c r="I1339" s="9"/>
      <c r="J1339" s="9"/>
      <c r="K1339" s="9"/>
      <c r="L1339" s="556"/>
      <c r="M1339" s="9"/>
      <c r="N1339" s="9"/>
      <c r="O1339" s="9"/>
      <c r="P1339" s="9"/>
      <c r="Q1339" s="9"/>
      <c r="R1339" s="9"/>
      <c r="S1339" s="9"/>
      <c r="T1339" s="9"/>
      <c r="U1339" s="9"/>
      <c r="V1339" s="9"/>
      <c r="W1339" s="9"/>
      <c r="X1339" s="589"/>
      <c r="Y1339" s="9"/>
      <c r="Z1339" s="204"/>
      <c r="AA1339" s="9"/>
      <c r="AB1339" s="9"/>
      <c r="AC1339" s="9"/>
      <c r="AD1339" s="9"/>
    </row>
  </sheetData>
  <mergeCells count="1774">
    <mergeCell ref="L9:L11"/>
    <mergeCell ref="M9:M11"/>
    <mergeCell ref="N9:N11"/>
    <mergeCell ref="O9:O11"/>
    <mergeCell ref="P9:P11"/>
    <mergeCell ref="Q9:Q11"/>
    <mergeCell ref="R9:R11"/>
    <mergeCell ref="A9:A11"/>
    <mergeCell ref="B9:B11"/>
    <mergeCell ref="C9:C11"/>
    <mergeCell ref="D9:D11"/>
    <mergeCell ref="E9:E11"/>
    <mergeCell ref="F9:F11"/>
    <mergeCell ref="K9:K11"/>
    <mergeCell ref="S12:S15"/>
    <mergeCell ref="T12:T15"/>
    <mergeCell ref="L12:L15"/>
    <mergeCell ref="M12:M15"/>
    <mergeCell ref="N12:N15"/>
    <mergeCell ref="O12:O15"/>
    <mergeCell ref="P12:P15"/>
    <mergeCell ref="Q12:Q15"/>
    <mergeCell ref="R12:R15"/>
    <mergeCell ref="V12:V15"/>
    <mergeCell ref="W12:W15"/>
    <mergeCell ref="A12:A15"/>
    <mergeCell ref="B12:B15"/>
    <mergeCell ref="C12:C15"/>
    <mergeCell ref="D12:D15"/>
    <mergeCell ref="E12:E15"/>
    <mergeCell ref="F12:F15"/>
    <mergeCell ref="K12:K15"/>
    <mergeCell ref="S21:S23"/>
    <mergeCell ref="T21:T23"/>
    <mergeCell ref="L21:L23"/>
    <mergeCell ref="M21:M23"/>
    <mergeCell ref="N21:N23"/>
    <mergeCell ref="O21:O23"/>
    <mergeCell ref="P21:P23"/>
    <mergeCell ref="Q21:Q23"/>
    <mergeCell ref="R21:R23"/>
    <mergeCell ref="G2:J2"/>
    <mergeCell ref="K2:Q2"/>
    <mergeCell ref="R2:T2"/>
    <mergeCell ref="U2:V2"/>
    <mergeCell ref="W2:W3"/>
    <mergeCell ref="X2:X3"/>
    <mergeCell ref="P3:Q3"/>
    <mergeCell ref="A1:G1"/>
    <mergeCell ref="A2:A3"/>
    <mergeCell ref="B2:B3"/>
    <mergeCell ref="C2:C3"/>
    <mergeCell ref="D2:D3"/>
    <mergeCell ref="E2:E3"/>
    <mergeCell ref="F2:F3"/>
    <mergeCell ref="S4:S6"/>
    <mergeCell ref="T4:T6"/>
    <mergeCell ref="U4:U6"/>
    <mergeCell ref="V4:V6"/>
    <mergeCell ref="W4:W6"/>
    <mergeCell ref="X4:X6"/>
    <mergeCell ref="L4:L6"/>
    <mergeCell ref="M4:M6"/>
    <mergeCell ref="N4:N6"/>
    <mergeCell ref="O4:O6"/>
    <mergeCell ref="P4:P6"/>
    <mergeCell ref="Q4:Q6"/>
    <mergeCell ref="R4:R6"/>
    <mergeCell ref="A4:A6"/>
    <mergeCell ref="B4:B6"/>
    <mergeCell ref="C4:C6"/>
    <mergeCell ref="D4:D6"/>
    <mergeCell ref="E4:E6"/>
    <mergeCell ref="F4:F6"/>
    <mergeCell ref="K4:K6"/>
    <mergeCell ref="S9:S11"/>
    <mergeCell ref="T9:T11"/>
    <mergeCell ref="U9:U11"/>
    <mergeCell ref="V9:V11"/>
    <mergeCell ref="W9:W11"/>
    <mergeCell ref="X9:X11"/>
    <mergeCell ref="U12:U15"/>
    <mergeCell ref="X12:X15"/>
    <mergeCell ref="U21:U23"/>
    <mergeCell ref="V21:V23"/>
    <mergeCell ref="W21:W23"/>
    <mergeCell ref="X21:X23"/>
    <mergeCell ref="A21:A23"/>
    <mergeCell ref="B21:B23"/>
    <mergeCell ref="C21:C23"/>
    <mergeCell ref="D21:D23"/>
    <mergeCell ref="E21:E23"/>
    <mergeCell ref="F21:F23"/>
    <mergeCell ref="K21:K23"/>
    <mergeCell ref="S24:S26"/>
    <mergeCell ref="T24:T26"/>
    <mergeCell ref="U24:U26"/>
    <mergeCell ref="V24:V26"/>
    <mergeCell ref="W24:W26"/>
    <mergeCell ref="X24:X26"/>
    <mergeCell ref="L24:L26"/>
    <mergeCell ref="M24:M26"/>
    <mergeCell ref="N24:N26"/>
    <mergeCell ref="O24:O26"/>
    <mergeCell ref="P24:P26"/>
    <mergeCell ref="Q24:Q26"/>
    <mergeCell ref="R24:R26"/>
    <mergeCell ref="A24:A26"/>
    <mergeCell ref="B24:B26"/>
    <mergeCell ref="C24:C26"/>
    <mergeCell ref="D24:D26"/>
    <mergeCell ref="E24:E26"/>
    <mergeCell ref="F24:F26"/>
    <mergeCell ref="K24:K26"/>
    <mergeCell ref="S39:S42"/>
    <mergeCell ref="T39:T42"/>
    <mergeCell ref="U39:U42"/>
    <mergeCell ref="V39:V42"/>
    <mergeCell ref="W39:W42"/>
    <mergeCell ref="X39:X42"/>
    <mergeCell ref="L39:L42"/>
    <mergeCell ref="M39:M42"/>
    <mergeCell ref="N39:N42"/>
    <mergeCell ref="O39:O42"/>
    <mergeCell ref="P39:P42"/>
    <mergeCell ref="Q39:Q42"/>
    <mergeCell ref="R39:R42"/>
    <mergeCell ref="A39:A42"/>
    <mergeCell ref="B39:B42"/>
    <mergeCell ref="C39:C42"/>
    <mergeCell ref="D39:D42"/>
    <mergeCell ref="E39:E42"/>
    <mergeCell ref="F39:F42"/>
    <mergeCell ref="K39:K42"/>
    <mergeCell ref="S66:S67"/>
    <mergeCell ref="T66:T67"/>
    <mergeCell ref="L66:L67"/>
    <mergeCell ref="M66:M67"/>
    <mergeCell ref="N66:N67"/>
    <mergeCell ref="O66:O67"/>
    <mergeCell ref="P66:P67"/>
    <mergeCell ref="Q66:Q67"/>
    <mergeCell ref="R66:R67"/>
    <mergeCell ref="S71:S72"/>
    <mergeCell ref="T71:T72"/>
    <mergeCell ref="L71:L72"/>
    <mergeCell ref="M71:M72"/>
    <mergeCell ref="N71:N72"/>
    <mergeCell ref="O71:O72"/>
    <mergeCell ref="P71:P72"/>
    <mergeCell ref="Q71:Q72"/>
    <mergeCell ref="R71:R72"/>
    <mergeCell ref="S81:S82"/>
    <mergeCell ref="T81:T82"/>
    <mergeCell ref="U81:U82"/>
    <mergeCell ref="V81:V82"/>
    <mergeCell ref="W81:W82"/>
    <mergeCell ref="X81:X82"/>
    <mergeCell ref="L81:L82"/>
    <mergeCell ref="M81:M82"/>
    <mergeCell ref="N81:N82"/>
    <mergeCell ref="O81:O82"/>
    <mergeCell ref="P81:P82"/>
    <mergeCell ref="Q81:Q82"/>
    <mergeCell ref="R81:R82"/>
    <mergeCell ref="A81:A82"/>
    <mergeCell ref="B81:B82"/>
    <mergeCell ref="C81:C82"/>
    <mergeCell ref="D81:D82"/>
    <mergeCell ref="E81:E82"/>
    <mergeCell ref="F81:F82"/>
    <mergeCell ref="K81:K82"/>
    <mergeCell ref="S84:S86"/>
    <mergeCell ref="T84:T86"/>
    <mergeCell ref="U84:U86"/>
    <mergeCell ref="V84:V86"/>
    <mergeCell ref="W84:W86"/>
    <mergeCell ref="X84:X86"/>
    <mergeCell ref="U110:U118"/>
    <mergeCell ref="V110:V118"/>
    <mergeCell ref="W110:W118"/>
    <mergeCell ref="X110:X118"/>
    <mergeCell ref="A110:A118"/>
    <mergeCell ref="B110:B118"/>
    <mergeCell ref="C110:C118"/>
    <mergeCell ref="D110:D118"/>
    <mergeCell ref="E110:E118"/>
    <mergeCell ref="F110:F118"/>
    <mergeCell ref="K110:K118"/>
    <mergeCell ref="S119:S121"/>
    <mergeCell ref="T119:T121"/>
    <mergeCell ref="U119:U121"/>
    <mergeCell ref="V119:V121"/>
    <mergeCell ref="W119:W121"/>
    <mergeCell ref="X119:X121"/>
    <mergeCell ref="L119:L121"/>
    <mergeCell ref="M119:M121"/>
    <mergeCell ref="N119:N121"/>
    <mergeCell ref="O119:O121"/>
    <mergeCell ref="P119:P121"/>
    <mergeCell ref="Q119:Q121"/>
    <mergeCell ref="R119:R121"/>
    <mergeCell ref="A119:A121"/>
    <mergeCell ref="B119:B121"/>
    <mergeCell ref="C119:C121"/>
    <mergeCell ref="D119:D121"/>
    <mergeCell ref="E119:E121"/>
    <mergeCell ref="F119:F121"/>
    <mergeCell ref="K119:K121"/>
    <mergeCell ref="S139:S140"/>
    <mergeCell ref="T139:T140"/>
    <mergeCell ref="U139:U140"/>
    <mergeCell ref="V139:V140"/>
    <mergeCell ref="W139:W140"/>
    <mergeCell ref="X139:X140"/>
    <mergeCell ref="L139:L140"/>
    <mergeCell ref="M139:M140"/>
    <mergeCell ref="N139:N140"/>
    <mergeCell ref="O139:O140"/>
    <mergeCell ref="P139:P140"/>
    <mergeCell ref="Q139:Q140"/>
    <mergeCell ref="R139:R140"/>
    <mergeCell ref="A139:A140"/>
    <mergeCell ref="B139:B140"/>
    <mergeCell ref="C139:C140"/>
    <mergeCell ref="D139:D140"/>
    <mergeCell ref="E139:E140"/>
    <mergeCell ref="F139:F140"/>
    <mergeCell ref="K139:K140"/>
    <mergeCell ref="S167:S169"/>
    <mergeCell ref="T167:T169"/>
    <mergeCell ref="L167:L169"/>
    <mergeCell ref="M167:M169"/>
    <mergeCell ref="N167:N169"/>
    <mergeCell ref="O167:O169"/>
    <mergeCell ref="P167:P169"/>
    <mergeCell ref="Q167:Q169"/>
    <mergeCell ref="R167:R169"/>
    <mergeCell ref="S151:S156"/>
    <mergeCell ref="T151:T156"/>
    <mergeCell ref="U151:U156"/>
    <mergeCell ref="V151:V156"/>
    <mergeCell ref="W151:W156"/>
    <mergeCell ref="X151:X156"/>
    <mergeCell ref="L151:L156"/>
    <mergeCell ref="M151:M156"/>
    <mergeCell ref="N151:N156"/>
    <mergeCell ref="O151:O156"/>
    <mergeCell ref="P151:P156"/>
    <mergeCell ref="Q151:Q156"/>
    <mergeCell ref="R151:R156"/>
    <mergeCell ref="A151:A156"/>
    <mergeCell ref="B151:B156"/>
    <mergeCell ref="C151:C156"/>
    <mergeCell ref="D151:D156"/>
    <mergeCell ref="E151:E156"/>
    <mergeCell ref="F151:F156"/>
    <mergeCell ref="K151:K156"/>
    <mergeCell ref="S159:S160"/>
    <mergeCell ref="T159:T160"/>
    <mergeCell ref="U159:U160"/>
    <mergeCell ref="V159:V160"/>
    <mergeCell ref="W159:W160"/>
    <mergeCell ref="X159:X160"/>
    <mergeCell ref="L159:L160"/>
    <mergeCell ref="M159:M160"/>
    <mergeCell ref="N159:N160"/>
    <mergeCell ref="O159:O160"/>
    <mergeCell ref="P159:P160"/>
    <mergeCell ref="Q159:Q160"/>
    <mergeCell ref="R159:R160"/>
    <mergeCell ref="A159:A160"/>
    <mergeCell ref="B159:B160"/>
    <mergeCell ref="C159:C160"/>
    <mergeCell ref="D159:D160"/>
    <mergeCell ref="E159:E160"/>
    <mergeCell ref="F159:F160"/>
    <mergeCell ref="K159:K160"/>
    <mergeCell ref="U167:U169"/>
    <mergeCell ref="V167:V169"/>
    <mergeCell ref="W167:W169"/>
    <mergeCell ref="X167:X169"/>
    <mergeCell ref="U66:U67"/>
    <mergeCell ref="V66:V67"/>
    <mergeCell ref="W66:W67"/>
    <mergeCell ref="X66:X67"/>
    <mergeCell ref="A66:A67"/>
    <mergeCell ref="B66:B67"/>
    <mergeCell ref="C66:C67"/>
    <mergeCell ref="D66:D67"/>
    <mergeCell ref="E66:E67"/>
    <mergeCell ref="F66:F67"/>
    <mergeCell ref="K66:K67"/>
    <mergeCell ref="S46:S48"/>
    <mergeCell ref="T46:T48"/>
    <mergeCell ref="U46:U48"/>
    <mergeCell ref="V46:V48"/>
    <mergeCell ref="W46:W48"/>
    <mergeCell ref="X46:X48"/>
    <mergeCell ref="L46:L48"/>
    <mergeCell ref="M46:M48"/>
    <mergeCell ref="N46:N48"/>
    <mergeCell ref="O46:O48"/>
    <mergeCell ref="P46:P48"/>
    <mergeCell ref="Q46:Q48"/>
    <mergeCell ref="R46:R48"/>
    <mergeCell ref="A46:A48"/>
    <mergeCell ref="B46:B48"/>
    <mergeCell ref="C46:C48"/>
    <mergeCell ref="D46:D48"/>
    <mergeCell ref="E46:E48"/>
    <mergeCell ref="F46:F48"/>
    <mergeCell ref="K46:K48"/>
    <mergeCell ref="S58:S59"/>
    <mergeCell ref="T58:T59"/>
    <mergeCell ref="U58:U59"/>
    <mergeCell ref="V58:V59"/>
    <mergeCell ref="W58:W59"/>
    <mergeCell ref="X58:X59"/>
    <mergeCell ref="L58:L59"/>
    <mergeCell ref="M58:M59"/>
    <mergeCell ref="N58:N59"/>
    <mergeCell ref="O58:O59"/>
    <mergeCell ref="P58:P59"/>
    <mergeCell ref="Q58:Q59"/>
    <mergeCell ref="R58:R59"/>
    <mergeCell ref="A58:A59"/>
    <mergeCell ref="B58:B59"/>
    <mergeCell ref="C58:C59"/>
    <mergeCell ref="D58:D59"/>
    <mergeCell ref="E58:E59"/>
    <mergeCell ref="F58:F59"/>
    <mergeCell ref="K58:K59"/>
    <mergeCell ref="U71:U72"/>
    <mergeCell ref="V71:V72"/>
    <mergeCell ref="W71:W72"/>
    <mergeCell ref="X71:X72"/>
    <mergeCell ref="A71:A72"/>
    <mergeCell ref="B71:B72"/>
    <mergeCell ref="C71:C72"/>
    <mergeCell ref="D71:D72"/>
    <mergeCell ref="E71:E72"/>
    <mergeCell ref="F71:F72"/>
    <mergeCell ref="K71:K72"/>
    <mergeCell ref="L84:L86"/>
    <mergeCell ref="M84:M86"/>
    <mergeCell ref="N84:N86"/>
    <mergeCell ref="O84:O86"/>
    <mergeCell ref="P84:P86"/>
    <mergeCell ref="Q84:Q86"/>
    <mergeCell ref="R84:R86"/>
    <mergeCell ref="A84:A86"/>
    <mergeCell ref="B84:B86"/>
    <mergeCell ref="C84:C86"/>
    <mergeCell ref="D84:D86"/>
    <mergeCell ref="E84:E86"/>
    <mergeCell ref="F84:F86"/>
    <mergeCell ref="K84:K86"/>
    <mergeCell ref="S104:S109"/>
    <mergeCell ref="T104:T109"/>
    <mergeCell ref="L104:L109"/>
    <mergeCell ref="M104:M109"/>
    <mergeCell ref="N104:N109"/>
    <mergeCell ref="O104:O109"/>
    <mergeCell ref="P104:P109"/>
    <mergeCell ref="Q104:Q109"/>
    <mergeCell ref="R104:R109"/>
    <mergeCell ref="U104:U109"/>
    <mergeCell ref="V104:V109"/>
    <mergeCell ref="W104:W109"/>
    <mergeCell ref="X104:X109"/>
    <mergeCell ref="A104:A109"/>
    <mergeCell ref="B104:B109"/>
    <mergeCell ref="C104:C109"/>
    <mergeCell ref="D104:D109"/>
    <mergeCell ref="E104:E109"/>
    <mergeCell ref="F104:F109"/>
    <mergeCell ref="K104:K109"/>
    <mergeCell ref="S110:S118"/>
    <mergeCell ref="T110:T118"/>
    <mergeCell ref="L110:L118"/>
    <mergeCell ref="M110:M118"/>
    <mergeCell ref="N110:N118"/>
    <mergeCell ref="O110:O118"/>
    <mergeCell ref="P110:P118"/>
    <mergeCell ref="Q110:Q118"/>
    <mergeCell ref="R110:R118"/>
    <mergeCell ref="A167:A169"/>
    <mergeCell ref="B167:B169"/>
    <mergeCell ref="C167:C169"/>
    <mergeCell ref="D167:D169"/>
    <mergeCell ref="E167:E169"/>
    <mergeCell ref="F167:F169"/>
    <mergeCell ref="K167:K169"/>
    <mergeCell ref="S170:S172"/>
    <mergeCell ref="T170:T172"/>
    <mergeCell ref="U170:U172"/>
    <mergeCell ref="V170:V172"/>
    <mergeCell ref="W170:W172"/>
    <mergeCell ref="X170:X172"/>
    <mergeCell ref="L170:L172"/>
    <mergeCell ref="M170:M172"/>
    <mergeCell ref="N170:N172"/>
    <mergeCell ref="O170:O172"/>
    <mergeCell ref="P170:P172"/>
    <mergeCell ref="Q170:Q172"/>
    <mergeCell ref="R170:R172"/>
    <mergeCell ref="A170:A172"/>
    <mergeCell ref="B170:B172"/>
    <mergeCell ref="C170:C172"/>
    <mergeCell ref="D170:D172"/>
    <mergeCell ref="E170:E172"/>
    <mergeCell ref="F170:F172"/>
    <mergeCell ref="K170:K172"/>
    <mergeCell ref="S176:S177"/>
    <mergeCell ref="T176:T177"/>
    <mergeCell ref="W176:W177"/>
    <mergeCell ref="X176:X177"/>
    <mergeCell ref="L176:L177"/>
    <mergeCell ref="M176:M177"/>
    <mergeCell ref="N176:N177"/>
    <mergeCell ref="O176:O177"/>
    <mergeCell ref="P176:P177"/>
    <mergeCell ref="Q176:Q177"/>
    <mergeCell ref="R176:R177"/>
    <mergeCell ref="A176:A177"/>
    <mergeCell ref="B176:B177"/>
    <mergeCell ref="C176:C177"/>
    <mergeCell ref="D176:D177"/>
    <mergeCell ref="E176:E177"/>
    <mergeCell ref="F176:F177"/>
    <mergeCell ref="K176:K177"/>
    <mergeCell ref="O178:O180"/>
    <mergeCell ref="P178:P180"/>
    <mergeCell ref="Q178:Q180"/>
    <mergeCell ref="R178:R180"/>
    <mergeCell ref="S178:S180"/>
    <mergeCell ref="T178:T180"/>
    <mergeCell ref="W178:W180"/>
    <mergeCell ref="X178:X180"/>
    <mergeCell ref="H178:H180"/>
    <mergeCell ref="I178:I180"/>
    <mergeCell ref="J178:J180"/>
    <mergeCell ref="K178:K180"/>
    <mergeCell ref="L178:L180"/>
    <mergeCell ref="M178:M180"/>
    <mergeCell ref="N178:N180"/>
    <mergeCell ref="A178:A180"/>
    <mergeCell ref="B178:B180"/>
    <mergeCell ref="C178:C180"/>
    <mergeCell ref="D178:D180"/>
    <mergeCell ref="E178:E180"/>
    <mergeCell ref="F178:F180"/>
    <mergeCell ref="G178:G180"/>
    <mergeCell ref="O181:O183"/>
    <mergeCell ref="P181:P183"/>
    <mergeCell ref="Q181:Q183"/>
    <mergeCell ref="R181:R183"/>
    <mergeCell ref="S181:S183"/>
    <mergeCell ref="T181:T183"/>
    <mergeCell ref="W181:W183"/>
    <mergeCell ref="X181:X183"/>
    <mergeCell ref="H181:H183"/>
    <mergeCell ref="I181:I183"/>
    <mergeCell ref="J181:J183"/>
    <mergeCell ref="K181:K183"/>
    <mergeCell ref="L181:L183"/>
    <mergeCell ref="M181:M183"/>
    <mergeCell ref="N181:N183"/>
    <mergeCell ref="A181:A183"/>
    <mergeCell ref="B181:B183"/>
    <mergeCell ref="C181:C183"/>
    <mergeCell ref="D181:D183"/>
    <mergeCell ref="E181:E183"/>
    <mergeCell ref="F181:F183"/>
    <mergeCell ref="G181:G183"/>
    <mergeCell ref="Q184:Q186"/>
    <mergeCell ref="R184:R186"/>
    <mergeCell ref="S184:S186"/>
    <mergeCell ref="T184:T186"/>
    <mergeCell ref="W184:W186"/>
    <mergeCell ref="X184:X186"/>
    <mergeCell ref="A184:A186"/>
    <mergeCell ref="B184:B186"/>
    <mergeCell ref="C184:C186"/>
    <mergeCell ref="D184:D186"/>
    <mergeCell ref="E184:E186"/>
    <mergeCell ref="F184:F186"/>
    <mergeCell ref="G184:G186"/>
    <mergeCell ref="S194:S195"/>
    <mergeCell ref="T194:T195"/>
    <mergeCell ref="L194:L195"/>
    <mergeCell ref="M194:M195"/>
    <mergeCell ref="N194:N195"/>
    <mergeCell ref="O194:O195"/>
    <mergeCell ref="P194:P195"/>
    <mergeCell ref="Q194:Q195"/>
    <mergeCell ref="R194:R195"/>
    <mergeCell ref="O184:O186"/>
    <mergeCell ref="P184:P186"/>
    <mergeCell ref="H184:H186"/>
    <mergeCell ref="I184:I186"/>
    <mergeCell ref="J184:J186"/>
    <mergeCell ref="K184:K186"/>
    <mergeCell ref="L184:L186"/>
    <mergeCell ref="M184:M186"/>
    <mergeCell ref="N184:N186"/>
    <mergeCell ref="O187:O189"/>
    <mergeCell ref="P187:P189"/>
    <mergeCell ref="Q187:Q189"/>
    <mergeCell ref="R187:R189"/>
    <mergeCell ref="S187:S189"/>
    <mergeCell ref="T187:T189"/>
    <mergeCell ref="W187:W189"/>
    <mergeCell ref="X187:X189"/>
    <mergeCell ref="H187:H189"/>
    <mergeCell ref="I187:I189"/>
    <mergeCell ref="J187:J189"/>
    <mergeCell ref="K187:K189"/>
    <mergeCell ref="L187:L189"/>
    <mergeCell ref="M187:M189"/>
    <mergeCell ref="N187:N189"/>
    <mergeCell ref="A187:A189"/>
    <mergeCell ref="B187:B189"/>
    <mergeCell ref="C187:C189"/>
    <mergeCell ref="D187:D189"/>
    <mergeCell ref="E187:E189"/>
    <mergeCell ref="F187:F189"/>
    <mergeCell ref="G187:G189"/>
    <mergeCell ref="O190:O192"/>
    <mergeCell ref="P190:P192"/>
    <mergeCell ref="Q190:Q192"/>
    <mergeCell ref="R190:R192"/>
    <mergeCell ref="S190:S192"/>
    <mergeCell ref="T190:T192"/>
    <mergeCell ref="W190:W192"/>
    <mergeCell ref="X190:X192"/>
    <mergeCell ref="W194:W195"/>
    <mergeCell ref="X194:X195"/>
    <mergeCell ref="A194:A195"/>
    <mergeCell ref="B194:B195"/>
    <mergeCell ref="C194:C195"/>
    <mergeCell ref="D194:D195"/>
    <mergeCell ref="E194:E195"/>
    <mergeCell ref="F194:F195"/>
    <mergeCell ref="K194:K195"/>
    <mergeCell ref="L201:L210"/>
    <mergeCell ref="M201:M210"/>
    <mergeCell ref="N201:N210"/>
    <mergeCell ref="O201:O210"/>
    <mergeCell ref="P201:P210"/>
    <mergeCell ref="Q201:Q210"/>
    <mergeCell ref="R201:R210"/>
    <mergeCell ref="A201:A210"/>
    <mergeCell ref="B201:B210"/>
    <mergeCell ref="C201:C210"/>
    <mergeCell ref="D201:D210"/>
    <mergeCell ref="E201:E210"/>
    <mergeCell ref="F201:F210"/>
    <mergeCell ref="K201:K210"/>
    <mergeCell ref="S211:S215"/>
    <mergeCell ref="T211:T215"/>
    <mergeCell ref="L211:L215"/>
    <mergeCell ref="M211:M215"/>
    <mergeCell ref="N211:N215"/>
    <mergeCell ref="O211:O215"/>
    <mergeCell ref="P211:P215"/>
    <mergeCell ref="Q211:Q215"/>
    <mergeCell ref="R211:R215"/>
    <mergeCell ref="H190:H192"/>
    <mergeCell ref="I190:I192"/>
    <mergeCell ref="J190:J192"/>
    <mergeCell ref="K190:K192"/>
    <mergeCell ref="L190:L192"/>
    <mergeCell ref="M190:M192"/>
    <mergeCell ref="N190:N192"/>
    <mergeCell ref="A190:A192"/>
    <mergeCell ref="B190:B192"/>
    <mergeCell ref="C190:C192"/>
    <mergeCell ref="D190:D192"/>
    <mergeCell ref="E190:E192"/>
    <mergeCell ref="F190:F192"/>
    <mergeCell ref="G190:G192"/>
    <mergeCell ref="S197:S200"/>
    <mergeCell ref="T197:T200"/>
    <mergeCell ref="U197:U198"/>
    <mergeCell ref="V197:V198"/>
    <mergeCell ref="W197:W200"/>
    <mergeCell ref="X197:X200"/>
    <mergeCell ref="U199:U200"/>
    <mergeCell ref="V199:V200"/>
    <mergeCell ref="L197:L200"/>
    <mergeCell ref="M197:M200"/>
    <mergeCell ref="N197:N200"/>
    <mergeCell ref="O197:O200"/>
    <mergeCell ref="P197:P200"/>
    <mergeCell ref="Q197:Q200"/>
    <mergeCell ref="R197:R200"/>
    <mergeCell ref="A197:A200"/>
    <mergeCell ref="B197:B200"/>
    <mergeCell ref="C197:C200"/>
    <mergeCell ref="D197:D200"/>
    <mergeCell ref="E197:E200"/>
    <mergeCell ref="F197:F200"/>
    <mergeCell ref="K197:K200"/>
    <mergeCell ref="V211:V215"/>
    <mergeCell ref="W211:W215"/>
    <mergeCell ref="S201:S210"/>
    <mergeCell ref="T201:T210"/>
    <mergeCell ref="W201:W210"/>
    <mergeCell ref="X201:X210"/>
    <mergeCell ref="U207:U210"/>
    <mergeCell ref="V207:V210"/>
    <mergeCell ref="U211:U215"/>
    <mergeCell ref="X211:X215"/>
    <mergeCell ref="A211:A215"/>
    <mergeCell ref="B211:B215"/>
    <mergeCell ref="C211:C215"/>
    <mergeCell ref="D211:D215"/>
    <mergeCell ref="E211:E215"/>
    <mergeCell ref="F211:F215"/>
    <mergeCell ref="K211:K215"/>
    <mergeCell ref="S218:S219"/>
    <mergeCell ref="T218:T219"/>
    <mergeCell ref="U218:U219"/>
    <mergeCell ref="V218:V219"/>
    <mergeCell ref="W218:W219"/>
    <mergeCell ref="X218:X219"/>
    <mergeCell ref="L218:L219"/>
    <mergeCell ref="M218:M219"/>
    <mergeCell ref="N218:N219"/>
    <mergeCell ref="O218:O219"/>
    <mergeCell ref="P218:P219"/>
    <mergeCell ref="Q218:Q219"/>
    <mergeCell ref="R218:R219"/>
    <mergeCell ref="A218:A219"/>
    <mergeCell ref="B218:B219"/>
    <mergeCell ref="C218:C219"/>
    <mergeCell ref="D218:D219"/>
    <mergeCell ref="E218:E219"/>
    <mergeCell ref="F218:F219"/>
    <mergeCell ref="K218:K219"/>
    <mergeCell ref="O220:O222"/>
    <mergeCell ref="P220:P222"/>
    <mergeCell ref="Q220:Q222"/>
    <mergeCell ref="R220:R222"/>
    <mergeCell ref="S220:S222"/>
    <mergeCell ref="T220:T222"/>
    <mergeCell ref="W220:W222"/>
    <mergeCell ref="X220:X222"/>
    <mergeCell ref="H220:H222"/>
    <mergeCell ref="I220:I222"/>
    <mergeCell ref="J220:J222"/>
    <mergeCell ref="K220:K222"/>
    <mergeCell ref="L220:L222"/>
    <mergeCell ref="M220:M222"/>
    <mergeCell ref="N220:N222"/>
    <mergeCell ref="A220:A222"/>
    <mergeCell ref="B220:B222"/>
    <mergeCell ref="C220:C222"/>
    <mergeCell ref="D220:D222"/>
    <mergeCell ref="E220:E222"/>
    <mergeCell ref="F220:F222"/>
    <mergeCell ref="G220:G222"/>
    <mergeCell ref="S230:S231"/>
    <mergeCell ref="T230:T231"/>
    <mergeCell ref="X230:X231"/>
    <mergeCell ref="L230:L231"/>
    <mergeCell ref="M230:M231"/>
    <mergeCell ref="N230:N231"/>
    <mergeCell ref="O230:O231"/>
    <mergeCell ref="P230:P231"/>
    <mergeCell ref="Q230:Q231"/>
    <mergeCell ref="R230:R231"/>
    <mergeCell ref="O223:O225"/>
    <mergeCell ref="P223:P225"/>
    <mergeCell ref="Q223:Q225"/>
    <mergeCell ref="R223:R225"/>
    <mergeCell ref="S223:S225"/>
    <mergeCell ref="T223:T225"/>
    <mergeCell ref="W223:W225"/>
    <mergeCell ref="H223:H225"/>
    <mergeCell ref="I223:I225"/>
    <mergeCell ref="J223:J225"/>
    <mergeCell ref="K223:K225"/>
    <mergeCell ref="L223:L225"/>
    <mergeCell ref="M223:M225"/>
    <mergeCell ref="N223:N225"/>
    <mergeCell ref="A223:A225"/>
    <mergeCell ref="B223:B225"/>
    <mergeCell ref="C223:C225"/>
    <mergeCell ref="D223:D225"/>
    <mergeCell ref="E223:E225"/>
    <mergeCell ref="F223:F225"/>
    <mergeCell ref="G223:G225"/>
    <mergeCell ref="O226:O228"/>
    <mergeCell ref="P226:P228"/>
    <mergeCell ref="Q226:Q228"/>
    <mergeCell ref="R226:R228"/>
    <mergeCell ref="S226:S228"/>
    <mergeCell ref="T226:T228"/>
    <mergeCell ref="W226:W228"/>
    <mergeCell ref="H226:H228"/>
    <mergeCell ref="I226:I228"/>
    <mergeCell ref="J226:J228"/>
    <mergeCell ref="K226:K228"/>
    <mergeCell ref="L226:L228"/>
    <mergeCell ref="M226:M228"/>
    <mergeCell ref="N226:N228"/>
    <mergeCell ref="A230:A231"/>
    <mergeCell ref="B230:B231"/>
    <mergeCell ref="C230:C231"/>
    <mergeCell ref="D230:D231"/>
    <mergeCell ref="E230:E231"/>
    <mergeCell ref="F230:F231"/>
    <mergeCell ref="K230:K231"/>
    <mergeCell ref="W230:W231"/>
    <mergeCell ref="A226:A228"/>
    <mergeCell ref="B226:B228"/>
    <mergeCell ref="C226:C228"/>
    <mergeCell ref="D226:D228"/>
    <mergeCell ref="E226:E228"/>
    <mergeCell ref="F226:F228"/>
    <mergeCell ref="G226:G228"/>
    <mergeCell ref="S232:S233"/>
    <mergeCell ref="T232:T233"/>
    <mergeCell ref="U232:U233"/>
    <mergeCell ref="V232:V233"/>
    <mergeCell ref="W232:W233"/>
    <mergeCell ref="L232:L233"/>
    <mergeCell ref="M232:M233"/>
    <mergeCell ref="N232:N233"/>
    <mergeCell ref="O232:O233"/>
    <mergeCell ref="P232:P233"/>
    <mergeCell ref="Q232:Q233"/>
    <mergeCell ref="R232:R233"/>
    <mergeCell ref="A232:A233"/>
    <mergeCell ref="B232:B233"/>
    <mergeCell ref="C232:C233"/>
    <mergeCell ref="D232:D233"/>
    <mergeCell ref="E232:E233"/>
    <mergeCell ref="F232:F233"/>
    <mergeCell ref="K232:K233"/>
    <mergeCell ref="S234:S235"/>
    <mergeCell ref="T234:T235"/>
    <mergeCell ref="U234:U235"/>
    <mergeCell ref="V234:V235"/>
    <mergeCell ref="W234:W235"/>
    <mergeCell ref="A234:A235"/>
    <mergeCell ref="B234:B235"/>
    <mergeCell ref="C234:C235"/>
    <mergeCell ref="D234:D235"/>
    <mergeCell ref="E234:E235"/>
    <mergeCell ref="F234:F235"/>
    <mergeCell ref="K234:K235"/>
    <mergeCell ref="A237:A239"/>
    <mergeCell ref="B237:B239"/>
    <mergeCell ref="C237:C239"/>
    <mergeCell ref="D237:D239"/>
    <mergeCell ref="E237:E239"/>
    <mergeCell ref="F237:F239"/>
    <mergeCell ref="G237:G239"/>
    <mergeCell ref="Q237:Q239"/>
    <mergeCell ref="R237:R239"/>
    <mergeCell ref="S237:S239"/>
    <mergeCell ref="T237:T239"/>
    <mergeCell ref="W237:W239"/>
    <mergeCell ref="X237:X239"/>
    <mergeCell ref="Y237:Y239"/>
    <mergeCell ref="L234:L235"/>
    <mergeCell ref="M234:M235"/>
    <mergeCell ref="N234:N235"/>
    <mergeCell ref="O234:O235"/>
    <mergeCell ref="P234:P235"/>
    <mergeCell ref="Q234:Q235"/>
    <mergeCell ref="R234:R235"/>
    <mergeCell ref="S244:S245"/>
    <mergeCell ref="T244:T245"/>
    <mergeCell ref="L244:L245"/>
    <mergeCell ref="M244:M245"/>
    <mergeCell ref="N244:N245"/>
    <mergeCell ref="O244:O245"/>
    <mergeCell ref="P244:P245"/>
    <mergeCell ref="Q244:Q245"/>
    <mergeCell ref="R244:R245"/>
    <mergeCell ref="U244:U245"/>
    <mergeCell ref="V244:V245"/>
    <mergeCell ref="W244:W245"/>
    <mergeCell ref="X244:X245"/>
    <mergeCell ref="A244:A245"/>
    <mergeCell ref="B244:B245"/>
    <mergeCell ref="C244:C245"/>
    <mergeCell ref="D244:D245"/>
    <mergeCell ref="E244:E245"/>
    <mergeCell ref="F244:F245"/>
    <mergeCell ref="K244:K245"/>
    <mergeCell ref="O237:O239"/>
    <mergeCell ref="P237:P239"/>
    <mergeCell ref="H237:H239"/>
    <mergeCell ref="I237:I239"/>
    <mergeCell ref="J237:J239"/>
    <mergeCell ref="K237:K239"/>
    <mergeCell ref="L237:L239"/>
    <mergeCell ref="M237:M239"/>
    <mergeCell ref="N237:N239"/>
    <mergeCell ref="H240:H242"/>
    <mergeCell ref="I240:I242"/>
    <mergeCell ref="J240:J242"/>
    <mergeCell ref="K240:K242"/>
    <mergeCell ref="L240:L242"/>
    <mergeCell ref="M240:M242"/>
    <mergeCell ref="N240:N242"/>
    <mergeCell ref="X240:X242"/>
    <mergeCell ref="Y240:Y242"/>
    <mergeCell ref="O240:O242"/>
    <mergeCell ref="P240:P242"/>
    <mergeCell ref="Q240:Q242"/>
    <mergeCell ref="R240:R242"/>
    <mergeCell ref="S240:S242"/>
    <mergeCell ref="T240:T242"/>
    <mergeCell ref="W240:W242"/>
    <mergeCell ref="A240:A242"/>
    <mergeCell ref="B240:B242"/>
    <mergeCell ref="C240:C242"/>
    <mergeCell ref="D240:D242"/>
    <mergeCell ref="E240:E242"/>
    <mergeCell ref="F240:F242"/>
    <mergeCell ref="G240:G242"/>
    <mergeCell ref="Q246:Q248"/>
    <mergeCell ref="R246:R248"/>
    <mergeCell ref="S246:S248"/>
    <mergeCell ref="T246:T248"/>
    <mergeCell ref="W246:W248"/>
    <mergeCell ref="X246:X248"/>
    <mergeCell ref="R254:R256"/>
    <mergeCell ref="S254:S256"/>
    <mergeCell ref="K254:K256"/>
    <mergeCell ref="L254:L256"/>
    <mergeCell ref="M254:M256"/>
    <mergeCell ref="N254:N256"/>
    <mergeCell ref="O254:O256"/>
    <mergeCell ref="P254:P256"/>
    <mergeCell ref="Q254:Q256"/>
    <mergeCell ref="O246:O248"/>
    <mergeCell ref="P246:P248"/>
    <mergeCell ref="H246:H248"/>
    <mergeCell ref="I246:I248"/>
    <mergeCell ref="J246:J248"/>
    <mergeCell ref="K246:K248"/>
    <mergeCell ref="L246:L248"/>
    <mergeCell ref="M246:M248"/>
    <mergeCell ref="N246:N248"/>
    <mergeCell ref="R249:R250"/>
    <mergeCell ref="S249:S250"/>
    <mergeCell ref="T249:T250"/>
    <mergeCell ref="W249:W250"/>
    <mergeCell ref="X249:X250"/>
    <mergeCell ref="K249:K250"/>
    <mergeCell ref="L249:L250"/>
    <mergeCell ref="M249:M250"/>
    <mergeCell ref="N249:N250"/>
    <mergeCell ref="O249:O250"/>
    <mergeCell ref="P249:P250"/>
    <mergeCell ref="Q249:Q250"/>
    <mergeCell ref="S259:S262"/>
    <mergeCell ref="T259:T262"/>
    <mergeCell ref="L259:L262"/>
    <mergeCell ref="M259:M262"/>
    <mergeCell ref="N259:N262"/>
    <mergeCell ref="O259:O262"/>
    <mergeCell ref="P259:P262"/>
    <mergeCell ref="Q259:Q262"/>
    <mergeCell ref="R259:R262"/>
    <mergeCell ref="A246:A248"/>
    <mergeCell ref="B246:B248"/>
    <mergeCell ref="C246:C248"/>
    <mergeCell ref="D246:D248"/>
    <mergeCell ref="E246:E248"/>
    <mergeCell ref="F246:F248"/>
    <mergeCell ref="G246:G248"/>
    <mergeCell ref="D251:D253"/>
    <mergeCell ref="E251:E253"/>
    <mergeCell ref="D254:D256"/>
    <mergeCell ref="E254:E256"/>
    <mergeCell ref="F254:F256"/>
    <mergeCell ref="A249:A250"/>
    <mergeCell ref="B249:B250"/>
    <mergeCell ref="C249:C250"/>
    <mergeCell ref="D249:D250"/>
    <mergeCell ref="E249:E250"/>
    <mergeCell ref="F249:F250"/>
    <mergeCell ref="A251:A253"/>
    <mergeCell ref="M251:M253"/>
    <mergeCell ref="N251:N253"/>
    <mergeCell ref="O251:O253"/>
    <mergeCell ref="P251:P253"/>
    <mergeCell ref="Q251:Q253"/>
    <mergeCell ref="R251:R253"/>
    <mergeCell ref="S251:S253"/>
    <mergeCell ref="B251:B253"/>
    <mergeCell ref="C251:C253"/>
    <mergeCell ref="A254:A256"/>
    <mergeCell ref="B254:B256"/>
    <mergeCell ref="C254:C256"/>
    <mergeCell ref="A259:A262"/>
    <mergeCell ref="B259:B262"/>
    <mergeCell ref="F251:F253"/>
    <mergeCell ref="G251:G253"/>
    <mergeCell ref="H251:H253"/>
    <mergeCell ref="I251:I253"/>
    <mergeCell ref="J251:J253"/>
    <mergeCell ref="K251:K253"/>
    <mergeCell ref="L251:L253"/>
    <mergeCell ref="W254:W256"/>
    <mergeCell ref="W259:W262"/>
    <mergeCell ref="X259:X262"/>
    <mergeCell ref="T251:T253"/>
    <mergeCell ref="W251:W253"/>
    <mergeCell ref="X251:X253"/>
    <mergeCell ref="T254:T256"/>
    <mergeCell ref="U254:U256"/>
    <mergeCell ref="V254:V256"/>
    <mergeCell ref="X254:X256"/>
    <mergeCell ref="W268:W273"/>
    <mergeCell ref="X268:X273"/>
    <mergeCell ref="U271:U273"/>
    <mergeCell ref="V271:V273"/>
    <mergeCell ref="P268:P273"/>
    <mergeCell ref="Q268:Q273"/>
    <mergeCell ref="R268:R273"/>
    <mergeCell ref="S268:S273"/>
    <mergeCell ref="T268:T273"/>
    <mergeCell ref="U268:U270"/>
    <mergeCell ref="V268:V270"/>
    <mergeCell ref="C259:C262"/>
    <mergeCell ref="D259:D262"/>
    <mergeCell ref="E259:E262"/>
    <mergeCell ref="F259:F262"/>
    <mergeCell ref="G259:G262"/>
    <mergeCell ref="H259:H262"/>
    <mergeCell ref="I259:I262"/>
    <mergeCell ref="J259:J262"/>
    <mergeCell ref="K259:K262"/>
    <mergeCell ref="K265:K267"/>
    <mergeCell ref="L265:L267"/>
    <mergeCell ref="M265:M267"/>
    <mergeCell ref="N265:N267"/>
    <mergeCell ref="O265:O267"/>
    <mergeCell ref="W265:W267"/>
    <mergeCell ref="X265:X267"/>
    <mergeCell ref="P265:P267"/>
    <mergeCell ref="Q265:Q267"/>
    <mergeCell ref="R265:R267"/>
    <mergeCell ref="S265:S267"/>
    <mergeCell ref="T265:T267"/>
    <mergeCell ref="U265:U267"/>
    <mergeCell ref="V265:V267"/>
    <mergeCell ref="A265:A267"/>
    <mergeCell ref="B265:B267"/>
    <mergeCell ref="C265:C267"/>
    <mergeCell ref="D265:D267"/>
    <mergeCell ref="E265:E267"/>
    <mergeCell ref="F265:F267"/>
    <mergeCell ref="A268:A273"/>
    <mergeCell ref="F268:F273"/>
    <mergeCell ref="B268:B273"/>
    <mergeCell ref="C268:C273"/>
    <mergeCell ref="A276:A278"/>
    <mergeCell ref="B276:B278"/>
    <mergeCell ref="C276:C278"/>
    <mergeCell ref="D276:D278"/>
    <mergeCell ref="E276:E278"/>
    <mergeCell ref="O276:O278"/>
    <mergeCell ref="P276:P278"/>
    <mergeCell ref="Q276:Q278"/>
    <mergeCell ref="R276:R278"/>
    <mergeCell ref="S276:S278"/>
    <mergeCell ref="T276:T278"/>
    <mergeCell ref="W276:W278"/>
    <mergeCell ref="X276:X278"/>
    <mergeCell ref="D268:D273"/>
    <mergeCell ref="E268:E273"/>
    <mergeCell ref="K268:K273"/>
    <mergeCell ref="L268:L273"/>
    <mergeCell ref="M268:M273"/>
    <mergeCell ref="N268:N273"/>
    <mergeCell ref="O268:O273"/>
    <mergeCell ref="H282:H284"/>
    <mergeCell ref="I282:I284"/>
    <mergeCell ref="J282:J284"/>
    <mergeCell ref="K282:K284"/>
    <mergeCell ref="L282:L284"/>
    <mergeCell ref="M282:M284"/>
    <mergeCell ref="N282:N284"/>
    <mergeCell ref="A282:A284"/>
    <mergeCell ref="B282:B284"/>
    <mergeCell ref="C282:C284"/>
    <mergeCell ref="D282:D284"/>
    <mergeCell ref="E282:E284"/>
    <mergeCell ref="F282:F284"/>
    <mergeCell ref="G282:G284"/>
    <mergeCell ref="H291:H293"/>
    <mergeCell ref="I291:I293"/>
    <mergeCell ref="J291:J293"/>
    <mergeCell ref="K291:K293"/>
    <mergeCell ref="L291:L293"/>
    <mergeCell ref="M291:M293"/>
    <mergeCell ref="N291:N293"/>
    <mergeCell ref="A291:A293"/>
    <mergeCell ref="B291:B293"/>
    <mergeCell ref="C291:C293"/>
    <mergeCell ref="D291:D293"/>
    <mergeCell ref="E291:E293"/>
    <mergeCell ref="F291:F293"/>
    <mergeCell ref="G291:G293"/>
    <mergeCell ref="H372:H374"/>
    <mergeCell ref="I372:I374"/>
    <mergeCell ref="J372:J374"/>
    <mergeCell ref="K372:K374"/>
    <mergeCell ref="L372:L374"/>
    <mergeCell ref="M372:M374"/>
    <mergeCell ref="N372:N374"/>
    <mergeCell ref="A372:A374"/>
    <mergeCell ref="B372:B374"/>
    <mergeCell ref="C372:C374"/>
    <mergeCell ref="D372:D374"/>
    <mergeCell ref="E372:E374"/>
    <mergeCell ref="F372:F374"/>
    <mergeCell ref="G372:G374"/>
    <mergeCell ref="O366:O368"/>
    <mergeCell ref="P366:P368"/>
    <mergeCell ref="H366:H368"/>
    <mergeCell ref="I366:I368"/>
    <mergeCell ref="J366:J368"/>
    <mergeCell ref="K366:K368"/>
    <mergeCell ref="L366:L368"/>
    <mergeCell ref="M366:M368"/>
    <mergeCell ref="N366:N368"/>
    <mergeCell ref="O369:O371"/>
    <mergeCell ref="P369:P371"/>
    <mergeCell ref="Q369:Q371"/>
    <mergeCell ref="R369:R371"/>
    <mergeCell ref="S369:S371"/>
    <mergeCell ref="T369:T371"/>
    <mergeCell ref="W369:W371"/>
    <mergeCell ref="X369:X371"/>
    <mergeCell ref="H369:H371"/>
    <mergeCell ref="I369:I371"/>
    <mergeCell ref="J369:J371"/>
    <mergeCell ref="K369:K371"/>
    <mergeCell ref="L369:L371"/>
    <mergeCell ref="M369:M371"/>
    <mergeCell ref="N369:N371"/>
    <mergeCell ref="A369:A371"/>
    <mergeCell ref="B369:B371"/>
    <mergeCell ref="C369:C371"/>
    <mergeCell ref="D369:D371"/>
    <mergeCell ref="E369:E371"/>
    <mergeCell ref="F369:F371"/>
    <mergeCell ref="G369:G371"/>
    <mergeCell ref="O372:O374"/>
    <mergeCell ref="P372:P374"/>
    <mergeCell ref="Q372:Q374"/>
    <mergeCell ref="R372:R374"/>
    <mergeCell ref="S372:S374"/>
    <mergeCell ref="T372:T374"/>
    <mergeCell ref="W372:W374"/>
    <mergeCell ref="X372:X374"/>
    <mergeCell ref="U379:U387"/>
    <mergeCell ref="V379:V387"/>
    <mergeCell ref="W379:W387"/>
    <mergeCell ref="X379:X387"/>
    <mergeCell ref="A379:A387"/>
    <mergeCell ref="B379:B387"/>
    <mergeCell ref="C379:C387"/>
    <mergeCell ref="D379:D387"/>
    <mergeCell ref="E379:E387"/>
    <mergeCell ref="F379:F387"/>
    <mergeCell ref="K379:K387"/>
    <mergeCell ref="M276:M278"/>
    <mergeCell ref="N276:N278"/>
    <mergeCell ref="F276:F278"/>
    <mergeCell ref="G276:G278"/>
    <mergeCell ref="H276:H278"/>
    <mergeCell ref="I276:I278"/>
    <mergeCell ref="J276:J278"/>
    <mergeCell ref="K276:K278"/>
    <mergeCell ref="L276:L278"/>
    <mergeCell ref="O279:O281"/>
    <mergeCell ref="P279:P281"/>
    <mergeCell ref="Q279:Q281"/>
    <mergeCell ref="R279:R281"/>
    <mergeCell ref="S279:S281"/>
    <mergeCell ref="T279:T281"/>
    <mergeCell ref="W279:W281"/>
    <mergeCell ref="X279:X281"/>
    <mergeCell ref="H279:H281"/>
    <mergeCell ref="I279:I281"/>
    <mergeCell ref="J279:J281"/>
    <mergeCell ref="K279:K281"/>
    <mergeCell ref="L279:L281"/>
    <mergeCell ref="M279:M281"/>
    <mergeCell ref="N279:N281"/>
    <mergeCell ref="A279:A281"/>
    <mergeCell ref="B279:B281"/>
    <mergeCell ref="C279:C281"/>
    <mergeCell ref="D279:D281"/>
    <mergeCell ref="E279:E281"/>
    <mergeCell ref="F279:F281"/>
    <mergeCell ref="G279:G281"/>
    <mergeCell ref="O282:O284"/>
    <mergeCell ref="P282:P284"/>
    <mergeCell ref="Q282:Q284"/>
    <mergeCell ref="R282:R284"/>
    <mergeCell ref="S282:S284"/>
    <mergeCell ref="T282:T284"/>
    <mergeCell ref="W282:W284"/>
    <mergeCell ref="X282:X284"/>
    <mergeCell ref="Q285:Q287"/>
    <mergeCell ref="R285:R287"/>
    <mergeCell ref="S285:S287"/>
    <mergeCell ref="T285:T287"/>
    <mergeCell ref="W285:W287"/>
    <mergeCell ref="X285:X287"/>
    <mergeCell ref="A285:A287"/>
    <mergeCell ref="B285:B287"/>
    <mergeCell ref="C285:C287"/>
    <mergeCell ref="D285:D287"/>
    <mergeCell ref="E285:E287"/>
    <mergeCell ref="F285:F287"/>
    <mergeCell ref="G285:G287"/>
    <mergeCell ref="O285:O287"/>
    <mergeCell ref="P285:P287"/>
    <mergeCell ref="H285:H287"/>
    <mergeCell ref="I285:I287"/>
    <mergeCell ref="J285:J287"/>
    <mergeCell ref="K285:K287"/>
    <mergeCell ref="L285:L287"/>
    <mergeCell ref="M285:M287"/>
    <mergeCell ref="N285:N287"/>
    <mergeCell ref="O288:O290"/>
    <mergeCell ref="P288:P290"/>
    <mergeCell ref="Q288:Q290"/>
    <mergeCell ref="R288:R290"/>
    <mergeCell ref="S288:S290"/>
    <mergeCell ref="T288:T290"/>
    <mergeCell ref="W288:W290"/>
    <mergeCell ref="X288:X290"/>
    <mergeCell ref="H288:H290"/>
    <mergeCell ref="I288:I290"/>
    <mergeCell ref="J288:J290"/>
    <mergeCell ref="K288:K290"/>
    <mergeCell ref="L288:L290"/>
    <mergeCell ref="M288:M290"/>
    <mergeCell ref="N288:N290"/>
    <mergeCell ref="A288:A290"/>
    <mergeCell ref="B288:B290"/>
    <mergeCell ref="C288:C290"/>
    <mergeCell ref="D288:D290"/>
    <mergeCell ref="E288:E290"/>
    <mergeCell ref="F288:F290"/>
    <mergeCell ref="G288:G290"/>
    <mergeCell ref="O291:O293"/>
    <mergeCell ref="P291:P293"/>
    <mergeCell ref="Q291:Q293"/>
    <mergeCell ref="R291:R293"/>
    <mergeCell ref="S291:S293"/>
    <mergeCell ref="T291:T293"/>
    <mergeCell ref="W291:W293"/>
    <mergeCell ref="X291:X293"/>
    <mergeCell ref="Q294:Q296"/>
    <mergeCell ref="R294:R296"/>
    <mergeCell ref="S294:S296"/>
    <mergeCell ref="T294:T296"/>
    <mergeCell ref="W294:W296"/>
    <mergeCell ref="X294:X296"/>
    <mergeCell ref="A294:A296"/>
    <mergeCell ref="B294:B296"/>
    <mergeCell ref="C294:C296"/>
    <mergeCell ref="D294:D296"/>
    <mergeCell ref="E294:E296"/>
    <mergeCell ref="F294:F296"/>
    <mergeCell ref="G294:G296"/>
    <mergeCell ref="H300:H302"/>
    <mergeCell ref="I300:I302"/>
    <mergeCell ref="J300:J302"/>
    <mergeCell ref="K300:K302"/>
    <mergeCell ref="L300:L302"/>
    <mergeCell ref="M300:M302"/>
    <mergeCell ref="N300:N302"/>
    <mergeCell ref="A300:A302"/>
    <mergeCell ref="B300:B302"/>
    <mergeCell ref="C300:C302"/>
    <mergeCell ref="D300:D302"/>
    <mergeCell ref="E300:E302"/>
    <mergeCell ref="F300:F302"/>
    <mergeCell ref="G300:G302"/>
    <mergeCell ref="O294:O296"/>
    <mergeCell ref="P294:P296"/>
    <mergeCell ref="H294:H296"/>
    <mergeCell ref="I294:I296"/>
    <mergeCell ref="J294:J296"/>
    <mergeCell ref="K294:K296"/>
    <mergeCell ref="L294:L296"/>
    <mergeCell ref="M294:M296"/>
    <mergeCell ref="N294:N296"/>
    <mergeCell ref="O297:O299"/>
    <mergeCell ref="P297:P299"/>
    <mergeCell ref="Q297:Q299"/>
    <mergeCell ref="R297:R299"/>
    <mergeCell ref="S297:S299"/>
    <mergeCell ref="T297:T299"/>
    <mergeCell ref="W297:W299"/>
    <mergeCell ref="X297:X299"/>
    <mergeCell ref="H297:H299"/>
    <mergeCell ref="I297:I299"/>
    <mergeCell ref="J297:J299"/>
    <mergeCell ref="K297:K299"/>
    <mergeCell ref="L297:L299"/>
    <mergeCell ref="M297:M299"/>
    <mergeCell ref="N297:N299"/>
    <mergeCell ref="A297:A299"/>
    <mergeCell ref="B297:B299"/>
    <mergeCell ref="C297:C299"/>
    <mergeCell ref="D297:D299"/>
    <mergeCell ref="E297:E299"/>
    <mergeCell ref="F297:F299"/>
    <mergeCell ref="G297:G299"/>
    <mergeCell ref="O300:O302"/>
    <mergeCell ref="P300:P302"/>
    <mergeCell ref="Q300:Q302"/>
    <mergeCell ref="R300:R302"/>
    <mergeCell ref="S300:S302"/>
    <mergeCell ref="T300:T302"/>
    <mergeCell ref="W300:W302"/>
    <mergeCell ref="X300:X302"/>
    <mergeCell ref="Q303:Q305"/>
    <mergeCell ref="R303:R305"/>
    <mergeCell ref="S303:S305"/>
    <mergeCell ref="T303:T305"/>
    <mergeCell ref="W303:W305"/>
    <mergeCell ref="X303:X305"/>
    <mergeCell ref="A303:A305"/>
    <mergeCell ref="B303:B305"/>
    <mergeCell ref="C303:C305"/>
    <mergeCell ref="D303:D305"/>
    <mergeCell ref="E303:E305"/>
    <mergeCell ref="F303:F305"/>
    <mergeCell ref="G303:G305"/>
    <mergeCell ref="H309:H311"/>
    <mergeCell ref="I309:I311"/>
    <mergeCell ref="J309:J311"/>
    <mergeCell ref="K309:K311"/>
    <mergeCell ref="L309:L311"/>
    <mergeCell ref="M309:M311"/>
    <mergeCell ref="N309:N311"/>
    <mergeCell ref="A309:A311"/>
    <mergeCell ref="B309:B311"/>
    <mergeCell ref="C309:C311"/>
    <mergeCell ref="D309:D311"/>
    <mergeCell ref="E309:E311"/>
    <mergeCell ref="F309:F311"/>
    <mergeCell ref="G309:G311"/>
    <mergeCell ref="H318:H320"/>
    <mergeCell ref="I318:I320"/>
    <mergeCell ref="J318:J320"/>
    <mergeCell ref="K318:K320"/>
    <mergeCell ref="L318:L320"/>
    <mergeCell ref="M318:M320"/>
    <mergeCell ref="N318:N320"/>
    <mergeCell ref="A318:A320"/>
    <mergeCell ref="B318:B320"/>
    <mergeCell ref="C318:C320"/>
    <mergeCell ref="D318:D320"/>
    <mergeCell ref="E318:E320"/>
    <mergeCell ref="F318:F320"/>
    <mergeCell ref="G318:G320"/>
    <mergeCell ref="K388:K396"/>
    <mergeCell ref="L388:L396"/>
    <mergeCell ref="A388:A396"/>
    <mergeCell ref="B388:B396"/>
    <mergeCell ref="C388:C396"/>
    <mergeCell ref="D388:D396"/>
    <mergeCell ref="E388:E396"/>
    <mergeCell ref="F388:F396"/>
    <mergeCell ref="B399:I399"/>
    <mergeCell ref="O303:O305"/>
    <mergeCell ref="P303:P305"/>
    <mergeCell ref="H303:H305"/>
    <mergeCell ref="I303:I305"/>
    <mergeCell ref="J303:J305"/>
    <mergeCell ref="K303:K305"/>
    <mergeCell ref="L303:L305"/>
    <mergeCell ref="M303:M305"/>
    <mergeCell ref="N303:N305"/>
    <mergeCell ref="O306:O308"/>
    <mergeCell ref="P306:P308"/>
    <mergeCell ref="Q306:Q308"/>
    <mergeCell ref="R306:R308"/>
    <mergeCell ref="S306:S308"/>
    <mergeCell ref="T306:T308"/>
    <mergeCell ref="W306:W308"/>
    <mergeCell ref="X306:X308"/>
    <mergeCell ref="H306:H308"/>
    <mergeCell ref="I306:I308"/>
    <mergeCell ref="J306:J308"/>
    <mergeCell ref="K306:K308"/>
    <mergeCell ref="L306:L308"/>
    <mergeCell ref="M306:M308"/>
    <mergeCell ref="N306:N308"/>
    <mergeCell ref="A306:A308"/>
    <mergeCell ref="B306:B308"/>
    <mergeCell ref="C306:C308"/>
    <mergeCell ref="D306:D308"/>
    <mergeCell ref="E306:E308"/>
    <mergeCell ref="F306:F308"/>
    <mergeCell ref="G306:G308"/>
    <mergeCell ref="O309:O311"/>
    <mergeCell ref="P309:P311"/>
    <mergeCell ref="Q309:Q311"/>
    <mergeCell ref="R309:R311"/>
    <mergeCell ref="S309:S311"/>
    <mergeCell ref="T309:T311"/>
    <mergeCell ref="W309:W311"/>
    <mergeCell ref="X309:X311"/>
    <mergeCell ref="Q312:Q314"/>
    <mergeCell ref="R312:R314"/>
    <mergeCell ref="S312:S314"/>
    <mergeCell ref="T312:T314"/>
    <mergeCell ref="W312:W314"/>
    <mergeCell ref="X312:X314"/>
    <mergeCell ref="A312:A314"/>
    <mergeCell ref="B312:B314"/>
    <mergeCell ref="C312:C314"/>
    <mergeCell ref="D312:D314"/>
    <mergeCell ref="E312:E314"/>
    <mergeCell ref="F312:F314"/>
    <mergeCell ref="G312:G314"/>
    <mergeCell ref="O312:O314"/>
    <mergeCell ref="P312:P314"/>
    <mergeCell ref="H312:H314"/>
    <mergeCell ref="I312:I314"/>
    <mergeCell ref="J312:J314"/>
    <mergeCell ref="K312:K314"/>
    <mergeCell ref="L312:L314"/>
    <mergeCell ref="M312:M314"/>
    <mergeCell ref="N312:N314"/>
    <mergeCell ref="O315:O317"/>
    <mergeCell ref="P315:P317"/>
    <mergeCell ref="Q315:Q317"/>
    <mergeCell ref="R315:R317"/>
    <mergeCell ref="S315:S317"/>
    <mergeCell ref="T315:T317"/>
    <mergeCell ref="W315:W317"/>
    <mergeCell ref="X315:X317"/>
    <mergeCell ref="H315:H317"/>
    <mergeCell ref="I315:I317"/>
    <mergeCell ref="J315:J317"/>
    <mergeCell ref="K315:K317"/>
    <mergeCell ref="L315:L317"/>
    <mergeCell ref="M315:M317"/>
    <mergeCell ref="N315:N317"/>
    <mergeCell ref="A315:A317"/>
    <mergeCell ref="B315:B317"/>
    <mergeCell ref="C315:C317"/>
    <mergeCell ref="D315:D317"/>
    <mergeCell ref="E315:E317"/>
    <mergeCell ref="F315:F317"/>
    <mergeCell ref="G315:G317"/>
    <mergeCell ref="O318:O320"/>
    <mergeCell ref="P318:P320"/>
    <mergeCell ref="Q318:Q320"/>
    <mergeCell ref="R318:R320"/>
    <mergeCell ref="S318:S320"/>
    <mergeCell ref="T318:T320"/>
    <mergeCell ref="W318:W320"/>
    <mergeCell ref="X318:X320"/>
    <mergeCell ref="Q321:Q323"/>
    <mergeCell ref="R321:R323"/>
    <mergeCell ref="S321:S323"/>
    <mergeCell ref="T321:T323"/>
    <mergeCell ref="W321:W323"/>
    <mergeCell ref="X321:X323"/>
    <mergeCell ref="A321:A323"/>
    <mergeCell ref="B321:B323"/>
    <mergeCell ref="C321:C323"/>
    <mergeCell ref="D321:D323"/>
    <mergeCell ref="E321:E323"/>
    <mergeCell ref="F321:F323"/>
    <mergeCell ref="G321:G323"/>
    <mergeCell ref="H327:H329"/>
    <mergeCell ref="I327:I329"/>
    <mergeCell ref="J327:J329"/>
    <mergeCell ref="K327:K329"/>
    <mergeCell ref="L327:L329"/>
    <mergeCell ref="M327:M329"/>
    <mergeCell ref="N327:N329"/>
    <mergeCell ref="A327:A329"/>
    <mergeCell ref="B327:B329"/>
    <mergeCell ref="C327:C329"/>
    <mergeCell ref="D327:D329"/>
    <mergeCell ref="E327:E329"/>
    <mergeCell ref="F327:F329"/>
    <mergeCell ref="G327:G329"/>
    <mergeCell ref="O321:O323"/>
    <mergeCell ref="P321:P323"/>
    <mergeCell ref="H321:H323"/>
    <mergeCell ref="I321:I323"/>
    <mergeCell ref="J321:J323"/>
    <mergeCell ref="K321:K323"/>
    <mergeCell ref="L321:L323"/>
    <mergeCell ref="M321:M323"/>
    <mergeCell ref="N321:N323"/>
    <mergeCell ref="O324:O326"/>
    <mergeCell ref="P324:P326"/>
    <mergeCell ref="Q324:Q326"/>
    <mergeCell ref="R324:R326"/>
    <mergeCell ref="S324:S326"/>
    <mergeCell ref="T324:T326"/>
    <mergeCell ref="W324:W326"/>
    <mergeCell ref="X324:X326"/>
    <mergeCell ref="H324:H326"/>
    <mergeCell ref="I324:I326"/>
    <mergeCell ref="J324:J326"/>
    <mergeCell ref="K324:K326"/>
    <mergeCell ref="L324:L326"/>
    <mergeCell ref="M324:M326"/>
    <mergeCell ref="N324:N326"/>
    <mergeCell ref="A324:A326"/>
    <mergeCell ref="B324:B326"/>
    <mergeCell ref="C324:C326"/>
    <mergeCell ref="D324:D326"/>
    <mergeCell ref="E324:E326"/>
    <mergeCell ref="F324:F326"/>
    <mergeCell ref="G324:G326"/>
    <mergeCell ref="O327:O329"/>
    <mergeCell ref="P327:P329"/>
    <mergeCell ref="Q327:Q329"/>
    <mergeCell ref="R327:R329"/>
    <mergeCell ref="S327:S329"/>
    <mergeCell ref="T327:T329"/>
    <mergeCell ref="W327:W329"/>
    <mergeCell ref="X327:X329"/>
    <mergeCell ref="Q330:Q332"/>
    <mergeCell ref="R330:R332"/>
    <mergeCell ref="S330:S332"/>
    <mergeCell ref="T330:T332"/>
    <mergeCell ref="W330:W332"/>
    <mergeCell ref="X330:X332"/>
    <mergeCell ref="A330:A332"/>
    <mergeCell ref="B330:B332"/>
    <mergeCell ref="C330:C332"/>
    <mergeCell ref="D330:D332"/>
    <mergeCell ref="E330:E332"/>
    <mergeCell ref="F330:F332"/>
    <mergeCell ref="G330:G332"/>
    <mergeCell ref="H336:H338"/>
    <mergeCell ref="I336:I338"/>
    <mergeCell ref="J336:J338"/>
    <mergeCell ref="K336:K338"/>
    <mergeCell ref="L336:L338"/>
    <mergeCell ref="M336:M338"/>
    <mergeCell ref="N336:N338"/>
    <mergeCell ref="A336:A338"/>
    <mergeCell ref="B336:B338"/>
    <mergeCell ref="C336:C338"/>
    <mergeCell ref="D336:D338"/>
    <mergeCell ref="E336:E338"/>
    <mergeCell ref="F336:F338"/>
    <mergeCell ref="G336:G338"/>
    <mergeCell ref="O330:O332"/>
    <mergeCell ref="P330:P332"/>
    <mergeCell ref="H330:H332"/>
    <mergeCell ref="I330:I332"/>
    <mergeCell ref="J330:J332"/>
    <mergeCell ref="K330:K332"/>
    <mergeCell ref="L330:L332"/>
    <mergeCell ref="M330:M332"/>
    <mergeCell ref="N330:N332"/>
    <mergeCell ref="O333:O335"/>
    <mergeCell ref="P333:P335"/>
    <mergeCell ref="Q333:Q335"/>
    <mergeCell ref="R333:R335"/>
    <mergeCell ref="S333:S335"/>
    <mergeCell ref="T333:T335"/>
    <mergeCell ref="W333:W335"/>
    <mergeCell ref="X333:X335"/>
    <mergeCell ref="H333:H335"/>
    <mergeCell ref="I333:I335"/>
    <mergeCell ref="J333:J335"/>
    <mergeCell ref="K333:K335"/>
    <mergeCell ref="L333:L335"/>
    <mergeCell ref="M333:M335"/>
    <mergeCell ref="N333:N335"/>
    <mergeCell ref="A333:A335"/>
    <mergeCell ref="B333:B335"/>
    <mergeCell ref="C333:C335"/>
    <mergeCell ref="D333:D335"/>
    <mergeCell ref="E333:E335"/>
    <mergeCell ref="F333:F335"/>
    <mergeCell ref="G333:G335"/>
    <mergeCell ref="O336:O338"/>
    <mergeCell ref="P336:P338"/>
    <mergeCell ref="Q336:Q338"/>
    <mergeCell ref="R336:R338"/>
    <mergeCell ref="S336:S338"/>
    <mergeCell ref="T336:T338"/>
    <mergeCell ref="W336:W338"/>
    <mergeCell ref="X336:X338"/>
    <mergeCell ref="Q339:Q341"/>
    <mergeCell ref="R339:R341"/>
    <mergeCell ref="S339:S341"/>
    <mergeCell ref="T339:T341"/>
    <mergeCell ref="W339:W341"/>
    <mergeCell ref="X339:X341"/>
    <mergeCell ref="A339:A341"/>
    <mergeCell ref="B339:B341"/>
    <mergeCell ref="C339:C341"/>
    <mergeCell ref="D339:D341"/>
    <mergeCell ref="E339:E341"/>
    <mergeCell ref="F339:F341"/>
    <mergeCell ref="G339:G341"/>
    <mergeCell ref="H345:H347"/>
    <mergeCell ref="I345:I347"/>
    <mergeCell ref="J345:J347"/>
    <mergeCell ref="K345:K347"/>
    <mergeCell ref="L345:L347"/>
    <mergeCell ref="M345:M347"/>
    <mergeCell ref="N345:N347"/>
    <mergeCell ref="A345:A347"/>
    <mergeCell ref="B345:B347"/>
    <mergeCell ref="C345:C347"/>
    <mergeCell ref="D345:D347"/>
    <mergeCell ref="E345:E347"/>
    <mergeCell ref="F345:F347"/>
    <mergeCell ref="G345:G347"/>
    <mergeCell ref="O339:O341"/>
    <mergeCell ref="P339:P341"/>
    <mergeCell ref="H339:H341"/>
    <mergeCell ref="I339:I341"/>
    <mergeCell ref="J339:J341"/>
    <mergeCell ref="K339:K341"/>
    <mergeCell ref="L339:L341"/>
    <mergeCell ref="M339:M341"/>
    <mergeCell ref="N339:N341"/>
    <mergeCell ref="O342:O344"/>
    <mergeCell ref="P342:P344"/>
    <mergeCell ref="Q342:Q344"/>
    <mergeCell ref="R342:R344"/>
    <mergeCell ref="S342:S344"/>
    <mergeCell ref="T342:T344"/>
    <mergeCell ref="W342:W344"/>
    <mergeCell ref="X342:X344"/>
    <mergeCell ref="H342:H344"/>
    <mergeCell ref="I342:I344"/>
    <mergeCell ref="J342:J344"/>
    <mergeCell ref="K342:K344"/>
    <mergeCell ref="L342:L344"/>
    <mergeCell ref="M342:M344"/>
    <mergeCell ref="N342:N344"/>
    <mergeCell ref="A342:A344"/>
    <mergeCell ref="B342:B344"/>
    <mergeCell ref="C342:C344"/>
    <mergeCell ref="D342:D344"/>
    <mergeCell ref="E342:E344"/>
    <mergeCell ref="F342:F344"/>
    <mergeCell ref="G342:G344"/>
    <mergeCell ref="O345:O347"/>
    <mergeCell ref="P345:P347"/>
    <mergeCell ref="Q345:Q347"/>
    <mergeCell ref="R345:R347"/>
    <mergeCell ref="S345:S347"/>
    <mergeCell ref="T345:T347"/>
    <mergeCell ref="W345:W347"/>
    <mergeCell ref="X345:X347"/>
    <mergeCell ref="Q348:Q350"/>
    <mergeCell ref="R348:R350"/>
    <mergeCell ref="S348:S350"/>
    <mergeCell ref="T348:T350"/>
    <mergeCell ref="W348:W350"/>
    <mergeCell ref="X348:X350"/>
    <mergeCell ref="A348:A350"/>
    <mergeCell ref="B348:B350"/>
    <mergeCell ref="C348:C350"/>
    <mergeCell ref="D348:D350"/>
    <mergeCell ref="E348:E350"/>
    <mergeCell ref="F348:F350"/>
    <mergeCell ref="G348:G350"/>
    <mergeCell ref="H354:H356"/>
    <mergeCell ref="I354:I356"/>
    <mergeCell ref="J354:J356"/>
    <mergeCell ref="K354:K356"/>
    <mergeCell ref="L354:L356"/>
    <mergeCell ref="M354:M356"/>
    <mergeCell ref="N354:N356"/>
    <mergeCell ref="A354:A356"/>
    <mergeCell ref="B354:B356"/>
    <mergeCell ref="C354:C356"/>
    <mergeCell ref="D354:D356"/>
    <mergeCell ref="E354:E356"/>
    <mergeCell ref="F354:F356"/>
    <mergeCell ref="G354:G356"/>
    <mergeCell ref="O348:O350"/>
    <mergeCell ref="P348:P350"/>
    <mergeCell ref="H348:H350"/>
    <mergeCell ref="I348:I350"/>
    <mergeCell ref="J348:J350"/>
    <mergeCell ref="K348:K350"/>
    <mergeCell ref="L348:L350"/>
    <mergeCell ref="M348:M350"/>
    <mergeCell ref="N348:N350"/>
    <mergeCell ref="O351:O353"/>
    <mergeCell ref="P351:P353"/>
    <mergeCell ref="Q351:Q353"/>
    <mergeCell ref="R351:R353"/>
    <mergeCell ref="S351:S353"/>
    <mergeCell ref="T351:T353"/>
    <mergeCell ref="W351:W353"/>
    <mergeCell ref="X351:X353"/>
    <mergeCell ref="H351:H353"/>
    <mergeCell ref="I351:I353"/>
    <mergeCell ref="J351:J353"/>
    <mergeCell ref="K351:K353"/>
    <mergeCell ref="L351:L353"/>
    <mergeCell ref="M351:M353"/>
    <mergeCell ref="N351:N353"/>
    <mergeCell ref="A351:A353"/>
    <mergeCell ref="B351:B353"/>
    <mergeCell ref="C351:C353"/>
    <mergeCell ref="D351:D353"/>
    <mergeCell ref="E351:E353"/>
    <mergeCell ref="F351:F353"/>
    <mergeCell ref="G351:G353"/>
    <mergeCell ref="O354:O356"/>
    <mergeCell ref="P354:P356"/>
    <mergeCell ref="Q354:Q356"/>
    <mergeCell ref="R354:R356"/>
    <mergeCell ref="S354:S356"/>
    <mergeCell ref="T354:T356"/>
    <mergeCell ref="W354:W356"/>
    <mergeCell ref="X354:X356"/>
    <mergeCell ref="Q357:Q359"/>
    <mergeCell ref="R357:R359"/>
    <mergeCell ref="S357:S359"/>
    <mergeCell ref="T357:T359"/>
    <mergeCell ref="W357:W359"/>
    <mergeCell ref="X357:X359"/>
    <mergeCell ref="A357:A359"/>
    <mergeCell ref="B357:B359"/>
    <mergeCell ref="C357:C359"/>
    <mergeCell ref="D357:D359"/>
    <mergeCell ref="E357:E359"/>
    <mergeCell ref="F357:F359"/>
    <mergeCell ref="G357:G359"/>
    <mergeCell ref="H363:H365"/>
    <mergeCell ref="I363:I365"/>
    <mergeCell ref="J363:J365"/>
    <mergeCell ref="K363:K365"/>
    <mergeCell ref="L363:L365"/>
    <mergeCell ref="M363:M365"/>
    <mergeCell ref="N363:N365"/>
    <mergeCell ref="A363:A365"/>
    <mergeCell ref="B363:B365"/>
    <mergeCell ref="C363:C365"/>
    <mergeCell ref="D363:D365"/>
    <mergeCell ref="E363:E365"/>
    <mergeCell ref="F363:F365"/>
    <mergeCell ref="G363:G365"/>
    <mergeCell ref="O357:O359"/>
    <mergeCell ref="P357:P359"/>
    <mergeCell ref="H357:H359"/>
    <mergeCell ref="I357:I359"/>
    <mergeCell ref="J357:J359"/>
    <mergeCell ref="K357:K359"/>
    <mergeCell ref="L357:L359"/>
    <mergeCell ref="M357:M359"/>
    <mergeCell ref="N357:N359"/>
    <mergeCell ref="O360:O362"/>
    <mergeCell ref="P360:P362"/>
    <mergeCell ref="Q360:Q362"/>
    <mergeCell ref="R360:R362"/>
    <mergeCell ref="S360:S362"/>
    <mergeCell ref="T360:T362"/>
    <mergeCell ref="W360:W362"/>
    <mergeCell ref="X360:X362"/>
    <mergeCell ref="H360:H362"/>
    <mergeCell ref="I360:I362"/>
    <mergeCell ref="J360:J362"/>
    <mergeCell ref="K360:K362"/>
    <mergeCell ref="L360:L362"/>
    <mergeCell ref="M360:M362"/>
    <mergeCell ref="N360:N362"/>
    <mergeCell ref="A360:A362"/>
    <mergeCell ref="B360:B362"/>
    <mergeCell ref="C360:C362"/>
    <mergeCell ref="D360:D362"/>
    <mergeCell ref="E360:E362"/>
    <mergeCell ref="F360:F362"/>
    <mergeCell ref="G360:G362"/>
    <mergeCell ref="O363:O365"/>
    <mergeCell ref="P363:P365"/>
    <mergeCell ref="Q363:Q365"/>
    <mergeCell ref="R363:R365"/>
    <mergeCell ref="S363:S365"/>
    <mergeCell ref="T363:T365"/>
    <mergeCell ref="W363:W365"/>
    <mergeCell ref="X363:X365"/>
    <mergeCell ref="Q366:Q368"/>
    <mergeCell ref="R366:R368"/>
    <mergeCell ref="S366:S368"/>
    <mergeCell ref="T366:T368"/>
    <mergeCell ref="W366:W368"/>
    <mergeCell ref="X366:X368"/>
    <mergeCell ref="A366:A368"/>
    <mergeCell ref="B366:B368"/>
    <mergeCell ref="C366:C368"/>
    <mergeCell ref="D366:D368"/>
    <mergeCell ref="E366:E368"/>
    <mergeCell ref="F366:F368"/>
    <mergeCell ref="G366:G368"/>
    <mergeCell ref="B407:B422"/>
    <mergeCell ref="B423:B447"/>
    <mergeCell ref="B448:H448"/>
    <mergeCell ref="B449:H449"/>
    <mergeCell ref="K449:M449"/>
    <mergeCell ref="B450:H450"/>
    <mergeCell ref="B451:D451"/>
    <mergeCell ref="E451:H451"/>
    <mergeCell ref="B452:H452"/>
    <mergeCell ref="B453:H453"/>
    <mergeCell ref="B454:H454"/>
    <mergeCell ref="B455:H455"/>
    <mergeCell ref="B456:H456"/>
    <mergeCell ref="A458:D458"/>
    <mergeCell ref="M388:M396"/>
    <mergeCell ref="N388:N396"/>
    <mergeCell ref="O388:O396"/>
    <mergeCell ref="P388:P396"/>
    <mergeCell ref="L379:L387"/>
    <mergeCell ref="M379:M387"/>
    <mergeCell ref="N379:N387"/>
    <mergeCell ref="O379:O387"/>
    <mergeCell ref="P379:P387"/>
    <mergeCell ref="Q379:Q387"/>
    <mergeCell ref="R379:R396"/>
    <mergeCell ref="Q388:Q396"/>
    <mergeCell ref="B400:I400"/>
    <mergeCell ref="B401:I401"/>
    <mergeCell ref="B402:I402"/>
    <mergeCell ref="B405:D405"/>
    <mergeCell ref="E405:J405"/>
    <mergeCell ref="N405:T405"/>
    <mergeCell ref="W404:W406"/>
    <mergeCell ref="W407:W409"/>
    <mergeCell ref="W410:W412"/>
    <mergeCell ref="W413:W415"/>
    <mergeCell ref="W416:W418"/>
    <mergeCell ref="W419:W421"/>
    <mergeCell ref="S379:S396"/>
    <mergeCell ref="T379:T396"/>
    <mergeCell ref="U388:U396"/>
    <mergeCell ref="V388:V396"/>
    <mergeCell ref="W388:W396"/>
    <mergeCell ref="X388:X396"/>
    <mergeCell ref="W401:W403"/>
    <mergeCell ref="B469:D469"/>
    <mergeCell ref="B475:D475"/>
    <mergeCell ref="O460:P460"/>
    <mergeCell ref="O461:P461"/>
    <mergeCell ref="O462:P462"/>
    <mergeCell ref="O463:P463"/>
    <mergeCell ref="O464:P464"/>
    <mergeCell ref="B465:J465"/>
    <mergeCell ref="O465:P465"/>
  </mergeCells>
  <dataValidations>
    <dataValidation type="list" allowBlank="1" showErrorMessage="1" sqref="S4 S7:S9 S12 S16:S21 S24 S27:S39 S43:S46 S49:S58 S60:S66 S68:S71 S73:S81 S83:S84 S87:S104 S110 S119 S122:S139 S141:S151 S157:S159 S161:S167 S170 S173:S176 S178 S181 S184 S187 S190 S193:S194 S196:S197 S201 S211 S216:S218 S220 S223 S226 S229:S230 S232 S234 S236:S237 S240 S243:S244 S246 S249 S251 S254 S257:S259 S263:S265 S268 S274:S276 S279 S282 S285 S288 S291 S294 S297 S300 S303 S306 S309 S312 S315 S318 S321 S324 S327 S330 S333 S336 S339 S342 S345 S348 S351 S354 S357 S360 S363 S366 S369 S372 S375:S379 S397">
      <formula1>"Cty trả ship"</formula1>
    </dataValidation>
    <dataValidation type="list" allowBlank="1" showErrorMessage="1" sqref="Q4 Q7:Q9 Q12 Q16:Q21 Q24 Q27:Q39 Q43:Q46 Q49:Q58 Q60:Q66 Q68:Q71 Q73:Q81 Q83:Q84 Q87:Q104 Q110 Q119 Q122:Q139 Q141:Q151 Q157:Q159 Q161:Q167 Q170 Q173:Q176 Q178 Q181 Q184 Q187 Q190 Q193:Q194 Q196:Q197 Q201 Q211 Q216:Q218 Q220 Q223 Q226 Q229:Q230 Q232 Q234 Q236:Q237 Q240 Q243:Q244 Q249 Q251 Q254 Q257:Q259 Q263:Q265 Q268 Q274:Q276 Q279 Q282 Q285 Q288 Q291 Q294 Q297 Q300 Q303 Q306 Q309 Q312 Q315 Q318 Q321 Q324 Q327 Q330 Q333 Q336 Q339 Q342 Q345 Q348 Q351 Q354 Q357 Q360 Q363 Q366 Q369 Q372 Q375:Q379 Q388 Q397">
      <formula1>"Chưa thu,Đã thu"</formula1>
    </dataValidation>
    <dataValidation type="list" allowBlank="1" showErrorMessage="1" sqref="P4 P7:P9 P12 P16:P21 P24 P27:P39 P43:P46 P49:P58 P60:P66 P68:P71 P73:P81 P83:P84 P87:P104 P110 P119 P122:P139 P141:P151 P157:P159 P161:P167 P170 P173:P176 P178 P181 P184 P187 P190 P193:P194 P196:P197 P201 P211 P216:P218 P220 P223 P226 P229:P230 P232 P234 P236:P237 P240 P243:P244 P246:Q246 P249 P251 P254 P257:P259 P263:P265 P268 P274:P276 P279 P282 P285 P288 P291 P294 P297 P300 P303 P306 P309 P312 P315 P318 P321 P324 P327 P330 P333 P336 P339 P342 P345 P348 P351 P354 P357 P360 P363 P366 P369 P372 P375:P379 P388 P397">
      <formula1>"Chưa giao,Đã giao"</formula1>
    </dataValidation>
  </dataValidation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4.0" ySplit="3.0" topLeftCell="E4" activePane="bottomRight" state="frozen"/>
      <selection activeCell="E1" sqref="E1" pane="topRight"/>
      <selection activeCell="A4" sqref="A4" pane="bottomLeft"/>
      <selection activeCell="E4" sqref="E4" pane="bottomRight"/>
    </sheetView>
  </sheetViews>
  <sheetFormatPr customHeight="1" defaultColWidth="12.63" defaultRowHeight="15.0"/>
  <cols>
    <col customWidth="1" min="1" max="1" width="7.63"/>
    <col customWidth="1" min="2" max="2" width="12.63"/>
    <col customWidth="1" min="3" max="3" width="19.75"/>
    <col customWidth="1" min="4" max="4" width="23.38"/>
    <col customWidth="1" min="5" max="5" width="22.88"/>
    <col customWidth="1" min="6" max="6" width="54.38"/>
    <col customWidth="1" min="7" max="7" width="22.0"/>
    <col customWidth="1" min="8" max="8" width="16.63"/>
    <col customWidth="1" min="9" max="9" width="17.38"/>
    <col customWidth="1" min="10" max="10" width="21.63"/>
    <col customWidth="1" min="11" max="11" width="16.13"/>
    <col customWidth="1" min="12" max="14" width="18.75"/>
    <col customWidth="1" min="15" max="15" width="21.38"/>
    <col customWidth="1" min="16" max="16" width="18.13"/>
    <col customWidth="1" min="17" max="17" width="19.75"/>
    <col customWidth="1" min="18" max="18" width="17.88"/>
    <col customWidth="1" min="19" max="19" width="17.25"/>
    <col customWidth="1" min="20" max="20" width="24.0"/>
    <col customWidth="1" min="21" max="21" width="20.38"/>
    <col customWidth="1" min="22" max="22" width="15.63"/>
    <col customWidth="1" min="23" max="23" width="38.13"/>
    <col customWidth="1" min="24" max="24" width="12.88"/>
    <col customWidth="1" min="25" max="25" width="21.13"/>
    <col customWidth="1" min="26" max="26" width="16.63"/>
    <col customWidth="1" min="27" max="30" width="12.63"/>
  </cols>
  <sheetData>
    <row r="1" ht="25.5" customHeight="1">
      <c r="A1" s="670" t="s">
        <v>1852</v>
      </c>
      <c r="B1" s="2"/>
      <c r="C1" s="2"/>
      <c r="D1" s="2"/>
      <c r="E1" s="2"/>
      <c r="F1" s="2"/>
      <c r="G1" s="3"/>
      <c r="H1" s="4"/>
      <c r="I1" s="4"/>
      <c r="J1" s="4"/>
      <c r="K1" s="4"/>
      <c r="L1" s="4"/>
      <c r="M1" s="4"/>
      <c r="N1" s="4"/>
      <c r="O1" s="4"/>
      <c r="P1" s="4"/>
      <c r="Q1" s="4"/>
      <c r="R1" s="4"/>
      <c r="S1" s="4"/>
      <c r="T1" s="4"/>
      <c r="U1" s="4"/>
      <c r="V1" s="4"/>
      <c r="W1" s="4"/>
      <c r="X1" s="6"/>
      <c r="Y1" s="6"/>
      <c r="Z1" s="7"/>
      <c r="AA1" s="8"/>
      <c r="AB1" s="8"/>
      <c r="AC1" s="8"/>
      <c r="AD1" s="9"/>
    </row>
    <row r="2" ht="15.75" customHeight="1">
      <c r="A2" s="10" t="s">
        <v>1</v>
      </c>
      <c r="B2" s="11" t="s">
        <v>2</v>
      </c>
      <c r="C2" s="12" t="s">
        <v>3</v>
      </c>
      <c r="D2" s="13" t="s">
        <v>4</v>
      </c>
      <c r="E2" s="14" t="s">
        <v>5</v>
      </c>
      <c r="F2" s="13" t="s">
        <v>6</v>
      </c>
      <c r="G2" s="15" t="s">
        <v>7</v>
      </c>
      <c r="H2" s="16"/>
      <c r="I2" s="16"/>
      <c r="J2" s="17"/>
      <c r="K2" s="18" t="s">
        <v>8</v>
      </c>
      <c r="L2" s="16"/>
      <c r="M2" s="16"/>
      <c r="N2" s="16"/>
      <c r="O2" s="16"/>
      <c r="P2" s="16"/>
      <c r="Q2" s="17"/>
      <c r="R2" s="19" t="s">
        <v>9</v>
      </c>
      <c r="S2" s="16"/>
      <c r="T2" s="17"/>
      <c r="U2" s="20" t="s">
        <v>10</v>
      </c>
      <c r="V2" s="17"/>
      <c r="W2" s="21" t="s">
        <v>11</v>
      </c>
      <c r="X2" s="1130" t="s">
        <v>1548</v>
      </c>
      <c r="Y2" s="23"/>
      <c r="Z2" s="24"/>
      <c r="AA2" s="25"/>
      <c r="AB2" s="25"/>
      <c r="AC2" s="25"/>
      <c r="AD2" s="22"/>
    </row>
    <row r="3" ht="47.25" customHeight="1">
      <c r="A3" s="26"/>
      <c r="B3" s="26"/>
      <c r="C3" s="26"/>
      <c r="D3" s="26"/>
      <c r="E3" s="26"/>
      <c r="F3" s="26"/>
      <c r="G3" s="27" t="s">
        <v>12</v>
      </c>
      <c r="H3" s="27" t="s">
        <v>13</v>
      </c>
      <c r="I3" s="28" t="s">
        <v>14</v>
      </c>
      <c r="J3" s="29" t="s">
        <v>15</v>
      </c>
      <c r="K3" s="30" t="s">
        <v>16</v>
      </c>
      <c r="L3" s="31" t="s">
        <v>17</v>
      </c>
      <c r="M3" s="1131" t="s">
        <v>1853</v>
      </c>
      <c r="N3" s="33" t="s">
        <v>19</v>
      </c>
      <c r="O3" s="34" t="s">
        <v>20</v>
      </c>
      <c r="P3" s="558" t="s">
        <v>21</v>
      </c>
      <c r="Q3" s="408"/>
      <c r="R3" s="36" t="s">
        <v>22</v>
      </c>
      <c r="S3" s="37" t="s">
        <v>23</v>
      </c>
      <c r="T3" s="37" t="s">
        <v>1854</v>
      </c>
      <c r="U3" s="38" t="s">
        <v>25</v>
      </c>
      <c r="V3" s="38" t="s">
        <v>26</v>
      </c>
      <c r="W3" s="26"/>
      <c r="X3" s="67"/>
      <c r="Y3" s="23"/>
      <c r="Z3" s="24"/>
      <c r="AA3" s="25"/>
      <c r="AB3" s="25"/>
      <c r="AC3" s="25"/>
      <c r="AD3" s="22"/>
    </row>
    <row r="4" ht="23.25" customHeight="1">
      <c r="A4" s="64">
        <v>1.0</v>
      </c>
      <c r="B4" s="120">
        <v>45072.0</v>
      </c>
      <c r="C4" s="409">
        <v>1.71136456821E12</v>
      </c>
      <c r="D4" s="813" t="s">
        <v>1855</v>
      </c>
      <c r="E4" s="411" t="s">
        <v>1856</v>
      </c>
      <c r="F4" s="1132" t="s">
        <v>1857</v>
      </c>
      <c r="G4" s="45" t="s">
        <v>122</v>
      </c>
      <c r="H4" s="46">
        <v>1.0</v>
      </c>
      <c r="I4" s="847">
        <f t="shared" ref="I4:I7" si="1">VLOOKUP(G4,$Y$4:$Z$40,2,0)</f>
        <v>220000</v>
      </c>
      <c r="J4" s="48">
        <f t="shared" ref="J4:J51" si="2">I4*H4</f>
        <v>220000</v>
      </c>
      <c r="K4" s="76">
        <f>SUM(J4)</f>
        <v>220000</v>
      </c>
      <c r="L4" s="1133">
        <v>40000.0</v>
      </c>
      <c r="M4" s="1134"/>
      <c r="N4" s="115">
        <v>20000.0</v>
      </c>
      <c r="O4" s="80">
        <f t="shared" ref="O4:O5" si="3">K4+L4-N4</f>
        <v>240000</v>
      </c>
      <c r="P4" s="81" t="s">
        <v>449</v>
      </c>
      <c r="Q4" s="81" t="s">
        <v>31</v>
      </c>
      <c r="R4" s="82"/>
      <c r="S4" s="91"/>
      <c r="T4" s="84" t="s">
        <v>33</v>
      </c>
      <c r="U4" s="412"/>
      <c r="V4" s="412"/>
      <c r="W4" s="412"/>
      <c r="X4" s="687"/>
      <c r="Y4" s="60" t="s">
        <v>34</v>
      </c>
      <c r="Z4" s="61">
        <v>65000.0</v>
      </c>
      <c r="AA4" s="25"/>
      <c r="AB4" s="25"/>
      <c r="AC4" s="25"/>
      <c r="AD4" s="22"/>
    </row>
    <row r="5" ht="23.25" customHeight="1">
      <c r="A5" s="111">
        <v>2.0</v>
      </c>
      <c r="B5" s="112">
        <v>45075.0</v>
      </c>
      <c r="C5" s="1135">
        <v>1.697101081552E12</v>
      </c>
      <c r="D5" s="142" t="s">
        <v>171</v>
      </c>
      <c r="E5" s="143" t="s">
        <v>172</v>
      </c>
      <c r="F5" s="1136" t="s">
        <v>1421</v>
      </c>
      <c r="G5" s="63" t="s">
        <v>30</v>
      </c>
      <c r="H5" s="64">
        <v>2.0</v>
      </c>
      <c r="I5" s="847">
        <f t="shared" si="1"/>
        <v>220000</v>
      </c>
      <c r="J5" s="48">
        <f t="shared" si="2"/>
        <v>440000</v>
      </c>
      <c r="K5" s="49">
        <f>SUM(J5:J7)</f>
        <v>1760000</v>
      </c>
      <c r="L5" s="147"/>
      <c r="M5" s="1137"/>
      <c r="N5" s="562"/>
      <c r="O5" s="53">
        <f t="shared" si="3"/>
        <v>1760000</v>
      </c>
      <c r="P5" s="99" t="s">
        <v>449</v>
      </c>
      <c r="Q5" s="99" t="s">
        <v>31</v>
      </c>
      <c r="R5" s="145">
        <v>74499.0</v>
      </c>
      <c r="S5" s="56" t="s">
        <v>32</v>
      </c>
      <c r="T5" s="57" t="s">
        <v>33</v>
      </c>
      <c r="U5" s="147"/>
      <c r="V5" s="147"/>
      <c r="W5" s="147"/>
      <c r="X5" s="974"/>
      <c r="Y5" s="65" t="s">
        <v>36</v>
      </c>
      <c r="Z5" s="66">
        <v>180000.0</v>
      </c>
      <c r="AA5" s="25"/>
      <c r="AB5" s="25"/>
      <c r="AC5" s="25"/>
      <c r="AD5" s="22"/>
    </row>
    <row r="6" ht="23.25" customHeight="1">
      <c r="A6" s="62"/>
      <c r="B6" s="62"/>
      <c r="C6" s="62"/>
      <c r="D6" s="62"/>
      <c r="E6" s="62"/>
      <c r="F6" s="62"/>
      <c r="G6" s="68" t="s">
        <v>35</v>
      </c>
      <c r="H6" s="69">
        <v>2.0</v>
      </c>
      <c r="I6" s="847">
        <f t="shared" si="1"/>
        <v>220000</v>
      </c>
      <c r="J6" s="48">
        <f t="shared" si="2"/>
        <v>440000</v>
      </c>
      <c r="K6" s="62"/>
      <c r="L6" s="62"/>
      <c r="M6" s="1138"/>
      <c r="N6" s="62"/>
      <c r="O6" s="62"/>
      <c r="P6" s="62"/>
      <c r="Q6" s="62"/>
      <c r="R6" s="62"/>
      <c r="S6" s="62"/>
      <c r="T6" s="62"/>
      <c r="U6" s="62"/>
      <c r="V6" s="62"/>
      <c r="W6" s="62"/>
      <c r="X6" s="62"/>
      <c r="Y6" s="65" t="s">
        <v>38</v>
      </c>
      <c r="Z6" s="66">
        <v>160000.0</v>
      </c>
      <c r="AA6" s="25"/>
      <c r="AB6" s="25"/>
      <c r="AC6" s="25"/>
      <c r="AD6" s="22"/>
    </row>
    <row r="7" ht="23.25" customHeight="1">
      <c r="A7" s="67"/>
      <c r="B7" s="67"/>
      <c r="C7" s="67"/>
      <c r="D7" s="67"/>
      <c r="E7" s="67"/>
      <c r="F7" s="67"/>
      <c r="G7" s="68" t="s">
        <v>290</v>
      </c>
      <c r="H7" s="69">
        <v>4.0</v>
      </c>
      <c r="I7" s="847">
        <f t="shared" si="1"/>
        <v>220000</v>
      </c>
      <c r="J7" s="48">
        <f t="shared" si="2"/>
        <v>880000</v>
      </c>
      <c r="K7" s="67"/>
      <c r="L7" s="67"/>
      <c r="M7" s="67"/>
      <c r="N7" s="67"/>
      <c r="O7" s="67"/>
      <c r="P7" s="67"/>
      <c r="Q7" s="67"/>
      <c r="R7" s="67"/>
      <c r="S7" s="67"/>
      <c r="T7" s="67"/>
      <c r="U7" s="67"/>
      <c r="V7" s="67"/>
      <c r="W7" s="67"/>
      <c r="X7" s="67"/>
      <c r="Y7" s="65" t="s">
        <v>43</v>
      </c>
      <c r="Z7" s="66">
        <v>80000.0</v>
      </c>
      <c r="AA7" s="25"/>
      <c r="AB7" s="25"/>
      <c r="AC7" s="25"/>
      <c r="AD7" s="22"/>
    </row>
    <row r="8" ht="37.5" customHeight="1">
      <c r="A8" s="69">
        <v>3.0</v>
      </c>
      <c r="B8" s="70">
        <v>45075.0</v>
      </c>
      <c r="C8" s="1139">
        <v>1.698006421118E12</v>
      </c>
      <c r="D8" s="68" t="s">
        <v>1858</v>
      </c>
      <c r="E8" s="71" t="s">
        <v>1859</v>
      </c>
      <c r="F8" s="1140" t="s">
        <v>1860</v>
      </c>
      <c r="G8" s="68" t="s">
        <v>47</v>
      </c>
      <c r="H8" s="69">
        <v>1.0</v>
      </c>
      <c r="I8" s="975">
        <v>220000.0</v>
      </c>
      <c r="J8" s="48">
        <f t="shared" si="2"/>
        <v>220000</v>
      </c>
      <c r="K8" s="76">
        <f>SUM(J8)</f>
        <v>220000</v>
      </c>
      <c r="L8" s="568">
        <v>40000.0</v>
      </c>
      <c r="M8" s="1134"/>
      <c r="N8" s="115">
        <v>20000.0</v>
      </c>
      <c r="O8" s="80">
        <f t="shared" ref="O8:O9" si="4">K8+L8-N8</f>
        <v>240000</v>
      </c>
      <c r="P8" s="81" t="s">
        <v>449</v>
      </c>
      <c r="Q8" s="81" t="s">
        <v>31</v>
      </c>
      <c r="R8" s="90"/>
      <c r="S8" s="91"/>
      <c r="T8" s="84" t="s">
        <v>33</v>
      </c>
      <c r="U8" s="85"/>
      <c r="V8" s="414"/>
      <c r="W8" s="86"/>
      <c r="X8" s="687"/>
      <c r="Y8" s="65" t="s">
        <v>48</v>
      </c>
      <c r="Z8" s="66">
        <v>55000.0</v>
      </c>
      <c r="AA8" s="25"/>
      <c r="AB8" s="25"/>
      <c r="AC8" s="25"/>
      <c r="AD8" s="22"/>
    </row>
    <row r="9" ht="23.25" customHeight="1">
      <c r="A9" s="94">
        <v>4.0</v>
      </c>
      <c r="B9" s="95">
        <v>45075.0</v>
      </c>
      <c r="C9" s="1141">
        <v>1.698859250722E12</v>
      </c>
      <c r="D9" s="96" t="s">
        <v>510</v>
      </c>
      <c r="E9" s="97" t="s">
        <v>1861</v>
      </c>
      <c r="F9" s="1142" t="s">
        <v>1862</v>
      </c>
      <c r="G9" s="68" t="s">
        <v>37</v>
      </c>
      <c r="H9" s="69">
        <v>2.0</v>
      </c>
      <c r="I9" s="975">
        <v>220000.0</v>
      </c>
      <c r="J9" s="48">
        <f t="shared" si="2"/>
        <v>440000</v>
      </c>
      <c r="K9" s="49">
        <f>sum(J9:J10)</f>
        <v>680000</v>
      </c>
      <c r="L9" s="560"/>
      <c r="M9" s="1143"/>
      <c r="N9" s="52"/>
      <c r="O9" s="53">
        <f t="shared" si="4"/>
        <v>680000</v>
      </c>
      <c r="P9" s="99" t="s">
        <v>449</v>
      </c>
      <c r="Q9" s="99" t="s">
        <v>31</v>
      </c>
      <c r="R9" s="55">
        <v>49000.0</v>
      </c>
      <c r="S9" s="56" t="s">
        <v>32</v>
      </c>
      <c r="T9" s="57" t="s">
        <v>33</v>
      </c>
      <c r="U9" s="113"/>
      <c r="V9" s="113"/>
      <c r="W9" s="59"/>
      <c r="X9" s="942">
        <v>1.0</v>
      </c>
      <c r="Y9" s="65" t="s">
        <v>60</v>
      </c>
      <c r="Z9" s="66">
        <v>45000.0</v>
      </c>
      <c r="AA9" s="25"/>
      <c r="AB9" s="25"/>
      <c r="AC9" s="25"/>
      <c r="AD9" s="22"/>
    </row>
    <row r="10" ht="23.25" customHeight="1">
      <c r="A10" s="67"/>
      <c r="B10" s="67"/>
      <c r="C10" s="67"/>
      <c r="D10" s="67"/>
      <c r="E10" s="67"/>
      <c r="F10" s="67"/>
      <c r="G10" s="68" t="s">
        <v>147</v>
      </c>
      <c r="H10" s="69">
        <v>3.0</v>
      </c>
      <c r="I10" s="975">
        <v>80000.0</v>
      </c>
      <c r="J10" s="48">
        <f t="shared" si="2"/>
        <v>240000</v>
      </c>
      <c r="K10" s="67"/>
      <c r="L10" s="67"/>
      <c r="M10" s="67"/>
      <c r="N10" s="67"/>
      <c r="O10" s="67"/>
      <c r="P10" s="67"/>
      <c r="Q10" s="67"/>
      <c r="R10" s="67"/>
      <c r="S10" s="67"/>
      <c r="T10" s="67"/>
      <c r="U10" s="67"/>
      <c r="V10" s="67"/>
      <c r="W10" s="67"/>
      <c r="X10" s="67"/>
      <c r="Y10" s="65" t="s">
        <v>679</v>
      </c>
      <c r="Z10" s="66">
        <v>110000.0</v>
      </c>
      <c r="AA10" s="25"/>
      <c r="AB10" s="25"/>
      <c r="AC10" s="25"/>
      <c r="AD10" s="22"/>
    </row>
    <row r="11" ht="23.25" customHeight="1">
      <c r="A11" s="111">
        <v>5.0</v>
      </c>
      <c r="B11" s="112">
        <v>45075.0</v>
      </c>
      <c r="C11" s="111">
        <v>1.708532094449E12</v>
      </c>
      <c r="D11" s="142" t="s">
        <v>1711</v>
      </c>
      <c r="E11" s="143" t="s">
        <v>1712</v>
      </c>
      <c r="F11" s="1136" t="s">
        <v>1713</v>
      </c>
      <c r="G11" s="63" t="s">
        <v>30</v>
      </c>
      <c r="H11" s="64">
        <v>2.0</v>
      </c>
      <c r="I11" s="975">
        <v>220000.0</v>
      </c>
      <c r="J11" s="48">
        <f t="shared" si="2"/>
        <v>440000</v>
      </c>
      <c r="K11" s="49">
        <f>SUM(J11:J13)</f>
        <v>1320000</v>
      </c>
      <c r="L11" s="147"/>
      <c r="M11" s="1143"/>
      <c r="N11" s="52"/>
      <c r="O11" s="53">
        <f>K11+L11-N11</f>
        <v>1320000</v>
      </c>
      <c r="P11" s="99" t="s">
        <v>449</v>
      </c>
      <c r="Q11" s="99" t="s">
        <v>31</v>
      </c>
      <c r="R11" s="145">
        <v>63998.0</v>
      </c>
      <c r="S11" s="56" t="s">
        <v>32</v>
      </c>
      <c r="T11" s="57" t="s">
        <v>33</v>
      </c>
      <c r="U11" s="147"/>
      <c r="V11" s="147"/>
      <c r="W11" s="147"/>
      <c r="X11" s="974"/>
      <c r="Y11" s="65" t="s">
        <v>66</v>
      </c>
      <c r="Z11" s="66">
        <v>205000.0</v>
      </c>
      <c r="AA11" s="25"/>
      <c r="AB11" s="25"/>
      <c r="AC11" s="25"/>
      <c r="AD11" s="22"/>
    </row>
    <row r="12" ht="23.25" customHeight="1">
      <c r="A12" s="62"/>
      <c r="B12" s="62"/>
      <c r="C12" s="62"/>
      <c r="D12" s="62"/>
      <c r="E12" s="62"/>
      <c r="F12" s="62"/>
      <c r="G12" s="63" t="s">
        <v>35</v>
      </c>
      <c r="H12" s="64">
        <v>2.0</v>
      </c>
      <c r="I12" s="975">
        <v>220000.0</v>
      </c>
      <c r="J12" s="48">
        <f t="shared" si="2"/>
        <v>440000</v>
      </c>
      <c r="K12" s="62"/>
      <c r="L12" s="62"/>
      <c r="M12" s="62"/>
      <c r="N12" s="62"/>
      <c r="O12" s="62"/>
      <c r="P12" s="62"/>
      <c r="Q12" s="62"/>
      <c r="R12" s="62"/>
      <c r="S12" s="62"/>
      <c r="T12" s="62"/>
      <c r="U12" s="62"/>
      <c r="V12" s="62"/>
      <c r="W12" s="62"/>
      <c r="X12" s="62"/>
      <c r="Y12" s="65" t="s">
        <v>684</v>
      </c>
      <c r="Z12" s="66">
        <v>150000.0</v>
      </c>
      <c r="AA12" s="25"/>
      <c r="AB12" s="25"/>
      <c r="AC12" s="25"/>
      <c r="AD12" s="22"/>
    </row>
    <row r="13" ht="23.25" customHeight="1">
      <c r="A13" s="67"/>
      <c r="B13" s="67"/>
      <c r="C13" s="67"/>
      <c r="D13" s="67"/>
      <c r="E13" s="67"/>
      <c r="F13" s="67"/>
      <c r="G13" s="63" t="s">
        <v>47</v>
      </c>
      <c r="H13" s="64">
        <v>2.0</v>
      </c>
      <c r="I13" s="975">
        <v>220000.0</v>
      </c>
      <c r="J13" s="48">
        <f t="shared" si="2"/>
        <v>440000</v>
      </c>
      <c r="K13" s="67"/>
      <c r="L13" s="67"/>
      <c r="M13" s="67"/>
      <c r="N13" s="67"/>
      <c r="O13" s="67"/>
      <c r="P13" s="67"/>
      <c r="Q13" s="67"/>
      <c r="R13" s="67"/>
      <c r="S13" s="67"/>
      <c r="T13" s="67"/>
      <c r="U13" s="67"/>
      <c r="V13" s="67"/>
      <c r="W13" s="67"/>
      <c r="X13" s="67"/>
      <c r="Y13" s="110" t="s">
        <v>71</v>
      </c>
      <c r="Z13" s="66">
        <v>85000.0</v>
      </c>
      <c r="AA13" s="25"/>
      <c r="AB13" s="25"/>
      <c r="AC13" s="25"/>
      <c r="AD13" s="22"/>
    </row>
    <row r="14" ht="23.25" customHeight="1">
      <c r="A14" s="111">
        <v>6.0</v>
      </c>
      <c r="B14" s="112">
        <v>45076.0</v>
      </c>
      <c r="C14" s="1135">
        <v>1.70852284818E12</v>
      </c>
      <c r="D14" s="142" t="s">
        <v>1156</v>
      </c>
      <c r="E14" s="143" t="s">
        <v>150</v>
      </c>
      <c r="F14" s="1136" t="s">
        <v>1157</v>
      </c>
      <c r="G14" s="63" t="s">
        <v>30</v>
      </c>
      <c r="H14" s="64">
        <v>1.0</v>
      </c>
      <c r="I14" s="975">
        <v>220000.0</v>
      </c>
      <c r="J14" s="48">
        <f t="shared" si="2"/>
        <v>220000</v>
      </c>
      <c r="K14" s="49">
        <f>sum(J14:J16)</f>
        <v>660000</v>
      </c>
      <c r="L14" s="147"/>
      <c r="M14" s="1143"/>
      <c r="N14" s="52"/>
      <c r="O14" s="53">
        <f>K14+L14-N14</f>
        <v>660000</v>
      </c>
      <c r="P14" s="99" t="s">
        <v>449</v>
      </c>
      <c r="Q14" s="99" t="s">
        <v>31</v>
      </c>
      <c r="R14" s="145">
        <v>49000.0</v>
      </c>
      <c r="S14" s="56" t="s">
        <v>32</v>
      </c>
      <c r="T14" s="57" t="s">
        <v>33</v>
      </c>
      <c r="U14" s="147"/>
      <c r="V14" s="147"/>
      <c r="W14" s="147"/>
      <c r="X14" s="942">
        <v>1.0</v>
      </c>
      <c r="Y14" s="65" t="s">
        <v>76</v>
      </c>
      <c r="Z14" s="66">
        <v>90000.0</v>
      </c>
      <c r="AA14" s="25"/>
      <c r="AB14" s="25"/>
      <c r="AC14" s="25"/>
      <c r="AD14" s="22"/>
    </row>
    <row r="15" ht="23.25" customHeight="1">
      <c r="A15" s="62"/>
      <c r="B15" s="62"/>
      <c r="C15" s="62"/>
      <c r="D15" s="62"/>
      <c r="E15" s="62"/>
      <c r="F15" s="62"/>
      <c r="G15" s="63" t="s">
        <v>35</v>
      </c>
      <c r="H15" s="64">
        <v>1.0</v>
      </c>
      <c r="I15" s="975">
        <v>220000.0</v>
      </c>
      <c r="J15" s="48">
        <f t="shared" si="2"/>
        <v>220000</v>
      </c>
      <c r="K15" s="62"/>
      <c r="L15" s="62"/>
      <c r="M15" s="62"/>
      <c r="N15" s="62"/>
      <c r="O15" s="62"/>
      <c r="P15" s="62"/>
      <c r="Q15" s="62"/>
      <c r="R15" s="62"/>
      <c r="S15" s="62"/>
      <c r="T15" s="62"/>
      <c r="U15" s="62"/>
      <c r="V15" s="62"/>
      <c r="W15" s="62"/>
      <c r="X15" s="62"/>
      <c r="Y15" s="65" t="s">
        <v>80</v>
      </c>
      <c r="Z15" s="66">
        <v>85000.0</v>
      </c>
      <c r="AA15" s="25"/>
      <c r="AB15" s="25"/>
      <c r="AC15" s="25"/>
      <c r="AD15" s="22"/>
    </row>
    <row r="16" ht="23.25" customHeight="1">
      <c r="A16" s="67"/>
      <c r="B16" s="67"/>
      <c r="C16" s="67"/>
      <c r="D16" s="67"/>
      <c r="E16" s="67"/>
      <c r="F16" s="67"/>
      <c r="G16" s="63" t="s">
        <v>58</v>
      </c>
      <c r="H16" s="64">
        <v>1.0</v>
      </c>
      <c r="I16" s="975">
        <v>220000.0</v>
      </c>
      <c r="J16" s="48">
        <f t="shared" si="2"/>
        <v>220000</v>
      </c>
      <c r="K16" s="67"/>
      <c r="L16" s="67"/>
      <c r="M16" s="67"/>
      <c r="N16" s="67"/>
      <c r="O16" s="67"/>
      <c r="P16" s="67"/>
      <c r="Q16" s="67"/>
      <c r="R16" s="67"/>
      <c r="S16" s="67"/>
      <c r="T16" s="67"/>
      <c r="U16" s="67"/>
      <c r="V16" s="67"/>
      <c r="W16" s="67"/>
      <c r="X16" s="67"/>
      <c r="Y16" s="65" t="s">
        <v>81</v>
      </c>
      <c r="Z16" s="66">
        <v>150000.0</v>
      </c>
      <c r="AA16" s="25"/>
      <c r="AB16" s="25"/>
      <c r="AC16" s="25"/>
      <c r="AD16" s="22"/>
    </row>
    <row r="17" ht="23.25" customHeight="1">
      <c r="A17" s="94">
        <v>7.0</v>
      </c>
      <c r="B17" s="95">
        <v>45076.0</v>
      </c>
      <c r="C17" s="1141">
        <v>1.709492062612E12</v>
      </c>
      <c r="D17" s="417" t="s">
        <v>953</v>
      </c>
      <c r="E17" s="97" t="s">
        <v>954</v>
      </c>
      <c r="F17" s="769" t="s">
        <v>1702</v>
      </c>
      <c r="G17" s="63" t="s">
        <v>30</v>
      </c>
      <c r="H17" s="64">
        <v>1.0</v>
      </c>
      <c r="I17" s="975">
        <v>220000.0</v>
      </c>
      <c r="J17" s="48">
        <f t="shared" si="2"/>
        <v>220000</v>
      </c>
      <c r="K17" s="49">
        <f>SUM(J17:J18)</f>
        <v>440000</v>
      </c>
      <c r="L17" s="418">
        <v>38999.0</v>
      </c>
      <c r="M17" s="1144"/>
      <c r="N17" s="117">
        <v>8999.0</v>
      </c>
      <c r="O17" s="53">
        <f>K17+L17-N17</f>
        <v>470000</v>
      </c>
      <c r="P17" s="99" t="s">
        <v>449</v>
      </c>
      <c r="Q17" s="99" t="s">
        <v>31</v>
      </c>
      <c r="R17" s="118"/>
      <c r="S17" s="119"/>
      <c r="T17" s="57" t="s">
        <v>33</v>
      </c>
      <c r="U17" s="100"/>
      <c r="V17" s="977"/>
      <c r="W17" s="58"/>
      <c r="X17" s="974"/>
      <c r="Y17" s="65" t="s">
        <v>85</v>
      </c>
      <c r="Z17" s="66">
        <v>125000.0</v>
      </c>
      <c r="AA17" s="25"/>
      <c r="AB17" s="25"/>
      <c r="AC17" s="25"/>
      <c r="AD17" s="22"/>
    </row>
    <row r="18" ht="23.25" customHeight="1">
      <c r="A18" s="67"/>
      <c r="B18" s="67"/>
      <c r="C18" s="67"/>
      <c r="D18" s="67"/>
      <c r="E18" s="67"/>
      <c r="F18" s="102"/>
      <c r="G18" s="63" t="s">
        <v>37</v>
      </c>
      <c r="H18" s="64">
        <v>1.0</v>
      </c>
      <c r="I18" s="975">
        <v>220000.0</v>
      </c>
      <c r="J18" s="48">
        <f t="shared" si="2"/>
        <v>220000</v>
      </c>
      <c r="K18" s="67"/>
      <c r="L18" s="67"/>
      <c r="M18" s="67"/>
      <c r="N18" s="67"/>
      <c r="O18" s="67"/>
      <c r="P18" s="67"/>
      <c r="Q18" s="67"/>
      <c r="R18" s="67"/>
      <c r="S18" s="67"/>
      <c r="T18" s="67"/>
      <c r="U18" s="67"/>
      <c r="V18" s="67"/>
      <c r="W18" s="67"/>
      <c r="X18" s="67"/>
      <c r="Y18" s="65" t="s">
        <v>89</v>
      </c>
      <c r="Z18" s="66">
        <v>35000.0</v>
      </c>
      <c r="AA18" s="25"/>
      <c r="AB18" s="25"/>
      <c r="AC18" s="25"/>
      <c r="AD18" s="22"/>
    </row>
    <row r="19" ht="23.25" customHeight="1">
      <c r="A19" s="94">
        <v>8.0</v>
      </c>
      <c r="B19" s="416">
        <v>45077.0</v>
      </c>
      <c r="C19" s="1141">
        <v>1.693091782233E12</v>
      </c>
      <c r="D19" s="96" t="s">
        <v>1729</v>
      </c>
      <c r="E19" s="97" t="s">
        <v>1730</v>
      </c>
      <c r="F19" s="1142" t="s">
        <v>1731</v>
      </c>
      <c r="G19" s="63" t="s">
        <v>144</v>
      </c>
      <c r="H19" s="64">
        <v>4.0</v>
      </c>
      <c r="I19" s="975">
        <v>220000.0</v>
      </c>
      <c r="J19" s="48">
        <f t="shared" si="2"/>
        <v>880000</v>
      </c>
      <c r="K19" s="49">
        <f>SUM(J19:J20)</f>
        <v>1040000</v>
      </c>
      <c r="L19" s="560"/>
      <c r="M19" s="1138"/>
      <c r="N19" s="562"/>
      <c r="O19" s="53">
        <f>K19+L19-N19</f>
        <v>1040000</v>
      </c>
      <c r="P19" s="99" t="s">
        <v>449</v>
      </c>
      <c r="Q19" s="99" t="s">
        <v>31</v>
      </c>
      <c r="R19" s="55">
        <v>57999.0</v>
      </c>
      <c r="S19" s="119"/>
      <c r="T19" s="57" t="s">
        <v>33</v>
      </c>
      <c r="U19" s="113"/>
      <c r="V19" s="113"/>
      <c r="W19" s="59"/>
      <c r="X19" s="974"/>
      <c r="Y19" s="65" t="s">
        <v>93</v>
      </c>
      <c r="Z19" s="66">
        <v>90000.0</v>
      </c>
      <c r="AA19" s="25"/>
      <c r="AB19" s="25"/>
      <c r="AC19" s="25"/>
      <c r="AD19" s="22"/>
    </row>
    <row r="20" ht="23.25" customHeight="1">
      <c r="A20" s="67"/>
      <c r="B20" s="67"/>
      <c r="C20" s="67"/>
      <c r="D20" s="67"/>
      <c r="E20" s="67"/>
      <c r="F20" s="67"/>
      <c r="G20" s="63" t="s">
        <v>147</v>
      </c>
      <c r="H20" s="64">
        <v>2.0</v>
      </c>
      <c r="I20" s="975">
        <v>80000.0</v>
      </c>
      <c r="J20" s="48">
        <f t="shared" si="2"/>
        <v>160000</v>
      </c>
      <c r="K20" s="67"/>
      <c r="L20" s="67"/>
      <c r="M20" s="67"/>
      <c r="N20" s="67"/>
      <c r="O20" s="67"/>
      <c r="P20" s="67"/>
      <c r="Q20" s="67"/>
      <c r="R20" s="67"/>
      <c r="S20" s="67"/>
      <c r="T20" s="67"/>
      <c r="U20" s="67"/>
      <c r="V20" s="67"/>
      <c r="W20" s="67"/>
      <c r="X20" s="67"/>
      <c r="Y20" s="65" t="s">
        <v>94</v>
      </c>
      <c r="Z20" s="66">
        <v>140000.0</v>
      </c>
      <c r="AA20" s="25"/>
      <c r="AB20" s="25"/>
      <c r="AC20" s="25"/>
      <c r="AD20" s="22"/>
    </row>
    <row r="21" ht="23.25" customHeight="1">
      <c r="A21" s="111">
        <v>9.0</v>
      </c>
      <c r="B21" s="40">
        <v>45078.0</v>
      </c>
      <c r="C21" s="1135">
        <v>1.707765234489E12</v>
      </c>
      <c r="D21" s="142" t="s">
        <v>942</v>
      </c>
      <c r="E21" s="143" t="s">
        <v>1076</v>
      </c>
      <c r="F21" s="1145" t="s">
        <v>1077</v>
      </c>
      <c r="G21" s="63" t="s">
        <v>165</v>
      </c>
      <c r="H21" s="64">
        <v>2.0</v>
      </c>
      <c r="I21" s="975">
        <v>220000.0</v>
      </c>
      <c r="J21" s="48">
        <f t="shared" si="2"/>
        <v>440000</v>
      </c>
      <c r="K21" s="49">
        <f>SUM(J21:J22)</f>
        <v>660000</v>
      </c>
      <c r="L21" s="147"/>
      <c r="M21" s="1138"/>
      <c r="N21" s="562"/>
      <c r="O21" s="53">
        <f>K21+L21-N21</f>
        <v>660000</v>
      </c>
      <c r="P21" s="99" t="s">
        <v>449</v>
      </c>
      <c r="Q21" s="99" t="s">
        <v>31</v>
      </c>
      <c r="R21" s="145">
        <v>49000.0</v>
      </c>
      <c r="S21" s="119"/>
      <c r="T21" s="57" t="s">
        <v>33</v>
      </c>
      <c r="U21" s="147"/>
      <c r="V21" s="147"/>
      <c r="W21" s="147"/>
      <c r="X21" s="942">
        <v>1.0</v>
      </c>
      <c r="Y21" s="65" t="s">
        <v>97</v>
      </c>
      <c r="Z21" s="66">
        <v>95000.0</v>
      </c>
      <c r="AA21" s="25"/>
      <c r="AB21" s="25"/>
      <c r="AC21" s="25"/>
      <c r="AD21" s="22"/>
    </row>
    <row r="22" ht="23.25" customHeight="1">
      <c r="A22" s="67"/>
      <c r="B22" s="67"/>
      <c r="C22" s="67"/>
      <c r="D22" s="67"/>
      <c r="E22" s="67"/>
      <c r="F22" s="67"/>
      <c r="G22" s="63" t="s">
        <v>122</v>
      </c>
      <c r="H22" s="64">
        <v>1.0</v>
      </c>
      <c r="I22" s="975">
        <v>220000.0</v>
      </c>
      <c r="J22" s="48">
        <f t="shared" si="2"/>
        <v>220000</v>
      </c>
      <c r="K22" s="67"/>
      <c r="L22" s="67"/>
      <c r="M22" s="67"/>
      <c r="N22" s="67"/>
      <c r="O22" s="67"/>
      <c r="P22" s="67"/>
      <c r="Q22" s="67"/>
      <c r="R22" s="67"/>
      <c r="S22" s="67"/>
      <c r="T22" s="67"/>
      <c r="U22" s="67"/>
      <c r="V22" s="67"/>
      <c r="W22" s="67"/>
      <c r="X22" s="67"/>
      <c r="Y22" s="65" t="s">
        <v>99</v>
      </c>
      <c r="Z22" s="66">
        <v>140000.0</v>
      </c>
      <c r="AA22" s="25"/>
      <c r="AB22" s="25"/>
      <c r="AC22" s="25"/>
      <c r="AD22" s="22"/>
    </row>
    <row r="23" ht="23.25" customHeight="1">
      <c r="A23" s="111">
        <v>10.0</v>
      </c>
      <c r="B23" s="112">
        <v>45078.0</v>
      </c>
      <c r="C23" s="146"/>
      <c r="D23" s="142" t="s">
        <v>1863</v>
      </c>
      <c r="E23" s="143" t="s">
        <v>1864</v>
      </c>
      <c r="F23" s="142" t="s">
        <v>1865</v>
      </c>
      <c r="G23" s="63" t="s">
        <v>30</v>
      </c>
      <c r="H23" s="64">
        <v>1.0</v>
      </c>
      <c r="I23" s="975">
        <v>220000.0</v>
      </c>
      <c r="J23" s="48">
        <f t="shared" si="2"/>
        <v>220000</v>
      </c>
      <c r="K23" s="49">
        <f>SUM(J23:J26)</f>
        <v>880000</v>
      </c>
      <c r="L23" s="147"/>
      <c r="M23" s="1138"/>
      <c r="N23" s="562"/>
      <c r="O23" s="53">
        <f>K23+L23-N23</f>
        <v>880000</v>
      </c>
      <c r="P23" s="99" t="s">
        <v>449</v>
      </c>
      <c r="Q23" s="99" t="s">
        <v>31</v>
      </c>
      <c r="R23" s="144"/>
      <c r="S23" s="119"/>
      <c r="T23" s="57" t="s">
        <v>33</v>
      </c>
      <c r="U23" s="147"/>
      <c r="V23" s="147"/>
      <c r="W23" s="142" t="s">
        <v>1866</v>
      </c>
      <c r="X23" s="974"/>
      <c r="Y23" s="65" t="s">
        <v>101</v>
      </c>
      <c r="Z23" s="66">
        <v>150000.0</v>
      </c>
      <c r="AA23" s="25"/>
      <c r="AB23" s="25"/>
      <c r="AC23" s="25"/>
      <c r="AD23" s="22"/>
    </row>
    <row r="24" ht="23.25" customHeight="1">
      <c r="A24" s="62"/>
      <c r="B24" s="62"/>
      <c r="C24" s="62"/>
      <c r="D24" s="62"/>
      <c r="E24" s="62"/>
      <c r="F24" s="62"/>
      <c r="G24" s="68" t="s">
        <v>35</v>
      </c>
      <c r="H24" s="69">
        <v>1.0</v>
      </c>
      <c r="I24" s="975">
        <v>220000.0</v>
      </c>
      <c r="J24" s="48">
        <f t="shared" si="2"/>
        <v>220000</v>
      </c>
      <c r="K24" s="62"/>
      <c r="L24" s="62"/>
      <c r="M24" s="62"/>
      <c r="N24" s="62"/>
      <c r="O24" s="62"/>
      <c r="P24" s="62"/>
      <c r="Q24" s="62"/>
      <c r="R24" s="62"/>
      <c r="S24" s="62"/>
      <c r="T24" s="62"/>
      <c r="U24" s="62"/>
      <c r="V24" s="62"/>
      <c r="W24" s="62"/>
      <c r="X24" s="62"/>
      <c r="Y24" s="65" t="s">
        <v>109</v>
      </c>
      <c r="Z24" s="66">
        <v>125000.0</v>
      </c>
      <c r="AA24" s="25"/>
      <c r="AB24" s="25"/>
      <c r="AC24" s="25"/>
      <c r="AD24" s="22"/>
    </row>
    <row r="25" ht="23.25" customHeight="1">
      <c r="A25" s="62"/>
      <c r="B25" s="62"/>
      <c r="C25" s="62"/>
      <c r="D25" s="62"/>
      <c r="E25" s="62"/>
      <c r="F25" s="62"/>
      <c r="G25" s="68" t="s">
        <v>58</v>
      </c>
      <c r="H25" s="69">
        <v>1.0</v>
      </c>
      <c r="I25" s="975">
        <v>220000.0</v>
      </c>
      <c r="J25" s="48">
        <f t="shared" si="2"/>
        <v>220000</v>
      </c>
      <c r="K25" s="62"/>
      <c r="L25" s="62"/>
      <c r="M25" s="62"/>
      <c r="N25" s="62"/>
      <c r="O25" s="62"/>
      <c r="P25" s="62"/>
      <c r="Q25" s="62"/>
      <c r="R25" s="62"/>
      <c r="S25" s="62"/>
      <c r="T25" s="62"/>
      <c r="U25" s="62"/>
      <c r="V25" s="62"/>
      <c r="W25" s="62"/>
      <c r="X25" s="62"/>
      <c r="Y25" s="65" t="s">
        <v>113</v>
      </c>
      <c r="Z25" s="66">
        <v>75000.0</v>
      </c>
      <c r="AA25" s="25"/>
      <c r="AB25" s="25"/>
      <c r="AC25" s="25"/>
      <c r="AD25" s="22"/>
    </row>
    <row r="26" ht="23.25" customHeight="1">
      <c r="A26" s="67"/>
      <c r="B26" s="67"/>
      <c r="C26" s="67"/>
      <c r="D26" s="67"/>
      <c r="E26" s="67"/>
      <c r="F26" s="67"/>
      <c r="G26" s="68" t="s">
        <v>911</v>
      </c>
      <c r="H26" s="69">
        <v>1.0</v>
      </c>
      <c r="I26" s="975">
        <v>220000.0</v>
      </c>
      <c r="J26" s="48">
        <f t="shared" si="2"/>
        <v>220000</v>
      </c>
      <c r="K26" s="67"/>
      <c r="L26" s="67"/>
      <c r="M26" s="67"/>
      <c r="N26" s="67"/>
      <c r="O26" s="67"/>
      <c r="P26" s="67"/>
      <c r="Q26" s="67"/>
      <c r="R26" s="67"/>
      <c r="S26" s="67"/>
      <c r="T26" s="67"/>
      <c r="U26" s="67"/>
      <c r="V26" s="67"/>
      <c r="W26" s="67"/>
      <c r="X26" s="67"/>
      <c r="Y26" s="65" t="s">
        <v>116</v>
      </c>
      <c r="Z26" s="66">
        <v>475000.0</v>
      </c>
      <c r="AA26" s="25"/>
      <c r="AB26" s="25"/>
      <c r="AC26" s="25"/>
      <c r="AD26" s="22"/>
    </row>
    <row r="27" ht="23.25" customHeight="1">
      <c r="A27" s="39">
        <v>11.0</v>
      </c>
      <c r="B27" s="125">
        <v>45080.0</v>
      </c>
      <c r="C27" s="1146">
        <v>1.692329591339E12</v>
      </c>
      <c r="D27" s="126" t="s">
        <v>1867</v>
      </c>
      <c r="E27" s="175" t="s">
        <v>1868</v>
      </c>
      <c r="F27" s="1147" t="s">
        <v>1869</v>
      </c>
      <c r="G27" s="63" t="s">
        <v>35</v>
      </c>
      <c r="H27" s="64">
        <v>1.0</v>
      </c>
      <c r="I27" s="975">
        <v>220000.0</v>
      </c>
      <c r="J27" s="48">
        <f t="shared" si="2"/>
        <v>220000</v>
      </c>
      <c r="K27" s="49">
        <f>SUM(J27:J28)</f>
        <v>265000</v>
      </c>
      <c r="L27" s="418">
        <v>40000.0</v>
      </c>
      <c r="M27" s="1148"/>
      <c r="N27" s="1149">
        <v>20000.0</v>
      </c>
      <c r="O27" s="53">
        <f>K27+L27-N27</f>
        <v>285000</v>
      </c>
      <c r="P27" s="99" t="s">
        <v>449</v>
      </c>
      <c r="Q27" s="99" t="s">
        <v>31</v>
      </c>
      <c r="R27" s="118"/>
      <c r="S27" s="56"/>
      <c r="T27" s="57" t="s">
        <v>33</v>
      </c>
      <c r="U27" s="100"/>
      <c r="V27" s="977"/>
      <c r="W27" s="58"/>
      <c r="X27" s="974"/>
      <c r="Y27" s="85" t="s">
        <v>121</v>
      </c>
      <c r="Z27" s="128">
        <v>220000.0</v>
      </c>
      <c r="AA27" s="25"/>
      <c r="AB27" s="25"/>
      <c r="AC27" s="25"/>
      <c r="AD27" s="22"/>
    </row>
    <row r="28" ht="23.25" customHeight="1">
      <c r="A28" s="67"/>
      <c r="B28" s="67"/>
      <c r="C28" s="67"/>
      <c r="D28" s="67"/>
      <c r="E28" s="67"/>
      <c r="F28" s="67"/>
      <c r="G28" s="63" t="s">
        <v>75</v>
      </c>
      <c r="H28" s="64">
        <v>1.0</v>
      </c>
      <c r="I28" s="975">
        <v>45000.0</v>
      </c>
      <c r="J28" s="48">
        <f t="shared" si="2"/>
        <v>45000</v>
      </c>
      <c r="K28" s="67"/>
      <c r="L28" s="67"/>
      <c r="M28" s="67"/>
      <c r="N28" s="67"/>
      <c r="O28" s="67"/>
      <c r="P28" s="67"/>
      <c r="Q28" s="67"/>
      <c r="R28" s="67"/>
      <c r="S28" s="67"/>
      <c r="T28" s="67"/>
      <c r="U28" s="67"/>
      <c r="V28" s="67"/>
      <c r="W28" s="67"/>
      <c r="X28" s="67"/>
      <c r="Y28" s="85" t="s">
        <v>123</v>
      </c>
      <c r="Z28" s="128">
        <v>220000.0</v>
      </c>
      <c r="AA28" s="25"/>
      <c r="AB28" s="25"/>
      <c r="AC28" s="25"/>
      <c r="AD28" s="22"/>
    </row>
    <row r="29" ht="23.25" customHeight="1">
      <c r="A29" s="39">
        <v>12.0</v>
      </c>
      <c r="B29" s="125">
        <v>45080.0</v>
      </c>
      <c r="C29" s="1146">
        <v>1.692421129629E12</v>
      </c>
      <c r="D29" s="126" t="s">
        <v>1017</v>
      </c>
      <c r="E29" s="175" t="s">
        <v>1018</v>
      </c>
      <c r="F29" s="1147" t="s">
        <v>1870</v>
      </c>
      <c r="G29" s="63" t="s">
        <v>122</v>
      </c>
      <c r="H29" s="64">
        <v>1.0</v>
      </c>
      <c r="I29" s="975">
        <v>220000.0</v>
      </c>
      <c r="J29" s="48">
        <f t="shared" si="2"/>
        <v>220000</v>
      </c>
      <c r="K29" s="49">
        <f>SUM(J29:J32)</f>
        <v>900000</v>
      </c>
      <c r="L29" s="50"/>
      <c r="M29" s="1138"/>
      <c r="N29" s="562"/>
      <c r="O29" s="53">
        <f>K29+L29-N29</f>
        <v>900000</v>
      </c>
      <c r="P29" s="99" t="s">
        <v>449</v>
      </c>
      <c r="Q29" s="99" t="s">
        <v>31</v>
      </c>
      <c r="R29" s="55">
        <v>51999.0</v>
      </c>
      <c r="S29" s="56" t="s">
        <v>32</v>
      </c>
      <c r="T29" s="57" t="s">
        <v>33</v>
      </c>
      <c r="U29" s="100"/>
      <c r="V29" s="977"/>
      <c r="W29" s="58"/>
      <c r="X29" s="942">
        <v>1.0</v>
      </c>
      <c r="Y29" s="85" t="s">
        <v>124</v>
      </c>
      <c r="Z29" s="128">
        <v>220000.0</v>
      </c>
      <c r="AA29" s="25"/>
      <c r="AB29" s="25"/>
      <c r="AC29" s="25"/>
      <c r="AD29" s="22"/>
    </row>
    <row r="30" ht="23.25" customHeight="1">
      <c r="A30" s="62"/>
      <c r="B30" s="62"/>
      <c r="C30" s="62"/>
      <c r="D30" s="62"/>
      <c r="E30" s="62"/>
      <c r="F30" s="62"/>
      <c r="G30" s="63" t="s">
        <v>144</v>
      </c>
      <c r="H30" s="64">
        <v>1.0</v>
      </c>
      <c r="I30" s="975">
        <v>220000.0</v>
      </c>
      <c r="J30" s="48">
        <f t="shared" si="2"/>
        <v>220000</v>
      </c>
      <c r="K30" s="62"/>
      <c r="L30" s="62"/>
      <c r="M30" s="62"/>
      <c r="N30" s="62"/>
      <c r="O30" s="62"/>
      <c r="P30" s="62"/>
      <c r="Q30" s="62"/>
      <c r="R30" s="62"/>
      <c r="S30" s="62"/>
      <c r="T30" s="62"/>
      <c r="U30" s="62"/>
      <c r="V30" s="62"/>
      <c r="W30" s="62"/>
      <c r="X30" s="62"/>
      <c r="Y30" s="129" t="s">
        <v>125</v>
      </c>
      <c r="Z30" s="80">
        <v>220000.0</v>
      </c>
      <c r="AA30" s="25"/>
      <c r="AB30" s="25"/>
      <c r="AC30" s="25"/>
      <c r="AD30" s="22"/>
    </row>
    <row r="31" ht="23.25" customHeight="1">
      <c r="A31" s="62"/>
      <c r="B31" s="62"/>
      <c r="C31" s="62"/>
      <c r="D31" s="62"/>
      <c r="E31" s="62"/>
      <c r="F31" s="62"/>
      <c r="G31" s="63" t="s">
        <v>37</v>
      </c>
      <c r="H31" s="64">
        <v>1.0</v>
      </c>
      <c r="I31" s="975">
        <v>220000.0</v>
      </c>
      <c r="J31" s="48">
        <f t="shared" si="2"/>
        <v>220000</v>
      </c>
      <c r="K31" s="62"/>
      <c r="L31" s="62"/>
      <c r="M31" s="62"/>
      <c r="N31" s="62"/>
      <c r="O31" s="62"/>
      <c r="P31" s="62"/>
      <c r="Q31" s="62"/>
      <c r="R31" s="62"/>
      <c r="S31" s="62"/>
      <c r="T31" s="62"/>
      <c r="U31" s="62"/>
      <c r="V31" s="62"/>
      <c r="W31" s="62"/>
      <c r="X31" s="62"/>
      <c r="Y31" s="129" t="s">
        <v>129</v>
      </c>
      <c r="Z31" s="80">
        <v>220000.0</v>
      </c>
      <c r="AA31" s="25"/>
      <c r="AB31" s="25"/>
      <c r="AC31" s="25"/>
      <c r="AD31" s="22"/>
    </row>
    <row r="32" ht="23.25" customHeight="1">
      <c r="A32" s="67"/>
      <c r="B32" s="67"/>
      <c r="C32" s="67"/>
      <c r="D32" s="67"/>
      <c r="E32" s="67"/>
      <c r="F32" s="67"/>
      <c r="G32" s="63" t="s">
        <v>147</v>
      </c>
      <c r="H32" s="64">
        <v>3.0</v>
      </c>
      <c r="I32" s="975">
        <v>80000.0</v>
      </c>
      <c r="J32" s="48">
        <f t="shared" si="2"/>
        <v>240000</v>
      </c>
      <c r="K32" s="67"/>
      <c r="L32" s="67"/>
      <c r="M32" s="67"/>
      <c r="N32" s="67"/>
      <c r="O32" s="67"/>
      <c r="P32" s="67"/>
      <c r="Q32" s="67"/>
      <c r="R32" s="67"/>
      <c r="S32" s="67"/>
      <c r="T32" s="67"/>
      <c r="U32" s="67"/>
      <c r="V32" s="67"/>
      <c r="W32" s="67"/>
      <c r="X32" s="67"/>
      <c r="Y32" s="85" t="s">
        <v>133</v>
      </c>
      <c r="Z32" s="128">
        <v>220000.0</v>
      </c>
      <c r="AA32" s="25"/>
      <c r="AB32" s="25"/>
      <c r="AC32" s="25"/>
      <c r="AD32" s="22"/>
    </row>
    <row r="33" ht="23.25" customHeight="1">
      <c r="A33" s="39">
        <v>13.0</v>
      </c>
      <c r="B33" s="125">
        <v>45080.0</v>
      </c>
      <c r="C33" s="1146">
        <v>1.712303342976E12</v>
      </c>
      <c r="D33" s="148" t="s">
        <v>902</v>
      </c>
      <c r="E33" s="143" t="s">
        <v>441</v>
      </c>
      <c r="F33" s="1150" t="s">
        <v>831</v>
      </c>
      <c r="G33" s="63" t="s">
        <v>37</v>
      </c>
      <c r="H33" s="64">
        <v>4.0</v>
      </c>
      <c r="I33" s="975">
        <v>220000.0</v>
      </c>
      <c r="J33" s="48">
        <f t="shared" si="2"/>
        <v>880000</v>
      </c>
      <c r="K33" s="49">
        <f>SUM(J33:J34)</f>
        <v>1360000</v>
      </c>
      <c r="L33" s="127"/>
      <c r="M33" s="1138"/>
      <c r="N33" s="562"/>
      <c r="O33" s="53">
        <f>K33+L33-N33</f>
        <v>1360000</v>
      </c>
      <c r="P33" s="99" t="s">
        <v>449</v>
      </c>
      <c r="Q33" s="99" t="s">
        <v>31</v>
      </c>
      <c r="R33" s="55">
        <v>73997.0</v>
      </c>
      <c r="S33" s="56" t="s">
        <v>32</v>
      </c>
      <c r="T33" s="57" t="s">
        <v>33</v>
      </c>
      <c r="U33" s="100"/>
      <c r="V33" s="977"/>
      <c r="W33" s="58"/>
      <c r="X33" s="974"/>
      <c r="Y33" s="85" t="s">
        <v>135</v>
      </c>
      <c r="Z33" s="128">
        <v>220000.0</v>
      </c>
      <c r="AA33" s="25"/>
      <c r="AB33" s="25"/>
      <c r="AC33" s="25"/>
      <c r="AD33" s="22"/>
    </row>
    <row r="34" ht="23.25" customHeight="1">
      <c r="A34" s="67"/>
      <c r="B34" s="67"/>
      <c r="C34" s="67"/>
      <c r="D34" s="67"/>
      <c r="E34" s="67"/>
      <c r="F34" s="67"/>
      <c r="G34" s="63" t="s">
        <v>147</v>
      </c>
      <c r="H34" s="64">
        <v>6.0</v>
      </c>
      <c r="I34" s="975">
        <v>80000.0</v>
      </c>
      <c r="J34" s="48">
        <f t="shared" si="2"/>
        <v>480000</v>
      </c>
      <c r="K34" s="67"/>
      <c r="L34" s="67"/>
      <c r="M34" s="67"/>
      <c r="N34" s="67"/>
      <c r="O34" s="67"/>
      <c r="P34" s="67"/>
      <c r="Q34" s="67"/>
      <c r="R34" s="67"/>
      <c r="S34" s="67"/>
      <c r="T34" s="67"/>
      <c r="U34" s="67"/>
      <c r="V34" s="67"/>
      <c r="W34" s="67"/>
      <c r="X34" s="67"/>
      <c r="Y34" s="85" t="s">
        <v>139</v>
      </c>
      <c r="Z34" s="128">
        <v>80000.0</v>
      </c>
      <c r="AA34" s="25"/>
      <c r="AB34" s="25"/>
      <c r="AC34" s="25"/>
      <c r="AD34" s="22"/>
    </row>
    <row r="35" ht="23.25" customHeight="1">
      <c r="A35" s="39">
        <v>14.0</v>
      </c>
      <c r="B35" s="125">
        <v>45080.0</v>
      </c>
      <c r="C35" s="1146">
        <v>1.714290491363E12</v>
      </c>
      <c r="D35" s="424" t="s">
        <v>1496</v>
      </c>
      <c r="E35" s="175" t="s">
        <v>1497</v>
      </c>
      <c r="F35" s="1151" t="s">
        <v>1498</v>
      </c>
      <c r="G35" s="63" t="s">
        <v>30</v>
      </c>
      <c r="H35" s="64">
        <v>3.0</v>
      </c>
      <c r="I35" s="975">
        <v>220000.0</v>
      </c>
      <c r="J35" s="48">
        <f t="shared" si="2"/>
        <v>660000</v>
      </c>
      <c r="K35" s="49">
        <f>SUM(J35:J36)</f>
        <v>1320000</v>
      </c>
      <c r="L35" s="560"/>
      <c r="M35" s="1138"/>
      <c r="N35" s="562"/>
      <c r="O35" s="53">
        <f>K35+L35-N35</f>
        <v>1320000</v>
      </c>
      <c r="P35" s="99" t="s">
        <v>449</v>
      </c>
      <c r="Q35" s="99" t="s">
        <v>31</v>
      </c>
      <c r="R35" s="55">
        <v>63998.0</v>
      </c>
      <c r="S35" s="56" t="s">
        <v>32</v>
      </c>
      <c r="T35" s="57" t="s">
        <v>33</v>
      </c>
      <c r="U35" s="113"/>
      <c r="V35" s="113"/>
      <c r="W35" s="59"/>
      <c r="X35" s="942">
        <v>2.0</v>
      </c>
      <c r="Y35" s="85" t="s">
        <v>142</v>
      </c>
      <c r="Z35" s="128">
        <v>220000.0</v>
      </c>
      <c r="AA35" s="25"/>
      <c r="AB35" s="25"/>
      <c r="AC35" s="25"/>
      <c r="AD35" s="22"/>
    </row>
    <row r="36" ht="23.25" customHeight="1">
      <c r="A36" s="67"/>
      <c r="B36" s="67"/>
      <c r="C36" s="67"/>
      <c r="D36" s="67"/>
      <c r="E36" s="67"/>
      <c r="F36" s="67"/>
      <c r="G36" s="63" t="s">
        <v>35</v>
      </c>
      <c r="H36" s="64">
        <v>3.0</v>
      </c>
      <c r="I36" s="975">
        <v>220000.0</v>
      </c>
      <c r="J36" s="48">
        <f t="shared" si="2"/>
        <v>660000</v>
      </c>
      <c r="K36" s="67"/>
      <c r="L36" s="67"/>
      <c r="M36" s="67"/>
      <c r="N36" s="67"/>
      <c r="O36" s="67"/>
      <c r="P36" s="67"/>
      <c r="Q36" s="67"/>
      <c r="R36" s="67"/>
      <c r="S36" s="67"/>
      <c r="T36" s="67"/>
      <c r="U36" s="67"/>
      <c r="V36" s="67"/>
      <c r="W36" s="67"/>
      <c r="X36" s="67"/>
      <c r="Y36" s="85" t="s">
        <v>145</v>
      </c>
      <c r="Z36" s="128">
        <v>220000.0</v>
      </c>
      <c r="AA36" s="25"/>
      <c r="AB36" s="25"/>
      <c r="AC36" s="25"/>
      <c r="AD36" s="22"/>
    </row>
    <row r="37" ht="23.25" customHeight="1">
      <c r="A37" s="111">
        <v>15.0</v>
      </c>
      <c r="B37" s="112">
        <v>45082.0</v>
      </c>
      <c r="C37" s="1135">
        <v>1.69751087623E12</v>
      </c>
      <c r="D37" s="142" t="s">
        <v>44</v>
      </c>
      <c r="E37" s="143" t="s">
        <v>45</v>
      </c>
      <c r="F37" s="1136" t="s">
        <v>324</v>
      </c>
      <c r="G37" s="63" t="s">
        <v>122</v>
      </c>
      <c r="H37" s="64">
        <v>3.0</v>
      </c>
      <c r="I37" s="975">
        <v>220000.0</v>
      </c>
      <c r="J37" s="48">
        <f t="shared" si="2"/>
        <v>660000</v>
      </c>
      <c r="K37" s="49">
        <f>SUM(J37:J38)</f>
        <v>1760000</v>
      </c>
      <c r="L37" s="147"/>
      <c r="M37" s="1138"/>
      <c r="N37" s="562"/>
      <c r="O37" s="53">
        <f>K37+L37-N37</f>
        <v>1760000</v>
      </c>
      <c r="P37" s="99" t="s">
        <v>449</v>
      </c>
      <c r="Q37" s="99" t="s">
        <v>31</v>
      </c>
      <c r="R37" s="145">
        <v>74499.0</v>
      </c>
      <c r="S37" s="56" t="s">
        <v>32</v>
      </c>
      <c r="T37" s="57" t="s">
        <v>33</v>
      </c>
      <c r="U37" s="147"/>
      <c r="V37" s="1009"/>
      <c r="W37" s="1009"/>
      <c r="X37" s="974"/>
      <c r="Y37" s="85" t="s">
        <v>153</v>
      </c>
      <c r="Z37" s="128">
        <v>45000.0</v>
      </c>
      <c r="AA37" s="25"/>
      <c r="AB37" s="25"/>
      <c r="AC37" s="25"/>
      <c r="AD37" s="22"/>
    </row>
    <row r="38" ht="23.25" customHeight="1">
      <c r="A38" s="67"/>
      <c r="B38" s="67"/>
      <c r="C38" s="67"/>
      <c r="D38" s="67"/>
      <c r="E38" s="67"/>
      <c r="F38" s="67"/>
      <c r="G38" s="63" t="s">
        <v>47</v>
      </c>
      <c r="H38" s="64">
        <v>5.0</v>
      </c>
      <c r="I38" s="975">
        <v>220000.0</v>
      </c>
      <c r="J38" s="48">
        <f t="shared" si="2"/>
        <v>1100000</v>
      </c>
      <c r="K38" s="67"/>
      <c r="L38" s="67"/>
      <c r="M38" s="67"/>
      <c r="N38" s="67"/>
      <c r="O38" s="67"/>
      <c r="P38" s="67"/>
      <c r="Q38" s="67"/>
      <c r="R38" s="67"/>
      <c r="S38" s="67"/>
      <c r="T38" s="67"/>
      <c r="U38" s="67"/>
      <c r="V38" s="67"/>
      <c r="W38" s="67"/>
      <c r="X38" s="67"/>
      <c r="Y38" s="139" t="s">
        <v>151</v>
      </c>
      <c r="Z38" s="140">
        <v>220000.0</v>
      </c>
      <c r="AA38" s="25"/>
      <c r="AB38" s="25"/>
      <c r="AC38" s="25"/>
      <c r="AD38" s="22"/>
    </row>
    <row r="39" ht="23.25" customHeight="1">
      <c r="A39" s="111">
        <v>16.0</v>
      </c>
      <c r="B39" s="112">
        <v>45082.0</v>
      </c>
      <c r="C39" s="1135">
        <v>1.697365857851E12</v>
      </c>
      <c r="D39" s="142" t="s">
        <v>1694</v>
      </c>
      <c r="E39" s="143" t="s">
        <v>1695</v>
      </c>
      <c r="F39" s="142" t="s">
        <v>1696</v>
      </c>
      <c r="G39" s="63" t="s">
        <v>30</v>
      </c>
      <c r="H39" s="64">
        <v>1.0</v>
      </c>
      <c r="I39" s="975">
        <v>220000.0</v>
      </c>
      <c r="J39" s="48">
        <f t="shared" si="2"/>
        <v>220000</v>
      </c>
      <c r="K39" s="49">
        <f>SUM(J39:J41)</f>
        <v>660000</v>
      </c>
      <c r="L39" s="147"/>
      <c r="M39" s="1138"/>
      <c r="N39" s="562"/>
      <c r="O39" s="53">
        <f>K39+L39-N39</f>
        <v>660000</v>
      </c>
      <c r="P39" s="99" t="s">
        <v>449</v>
      </c>
      <c r="Q39" s="99" t="s">
        <v>31</v>
      </c>
      <c r="R39" s="145">
        <v>49000.0</v>
      </c>
      <c r="S39" s="56" t="s">
        <v>32</v>
      </c>
      <c r="T39" s="57" t="s">
        <v>33</v>
      </c>
      <c r="U39" s="147"/>
      <c r="V39" s="1009"/>
      <c r="W39" s="1009"/>
      <c r="X39" s="942">
        <v>2.0</v>
      </c>
      <c r="Y39" s="65" t="s">
        <v>148</v>
      </c>
      <c r="Z39" s="66">
        <v>220000.0</v>
      </c>
      <c r="AA39" s="25"/>
      <c r="AB39" s="25"/>
      <c r="AC39" s="25"/>
      <c r="AD39" s="22"/>
    </row>
    <row r="40" ht="23.25" customHeight="1">
      <c r="A40" s="62"/>
      <c r="B40" s="62"/>
      <c r="C40" s="62"/>
      <c r="D40" s="62"/>
      <c r="E40" s="62"/>
      <c r="F40" s="62"/>
      <c r="G40" s="63" t="s">
        <v>35</v>
      </c>
      <c r="H40" s="64">
        <v>1.0</v>
      </c>
      <c r="I40" s="975">
        <v>220000.0</v>
      </c>
      <c r="J40" s="48">
        <f t="shared" si="2"/>
        <v>220000</v>
      </c>
      <c r="K40" s="62"/>
      <c r="L40" s="62"/>
      <c r="M40" s="62"/>
      <c r="N40" s="62"/>
      <c r="O40" s="62"/>
      <c r="P40" s="62"/>
      <c r="Q40" s="62"/>
      <c r="R40" s="62"/>
      <c r="S40" s="62"/>
      <c r="T40" s="62"/>
      <c r="U40" s="62"/>
      <c r="V40" s="62"/>
      <c r="W40" s="62"/>
      <c r="X40" s="62"/>
      <c r="Y40" s="93" t="s">
        <v>488</v>
      </c>
      <c r="Z40" s="87">
        <v>45000.0</v>
      </c>
      <c r="AA40" s="25"/>
      <c r="AB40" s="25"/>
      <c r="AC40" s="25"/>
      <c r="AD40" s="22"/>
    </row>
    <row r="41" ht="23.25" customHeight="1">
      <c r="A41" s="67"/>
      <c r="B41" s="67"/>
      <c r="C41" s="67"/>
      <c r="D41" s="67"/>
      <c r="E41" s="67"/>
      <c r="F41" s="67"/>
      <c r="G41" s="63" t="s">
        <v>516</v>
      </c>
      <c r="H41" s="64">
        <v>1.0</v>
      </c>
      <c r="I41" s="975">
        <v>220000.0</v>
      </c>
      <c r="J41" s="48">
        <f t="shared" si="2"/>
        <v>220000</v>
      </c>
      <c r="K41" s="67"/>
      <c r="L41" s="67"/>
      <c r="M41" s="67"/>
      <c r="N41" s="67"/>
      <c r="O41" s="67"/>
      <c r="P41" s="67"/>
      <c r="Q41" s="67"/>
      <c r="R41" s="67"/>
      <c r="S41" s="67"/>
      <c r="T41" s="67"/>
      <c r="U41" s="67"/>
      <c r="V41" s="67"/>
      <c r="W41" s="67"/>
      <c r="X41" s="67"/>
      <c r="Y41" s="93" t="s">
        <v>412</v>
      </c>
      <c r="Z41" s="87">
        <v>45000.0</v>
      </c>
      <c r="AA41" s="25"/>
      <c r="AB41" s="25"/>
      <c r="AC41" s="25"/>
      <c r="AD41" s="22"/>
    </row>
    <row r="42" ht="23.25" customHeight="1">
      <c r="A42" s="111">
        <v>17.0</v>
      </c>
      <c r="B42" s="112">
        <v>45082.0</v>
      </c>
      <c r="C42" s="1135">
        <v>1.697250176795E12</v>
      </c>
      <c r="D42" s="142" t="s">
        <v>348</v>
      </c>
      <c r="E42" s="143" t="s">
        <v>349</v>
      </c>
      <c r="F42" s="1136" t="s">
        <v>496</v>
      </c>
      <c r="G42" s="63" t="s">
        <v>75</v>
      </c>
      <c r="H42" s="64">
        <v>1.0</v>
      </c>
      <c r="I42" s="975">
        <v>45000.0</v>
      </c>
      <c r="J42" s="48">
        <f t="shared" si="2"/>
        <v>45000</v>
      </c>
      <c r="K42" s="49">
        <f>SUM(J42:J51)</f>
        <v>1830000</v>
      </c>
      <c r="L42" s="147"/>
      <c r="M42" s="1138"/>
      <c r="N42" s="562"/>
      <c r="O42" s="53">
        <f>K42+L42-N42</f>
        <v>1830000</v>
      </c>
      <c r="P42" s="99" t="s">
        <v>449</v>
      </c>
      <c r="Q42" s="99" t="s">
        <v>31</v>
      </c>
      <c r="R42" s="145">
        <v>74499.0</v>
      </c>
      <c r="S42" s="56" t="s">
        <v>32</v>
      </c>
      <c r="T42" s="57" t="s">
        <v>33</v>
      </c>
      <c r="U42" s="147"/>
      <c r="V42" s="1009"/>
      <c r="W42" s="1009"/>
      <c r="X42" s="974"/>
      <c r="Y42" s="93" t="s">
        <v>161</v>
      </c>
      <c r="Z42" s="87">
        <v>220000.0</v>
      </c>
      <c r="AA42" s="25"/>
      <c r="AB42" s="25"/>
      <c r="AC42" s="25"/>
      <c r="AD42" s="22"/>
    </row>
    <row r="43" ht="23.25" customHeight="1">
      <c r="A43" s="62"/>
      <c r="B43" s="62"/>
      <c r="C43" s="62"/>
      <c r="D43" s="62"/>
      <c r="E43" s="62"/>
      <c r="F43" s="62"/>
      <c r="G43" s="63" t="s">
        <v>457</v>
      </c>
      <c r="H43" s="64">
        <v>1.0</v>
      </c>
      <c r="I43" s="975">
        <v>45000.0</v>
      </c>
      <c r="J43" s="48">
        <f t="shared" si="2"/>
        <v>45000</v>
      </c>
      <c r="K43" s="62"/>
      <c r="L43" s="62"/>
      <c r="M43" s="62"/>
      <c r="N43" s="62"/>
      <c r="O43" s="62"/>
      <c r="P43" s="62"/>
      <c r="Q43" s="62"/>
      <c r="R43" s="62"/>
      <c r="S43" s="62"/>
      <c r="T43" s="62"/>
      <c r="U43" s="62"/>
      <c r="V43" s="62"/>
      <c r="W43" s="62"/>
      <c r="X43" s="62"/>
      <c r="Y43" s="9"/>
      <c r="Z43" s="204"/>
      <c r="AA43" s="25"/>
      <c r="AB43" s="25"/>
      <c r="AC43" s="25"/>
      <c r="AD43" s="22"/>
    </row>
    <row r="44" ht="23.25" customHeight="1">
      <c r="A44" s="62"/>
      <c r="B44" s="62"/>
      <c r="C44" s="62"/>
      <c r="D44" s="62"/>
      <c r="E44" s="62"/>
      <c r="F44" s="62"/>
      <c r="G44" s="63" t="s">
        <v>35</v>
      </c>
      <c r="H44" s="64">
        <v>3.0</v>
      </c>
      <c r="I44" s="975">
        <v>220000.0</v>
      </c>
      <c r="J44" s="48">
        <f t="shared" si="2"/>
        <v>660000</v>
      </c>
      <c r="K44" s="62"/>
      <c r="L44" s="62"/>
      <c r="M44" s="62"/>
      <c r="N44" s="62"/>
      <c r="O44" s="62"/>
      <c r="P44" s="62"/>
      <c r="Q44" s="62"/>
      <c r="R44" s="62"/>
      <c r="S44" s="62"/>
      <c r="T44" s="62"/>
      <c r="U44" s="62"/>
      <c r="V44" s="62"/>
      <c r="W44" s="62"/>
      <c r="X44" s="62"/>
      <c r="Y44" s="9"/>
      <c r="Z44" s="204"/>
      <c r="AA44" s="25"/>
      <c r="AB44" s="25"/>
      <c r="AC44" s="25"/>
      <c r="AD44" s="22"/>
    </row>
    <row r="45" ht="23.25" customHeight="1">
      <c r="A45" s="62"/>
      <c r="B45" s="62"/>
      <c r="C45" s="62"/>
      <c r="D45" s="62"/>
      <c r="E45" s="62"/>
      <c r="F45" s="62"/>
      <c r="G45" s="63" t="s">
        <v>165</v>
      </c>
      <c r="H45" s="64">
        <v>1.0</v>
      </c>
      <c r="I45" s="975">
        <v>220000.0</v>
      </c>
      <c r="J45" s="48">
        <f t="shared" si="2"/>
        <v>220000</v>
      </c>
      <c r="K45" s="62"/>
      <c r="L45" s="62"/>
      <c r="M45" s="62"/>
      <c r="N45" s="62"/>
      <c r="O45" s="62"/>
      <c r="P45" s="62"/>
      <c r="Q45" s="62"/>
      <c r="R45" s="62"/>
      <c r="S45" s="62"/>
      <c r="T45" s="62"/>
      <c r="U45" s="62"/>
      <c r="V45" s="62"/>
      <c r="W45" s="62"/>
      <c r="X45" s="62"/>
      <c r="Y45" s="9"/>
      <c r="Z45" s="204"/>
      <c r="AA45" s="25"/>
      <c r="AB45" s="25"/>
      <c r="AC45" s="25"/>
      <c r="AD45" s="22"/>
    </row>
    <row r="46" ht="23.25" customHeight="1">
      <c r="A46" s="62"/>
      <c r="B46" s="62"/>
      <c r="C46" s="62"/>
      <c r="D46" s="62"/>
      <c r="E46" s="62"/>
      <c r="F46" s="62"/>
      <c r="G46" s="63" t="s">
        <v>58</v>
      </c>
      <c r="H46" s="64">
        <v>1.0</v>
      </c>
      <c r="I46" s="975">
        <v>220000.0</v>
      </c>
      <c r="J46" s="48">
        <f t="shared" si="2"/>
        <v>220000</v>
      </c>
      <c r="K46" s="62"/>
      <c r="L46" s="62"/>
      <c r="M46" s="62"/>
      <c r="N46" s="62"/>
      <c r="O46" s="62"/>
      <c r="P46" s="62"/>
      <c r="Q46" s="62"/>
      <c r="R46" s="62"/>
      <c r="S46" s="62"/>
      <c r="T46" s="62"/>
      <c r="U46" s="62"/>
      <c r="V46" s="62"/>
      <c r="W46" s="62"/>
      <c r="X46" s="62"/>
      <c r="Y46" s="9"/>
      <c r="Z46" s="204"/>
      <c r="AA46" s="25"/>
      <c r="AB46" s="25"/>
      <c r="AC46" s="25"/>
      <c r="AD46" s="22"/>
    </row>
    <row r="47" ht="23.25" customHeight="1">
      <c r="A47" s="62"/>
      <c r="B47" s="62"/>
      <c r="C47" s="62"/>
      <c r="D47" s="62"/>
      <c r="E47" s="62"/>
      <c r="F47" s="62"/>
      <c r="G47" s="63" t="s">
        <v>37</v>
      </c>
      <c r="H47" s="64">
        <v>1.0</v>
      </c>
      <c r="I47" s="975">
        <v>220000.0</v>
      </c>
      <c r="J47" s="48">
        <f t="shared" si="2"/>
        <v>220000</v>
      </c>
      <c r="K47" s="62"/>
      <c r="L47" s="62"/>
      <c r="M47" s="62"/>
      <c r="N47" s="62"/>
      <c r="O47" s="62"/>
      <c r="P47" s="62"/>
      <c r="Q47" s="62"/>
      <c r="R47" s="62"/>
      <c r="S47" s="62"/>
      <c r="T47" s="62"/>
      <c r="U47" s="62"/>
      <c r="V47" s="62"/>
      <c r="W47" s="62"/>
      <c r="X47" s="62"/>
      <c r="Y47" s="9"/>
      <c r="Z47" s="204"/>
      <c r="AA47" s="25"/>
      <c r="AB47" s="25"/>
      <c r="AC47" s="25"/>
      <c r="AD47" s="22"/>
    </row>
    <row r="48" ht="23.25" customHeight="1">
      <c r="A48" s="62"/>
      <c r="B48" s="62"/>
      <c r="C48" s="62"/>
      <c r="D48" s="62"/>
      <c r="E48" s="62"/>
      <c r="F48" s="62"/>
      <c r="G48" s="63" t="s">
        <v>122</v>
      </c>
      <c r="H48" s="64">
        <v>1.0</v>
      </c>
      <c r="I48" s="975">
        <v>220000.0</v>
      </c>
      <c r="J48" s="48">
        <f t="shared" si="2"/>
        <v>220000</v>
      </c>
      <c r="K48" s="62"/>
      <c r="L48" s="62"/>
      <c r="M48" s="62"/>
      <c r="N48" s="62"/>
      <c r="O48" s="62"/>
      <c r="P48" s="62"/>
      <c r="Q48" s="62"/>
      <c r="R48" s="62"/>
      <c r="S48" s="62"/>
      <c r="T48" s="62"/>
      <c r="U48" s="62"/>
      <c r="V48" s="62"/>
      <c r="W48" s="62"/>
      <c r="X48" s="62"/>
      <c r="Y48" s="9"/>
      <c r="Z48" s="204"/>
      <c r="AA48" s="25"/>
      <c r="AB48" s="25"/>
      <c r="AC48" s="25"/>
      <c r="AD48" s="22"/>
    </row>
    <row r="49" ht="23.25" customHeight="1">
      <c r="A49" s="62"/>
      <c r="B49" s="62"/>
      <c r="C49" s="62"/>
      <c r="D49" s="62"/>
      <c r="E49" s="62"/>
      <c r="F49" s="62"/>
      <c r="G49" s="72" t="s">
        <v>478</v>
      </c>
      <c r="H49" s="73">
        <v>1.0</v>
      </c>
      <c r="I49" s="979">
        <v>80000.0</v>
      </c>
      <c r="J49" s="75">
        <f t="shared" si="2"/>
        <v>80000</v>
      </c>
      <c r="K49" s="62"/>
      <c r="L49" s="62"/>
      <c r="M49" s="62"/>
      <c r="N49" s="62"/>
      <c r="O49" s="62"/>
      <c r="P49" s="62"/>
      <c r="Q49" s="62"/>
      <c r="R49" s="62"/>
      <c r="S49" s="62"/>
      <c r="T49" s="62"/>
      <c r="U49" s="62"/>
      <c r="V49" s="62"/>
      <c r="W49" s="62"/>
      <c r="X49" s="62"/>
      <c r="Y49" s="9"/>
      <c r="Z49" s="204"/>
      <c r="AA49" s="25"/>
      <c r="AB49" s="25"/>
      <c r="AC49" s="25"/>
      <c r="AD49" s="22"/>
    </row>
    <row r="50" ht="23.25" customHeight="1">
      <c r="A50" s="62"/>
      <c r="B50" s="62"/>
      <c r="C50" s="62"/>
      <c r="D50" s="62"/>
      <c r="E50" s="62"/>
      <c r="F50" s="62"/>
      <c r="G50" s="72" t="s">
        <v>476</v>
      </c>
      <c r="H50" s="73">
        <v>1.0</v>
      </c>
      <c r="I50" s="979">
        <v>55000.0</v>
      </c>
      <c r="J50" s="75">
        <f t="shared" si="2"/>
        <v>55000</v>
      </c>
      <c r="K50" s="62"/>
      <c r="L50" s="62"/>
      <c r="M50" s="62"/>
      <c r="N50" s="62"/>
      <c r="O50" s="62"/>
      <c r="P50" s="62"/>
      <c r="Q50" s="62"/>
      <c r="R50" s="62"/>
      <c r="S50" s="62"/>
      <c r="T50" s="62"/>
      <c r="U50" s="62"/>
      <c r="V50" s="62"/>
      <c r="W50" s="62"/>
      <c r="X50" s="62"/>
      <c r="Y50" s="9"/>
      <c r="Z50" s="204"/>
      <c r="AA50" s="25"/>
      <c r="AB50" s="25"/>
      <c r="AC50" s="25"/>
      <c r="AD50" s="22"/>
    </row>
    <row r="51" ht="23.25" customHeight="1">
      <c r="A51" s="67"/>
      <c r="B51" s="67"/>
      <c r="C51" s="67"/>
      <c r="D51" s="67"/>
      <c r="E51" s="67"/>
      <c r="F51" s="67"/>
      <c r="G51" s="72" t="s">
        <v>477</v>
      </c>
      <c r="H51" s="73">
        <v>1.0</v>
      </c>
      <c r="I51" s="979">
        <v>65000.0</v>
      </c>
      <c r="J51" s="75">
        <f t="shared" si="2"/>
        <v>65000</v>
      </c>
      <c r="K51" s="67"/>
      <c r="L51" s="67"/>
      <c r="M51" s="67"/>
      <c r="N51" s="67"/>
      <c r="O51" s="67"/>
      <c r="P51" s="67"/>
      <c r="Q51" s="67"/>
      <c r="R51" s="67"/>
      <c r="S51" s="67"/>
      <c r="T51" s="67"/>
      <c r="U51" s="67"/>
      <c r="V51" s="67"/>
      <c r="W51" s="67"/>
      <c r="X51" s="67"/>
      <c r="Y51" s="9"/>
      <c r="Z51" s="204"/>
      <c r="AA51" s="25"/>
      <c r="AB51" s="25"/>
      <c r="AC51" s="25"/>
      <c r="AD51" s="22"/>
    </row>
    <row r="52" ht="23.25" customHeight="1">
      <c r="A52" s="93">
        <v>18.0</v>
      </c>
      <c r="B52" s="103">
        <v>45082.0</v>
      </c>
      <c r="C52" s="1152">
        <v>1.708257333298E12</v>
      </c>
      <c r="D52" s="92" t="s">
        <v>206</v>
      </c>
      <c r="E52" s="105" t="s">
        <v>207</v>
      </c>
      <c r="F52" s="1153" t="s">
        <v>1506</v>
      </c>
      <c r="G52" s="63" t="s">
        <v>290</v>
      </c>
      <c r="H52" s="64">
        <v>6.0</v>
      </c>
      <c r="I52" s="975">
        <v>220000.0</v>
      </c>
      <c r="J52" s="48">
        <f>I52*$H$52</f>
        <v>1320000</v>
      </c>
      <c r="K52" s="76">
        <f>SUM(J52)</f>
        <v>1320000</v>
      </c>
      <c r="L52" s="122"/>
      <c r="M52" s="1137"/>
      <c r="N52" s="136"/>
      <c r="O52" s="80">
        <f t="shared" ref="O52:O55" si="5">K52+L52-N52</f>
        <v>1320000</v>
      </c>
      <c r="P52" s="81" t="s">
        <v>449</v>
      </c>
      <c r="Q52" s="81" t="s">
        <v>31</v>
      </c>
      <c r="R52" s="108">
        <v>63998.0</v>
      </c>
      <c r="S52" s="83" t="s">
        <v>32</v>
      </c>
      <c r="T52" s="84" t="s">
        <v>33</v>
      </c>
      <c r="U52" s="122"/>
      <c r="V52" s="1002"/>
      <c r="W52" s="1002"/>
      <c r="X52" s="694">
        <v>2.0</v>
      </c>
      <c r="Y52" s="9"/>
      <c r="Z52" s="204"/>
      <c r="AA52" s="25"/>
      <c r="AB52" s="25"/>
      <c r="AC52" s="25"/>
      <c r="AD52" s="22"/>
    </row>
    <row r="53" ht="39.75" customHeight="1">
      <c r="A53" s="93">
        <v>19.0</v>
      </c>
      <c r="B53" s="103">
        <v>45083.0</v>
      </c>
      <c r="C53" s="1152">
        <v>1.711407187177E12</v>
      </c>
      <c r="D53" s="92" t="s">
        <v>357</v>
      </c>
      <c r="E53" s="105" t="s">
        <v>358</v>
      </c>
      <c r="F53" s="121" t="s">
        <v>853</v>
      </c>
      <c r="G53" s="63" t="s">
        <v>147</v>
      </c>
      <c r="H53" s="64">
        <v>1.0</v>
      </c>
      <c r="I53" s="975">
        <v>80000.0</v>
      </c>
      <c r="J53" s="48">
        <f>I53*$H$53</f>
        <v>80000</v>
      </c>
      <c r="K53" s="76">
        <f t="shared" ref="K53:K54" si="6">sum(J53)</f>
        <v>80000</v>
      </c>
      <c r="L53" s="122"/>
      <c r="M53" s="1137"/>
      <c r="N53" s="136"/>
      <c r="O53" s="80">
        <f t="shared" si="5"/>
        <v>80000</v>
      </c>
      <c r="P53" s="81" t="s">
        <v>449</v>
      </c>
      <c r="Q53" s="81" t="s">
        <v>31</v>
      </c>
      <c r="R53" s="109"/>
      <c r="S53" s="91"/>
      <c r="T53" s="84" t="s">
        <v>33</v>
      </c>
      <c r="U53" s="122"/>
      <c r="V53" s="1002"/>
      <c r="W53" s="1002"/>
      <c r="X53" s="687"/>
      <c r="Y53" s="9"/>
      <c r="Z53" s="204"/>
      <c r="AA53" s="25"/>
      <c r="AB53" s="25"/>
      <c r="AC53" s="25"/>
      <c r="AD53" s="22"/>
    </row>
    <row r="54" ht="33.75" customHeight="1">
      <c r="A54" s="93">
        <v>20.0</v>
      </c>
      <c r="B54" s="103">
        <v>45084.0</v>
      </c>
      <c r="C54" s="1152">
        <v>1.708280892154E12</v>
      </c>
      <c r="D54" s="92" t="s">
        <v>1871</v>
      </c>
      <c r="E54" s="1154" t="s">
        <v>1872</v>
      </c>
      <c r="F54" s="1153" t="s">
        <v>1873</v>
      </c>
      <c r="G54" s="63" t="s">
        <v>30</v>
      </c>
      <c r="H54" s="64">
        <v>3.0</v>
      </c>
      <c r="I54" s="975">
        <v>220000.0</v>
      </c>
      <c r="J54" s="48">
        <f>I54*$H$54</f>
        <v>660000</v>
      </c>
      <c r="K54" s="76">
        <f t="shared" si="6"/>
        <v>660000</v>
      </c>
      <c r="L54" s="122"/>
      <c r="M54" s="1137"/>
      <c r="N54" s="136"/>
      <c r="O54" s="80">
        <f t="shared" si="5"/>
        <v>660000</v>
      </c>
      <c r="P54" s="81" t="s">
        <v>449</v>
      </c>
      <c r="Q54" s="81" t="s">
        <v>31</v>
      </c>
      <c r="R54" s="108">
        <v>49000.0</v>
      </c>
      <c r="S54" s="83" t="s">
        <v>32</v>
      </c>
      <c r="T54" s="84" t="s">
        <v>33</v>
      </c>
      <c r="U54" s="122"/>
      <c r="V54" s="1002"/>
      <c r="W54" s="1002"/>
      <c r="X54" s="694">
        <v>1.0</v>
      </c>
      <c r="Y54" s="9"/>
      <c r="Z54" s="204"/>
      <c r="AA54" s="25"/>
      <c r="AB54" s="25"/>
      <c r="AC54" s="25"/>
      <c r="AD54" s="22"/>
    </row>
    <row r="55" ht="23.25" customHeight="1">
      <c r="A55" s="111">
        <v>21.0</v>
      </c>
      <c r="B55" s="112">
        <v>45084.0</v>
      </c>
      <c r="C55" s="1135">
        <v>1.711435746488E12</v>
      </c>
      <c r="D55" s="142" t="s">
        <v>1874</v>
      </c>
      <c r="E55" s="143" t="s">
        <v>1875</v>
      </c>
      <c r="F55" s="44" t="s">
        <v>1876</v>
      </c>
      <c r="G55" s="63" t="s">
        <v>122</v>
      </c>
      <c r="H55" s="64">
        <v>1.0</v>
      </c>
      <c r="I55" s="975">
        <v>220000.0</v>
      </c>
      <c r="J55" s="48">
        <f t="shared" ref="J55:J57" si="7">I55*$H$55</f>
        <v>220000</v>
      </c>
      <c r="K55" s="49">
        <f>sum(J55:J57)</f>
        <v>310000</v>
      </c>
      <c r="L55" s="145">
        <v>43000.0</v>
      </c>
      <c r="M55" s="1144"/>
      <c r="N55" s="117">
        <v>23000.0</v>
      </c>
      <c r="O55" s="53">
        <f t="shared" si="5"/>
        <v>330000</v>
      </c>
      <c r="P55" s="99" t="s">
        <v>449</v>
      </c>
      <c r="Q55" s="99" t="s">
        <v>31</v>
      </c>
      <c r="R55" s="144"/>
      <c r="S55" s="119"/>
      <c r="T55" s="57" t="s">
        <v>33</v>
      </c>
      <c r="U55" s="147"/>
      <c r="V55" s="1009"/>
      <c r="W55" s="1009"/>
      <c r="X55" s="974"/>
      <c r="Y55" s="9"/>
      <c r="Z55" s="204"/>
      <c r="AA55" s="25"/>
      <c r="AB55" s="25"/>
      <c r="AC55" s="25"/>
      <c r="AD55" s="22"/>
    </row>
    <row r="56" ht="23.25" customHeight="1">
      <c r="A56" s="62"/>
      <c r="B56" s="62"/>
      <c r="C56" s="62"/>
      <c r="D56" s="62"/>
      <c r="E56" s="62"/>
      <c r="F56" s="62"/>
      <c r="G56" s="63" t="s">
        <v>75</v>
      </c>
      <c r="H56" s="64">
        <v>1.0</v>
      </c>
      <c r="I56" s="975">
        <v>45000.0</v>
      </c>
      <c r="J56" s="48">
        <f t="shared" si="7"/>
        <v>45000</v>
      </c>
      <c r="K56" s="62"/>
      <c r="L56" s="62"/>
      <c r="M56" s="62"/>
      <c r="N56" s="62"/>
      <c r="O56" s="62"/>
      <c r="P56" s="62"/>
      <c r="Q56" s="62"/>
      <c r="R56" s="62"/>
      <c r="S56" s="62"/>
      <c r="T56" s="62"/>
      <c r="U56" s="62"/>
      <c r="V56" s="62"/>
      <c r="W56" s="62"/>
      <c r="X56" s="62"/>
      <c r="Y56" s="9"/>
      <c r="Z56" s="204"/>
      <c r="AA56" s="25"/>
      <c r="AB56" s="25"/>
      <c r="AC56" s="25"/>
      <c r="AD56" s="22"/>
    </row>
    <row r="57" ht="23.25" customHeight="1">
      <c r="A57" s="67"/>
      <c r="B57" s="67"/>
      <c r="C57" s="67"/>
      <c r="D57" s="67"/>
      <c r="E57" s="67"/>
      <c r="F57" s="67"/>
      <c r="G57" s="155" t="s">
        <v>412</v>
      </c>
      <c r="H57" s="64">
        <v>1.0</v>
      </c>
      <c r="I57" s="975">
        <v>45000.0</v>
      </c>
      <c r="J57" s="48">
        <f t="shared" si="7"/>
        <v>45000</v>
      </c>
      <c r="K57" s="67"/>
      <c r="L57" s="67"/>
      <c r="M57" s="67"/>
      <c r="N57" s="67"/>
      <c r="O57" s="67"/>
      <c r="P57" s="67"/>
      <c r="Q57" s="67"/>
      <c r="R57" s="67"/>
      <c r="S57" s="67"/>
      <c r="T57" s="67"/>
      <c r="U57" s="67"/>
      <c r="V57" s="67"/>
      <c r="W57" s="67"/>
      <c r="X57" s="67"/>
      <c r="Y57" s="9"/>
      <c r="Z57" s="204"/>
      <c r="AA57" s="25"/>
      <c r="AB57" s="25"/>
      <c r="AC57" s="25"/>
      <c r="AD57" s="22"/>
    </row>
    <row r="58" ht="33.75" customHeight="1">
      <c r="A58" s="93">
        <v>22.0</v>
      </c>
      <c r="B58" s="103">
        <v>45085.0</v>
      </c>
      <c r="C58" s="93">
        <v>1.710471640862E12</v>
      </c>
      <c r="D58" s="92" t="s">
        <v>1877</v>
      </c>
      <c r="E58" s="105" t="s">
        <v>1878</v>
      </c>
      <c r="F58" s="121" t="s">
        <v>1879</v>
      </c>
      <c r="G58" s="63" t="s">
        <v>290</v>
      </c>
      <c r="H58" s="64">
        <v>10.0</v>
      </c>
      <c r="I58" s="975">
        <v>220000.0</v>
      </c>
      <c r="J58" s="48">
        <f>I58*$H$58</f>
        <v>2200000</v>
      </c>
      <c r="K58" s="76">
        <f t="shared" ref="K58:K62" si="8">SUM(J58)</f>
        <v>2200000</v>
      </c>
      <c r="L58" s="122"/>
      <c r="M58" s="1137"/>
      <c r="N58" s="136"/>
      <c r="O58" s="80">
        <f t="shared" ref="O58:O63" si="9">K58+L58-N58</f>
        <v>2200000</v>
      </c>
      <c r="P58" s="81" t="s">
        <v>449</v>
      </c>
      <c r="Q58" s="81" t="s">
        <v>31</v>
      </c>
      <c r="R58" s="108">
        <v>84999.0</v>
      </c>
      <c r="S58" s="83" t="s">
        <v>32</v>
      </c>
      <c r="T58" s="84" t="s">
        <v>33</v>
      </c>
      <c r="U58" s="122"/>
      <c r="V58" s="1002"/>
      <c r="W58" s="1002"/>
      <c r="X58" s="687"/>
      <c r="Y58" s="9"/>
      <c r="Z58" s="204"/>
      <c r="AA58" s="25"/>
      <c r="AB58" s="25"/>
      <c r="AC58" s="25"/>
      <c r="AD58" s="22"/>
    </row>
    <row r="59" ht="23.25" customHeight="1">
      <c r="A59" s="93">
        <v>23.0</v>
      </c>
      <c r="B59" s="103">
        <v>45087.0</v>
      </c>
      <c r="C59" s="93">
        <v>1.697028262133E12</v>
      </c>
      <c r="D59" s="92" t="s">
        <v>1496</v>
      </c>
      <c r="E59" s="105" t="s">
        <v>1497</v>
      </c>
      <c r="F59" s="92" t="s">
        <v>1880</v>
      </c>
      <c r="G59" s="63" t="s">
        <v>290</v>
      </c>
      <c r="H59" s="64">
        <v>2.0</v>
      </c>
      <c r="I59" s="975">
        <v>220000.0</v>
      </c>
      <c r="J59" s="48">
        <f t="shared" ref="J59:J73" si="10">I59*H59</f>
        <v>440000</v>
      </c>
      <c r="K59" s="76">
        <f t="shared" si="8"/>
        <v>440000</v>
      </c>
      <c r="L59" s="108">
        <v>46000.0</v>
      </c>
      <c r="M59" s="1134"/>
      <c r="N59" s="115">
        <v>16000.0</v>
      </c>
      <c r="O59" s="80">
        <f t="shared" si="9"/>
        <v>470000</v>
      </c>
      <c r="P59" s="81" t="s">
        <v>449</v>
      </c>
      <c r="Q59" s="81" t="s">
        <v>31</v>
      </c>
      <c r="R59" s="109"/>
      <c r="S59" s="91"/>
      <c r="T59" s="84" t="s">
        <v>33</v>
      </c>
      <c r="U59" s="122"/>
      <c r="V59" s="1002"/>
      <c r="W59" s="1002"/>
      <c r="X59" s="687"/>
      <c r="Y59" s="9"/>
      <c r="Z59" s="204"/>
      <c r="AA59" s="25"/>
      <c r="AB59" s="25"/>
      <c r="AC59" s="25"/>
      <c r="AD59" s="22"/>
    </row>
    <row r="60" ht="37.5" customHeight="1">
      <c r="A60" s="93">
        <v>24.0</v>
      </c>
      <c r="B60" s="103">
        <v>45089.0</v>
      </c>
      <c r="C60" s="93">
        <v>1.710779747945E12</v>
      </c>
      <c r="D60" s="92" t="s">
        <v>1746</v>
      </c>
      <c r="E60" s="105" t="s">
        <v>1378</v>
      </c>
      <c r="F60" s="121" t="s">
        <v>1881</v>
      </c>
      <c r="G60" s="457"/>
      <c r="H60" s="85"/>
      <c r="I60" s="459"/>
      <c r="J60" s="48">
        <f t="shared" si="10"/>
        <v>0</v>
      </c>
      <c r="K60" s="76">
        <f t="shared" si="8"/>
        <v>0</v>
      </c>
      <c r="L60" s="65"/>
      <c r="M60" s="1155"/>
      <c r="N60" s="79"/>
      <c r="O60" s="80">
        <f t="shared" si="9"/>
        <v>0</v>
      </c>
      <c r="P60" s="81" t="s">
        <v>449</v>
      </c>
      <c r="Q60" s="81" t="s">
        <v>31</v>
      </c>
      <c r="R60" s="109"/>
      <c r="S60" s="91"/>
      <c r="T60" s="84" t="s">
        <v>33</v>
      </c>
      <c r="U60" s="92" t="s">
        <v>75</v>
      </c>
      <c r="V60" s="93">
        <v>1.0</v>
      </c>
      <c r="W60" s="155" t="s">
        <v>1633</v>
      </c>
      <c r="X60" s="687"/>
      <c r="Y60" s="9"/>
      <c r="Z60" s="204"/>
      <c r="AA60" s="25"/>
      <c r="AB60" s="25"/>
      <c r="AC60" s="25"/>
      <c r="AD60" s="22"/>
    </row>
    <row r="61" ht="23.25" customHeight="1">
      <c r="A61" s="93">
        <v>25.0</v>
      </c>
      <c r="B61" s="103">
        <v>45091.0</v>
      </c>
      <c r="C61" s="93">
        <v>1.693616386952E12</v>
      </c>
      <c r="D61" s="92" t="s">
        <v>206</v>
      </c>
      <c r="E61" s="105" t="s">
        <v>207</v>
      </c>
      <c r="F61" s="92" t="s">
        <v>1506</v>
      </c>
      <c r="G61" s="63" t="s">
        <v>147</v>
      </c>
      <c r="H61" s="64">
        <v>10.0</v>
      </c>
      <c r="I61" s="975">
        <v>80000.0</v>
      </c>
      <c r="J61" s="48">
        <f t="shared" si="10"/>
        <v>800000</v>
      </c>
      <c r="K61" s="76">
        <f t="shared" si="8"/>
        <v>800000</v>
      </c>
      <c r="L61" s="65"/>
      <c r="M61" s="1155"/>
      <c r="N61" s="79"/>
      <c r="O61" s="80">
        <f t="shared" si="9"/>
        <v>800000</v>
      </c>
      <c r="P61" s="81" t="s">
        <v>449</v>
      </c>
      <c r="Q61" s="81" t="s">
        <v>31</v>
      </c>
      <c r="R61" s="108">
        <v>46000.0</v>
      </c>
      <c r="S61" s="83" t="s">
        <v>32</v>
      </c>
      <c r="T61" s="84" t="s">
        <v>33</v>
      </c>
      <c r="U61" s="122"/>
      <c r="V61" s="1002"/>
      <c r="W61" s="1002"/>
      <c r="X61" s="687"/>
      <c r="Y61" s="9"/>
      <c r="Z61" s="204"/>
      <c r="AA61" s="25"/>
      <c r="AB61" s="25"/>
      <c r="AC61" s="25"/>
      <c r="AD61" s="22"/>
    </row>
    <row r="62" ht="23.25" customHeight="1">
      <c r="A62" s="93">
        <v>26.0</v>
      </c>
      <c r="B62" s="103">
        <v>45092.0</v>
      </c>
      <c r="C62" s="93">
        <v>1.709958135368E12</v>
      </c>
      <c r="D62" s="92" t="s">
        <v>1882</v>
      </c>
      <c r="E62" s="105" t="s">
        <v>1883</v>
      </c>
      <c r="F62" s="121" t="s">
        <v>1884</v>
      </c>
      <c r="G62" s="63" t="s">
        <v>75</v>
      </c>
      <c r="H62" s="64">
        <v>2.0</v>
      </c>
      <c r="I62" s="975">
        <v>45000.0</v>
      </c>
      <c r="J62" s="48">
        <f t="shared" si="10"/>
        <v>90000</v>
      </c>
      <c r="K62" s="76">
        <f t="shared" si="8"/>
        <v>90000</v>
      </c>
      <c r="L62" s="65"/>
      <c r="M62" s="1155"/>
      <c r="N62" s="79"/>
      <c r="O62" s="80">
        <f t="shared" si="9"/>
        <v>90000</v>
      </c>
      <c r="P62" s="81" t="s">
        <v>449</v>
      </c>
      <c r="Q62" s="81" t="s">
        <v>31</v>
      </c>
      <c r="R62" s="109"/>
      <c r="S62" s="91"/>
      <c r="T62" s="84" t="s">
        <v>33</v>
      </c>
      <c r="U62" s="122"/>
      <c r="V62" s="1002"/>
      <c r="W62" s="1002"/>
      <c r="X62" s="687"/>
      <c r="Y62" s="9"/>
      <c r="Z62" s="204"/>
      <c r="AA62" s="25"/>
      <c r="AB62" s="25"/>
      <c r="AC62" s="25"/>
      <c r="AD62" s="22"/>
    </row>
    <row r="63" ht="23.25" customHeight="1">
      <c r="A63" s="111">
        <v>27.0</v>
      </c>
      <c r="B63" s="112">
        <v>45092.0</v>
      </c>
      <c r="C63" s="111">
        <v>1.710510362764E12</v>
      </c>
      <c r="D63" s="142" t="s">
        <v>357</v>
      </c>
      <c r="E63" s="143" t="s">
        <v>358</v>
      </c>
      <c r="F63" s="1156" t="s">
        <v>1885</v>
      </c>
      <c r="G63" s="63" t="s">
        <v>37</v>
      </c>
      <c r="H63" s="64">
        <v>1.0</v>
      </c>
      <c r="I63" s="975">
        <v>220000.0</v>
      </c>
      <c r="J63" s="48">
        <f t="shared" si="10"/>
        <v>220000</v>
      </c>
      <c r="K63" s="49">
        <f>SUM(J63:J66)</f>
        <v>1100000</v>
      </c>
      <c r="L63" s="146"/>
      <c r="M63" s="1143"/>
      <c r="N63" s="52"/>
      <c r="O63" s="53">
        <f t="shared" si="9"/>
        <v>1100000</v>
      </c>
      <c r="P63" s="99" t="s">
        <v>449</v>
      </c>
      <c r="Q63" s="99" t="s">
        <v>31</v>
      </c>
      <c r="R63" s="145">
        <v>54999.0</v>
      </c>
      <c r="S63" s="56" t="s">
        <v>32</v>
      </c>
      <c r="T63" s="57" t="s">
        <v>33</v>
      </c>
      <c r="U63" s="147"/>
      <c r="V63" s="147"/>
      <c r="W63" s="147"/>
      <c r="X63" s="942">
        <v>1.0</v>
      </c>
      <c r="Y63" s="106"/>
      <c r="Z63" s="427"/>
      <c r="AA63" s="107"/>
      <c r="AB63" s="107"/>
      <c r="AC63" s="107"/>
      <c r="AD63" s="106"/>
    </row>
    <row r="64" ht="23.25" customHeight="1">
      <c r="A64" s="62"/>
      <c r="B64" s="62"/>
      <c r="C64" s="62"/>
      <c r="D64" s="62"/>
      <c r="E64" s="62"/>
      <c r="F64" s="423"/>
      <c r="G64" s="63" t="s">
        <v>30</v>
      </c>
      <c r="H64" s="64">
        <v>2.0</v>
      </c>
      <c r="I64" s="975">
        <v>220000.0</v>
      </c>
      <c r="J64" s="48">
        <f t="shared" si="10"/>
        <v>440000</v>
      </c>
      <c r="K64" s="62"/>
      <c r="L64" s="62"/>
      <c r="M64" s="62"/>
      <c r="N64" s="62"/>
      <c r="O64" s="62"/>
      <c r="P64" s="62"/>
      <c r="Q64" s="62"/>
      <c r="R64" s="62"/>
      <c r="S64" s="62"/>
      <c r="T64" s="62"/>
      <c r="U64" s="62"/>
      <c r="V64" s="62"/>
      <c r="W64" s="62"/>
      <c r="X64" s="62"/>
      <c r="Y64" s="106"/>
      <c r="Z64" s="427"/>
      <c r="AA64" s="107"/>
      <c r="AB64" s="107"/>
      <c r="AC64" s="107"/>
      <c r="AD64" s="106"/>
    </row>
    <row r="65" ht="23.25" customHeight="1">
      <c r="A65" s="62"/>
      <c r="B65" s="62"/>
      <c r="C65" s="62"/>
      <c r="D65" s="62"/>
      <c r="E65" s="62"/>
      <c r="F65" s="423"/>
      <c r="G65" s="63" t="s">
        <v>165</v>
      </c>
      <c r="H65" s="64">
        <v>1.0</v>
      </c>
      <c r="I65" s="975">
        <v>220000.0</v>
      </c>
      <c r="J65" s="48">
        <f t="shared" si="10"/>
        <v>220000</v>
      </c>
      <c r="K65" s="62"/>
      <c r="L65" s="62"/>
      <c r="M65" s="62"/>
      <c r="N65" s="62"/>
      <c r="O65" s="62"/>
      <c r="P65" s="62"/>
      <c r="Q65" s="62"/>
      <c r="R65" s="62"/>
      <c r="S65" s="62"/>
      <c r="T65" s="62"/>
      <c r="U65" s="62"/>
      <c r="V65" s="62"/>
      <c r="W65" s="62"/>
      <c r="X65" s="62"/>
      <c r="Y65" s="106"/>
      <c r="Z65" s="427"/>
      <c r="AA65" s="107"/>
      <c r="AB65" s="107"/>
      <c r="AC65" s="107"/>
      <c r="AD65" s="106"/>
    </row>
    <row r="66" ht="23.25" customHeight="1">
      <c r="A66" s="67"/>
      <c r="B66" s="67"/>
      <c r="C66" s="67"/>
      <c r="D66" s="67"/>
      <c r="E66" s="67"/>
      <c r="F66" s="102"/>
      <c r="G66" s="63" t="s">
        <v>122</v>
      </c>
      <c r="H66" s="64">
        <v>1.0</v>
      </c>
      <c r="I66" s="975">
        <v>220000.0</v>
      </c>
      <c r="J66" s="48">
        <f t="shared" si="10"/>
        <v>220000</v>
      </c>
      <c r="K66" s="67"/>
      <c r="L66" s="67"/>
      <c r="M66" s="67"/>
      <c r="N66" s="67"/>
      <c r="O66" s="67"/>
      <c r="P66" s="67"/>
      <c r="Q66" s="67"/>
      <c r="R66" s="67"/>
      <c r="S66" s="67"/>
      <c r="T66" s="67"/>
      <c r="U66" s="67"/>
      <c r="V66" s="67"/>
      <c r="W66" s="67"/>
      <c r="X66" s="67"/>
      <c r="Y66" s="106"/>
      <c r="Z66" s="427"/>
      <c r="AA66" s="107"/>
      <c r="AB66" s="107"/>
      <c r="AC66" s="107"/>
      <c r="AD66" s="106"/>
    </row>
    <row r="67" ht="23.25" customHeight="1">
      <c r="A67" s="111">
        <v>28.0</v>
      </c>
      <c r="B67" s="112">
        <v>45094.0</v>
      </c>
      <c r="C67" s="1157" t="s">
        <v>1886</v>
      </c>
      <c r="D67" s="142" t="s">
        <v>1082</v>
      </c>
      <c r="E67" s="143" t="s">
        <v>1083</v>
      </c>
      <c r="F67" s="422" t="s">
        <v>1084</v>
      </c>
      <c r="G67" s="63" t="s">
        <v>30</v>
      </c>
      <c r="H67" s="64">
        <v>1.0</v>
      </c>
      <c r="I67" s="975">
        <v>220000.0</v>
      </c>
      <c r="J67" s="48">
        <f t="shared" si="10"/>
        <v>220000</v>
      </c>
      <c r="K67" s="49">
        <f>SUM(J67:J69)</f>
        <v>1980000</v>
      </c>
      <c r="L67" s="146"/>
      <c r="M67" s="1144">
        <f>5500</f>
        <v>5500</v>
      </c>
      <c r="N67" s="52"/>
      <c r="O67" s="53">
        <f>K67+L67-N67-M67</f>
        <v>1974500</v>
      </c>
      <c r="P67" s="99" t="s">
        <v>449</v>
      </c>
      <c r="Q67" s="99" t="s">
        <v>31</v>
      </c>
      <c r="R67" s="145">
        <f>68500+9900</f>
        <v>78400</v>
      </c>
      <c r="S67" s="56" t="s">
        <v>32</v>
      </c>
      <c r="T67" s="57" t="s">
        <v>33</v>
      </c>
      <c r="U67" s="147"/>
      <c r="V67" s="1009"/>
      <c r="W67" s="142" t="s">
        <v>1887</v>
      </c>
      <c r="X67" s="974"/>
      <c r="Y67" s="9"/>
      <c r="Z67" s="204"/>
      <c r="AA67" s="25"/>
      <c r="AB67" s="25"/>
      <c r="AC67" s="25"/>
      <c r="AD67" s="22"/>
    </row>
    <row r="68" ht="23.25" customHeight="1">
      <c r="A68" s="62"/>
      <c r="B68" s="62"/>
      <c r="C68" s="62"/>
      <c r="D68" s="62"/>
      <c r="E68" s="62"/>
      <c r="F68" s="423"/>
      <c r="G68" s="63" t="s">
        <v>122</v>
      </c>
      <c r="H68" s="64">
        <v>4.0</v>
      </c>
      <c r="I68" s="975">
        <v>220000.0</v>
      </c>
      <c r="J68" s="48">
        <f t="shared" si="10"/>
        <v>880000</v>
      </c>
      <c r="K68" s="62"/>
      <c r="L68" s="62"/>
      <c r="M68" s="62"/>
      <c r="N68" s="62"/>
      <c r="O68" s="62"/>
      <c r="P68" s="62"/>
      <c r="Q68" s="62"/>
      <c r="R68" s="62"/>
      <c r="S68" s="62"/>
      <c r="T68" s="62"/>
      <c r="U68" s="62"/>
      <c r="V68" s="62"/>
      <c r="W68" s="62"/>
      <c r="X68" s="62"/>
      <c r="Y68" s="9"/>
      <c r="Z68" s="204"/>
      <c r="AA68" s="25"/>
      <c r="AB68" s="25"/>
      <c r="AC68" s="25"/>
      <c r="AD68" s="22"/>
    </row>
    <row r="69" ht="23.25" customHeight="1">
      <c r="A69" s="67"/>
      <c r="B69" s="67"/>
      <c r="C69" s="67"/>
      <c r="D69" s="67"/>
      <c r="E69" s="67"/>
      <c r="F69" s="102"/>
      <c r="G69" s="63" t="s">
        <v>35</v>
      </c>
      <c r="H69" s="64">
        <v>4.0</v>
      </c>
      <c r="I69" s="975">
        <v>220000.0</v>
      </c>
      <c r="J69" s="48">
        <f t="shared" si="10"/>
        <v>880000</v>
      </c>
      <c r="K69" s="67"/>
      <c r="L69" s="67"/>
      <c r="M69" s="67"/>
      <c r="N69" s="67"/>
      <c r="O69" s="67"/>
      <c r="P69" s="67"/>
      <c r="Q69" s="67"/>
      <c r="R69" s="67"/>
      <c r="S69" s="67"/>
      <c r="T69" s="67"/>
      <c r="U69" s="67"/>
      <c r="V69" s="67"/>
      <c r="W69" s="67"/>
      <c r="X69" s="67"/>
      <c r="Y69" s="9"/>
      <c r="Z69" s="204"/>
      <c r="AA69" s="25"/>
      <c r="AB69" s="25"/>
      <c r="AC69" s="25"/>
      <c r="AD69" s="22"/>
    </row>
    <row r="70" ht="27.75" customHeight="1">
      <c r="A70" s="93">
        <v>29.0</v>
      </c>
      <c r="B70" s="103">
        <v>45094.0</v>
      </c>
      <c r="C70" s="93">
        <v>5125.0</v>
      </c>
      <c r="D70" s="92" t="s">
        <v>50</v>
      </c>
      <c r="E70" s="105" t="s">
        <v>1888</v>
      </c>
      <c r="F70" s="758" t="s">
        <v>1889</v>
      </c>
      <c r="G70" s="63" t="s">
        <v>30</v>
      </c>
      <c r="H70" s="64">
        <v>1.0</v>
      </c>
      <c r="I70" s="975">
        <v>220000.0</v>
      </c>
      <c r="J70" s="577">
        <f t="shared" si="10"/>
        <v>220000</v>
      </c>
      <c r="K70" s="76">
        <f t="shared" ref="K70:K71" si="11">sum(J70)</f>
        <v>220000</v>
      </c>
      <c r="L70" s="65"/>
      <c r="M70" s="1155">
        <f t="shared" ref="M70:M73" si="12">K70*3%</f>
        <v>6600</v>
      </c>
      <c r="N70" s="79"/>
      <c r="O70" s="80">
        <f t="shared" ref="O70:O73" si="13">K70+L70-N70-M70</f>
        <v>213400</v>
      </c>
      <c r="P70" s="176"/>
      <c r="Q70" s="176"/>
      <c r="R70" s="109"/>
      <c r="S70" s="91"/>
      <c r="T70" s="183"/>
      <c r="U70" s="122"/>
      <c r="V70" s="1002"/>
      <c r="W70" s="92" t="s">
        <v>1890</v>
      </c>
      <c r="X70" s="687"/>
      <c r="Y70" s="9"/>
      <c r="Z70" s="204"/>
      <c r="AA70" s="25"/>
      <c r="AB70" s="25"/>
      <c r="AC70" s="25"/>
      <c r="AD70" s="22"/>
    </row>
    <row r="71" ht="23.25" customHeight="1">
      <c r="A71" s="93">
        <v>30.0</v>
      </c>
      <c r="B71" s="103">
        <v>45094.0</v>
      </c>
      <c r="C71" s="105" t="s">
        <v>1891</v>
      </c>
      <c r="D71" s="92" t="s">
        <v>50</v>
      </c>
      <c r="E71" s="105" t="s">
        <v>1016</v>
      </c>
      <c r="F71" s="763" t="s">
        <v>1892</v>
      </c>
      <c r="G71" s="63" t="s">
        <v>30</v>
      </c>
      <c r="H71" s="64">
        <v>3.0</v>
      </c>
      <c r="I71" s="975">
        <v>220000.0</v>
      </c>
      <c r="J71" s="577">
        <f t="shared" si="10"/>
        <v>660000</v>
      </c>
      <c r="K71" s="76">
        <f t="shared" si="11"/>
        <v>660000</v>
      </c>
      <c r="L71" s="65"/>
      <c r="M71" s="1155">
        <f t="shared" si="12"/>
        <v>19800</v>
      </c>
      <c r="N71" s="79"/>
      <c r="O71" s="80">
        <f t="shared" si="13"/>
        <v>640200</v>
      </c>
      <c r="P71" s="176"/>
      <c r="Q71" s="176"/>
      <c r="R71" s="109"/>
      <c r="S71" s="83" t="s">
        <v>32</v>
      </c>
      <c r="T71" s="183"/>
      <c r="U71" s="122"/>
      <c r="V71" s="1002"/>
      <c r="W71" s="92" t="s">
        <v>1890</v>
      </c>
      <c r="X71" s="694">
        <v>1.0</v>
      </c>
      <c r="Y71" s="9"/>
      <c r="Z71" s="204"/>
      <c r="AA71" s="25"/>
      <c r="AB71" s="25"/>
      <c r="AC71" s="25"/>
      <c r="AD71" s="22"/>
    </row>
    <row r="72" ht="23.25" customHeight="1">
      <c r="A72" s="93">
        <v>31.0</v>
      </c>
      <c r="B72" s="103">
        <v>45096.0</v>
      </c>
      <c r="C72" s="93">
        <v>6729.0</v>
      </c>
      <c r="D72" s="92" t="s">
        <v>50</v>
      </c>
      <c r="E72" s="105" t="s">
        <v>1893</v>
      </c>
      <c r="F72" s="763" t="s">
        <v>1894</v>
      </c>
      <c r="G72" s="63" t="s">
        <v>30</v>
      </c>
      <c r="H72" s="64">
        <v>1.0</v>
      </c>
      <c r="I72" s="975">
        <v>220000.0</v>
      </c>
      <c r="J72" s="48">
        <f t="shared" si="10"/>
        <v>220000</v>
      </c>
      <c r="K72" s="76">
        <f t="shared" ref="K72:K76" si="14">SUM(J72)</f>
        <v>220000</v>
      </c>
      <c r="L72" s="108"/>
      <c r="M72" s="1155">
        <f t="shared" si="12"/>
        <v>6600</v>
      </c>
      <c r="N72" s="79"/>
      <c r="O72" s="80">
        <f t="shared" si="13"/>
        <v>213400</v>
      </c>
      <c r="P72" s="176"/>
      <c r="Q72" s="176"/>
      <c r="R72" s="109"/>
      <c r="S72" s="91"/>
      <c r="T72" s="183"/>
      <c r="U72" s="122"/>
      <c r="V72" s="1002"/>
      <c r="W72" s="92" t="s">
        <v>1890</v>
      </c>
      <c r="X72" s="687"/>
      <c r="Y72" s="9"/>
      <c r="Z72" s="204"/>
      <c r="AA72" s="25"/>
      <c r="AB72" s="25"/>
      <c r="AC72" s="25"/>
      <c r="AD72" s="22"/>
    </row>
    <row r="73" ht="23.25" customHeight="1">
      <c r="A73" s="93">
        <v>32.0</v>
      </c>
      <c r="B73" s="103">
        <v>45096.0</v>
      </c>
      <c r="C73" s="93">
        <v>3922.0</v>
      </c>
      <c r="D73" s="92" t="s">
        <v>50</v>
      </c>
      <c r="E73" s="105" t="s">
        <v>1051</v>
      </c>
      <c r="F73" s="763" t="s">
        <v>1895</v>
      </c>
      <c r="G73" s="63" t="s">
        <v>30</v>
      </c>
      <c r="H73" s="64">
        <v>2.0</v>
      </c>
      <c r="I73" s="975">
        <v>220000.0</v>
      </c>
      <c r="J73" s="48">
        <f t="shared" si="10"/>
        <v>440000</v>
      </c>
      <c r="K73" s="76">
        <f t="shared" si="14"/>
        <v>440000</v>
      </c>
      <c r="L73" s="108"/>
      <c r="M73" s="1155">
        <f t="shared" si="12"/>
        <v>13200</v>
      </c>
      <c r="N73" s="115"/>
      <c r="O73" s="80">
        <f t="shared" si="13"/>
        <v>426800</v>
      </c>
      <c r="P73" s="176"/>
      <c r="Q73" s="176"/>
      <c r="R73" s="109"/>
      <c r="S73" s="91"/>
      <c r="T73" s="183"/>
      <c r="U73" s="122"/>
      <c r="V73" s="1002"/>
      <c r="W73" s="92" t="s">
        <v>1890</v>
      </c>
      <c r="X73" s="687"/>
      <c r="Y73" s="9"/>
      <c r="Z73" s="204"/>
      <c r="AA73" s="25"/>
      <c r="AB73" s="25"/>
      <c r="AC73" s="25"/>
      <c r="AD73" s="22"/>
    </row>
    <row r="74" ht="42.0" customHeight="1">
      <c r="A74" s="93">
        <v>33.0</v>
      </c>
      <c r="B74" s="103">
        <v>45096.0</v>
      </c>
      <c r="C74" s="93">
        <v>1.692466868985E12</v>
      </c>
      <c r="D74" s="92" t="s">
        <v>44</v>
      </c>
      <c r="E74" s="105" t="s">
        <v>45</v>
      </c>
      <c r="F74" s="121" t="s">
        <v>46</v>
      </c>
      <c r="G74" s="63" t="s">
        <v>30</v>
      </c>
      <c r="H74" s="64">
        <v>10.0</v>
      </c>
      <c r="I74" s="975">
        <v>220000.0</v>
      </c>
      <c r="J74" s="48">
        <f>I74*$H$74</f>
        <v>2200000</v>
      </c>
      <c r="K74" s="76">
        <f t="shared" si="14"/>
        <v>2200000</v>
      </c>
      <c r="L74" s="65"/>
      <c r="M74" s="1155"/>
      <c r="N74" s="79"/>
      <c r="O74" s="80">
        <f>K74+L74-N74</f>
        <v>2200000</v>
      </c>
      <c r="P74" s="81" t="s">
        <v>449</v>
      </c>
      <c r="Q74" s="81"/>
      <c r="R74" s="108">
        <v>84999.0</v>
      </c>
      <c r="S74" s="83" t="s">
        <v>32</v>
      </c>
      <c r="T74" s="84" t="s">
        <v>33</v>
      </c>
      <c r="U74" s="122"/>
      <c r="V74" s="1002"/>
      <c r="W74" s="1002"/>
      <c r="X74" s="687"/>
      <c r="Y74" s="9"/>
      <c r="Z74" s="204"/>
      <c r="AA74" s="25"/>
      <c r="AB74" s="25"/>
      <c r="AC74" s="25"/>
      <c r="AD74" s="22"/>
    </row>
    <row r="75" ht="23.25" customHeight="1">
      <c r="A75" s="93">
        <v>34.0</v>
      </c>
      <c r="B75" s="103">
        <v>45096.0</v>
      </c>
      <c r="C75" s="93">
        <v>1.697694789002E12</v>
      </c>
      <c r="D75" s="92" t="s">
        <v>1896</v>
      </c>
      <c r="E75" s="105" t="s">
        <v>1897</v>
      </c>
      <c r="F75" s="92" t="s">
        <v>1898</v>
      </c>
      <c r="G75" s="63" t="s">
        <v>30</v>
      </c>
      <c r="H75" s="64">
        <v>1.0</v>
      </c>
      <c r="I75" s="975">
        <v>220000.0</v>
      </c>
      <c r="J75" s="48">
        <f>I75*$H$75</f>
        <v>220000</v>
      </c>
      <c r="K75" s="76">
        <f t="shared" si="14"/>
        <v>220000</v>
      </c>
      <c r="L75" s="108">
        <v>40000.0</v>
      </c>
      <c r="M75" s="1155"/>
      <c r="N75" s="115">
        <v>20000.0</v>
      </c>
      <c r="O75" s="80">
        <f>K75+$L$75-N75</f>
        <v>240000</v>
      </c>
      <c r="P75" s="81" t="s">
        <v>449</v>
      </c>
      <c r="Q75" s="81" t="s">
        <v>31</v>
      </c>
      <c r="R75" s="109"/>
      <c r="S75" s="91"/>
      <c r="T75" s="84" t="s">
        <v>33</v>
      </c>
      <c r="U75" s="122"/>
      <c r="V75" s="1002"/>
      <c r="W75" s="1002"/>
      <c r="X75" s="687"/>
      <c r="Y75" s="9"/>
      <c r="Z75" s="204"/>
      <c r="AA75" s="25"/>
      <c r="AB75" s="25"/>
      <c r="AC75" s="25"/>
      <c r="AD75" s="22"/>
    </row>
    <row r="76" ht="23.25" customHeight="1">
      <c r="A76" s="93">
        <v>35.0</v>
      </c>
      <c r="B76" s="103">
        <v>45096.0</v>
      </c>
      <c r="C76" s="93">
        <v>4632.0</v>
      </c>
      <c r="D76" s="92" t="s">
        <v>50</v>
      </c>
      <c r="E76" s="105" t="s">
        <v>1899</v>
      </c>
      <c r="F76" s="92" t="s">
        <v>1900</v>
      </c>
      <c r="G76" s="63" t="s">
        <v>30</v>
      </c>
      <c r="H76" s="64">
        <v>1.0</v>
      </c>
      <c r="I76" s="975">
        <v>220000.0</v>
      </c>
      <c r="J76" s="48">
        <f>I76*$H$76</f>
        <v>220000</v>
      </c>
      <c r="K76" s="76">
        <f t="shared" si="14"/>
        <v>220000</v>
      </c>
      <c r="L76" s="65"/>
      <c r="M76" s="1155">
        <f>K76*3%</f>
        <v>6600</v>
      </c>
      <c r="N76" s="79"/>
      <c r="O76" s="80">
        <f t="shared" ref="O76:O77" si="15">K76+L76-N76-M76</f>
        <v>213400</v>
      </c>
      <c r="P76" s="176"/>
      <c r="Q76" s="176"/>
      <c r="R76" s="109"/>
      <c r="S76" s="91"/>
      <c r="T76" s="183"/>
      <c r="U76" s="122"/>
      <c r="V76" s="1002"/>
      <c r="W76" s="1002"/>
      <c r="X76" s="687"/>
      <c r="Y76" s="9"/>
      <c r="Z76" s="204"/>
      <c r="AA76" s="25"/>
      <c r="AB76" s="25"/>
      <c r="AC76" s="25"/>
      <c r="AD76" s="22"/>
    </row>
    <row r="77" ht="23.25" customHeight="1">
      <c r="A77" s="111">
        <v>36.0</v>
      </c>
      <c r="B77" s="112">
        <v>45097.0</v>
      </c>
      <c r="C77" s="111">
        <v>1.710270309322E12</v>
      </c>
      <c r="D77" s="142" t="s">
        <v>1901</v>
      </c>
      <c r="E77" s="143" t="s">
        <v>1902</v>
      </c>
      <c r="F77" s="44" t="s">
        <v>1903</v>
      </c>
      <c r="G77" s="63" t="s">
        <v>290</v>
      </c>
      <c r="H77" s="64">
        <v>5.0</v>
      </c>
      <c r="I77" s="975">
        <v>220000.0</v>
      </c>
      <c r="J77" s="48">
        <f t="shared" ref="J77:J107" si="16">I77*H77</f>
        <v>1100000</v>
      </c>
      <c r="K77" s="49">
        <f>SUM(J77:J78)</f>
        <v>1540000</v>
      </c>
      <c r="L77" s="146"/>
      <c r="M77" s="1143"/>
      <c r="N77" s="52"/>
      <c r="O77" s="53">
        <f t="shared" si="15"/>
        <v>1540000</v>
      </c>
      <c r="P77" s="99" t="s">
        <v>449</v>
      </c>
      <c r="Q77" s="99" t="s">
        <v>31</v>
      </c>
      <c r="R77" s="145">
        <v>70998.0</v>
      </c>
      <c r="S77" s="56" t="s">
        <v>32</v>
      </c>
      <c r="T77" s="57" t="s">
        <v>33</v>
      </c>
      <c r="U77" s="147"/>
      <c r="V77" s="1009"/>
      <c r="W77" s="1009"/>
      <c r="X77" s="974"/>
      <c r="Y77" s="9"/>
      <c r="Z77" s="204"/>
      <c r="AA77" s="25"/>
      <c r="AB77" s="25"/>
      <c r="AC77" s="25"/>
      <c r="AD77" s="22"/>
    </row>
    <row r="78" ht="23.25" customHeight="1">
      <c r="A78" s="67"/>
      <c r="B78" s="67"/>
      <c r="C78" s="67"/>
      <c r="D78" s="67"/>
      <c r="E78" s="67"/>
      <c r="F78" s="67"/>
      <c r="G78" s="63" t="s">
        <v>37</v>
      </c>
      <c r="H78" s="64">
        <v>2.0</v>
      </c>
      <c r="I78" s="975">
        <v>220000.0</v>
      </c>
      <c r="J78" s="48">
        <f t="shared" si="16"/>
        <v>440000</v>
      </c>
      <c r="K78" s="67"/>
      <c r="L78" s="67"/>
      <c r="M78" s="67"/>
      <c r="N78" s="67"/>
      <c r="O78" s="67"/>
      <c r="P78" s="67"/>
      <c r="Q78" s="67"/>
      <c r="R78" s="67"/>
      <c r="S78" s="67"/>
      <c r="T78" s="67"/>
      <c r="U78" s="67"/>
      <c r="V78" s="67"/>
      <c r="W78" s="67"/>
      <c r="X78" s="67"/>
      <c r="Y78" s="9"/>
      <c r="Z78" s="204"/>
      <c r="AA78" s="25"/>
      <c r="AB78" s="25"/>
      <c r="AC78" s="25"/>
      <c r="AD78" s="22"/>
    </row>
    <row r="79" ht="23.25" customHeight="1">
      <c r="A79" s="93">
        <v>37.0</v>
      </c>
      <c r="B79" s="103">
        <v>45097.0</v>
      </c>
      <c r="C79" s="93">
        <v>1.710358973241E12</v>
      </c>
      <c r="D79" s="92" t="s">
        <v>1553</v>
      </c>
      <c r="E79" s="105" t="s">
        <v>87</v>
      </c>
      <c r="F79" s="92" t="s">
        <v>1904</v>
      </c>
      <c r="G79" s="63" t="s">
        <v>30</v>
      </c>
      <c r="H79" s="64">
        <v>1.0</v>
      </c>
      <c r="I79" s="975">
        <v>220000.0</v>
      </c>
      <c r="J79" s="48">
        <f t="shared" si="16"/>
        <v>220000</v>
      </c>
      <c r="K79" s="76">
        <f t="shared" ref="K79:K84" si="17">SUM(J79)</f>
        <v>220000</v>
      </c>
      <c r="L79" s="108">
        <v>40000.0</v>
      </c>
      <c r="M79" s="1134"/>
      <c r="N79" s="115">
        <v>20000.0</v>
      </c>
      <c r="O79" s="80">
        <f>K79+$L$79-N79-M79</f>
        <v>240000</v>
      </c>
      <c r="P79" s="81" t="s">
        <v>449</v>
      </c>
      <c r="Q79" s="81" t="s">
        <v>31</v>
      </c>
      <c r="R79" s="109"/>
      <c r="S79" s="91"/>
      <c r="T79" s="84" t="s">
        <v>33</v>
      </c>
      <c r="U79" s="122"/>
      <c r="V79" s="1002"/>
      <c r="W79" s="1002"/>
      <c r="X79" s="687"/>
      <c r="Y79" s="9"/>
      <c r="Z79" s="204"/>
      <c r="AA79" s="25"/>
      <c r="AB79" s="25"/>
      <c r="AC79" s="25"/>
      <c r="AD79" s="22"/>
    </row>
    <row r="80" ht="23.25" customHeight="1">
      <c r="A80" s="93">
        <v>38.0</v>
      </c>
      <c r="B80" s="103">
        <v>45097.0</v>
      </c>
      <c r="C80" s="93">
        <v>6936.0</v>
      </c>
      <c r="D80" s="155" t="s">
        <v>50</v>
      </c>
      <c r="E80" s="105" t="s">
        <v>1905</v>
      </c>
      <c r="F80" s="92" t="s">
        <v>1906</v>
      </c>
      <c r="G80" s="63" t="s">
        <v>30</v>
      </c>
      <c r="H80" s="64">
        <v>1.0</v>
      </c>
      <c r="I80" s="975">
        <v>220000.0</v>
      </c>
      <c r="J80" s="48">
        <f t="shared" si="16"/>
        <v>220000</v>
      </c>
      <c r="K80" s="76">
        <f t="shared" si="17"/>
        <v>220000</v>
      </c>
      <c r="L80" s="65"/>
      <c r="M80" s="1155"/>
      <c r="N80" s="79"/>
      <c r="O80" s="80">
        <f t="shared" ref="O80:O85" si="18">K80+$L$80-N80-M80</f>
        <v>220000</v>
      </c>
      <c r="P80" s="176"/>
      <c r="Q80" s="176"/>
      <c r="R80" s="109"/>
      <c r="S80" s="91"/>
      <c r="T80" s="183"/>
      <c r="U80" s="122"/>
      <c r="V80" s="1002"/>
      <c r="W80" s="92" t="s">
        <v>1890</v>
      </c>
      <c r="X80" s="687"/>
      <c r="Y80" s="9"/>
      <c r="Z80" s="204"/>
      <c r="AA80" s="25"/>
      <c r="AB80" s="25"/>
      <c r="AC80" s="25"/>
      <c r="AD80" s="22"/>
    </row>
    <row r="81" ht="23.25" customHeight="1">
      <c r="A81" s="93">
        <v>39.0</v>
      </c>
      <c r="B81" s="103">
        <v>45097.0</v>
      </c>
      <c r="C81" s="93">
        <v>1140.0</v>
      </c>
      <c r="D81" s="155" t="s">
        <v>50</v>
      </c>
      <c r="E81" s="105" t="s">
        <v>1907</v>
      </c>
      <c r="F81" s="92" t="s">
        <v>1908</v>
      </c>
      <c r="G81" s="63" t="s">
        <v>30</v>
      </c>
      <c r="H81" s="64">
        <v>1.0</v>
      </c>
      <c r="I81" s="975">
        <v>220000.0</v>
      </c>
      <c r="J81" s="48">
        <f t="shared" si="16"/>
        <v>220000</v>
      </c>
      <c r="K81" s="76">
        <f t="shared" si="17"/>
        <v>220000</v>
      </c>
      <c r="L81" s="65"/>
      <c r="M81" s="1155"/>
      <c r="N81" s="79"/>
      <c r="O81" s="80">
        <f t="shared" si="18"/>
        <v>220000</v>
      </c>
      <c r="P81" s="176"/>
      <c r="Q81" s="176"/>
      <c r="R81" s="109"/>
      <c r="S81" s="91"/>
      <c r="T81" s="183"/>
      <c r="U81" s="122"/>
      <c r="V81" s="1002"/>
      <c r="W81" s="92" t="s">
        <v>1890</v>
      </c>
      <c r="X81" s="687"/>
      <c r="Y81" s="9"/>
      <c r="Z81" s="204"/>
      <c r="AA81" s="25"/>
      <c r="AB81" s="25"/>
      <c r="AC81" s="25"/>
      <c r="AD81" s="22"/>
    </row>
    <row r="82" ht="23.25" customHeight="1">
      <c r="A82" s="93">
        <v>40.0</v>
      </c>
      <c r="B82" s="103">
        <v>45097.0</v>
      </c>
      <c r="C82" s="93">
        <v>6033.0</v>
      </c>
      <c r="D82" s="155" t="s">
        <v>50</v>
      </c>
      <c r="E82" s="105" t="s">
        <v>1909</v>
      </c>
      <c r="F82" s="92" t="s">
        <v>1910</v>
      </c>
      <c r="G82" s="63" t="s">
        <v>30</v>
      </c>
      <c r="H82" s="64">
        <v>1.0</v>
      </c>
      <c r="I82" s="975">
        <v>220000.0</v>
      </c>
      <c r="J82" s="48">
        <f t="shared" si="16"/>
        <v>220000</v>
      </c>
      <c r="K82" s="76">
        <f t="shared" si="17"/>
        <v>220000</v>
      </c>
      <c r="L82" s="65"/>
      <c r="M82" s="1155"/>
      <c r="N82" s="79"/>
      <c r="O82" s="80">
        <f t="shared" si="18"/>
        <v>220000</v>
      </c>
      <c r="P82" s="176"/>
      <c r="Q82" s="176"/>
      <c r="R82" s="109"/>
      <c r="S82" s="91"/>
      <c r="T82" s="183"/>
      <c r="U82" s="122"/>
      <c r="V82" s="1002"/>
      <c r="W82" s="92" t="s">
        <v>1890</v>
      </c>
      <c r="X82" s="687"/>
      <c r="Y82" s="9"/>
      <c r="Z82" s="204"/>
      <c r="AA82" s="25"/>
      <c r="AB82" s="25"/>
      <c r="AC82" s="25"/>
      <c r="AD82" s="22"/>
    </row>
    <row r="83" ht="23.25" customHeight="1">
      <c r="A83" s="93">
        <v>41.0</v>
      </c>
      <c r="B83" s="103">
        <v>45098.0</v>
      </c>
      <c r="C83" s="93">
        <v>1.698043882373E12</v>
      </c>
      <c r="D83" s="155" t="s">
        <v>1671</v>
      </c>
      <c r="E83" s="105" t="s">
        <v>1672</v>
      </c>
      <c r="F83" s="92" t="s">
        <v>1673</v>
      </c>
      <c r="G83" s="63" t="s">
        <v>30</v>
      </c>
      <c r="H83" s="64">
        <v>3.0</v>
      </c>
      <c r="I83" s="975">
        <v>220000.0</v>
      </c>
      <c r="J83" s="48">
        <f t="shared" si="16"/>
        <v>660000</v>
      </c>
      <c r="K83" s="76">
        <f t="shared" si="17"/>
        <v>660000</v>
      </c>
      <c r="L83" s="65"/>
      <c r="M83" s="1155"/>
      <c r="N83" s="79"/>
      <c r="O83" s="80">
        <f t="shared" si="18"/>
        <v>660000</v>
      </c>
      <c r="P83" s="81" t="s">
        <v>449</v>
      </c>
      <c r="Q83" s="176"/>
      <c r="R83" s="108">
        <v>49000.0</v>
      </c>
      <c r="S83" s="83" t="s">
        <v>32</v>
      </c>
      <c r="T83" s="183"/>
      <c r="U83" s="122"/>
      <c r="V83" s="1002"/>
      <c r="W83" s="1002"/>
      <c r="X83" s="694">
        <v>1.0</v>
      </c>
      <c r="Y83" s="9"/>
      <c r="Z83" s="204"/>
      <c r="AA83" s="25"/>
      <c r="AB83" s="25"/>
      <c r="AC83" s="25"/>
      <c r="AD83" s="22"/>
    </row>
    <row r="84" ht="39.75" customHeight="1">
      <c r="A84" s="93">
        <v>42.0</v>
      </c>
      <c r="B84" s="103">
        <v>45098.0</v>
      </c>
      <c r="C84" s="93">
        <v>1.709576540185E12</v>
      </c>
      <c r="D84" s="1158" t="s">
        <v>1911</v>
      </c>
      <c r="E84" s="1159" t="s">
        <v>1912</v>
      </c>
      <c r="F84" s="1160" t="s">
        <v>1913</v>
      </c>
      <c r="G84" s="63" t="s">
        <v>290</v>
      </c>
      <c r="H84" s="64">
        <v>8.0</v>
      </c>
      <c r="I84" s="975">
        <v>220000.0</v>
      </c>
      <c r="J84" s="48">
        <f t="shared" si="16"/>
        <v>1760000</v>
      </c>
      <c r="K84" s="76">
        <f t="shared" si="17"/>
        <v>1760000</v>
      </c>
      <c r="L84" s="65"/>
      <c r="M84" s="1155"/>
      <c r="N84" s="79"/>
      <c r="O84" s="80">
        <f t="shared" si="18"/>
        <v>1760000</v>
      </c>
      <c r="P84" s="81" t="s">
        <v>449</v>
      </c>
      <c r="Q84" s="176"/>
      <c r="R84" s="108">
        <v>65997.0</v>
      </c>
      <c r="S84" s="83" t="s">
        <v>32</v>
      </c>
      <c r="T84" s="183"/>
      <c r="U84" s="122"/>
      <c r="V84" s="1002"/>
      <c r="W84" s="1002"/>
      <c r="X84" s="687"/>
      <c r="Y84" s="9"/>
      <c r="Z84" s="204"/>
      <c r="AA84" s="25"/>
      <c r="AB84" s="25"/>
      <c r="AC84" s="25"/>
      <c r="AD84" s="22"/>
    </row>
    <row r="85" ht="23.25" customHeight="1">
      <c r="A85" s="111">
        <v>43.0</v>
      </c>
      <c r="B85" s="112">
        <v>45098.0</v>
      </c>
      <c r="C85" s="111">
        <v>1.710021311946E12</v>
      </c>
      <c r="D85" s="142" t="s">
        <v>1156</v>
      </c>
      <c r="E85" s="143" t="s">
        <v>150</v>
      </c>
      <c r="F85" s="142" t="s">
        <v>1157</v>
      </c>
      <c r="G85" s="63" t="s">
        <v>30</v>
      </c>
      <c r="H85" s="64">
        <v>1.0</v>
      </c>
      <c r="I85" s="975">
        <v>220000.0</v>
      </c>
      <c r="J85" s="48">
        <f t="shared" si="16"/>
        <v>220000</v>
      </c>
      <c r="K85" s="49">
        <f>sum(J85:J88)</f>
        <v>1180000</v>
      </c>
      <c r="L85" s="146"/>
      <c r="M85" s="1143"/>
      <c r="N85" s="52"/>
      <c r="O85" s="53">
        <f t="shared" si="18"/>
        <v>1180000</v>
      </c>
      <c r="P85" s="99" t="s">
        <v>449</v>
      </c>
      <c r="Q85" s="196"/>
      <c r="R85" s="145">
        <v>51999.0</v>
      </c>
      <c r="S85" s="56" t="s">
        <v>32</v>
      </c>
      <c r="T85" s="197"/>
      <c r="U85" s="147"/>
      <c r="V85" s="1009"/>
      <c r="W85" s="1009"/>
      <c r="X85" s="974"/>
      <c r="Y85" s="9"/>
      <c r="Z85" s="204"/>
      <c r="AA85" s="25"/>
      <c r="AB85" s="25"/>
      <c r="AC85" s="25"/>
      <c r="AD85" s="22"/>
    </row>
    <row r="86" ht="23.25" customHeight="1">
      <c r="A86" s="62"/>
      <c r="B86" s="62"/>
      <c r="C86" s="62"/>
      <c r="D86" s="62"/>
      <c r="E86" s="62"/>
      <c r="F86" s="62"/>
      <c r="G86" s="63" t="s">
        <v>35</v>
      </c>
      <c r="H86" s="64">
        <v>2.0</v>
      </c>
      <c r="I86" s="975">
        <v>220000.0</v>
      </c>
      <c r="J86" s="48">
        <f t="shared" si="16"/>
        <v>440000</v>
      </c>
      <c r="K86" s="62"/>
      <c r="L86" s="62"/>
      <c r="M86" s="62"/>
      <c r="N86" s="62"/>
      <c r="O86" s="62"/>
      <c r="P86" s="62"/>
      <c r="Q86" s="62"/>
      <c r="R86" s="62"/>
      <c r="S86" s="62"/>
      <c r="T86" s="62"/>
      <c r="U86" s="62"/>
      <c r="V86" s="62"/>
      <c r="W86" s="62"/>
      <c r="X86" s="62"/>
      <c r="Y86" s="9"/>
      <c r="Z86" s="204"/>
      <c r="AA86" s="25"/>
      <c r="AB86" s="25"/>
      <c r="AC86" s="25"/>
      <c r="AD86" s="22"/>
    </row>
    <row r="87" ht="23.25" customHeight="1">
      <c r="A87" s="62"/>
      <c r="B87" s="62"/>
      <c r="C87" s="62"/>
      <c r="D87" s="62"/>
      <c r="E87" s="62"/>
      <c r="F87" s="62"/>
      <c r="G87" s="63" t="s">
        <v>58</v>
      </c>
      <c r="H87" s="64">
        <v>2.0</v>
      </c>
      <c r="I87" s="975">
        <v>220000.0</v>
      </c>
      <c r="J87" s="48">
        <f t="shared" si="16"/>
        <v>440000</v>
      </c>
      <c r="K87" s="62"/>
      <c r="L87" s="62"/>
      <c r="M87" s="62"/>
      <c r="N87" s="62"/>
      <c r="O87" s="62"/>
      <c r="P87" s="62"/>
      <c r="Q87" s="62"/>
      <c r="R87" s="62"/>
      <c r="S87" s="62"/>
      <c r="T87" s="62"/>
      <c r="U87" s="62"/>
      <c r="V87" s="62"/>
      <c r="W87" s="62"/>
      <c r="X87" s="62"/>
      <c r="Y87" s="9"/>
      <c r="Z87" s="204"/>
      <c r="AA87" s="25"/>
      <c r="AB87" s="25"/>
      <c r="AC87" s="25"/>
      <c r="AD87" s="22"/>
    </row>
    <row r="88" ht="23.25" customHeight="1">
      <c r="A88" s="67"/>
      <c r="B88" s="67"/>
      <c r="C88" s="67"/>
      <c r="D88" s="67"/>
      <c r="E88" s="67"/>
      <c r="F88" s="67"/>
      <c r="G88" s="63" t="s">
        <v>147</v>
      </c>
      <c r="H88" s="64">
        <v>1.0</v>
      </c>
      <c r="I88" s="975">
        <v>80000.0</v>
      </c>
      <c r="J88" s="48">
        <f t="shared" si="16"/>
        <v>80000</v>
      </c>
      <c r="K88" s="67"/>
      <c r="L88" s="67"/>
      <c r="M88" s="67"/>
      <c r="N88" s="67"/>
      <c r="O88" s="67"/>
      <c r="P88" s="67"/>
      <c r="Q88" s="67"/>
      <c r="R88" s="67"/>
      <c r="S88" s="67"/>
      <c r="T88" s="67"/>
      <c r="U88" s="67"/>
      <c r="V88" s="67"/>
      <c r="W88" s="67"/>
      <c r="X88" s="67"/>
      <c r="Y88" s="9"/>
      <c r="Z88" s="204"/>
      <c r="AA88" s="25"/>
      <c r="AB88" s="25"/>
      <c r="AC88" s="25"/>
      <c r="AD88" s="22"/>
    </row>
    <row r="89" ht="23.25" customHeight="1">
      <c r="A89" s="111">
        <v>44.0</v>
      </c>
      <c r="B89" s="112">
        <v>45098.0</v>
      </c>
      <c r="C89" s="111">
        <v>1.710851887058E12</v>
      </c>
      <c r="D89" s="142" t="s">
        <v>1914</v>
      </c>
      <c r="E89" s="143" t="s">
        <v>248</v>
      </c>
      <c r="F89" s="1161" t="s">
        <v>549</v>
      </c>
      <c r="G89" s="63" t="s">
        <v>516</v>
      </c>
      <c r="H89" s="64">
        <v>4.0</v>
      </c>
      <c r="I89" s="975">
        <v>220000.0</v>
      </c>
      <c r="J89" s="48">
        <f t="shared" si="16"/>
        <v>880000</v>
      </c>
      <c r="K89" s="49">
        <f>SUM(J89:J99)</f>
        <v>3700000</v>
      </c>
      <c r="L89" s="146"/>
      <c r="M89" s="1143"/>
      <c r="N89" s="52"/>
      <c r="O89" s="53">
        <f>K89+L89-M89-N89</f>
        <v>3700000</v>
      </c>
      <c r="P89" s="99" t="s">
        <v>449</v>
      </c>
      <c r="Q89" s="99" t="s">
        <v>31</v>
      </c>
      <c r="R89" s="145">
        <v>134002.0</v>
      </c>
      <c r="S89" s="56" t="s">
        <v>32</v>
      </c>
      <c r="T89" s="57" t="s">
        <v>33</v>
      </c>
      <c r="U89" s="147"/>
      <c r="V89" s="1009"/>
      <c r="W89" s="142" t="s">
        <v>1915</v>
      </c>
      <c r="X89" s="974"/>
      <c r="Y89" s="9"/>
      <c r="Z89" s="204"/>
      <c r="AA89" s="25"/>
      <c r="AB89" s="25"/>
      <c r="AC89" s="25"/>
      <c r="AD89" s="22"/>
    </row>
    <row r="90" ht="23.25" customHeight="1">
      <c r="A90" s="62"/>
      <c r="B90" s="62"/>
      <c r="C90" s="62"/>
      <c r="D90" s="62"/>
      <c r="E90" s="62"/>
      <c r="F90" s="423"/>
      <c r="G90" s="63" t="s">
        <v>35</v>
      </c>
      <c r="H90" s="64">
        <v>4.0</v>
      </c>
      <c r="I90" s="975">
        <v>220000.0</v>
      </c>
      <c r="J90" s="48">
        <f t="shared" si="16"/>
        <v>880000</v>
      </c>
      <c r="K90" s="62"/>
      <c r="L90" s="62"/>
      <c r="M90" s="62"/>
      <c r="N90" s="62"/>
      <c r="O90" s="62"/>
      <c r="P90" s="62"/>
      <c r="Q90" s="62"/>
      <c r="R90" s="62"/>
      <c r="S90" s="62"/>
      <c r="T90" s="62"/>
      <c r="U90" s="62"/>
      <c r="V90" s="62"/>
      <c r="W90" s="62"/>
      <c r="X90" s="62"/>
      <c r="Y90" s="9"/>
      <c r="Z90" s="204"/>
      <c r="AA90" s="25"/>
      <c r="AB90" s="25"/>
      <c r="AC90" s="25"/>
      <c r="AD90" s="22"/>
    </row>
    <row r="91" ht="23.25" customHeight="1">
      <c r="A91" s="62"/>
      <c r="B91" s="62"/>
      <c r="C91" s="62"/>
      <c r="D91" s="62"/>
      <c r="E91" s="62"/>
      <c r="F91" s="423"/>
      <c r="G91" s="63" t="s">
        <v>30</v>
      </c>
      <c r="H91" s="64">
        <v>2.0</v>
      </c>
      <c r="I91" s="975">
        <v>220000.0</v>
      </c>
      <c r="J91" s="48">
        <f t="shared" si="16"/>
        <v>440000</v>
      </c>
      <c r="K91" s="62"/>
      <c r="L91" s="62"/>
      <c r="M91" s="62"/>
      <c r="N91" s="62"/>
      <c r="O91" s="62"/>
      <c r="P91" s="62"/>
      <c r="Q91" s="62"/>
      <c r="R91" s="62"/>
      <c r="S91" s="62"/>
      <c r="T91" s="62"/>
      <c r="U91" s="62"/>
      <c r="V91" s="62"/>
      <c r="W91" s="62"/>
      <c r="X91" s="62"/>
      <c r="Y91" s="9"/>
      <c r="Z91" s="204"/>
      <c r="AA91" s="25"/>
      <c r="AB91" s="25"/>
      <c r="AC91" s="25"/>
      <c r="AD91" s="22"/>
    </row>
    <row r="92" ht="23.25" customHeight="1">
      <c r="A92" s="62"/>
      <c r="B92" s="62"/>
      <c r="C92" s="62"/>
      <c r="D92" s="62"/>
      <c r="E92" s="62"/>
      <c r="F92" s="423"/>
      <c r="G92" s="63" t="s">
        <v>122</v>
      </c>
      <c r="H92" s="64">
        <v>1.0</v>
      </c>
      <c r="I92" s="975">
        <v>220000.0</v>
      </c>
      <c r="J92" s="48">
        <f t="shared" si="16"/>
        <v>220000</v>
      </c>
      <c r="K92" s="62"/>
      <c r="L92" s="62"/>
      <c r="M92" s="62"/>
      <c r="N92" s="62"/>
      <c r="O92" s="62"/>
      <c r="P92" s="62"/>
      <c r="Q92" s="62"/>
      <c r="R92" s="62"/>
      <c r="S92" s="62"/>
      <c r="T92" s="62"/>
      <c r="U92" s="62"/>
      <c r="V92" s="62"/>
      <c r="W92" s="62"/>
      <c r="X92" s="62"/>
      <c r="Y92" s="9"/>
      <c r="Z92" s="204"/>
      <c r="AA92" s="25"/>
      <c r="AB92" s="25"/>
      <c r="AC92" s="25"/>
      <c r="AD92" s="22"/>
    </row>
    <row r="93" ht="23.25" customHeight="1">
      <c r="A93" s="62"/>
      <c r="B93" s="62"/>
      <c r="C93" s="62"/>
      <c r="D93" s="62"/>
      <c r="E93" s="62"/>
      <c r="F93" s="423"/>
      <c r="G93" s="63" t="s">
        <v>37</v>
      </c>
      <c r="H93" s="64">
        <v>1.0</v>
      </c>
      <c r="I93" s="975">
        <v>220000.0</v>
      </c>
      <c r="J93" s="48">
        <f t="shared" si="16"/>
        <v>220000</v>
      </c>
      <c r="K93" s="62"/>
      <c r="L93" s="62"/>
      <c r="M93" s="62"/>
      <c r="N93" s="62"/>
      <c r="O93" s="62"/>
      <c r="P93" s="62"/>
      <c r="Q93" s="62"/>
      <c r="R93" s="62"/>
      <c r="S93" s="62"/>
      <c r="T93" s="62"/>
      <c r="U93" s="62"/>
      <c r="V93" s="62"/>
      <c r="W93" s="62"/>
      <c r="X93" s="62"/>
      <c r="Y93" s="9"/>
      <c r="Z93" s="204"/>
      <c r="AA93" s="25"/>
      <c r="AB93" s="25"/>
      <c r="AC93" s="25"/>
      <c r="AD93" s="22"/>
    </row>
    <row r="94" ht="23.25" customHeight="1">
      <c r="A94" s="62"/>
      <c r="B94" s="62"/>
      <c r="C94" s="62"/>
      <c r="D94" s="62"/>
      <c r="E94" s="62"/>
      <c r="F94" s="423"/>
      <c r="G94" s="63" t="s">
        <v>165</v>
      </c>
      <c r="H94" s="64">
        <v>1.0</v>
      </c>
      <c r="I94" s="975">
        <v>220000.0</v>
      </c>
      <c r="J94" s="48">
        <f t="shared" si="16"/>
        <v>220000</v>
      </c>
      <c r="K94" s="62"/>
      <c r="L94" s="62"/>
      <c r="M94" s="62"/>
      <c r="N94" s="62"/>
      <c r="O94" s="62"/>
      <c r="P94" s="62"/>
      <c r="Q94" s="62"/>
      <c r="R94" s="62"/>
      <c r="S94" s="62"/>
      <c r="T94" s="62"/>
      <c r="U94" s="62"/>
      <c r="V94" s="62"/>
      <c r="W94" s="62"/>
      <c r="X94" s="62"/>
      <c r="Y94" s="9"/>
      <c r="Z94" s="204"/>
      <c r="AA94" s="25"/>
      <c r="AB94" s="25"/>
      <c r="AC94" s="25"/>
      <c r="AD94" s="22"/>
    </row>
    <row r="95" ht="23.25" customHeight="1">
      <c r="A95" s="62"/>
      <c r="B95" s="62"/>
      <c r="C95" s="62"/>
      <c r="D95" s="62"/>
      <c r="E95" s="62"/>
      <c r="F95" s="423"/>
      <c r="G95" s="63" t="s">
        <v>147</v>
      </c>
      <c r="H95" s="64">
        <v>1.0</v>
      </c>
      <c r="I95" s="975">
        <v>80000.0</v>
      </c>
      <c r="J95" s="48">
        <f t="shared" si="16"/>
        <v>80000</v>
      </c>
      <c r="K95" s="62"/>
      <c r="L95" s="62"/>
      <c r="M95" s="62"/>
      <c r="N95" s="62"/>
      <c r="O95" s="62"/>
      <c r="P95" s="62"/>
      <c r="Q95" s="62"/>
      <c r="R95" s="62"/>
      <c r="S95" s="62"/>
      <c r="T95" s="62"/>
      <c r="U95" s="62"/>
      <c r="V95" s="62"/>
      <c r="W95" s="62"/>
      <c r="X95" s="62"/>
      <c r="Y95" s="9"/>
      <c r="Z95" s="204"/>
      <c r="AA95" s="25"/>
      <c r="AB95" s="25"/>
      <c r="AC95" s="25"/>
      <c r="AD95" s="22"/>
    </row>
    <row r="96" ht="23.25" customHeight="1">
      <c r="A96" s="62"/>
      <c r="B96" s="62"/>
      <c r="C96" s="62"/>
      <c r="D96" s="62"/>
      <c r="E96" s="62"/>
      <c r="F96" s="423"/>
      <c r="G96" s="72" t="s">
        <v>61</v>
      </c>
      <c r="H96" s="73">
        <v>4.0</v>
      </c>
      <c r="I96" s="979">
        <v>90000.0</v>
      </c>
      <c r="J96" s="75">
        <f t="shared" si="16"/>
        <v>360000</v>
      </c>
      <c r="K96" s="62"/>
      <c r="L96" s="62"/>
      <c r="M96" s="62"/>
      <c r="N96" s="62"/>
      <c r="O96" s="62"/>
      <c r="P96" s="62"/>
      <c r="Q96" s="62"/>
      <c r="R96" s="62"/>
      <c r="S96" s="62"/>
      <c r="T96" s="62"/>
      <c r="U96" s="62"/>
      <c r="V96" s="62"/>
      <c r="W96" s="62"/>
      <c r="X96" s="62"/>
      <c r="Y96" s="9"/>
      <c r="Z96" s="204"/>
      <c r="AA96" s="25"/>
      <c r="AB96" s="25"/>
      <c r="AC96" s="25"/>
      <c r="AD96" s="22"/>
    </row>
    <row r="97" ht="23.25" customHeight="1">
      <c r="A97" s="62"/>
      <c r="B97" s="62"/>
      <c r="C97" s="62"/>
      <c r="D97" s="62"/>
      <c r="E97" s="62"/>
      <c r="F97" s="423"/>
      <c r="G97" s="72" t="s">
        <v>477</v>
      </c>
      <c r="H97" s="73">
        <v>2.0</v>
      </c>
      <c r="I97" s="979">
        <v>65000.0</v>
      </c>
      <c r="J97" s="75">
        <f t="shared" si="16"/>
        <v>130000</v>
      </c>
      <c r="K97" s="62"/>
      <c r="L97" s="62"/>
      <c r="M97" s="62"/>
      <c r="N97" s="62"/>
      <c r="O97" s="62"/>
      <c r="P97" s="62"/>
      <c r="Q97" s="62"/>
      <c r="R97" s="62"/>
      <c r="S97" s="62"/>
      <c r="T97" s="62"/>
      <c r="U97" s="62"/>
      <c r="V97" s="62"/>
      <c r="W97" s="62"/>
      <c r="X97" s="62"/>
      <c r="Y97" s="9"/>
      <c r="Z97" s="204"/>
      <c r="AA97" s="25"/>
      <c r="AB97" s="25"/>
      <c r="AC97" s="25"/>
      <c r="AD97" s="22"/>
    </row>
    <row r="98" ht="23.25" customHeight="1">
      <c r="A98" s="62"/>
      <c r="B98" s="62"/>
      <c r="C98" s="62"/>
      <c r="D98" s="62"/>
      <c r="E98" s="62"/>
      <c r="F98" s="423"/>
      <c r="G98" s="72" t="s">
        <v>476</v>
      </c>
      <c r="H98" s="73">
        <v>2.0</v>
      </c>
      <c r="I98" s="979">
        <v>55000.0</v>
      </c>
      <c r="J98" s="75">
        <f t="shared" si="16"/>
        <v>110000</v>
      </c>
      <c r="K98" s="62"/>
      <c r="L98" s="62"/>
      <c r="M98" s="62"/>
      <c r="N98" s="62"/>
      <c r="O98" s="62"/>
      <c r="P98" s="62"/>
      <c r="Q98" s="62"/>
      <c r="R98" s="62"/>
      <c r="S98" s="62"/>
      <c r="T98" s="62"/>
      <c r="U98" s="62"/>
      <c r="V98" s="62"/>
      <c r="W98" s="62"/>
      <c r="X98" s="62"/>
      <c r="Y98" s="9"/>
      <c r="Z98" s="204"/>
      <c r="AA98" s="25"/>
      <c r="AB98" s="25"/>
      <c r="AC98" s="25"/>
      <c r="AD98" s="22"/>
    </row>
    <row r="99" ht="23.25" customHeight="1">
      <c r="A99" s="67"/>
      <c r="B99" s="67"/>
      <c r="C99" s="67"/>
      <c r="D99" s="67"/>
      <c r="E99" s="67"/>
      <c r="F99" s="102"/>
      <c r="G99" s="72" t="s">
        <v>478</v>
      </c>
      <c r="H99" s="73">
        <v>2.0</v>
      </c>
      <c r="I99" s="979">
        <v>80000.0</v>
      </c>
      <c r="J99" s="75">
        <f t="shared" si="16"/>
        <v>160000</v>
      </c>
      <c r="K99" s="67"/>
      <c r="L99" s="67"/>
      <c r="M99" s="67"/>
      <c r="N99" s="67"/>
      <c r="O99" s="67"/>
      <c r="P99" s="67"/>
      <c r="Q99" s="67"/>
      <c r="R99" s="67"/>
      <c r="S99" s="67"/>
      <c r="T99" s="67"/>
      <c r="U99" s="67"/>
      <c r="V99" s="67"/>
      <c r="W99" s="67"/>
      <c r="X99" s="67"/>
      <c r="Y99" s="9"/>
      <c r="Z99" s="204"/>
      <c r="AA99" s="25"/>
      <c r="AB99" s="25"/>
      <c r="AC99" s="25"/>
      <c r="AD99" s="22"/>
    </row>
    <row r="100" ht="23.25" customHeight="1">
      <c r="A100" s="111">
        <v>45.0</v>
      </c>
      <c r="B100" s="112">
        <v>45098.0</v>
      </c>
      <c r="C100" s="111">
        <v>1.718209676664E12</v>
      </c>
      <c r="D100" s="142" t="s">
        <v>1916</v>
      </c>
      <c r="E100" s="143" t="s">
        <v>1917</v>
      </c>
      <c r="F100" s="98" t="s">
        <v>1918</v>
      </c>
      <c r="G100" s="63" t="s">
        <v>30</v>
      </c>
      <c r="H100" s="64">
        <v>4.0</v>
      </c>
      <c r="I100" s="975">
        <v>220000.0</v>
      </c>
      <c r="J100" s="48">
        <f t="shared" si="16"/>
        <v>880000</v>
      </c>
      <c r="K100" s="49">
        <f>SUM(J100:J101)</f>
        <v>2200000</v>
      </c>
      <c r="L100" s="146"/>
      <c r="M100" s="1143"/>
      <c r="N100" s="52"/>
      <c r="O100" s="53">
        <f>K100+$L$80-N100-M100</f>
        <v>2200000</v>
      </c>
      <c r="P100" s="99" t="s">
        <v>449</v>
      </c>
      <c r="Q100" s="196"/>
      <c r="R100" s="145">
        <v>84999.0</v>
      </c>
      <c r="S100" s="56" t="s">
        <v>32</v>
      </c>
      <c r="T100" s="197"/>
      <c r="U100" s="147"/>
      <c r="V100" s="1162"/>
      <c r="W100" s="1162"/>
      <c r="X100" s="974"/>
      <c r="Y100" s="556"/>
      <c r="Z100" s="579"/>
      <c r="AA100" s="107"/>
      <c r="AB100" s="107"/>
      <c r="AC100" s="107"/>
      <c r="AD100" s="106"/>
    </row>
    <row r="101" ht="23.25" customHeight="1">
      <c r="A101" s="67"/>
      <c r="B101" s="67"/>
      <c r="C101" s="67"/>
      <c r="D101" s="67"/>
      <c r="E101" s="67"/>
      <c r="F101" s="102"/>
      <c r="G101" s="63" t="s">
        <v>290</v>
      </c>
      <c r="H101" s="64">
        <v>6.0</v>
      </c>
      <c r="I101" s="975">
        <v>220000.0</v>
      </c>
      <c r="J101" s="48">
        <f t="shared" si="16"/>
        <v>1320000</v>
      </c>
      <c r="K101" s="67"/>
      <c r="L101" s="67"/>
      <c r="M101" s="67"/>
      <c r="N101" s="67"/>
      <c r="O101" s="67"/>
      <c r="P101" s="67"/>
      <c r="Q101" s="67"/>
      <c r="R101" s="67"/>
      <c r="S101" s="67"/>
      <c r="T101" s="67"/>
      <c r="U101" s="67"/>
      <c r="V101" s="67"/>
      <c r="W101" s="67"/>
      <c r="X101" s="67"/>
      <c r="Y101" s="556"/>
      <c r="Z101" s="579"/>
      <c r="AA101" s="107"/>
      <c r="AB101" s="107"/>
      <c r="AC101" s="107"/>
      <c r="AD101" s="106"/>
    </row>
    <row r="102" ht="23.25" customHeight="1">
      <c r="A102" s="93">
        <v>46.0</v>
      </c>
      <c r="B102" s="103">
        <v>45099.0</v>
      </c>
      <c r="C102" s="93">
        <v>5357.0</v>
      </c>
      <c r="D102" s="92" t="s">
        <v>50</v>
      </c>
      <c r="E102" s="105" t="s">
        <v>1494</v>
      </c>
      <c r="F102" s="763" t="s">
        <v>281</v>
      </c>
      <c r="G102" s="63" t="s">
        <v>30</v>
      </c>
      <c r="H102" s="64">
        <v>1.0</v>
      </c>
      <c r="I102" s="975">
        <v>220000.0</v>
      </c>
      <c r="J102" s="48">
        <f t="shared" si="16"/>
        <v>220000</v>
      </c>
      <c r="K102" s="76">
        <f t="shared" ref="K102:K103" si="19">sum(J102)</f>
        <v>220000</v>
      </c>
      <c r="L102" s="65"/>
      <c r="M102" s="1155">
        <f t="shared" ref="M102:M103" si="20">K102*3%</f>
        <v>6600</v>
      </c>
      <c r="N102" s="79"/>
      <c r="O102" s="80">
        <f>K102+L102-M102-N102</f>
        <v>213400</v>
      </c>
      <c r="P102" s="176"/>
      <c r="Q102" s="176"/>
      <c r="R102" s="109"/>
      <c r="S102" s="91"/>
      <c r="T102" s="183"/>
      <c r="U102" s="122"/>
      <c r="V102" s="1002"/>
      <c r="W102" s="92" t="s">
        <v>1890</v>
      </c>
      <c r="X102" s="687"/>
      <c r="Y102" s="9"/>
      <c r="Z102" s="204"/>
      <c r="AA102" s="25"/>
      <c r="AB102" s="25"/>
      <c r="AC102" s="25"/>
      <c r="AD102" s="22"/>
    </row>
    <row r="103" ht="23.25" customHeight="1">
      <c r="A103" s="93">
        <v>47.0</v>
      </c>
      <c r="B103" s="103">
        <v>45099.0</v>
      </c>
      <c r="C103" s="93">
        <v>4855.0</v>
      </c>
      <c r="D103" s="92" t="s">
        <v>50</v>
      </c>
      <c r="E103" s="105" t="s">
        <v>1919</v>
      </c>
      <c r="F103" s="763" t="s">
        <v>545</v>
      </c>
      <c r="G103" s="63" t="s">
        <v>30</v>
      </c>
      <c r="H103" s="64">
        <v>1.0</v>
      </c>
      <c r="I103" s="975">
        <v>220000.0</v>
      </c>
      <c r="J103" s="48">
        <f t="shared" si="16"/>
        <v>220000</v>
      </c>
      <c r="K103" s="76">
        <f t="shared" si="19"/>
        <v>220000</v>
      </c>
      <c r="L103" s="65"/>
      <c r="M103" s="1155">
        <f t="shared" si="20"/>
        <v>6600</v>
      </c>
      <c r="N103" s="79"/>
      <c r="O103" s="80">
        <f>K103+L103-$M$103-N103</f>
        <v>213400</v>
      </c>
      <c r="P103" s="176"/>
      <c r="Q103" s="176"/>
      <c r="R103" s="109"/>
      <c r="S103" s="91"/>
      <c r="T103" s="183"/>
      <c r="U103" s="122"/>
      <c r="V103" s="1002"/>
      <c r="W103" s="92" t="s">
        <v>1890</v>
      </c>
      <c r="X103" s="687"/>
      <c r="Y103" s="9"/>
      <c r="Z103" s="204"/>
      <c r="AA103" s="25"/>
      <c r="AB103" s="25"/>
      <c r="AC103" s="25"/>
      <c r="AD103" s="22"/>
    </row>
    <row r="104" ht="23.25" customHeight="1">
      <c r="A104" s="111">
        <v>48.0</v>
      </c>
      <c r="B104" s="112">
        <v>45099.0</v>
      </c>
      <c r="C104" s="111">
        <v>1.711841492263E12</v>
      </c>
      <c r="D104" s="142" t="s">
        <v>114</v>
      </c>
      <c r="E104" s="143" t="s">
        <v>903</v>
      </c>
      <c r="F104" s="578" t="s">
        <v>1920</v>
      </c>
      <c r="G104" s="63" t="s">
        <v>37</v>
      </c>
      <c r="H104" s="64">
        <v>23.0</v>
      </c>
      <c r="I104" s="975">
        <v>220000.0</v>
      </c>
      <c r="J104" s="48">
        <f t="shared" si="16"/>
        <v>5060000</v>
      </c>
      <c r="K104" s="49">
        <f>SUM(J104:J107)</f>
        <v>8660000</v>
      </c>
      <c r="L104" s="146"/>
      <c r="M104" s="1143"/>
      <c r="N104" s="52"/>
      <c r="O104" s="53">
        <f>K104+L104-M104-N104</f>
        <v>8660000</v>
      </c>
      <c r="P104" s="99" t="s">
        <v>449</v>
      </c>
      <c r="Q104" s="99" t="s">
        <v>31</v>
      </c>
      <c r="R104" s="145">
        <v>159115.0</v>
      </c>
      <c r="S104" s="56" t="s">
        <v>32</v>
      </c>
      <c r="T104" s="57" t="s">
        <v>33</v>
      </c>
      <c r="U104" s="142" t="s">
        <v>35</v>
      </c>
      <c r="V104" s="142">
        <v>2.0</v>
      </c>
      <c r="W104" s="142" t="s">
        <v>1921</v>
      </c>
      <c r="X104" s="974"/>
      <c r="Y104" s="106"/>
      <c r="Z104" s="427"/>
      <c r="AA104" s="107"/>
      <c r="AB104" s="107"/>
      <c r="AC104" s="107"/>
      <c r="AD104" s="106"/>
    </row>
    <row r="105" ht="23.25" customHeight="1">
      <c r="A105" s="62"/>
      <c r="B105" s="62"/>
      <c r="C105" s="62"/>
      <c r="D105" s="62"/>
      <c r="E105" s="62"/>
      <c r="F105" s="423"/>
      <c r="G105" s="63" t="s">
        <v>147</v>
      </c>
      <c r="H105" s="64">
        <v>23.0</v>
      </c>
      <c r="I105" s="975">
        <v>80000.0</v>
      </c>
      <c r="J105" s="48">
        <f t="shared" si="16"/>
        <v>1840000</v>
      </c>
      <c r="K105" s="62"/>
      <c r="L105" s="62"/>
      <c r="M105" s="62"/>
      <c r="N105" s="62"/>
      <c r="O105" s="62"/>
      <c r="P105" s="62"/>
      <c r="Q105" s="62"/>
      <c r="R105" s="62"/>
      <c r="S105" s="62"/>
      <c r="T105" s="62"/>
      <c r="U105" s="62"/>
      <c r="V105" s="62"/>
      <c r="W105" s="62"/>
      <c r="X105" s="62"/>
      <c r="Y105" s="106"/>
      <c r="Z105" s="427"/>
      <c r="AA105" s="107"/>
      <c r="AB105" s="107"/>
      <c r="AC105" s="107"/>
      <c r="AD105" s="106"/>
    </row>
    <row r="106" ht="23.25" customHeight="1">
      <c r="A106" s="62"/>
      <c r="B106" s="62"/>
      <c r="C106" s="62"/>
      <c r="D106" s="62"/>
      <c r="E106" s="62"/>
      <c r="F106" s="423"/>
      <c r="G106" s="63" t="s">
        <v>30</v>
      </c>
      <c r="H106" s="64">
        <v>3.0</v>
      </c>
      <c r="I106" s="975">
        <v>220000.0</v>
      </c>
      <c r="J106" s="48">
        <f t="shared" si="16"/>
        <v>660000</v>
      </c>
      <c r="K106" s="62"/>
      <c r="L106" s="62"/>
      <c r="M106" s="62"/>
      <c r="N106" s="62"/>
      <c r="O106" s="62"/>
      <c r="P106" s="62"/>
      <c r="Q106" s="62"/>
      <c r="R106" s="62"/>
      <c r="S106" s="62"/>
      <c r="T106" s="62"/>
      <c r="U106" s="62"/>
      <c r="V106" s="62"/>
      <c r="W106" s="62"/>
      <c r="X106" s="62"/>
      <c r="Y106" s="106"/>
      <c r="Z106" s="427"/>
      <c r="AA106" s="107"/>
      <c r="AB106" s="107"/>
      <c r="AC106" s="107"/>
      <c r="AD106" s="106"/>
    </row>
    <row r="107" ht="23.25" customHeight="1">
      <c r="A107" s="67"/>
      <c r="B107" s="67"/>
      <c r="C107" s="67"/>
      <c r="D107" s="67"/>
      <c r="E107" s="67"/>
      <c r="F107" s="102"/>
      <c r="G107" s="63" t="s">
        <v>35</v>
      </c>
      <c r="H107" s="64">
        <v>5.0</v>
      </c>
      <c r="I107" s="975">
        <v>220000.0</v>
      </c>
      <c r="J107" s="48">
        <f t="shared" si="16"/>
        <v>1100000</v>
      </c>
      <c r="K107" s="67"/>
      <c r="L107" s="67"/>
      <c r="M107" s="67"/>
      <c r="N107" s="67"/>
      <c r="O107" s="67"/>
      <c r="P107" s="67"/>
      <c r="Q107" s="67"/>
      <c r="R107" s="67"/>
      <c r="S107" s="67"/>
      <c r="T107" s="67"/>
      <c r="U107" s="67"/>
      <c r="V107" s="67"/>
      <c r="W107" s="67"/>
      <c r="X107" s="67"/>
      <c r="Y107" s="106"/>
      <c r="Z107" s="427"/>
      <c r="AA107" s="107"/>
      <c r="AB107" s="107"/>
      <c r="AC107" s="107"/>
      <c r="AD107" s="106"/>
    </row>
    <row r="108" ht="23.25" customHeight="1">
      <c r="A108" s="111">
        <v>49.0</v>
      </c>
      <c r="B108" s="112">
        <v>45100.0</v>
      </c>
      <c r="C108" s="111">
        <v>1.69513226454E12</v>
      </c>
      <c r="D108" s="142" t="s">
        <v>357</v>
      </c>
      <c r="E108" s="143" t="s">
        <v>358</v>
      </c>
      <c r="F108" s="98" t="s">
        <v>853</v>
      </c>
      <c r="G108" s="63" t="s">
        <v>1922</v>
      </c>
      <c r="H108" s="39"/>
      <c r="I108" s="1163"/>
      <c r="J108" s="450"/>
      <c r="K108" s="49"/>
      <c r="L108" s="146"/>
      <c r="M108" s="1143"/>
      <c r="N108" s="52"/>
      <c r="O108" s="53">
        <f>K112+L112-M112-N112</f>
        <v>0</v>
      </c>
      <c r="P108" s="196"/>
      <c r="Q108" s="196"/>
      <c r="R108" s="145">
        <v>50759.0</v>
      </c>
      <c r="S108" s="56" t="s">
        <v>32</v>
      </c>
      <c r="T108" s="197"/>
      <c r="U108" s="147"/>
      <c r="V108" s="1009"/>
      <c r="W108" s="142" t="s">
        <v>1923</v>
      </c>
      <c r="X108" s="974"/>
      <c r="Y108" s="9"/>
      <c r="Z108" s="204"/>
      <c r="AA108" s="25"/>
      <c r="AB108" s="25"/>
      <c r="AC108" s="25"/>
      <c r="AD108" s="22"/>
    </row>
    <row r="109" ht="23.25" customHeight="1">
      <c r="A109" s="62"/>
      <c r="B109" s="62"/>
      <c r="C109" s="62"/>
      <c r="D109" s="62"/>
      <c r="E109" s="62"/>
      <c r="F109" s="423"/>
      <c r="G109" s="63" t="s">
        <v>75</v>
      </c>
      <c r="H109" s="62"/>
      <c r="I109" s="818"/>
      <c r="J109" s="452"/>
      <c r="K109" s="62"/>
      <c r="L109" s="62"/>
      <c r="M109" s="62"/>
      <c r="N109" s="62"/>
      <c r="O109" s="62"/>
      <c r="P109" s="62"/>
      <c r="Q109" s="62"/>
      <c r="R109" s="62"/>
      <c r="S109" s="62"/>
      <c r="T109" s="62"/>
      <c r="U109" s="62"/>
      <c r="V109" s="62"/>
      <c r="W109" s="62"/>
      <c r="X109" s="62"/>
      <c r="Y109" s="9"/>
      <c r="Z109" s="204"/>
      <c r="AA109" s="25"/>
      <c r="AB109" s="25"/>
      <c r="AC109" s="25"/>
      <c r="AD109" s="22"/>
    </row>
    <row r="110" ht="23.25" customHeight="1">
      <c r="A110" s="62"/>
      <c r="B110" s="62"/>
      <c r="C110" s="62"/>
      <c r="D110" s="62"/>
      <c r="E110" s="62"/>
      <c r="F110" s="423"/>
      <c r="G110" s="63" t="s">
        <v>1752</v>
      </c>
      <c r="H110" s="62"/>
      <c r="I110" s="818"/>
      <c r="J110" s="452"/>
      <c r="K110" s="62"/>
      <c r="L110" s="62"/>
      <c r="M110" s="62"/>
      <c r="N110" s="62"/>
      <c r="O110" s="62"/>
      <c r="P110" s="62"/>
      <c r="Q110" s="62"/>
      <c r="R110" s="62"/>
      <c r="S110" s="62"/>
      <c r="T110" s="62"/>
      <c r="U110" s="62"/>
      <c r="V110" s="62"/>
      <c r="W110" s="62"/>
      <c r="X110" s="62"/>
      <c r="Y110" s="9"/>
      <c r="Z110" s="204"/>
      <c r="AA110" s="25"/>
      <c r="AB110" s="25"/>
      <c r="AC110" s="25"/>
      <c r="AD110" s="22"/>
    </row>
    <row r="111" ht="23.25" customHeight="1">
      <c r="A111" s="62"/>
      <c r="B111" s="62"/>
      <c r="C111" s="62"/>
      <c r="D111" s="62"/>
      <c r="E111" s="62"/>
      <c r="F111" s="423"/>
      <c r="G111" s="63" t="s">
        <v>35</v>
      </c>
      <c r="H111" s="62"/>
      <c r="I111" s="818"/>
      <c r="J111" s="452"/>
      <c r="K111" s="62"/>
      <c r="L111" s="62"/>
      <c r="M111" s="62"/>
      <c r="N111" s="62"/>
      <c r="O111" s="62"/>
      <c r="P111" s="62"/>
      <c r="Q111" s="62"/>
      <c r="R111" s="62"/>
      <c r="S111" s="62"/>
      <c r="T111" s="62"/>
      <c r="U111" s="62"/>
      <c r="V111" s="62"/>
      <c r="W111" s="62"/>
      <c r="X111" s="62"/>
      <c r="Y111" s="9"/>
      <c r="Z111" s="204"/>
      <c r="AA111" s="25"/>
      <c r="AB111" s="25"/>
      <c r="AC111" s="25"/>
      <c r="AD111" s="22"/>
    </row>
    <row r="112" ht="23.25" customHeight="1">
      <c r="A112" s="67"/>
      <c r="B112" s="67"/>
      <c r="C112" s="67"/>
      <c r="D112" s="67"/>
      <c r="E112" s="67"/>
      <c r="F112" s="102"/>
      <c r="G112" s="63" t="s">
        <v>47</v>
      </c>
      <c r="H112" s="67"/>
      <c r="I112" s="819"/>
      <c r="J112" s="453"/>
      <c r="K112" s="67"/>
      <c r="L112" s="67"/>
      <c r="M112" s="67"/>
      <c r="N112" s="67"/>
      <c r="O112" s="67"/>
      <c r="P112" s="67"/>
      <c r="Q112" s="67"/>
      <c r="R112" s="67"/>
      <c r="S112" s="67"/>
      <c r="T112" s="67"/>
      <c r="U112" s="67"/>
      <c r="V112" s="67"/>
      <c r="W112" s="67"/>
      <c r="X112" s="67"/>
      <c r="Y112" s="9"/>
      <c r="Z112" s="204"/>
      <c r="AA112" s="25"/>
      <c r="AB112" s="25"/>
      <c r="AC112" s="25"/>
      <c r="AD112" s="22"/>
    </row>
    <row r="113" ht="23.25" customHeight="1">
      <c r="A113" s="93">
        <v>50.0</v>
      </c>
      <c r="B113" s="103">
        <v>45101.0</v>
      </c>
      <c r="C113" s="93">
        <v>1.710910179214E12</v>
      </c>
      <c r="D113" s="92" t="s">
        <v>1916</v>
      </c>
      <c r="E113" s="105" t="s">
        <v>1917</v>
      </c>
      <c r="F113" s="1164" t="s">
        <v>1918</v>
      </c>
      <c r="G113" s="63" t="s">
        <v>165</v>
      </c>
      <c r="H113" s="64">
        <v>5.0</v>
      </c>
      <c r="I113" s="975">
        <v>220000.0</v>
      </c>
      <c r="J113" s="48">
        <f t="shared" ref="J113:J120" si="21">I113*H113</f>
        <v>1100000</v>
      </c>
      <c r="K113" s="76">
        <f>SUM(J113)</f>
        <v>1100000</v>
      </c>
      <c r="L113" s="65"/>
      <c r="M113" s="1155"/>
      <c r="N113" s="79"/>
      <c r="O113" s="80">
        <f t="shared" ref="O113:O114" si="22">K113+L113-M113-N113</f>
        <v>1100000</v>
      </c>
      <c r="P113" s="176"/>
      <c r="Q113" s="176"/>
      <c r="R113" s="108">
        <v>57999.0</v>
      </c>
      <c r="S113" s="83" t="s">
        <v>32</v>
      </c>
      <c r="T113" s="183"/>
      <c r="U113" s="122"/>
      <c r="V113" s="1002"/>
      <c r="W113" s="1002"/>
      <c r="X113" s="687"/>
      <c r="Y113" s="9"/>
      <c r="Z113" s="204"/>
      <c r="AA113" s="25"/>
      <c r="AB113" s="25"/>
      <c r="AC113" s="25"/>
      <c r="AD113" s="22"/>
    </row>
    <row r="114" ht="23.25" customHeight="1">
      <c r="A114" s="111">
        <v>51.0</v>
      </c>
      <c r="B114" s="112">
        <v>45101.0</v>
      </c>
      <c r="C114" s="111">
        <v>1.711692809347E12</v>
      </c>
      <c r="D114" s="142" t="s">
        <v>206</v>
      </c>
      <c r="E114" s="143" t="s">
        <v>207</v>
      </c>
      <c r="F114" s="1165" t="s">
        <v>1705</v>
      </c>
      <c r="G114" s="63" t="s">
        <v>30</v>
      </c>
      <c r="H114" s="64">
        <v>10.0</v>
      </c>
      <c r="I114" s="975">
        <v>220000.0</v>
      </c>
      <c r="J114" s="48">
        <f t="shared" si="21"/>
        <v>2200000</v>
      </c>
      <c r="K114" s="49">
        <f>SUM(J114:J115)</f>
        <v>2600000</v>
      </c>
      <c r="L114" s="146"/>
      <c r="M114" s="1143"/>
      <c r="N114" s="52"/>
      <c r="O114" s="53">
        <f t="shared" si="22"/>
        <v>2600000</v>
      </c>
      <c r="P114" s="196"/>
      <c r="Q114" s="196"/>
      <c r="R114" s="145">
        <v>92000.0</v>
      </c>
      <c r="S114" s="56" t="s">
        <v>32</v>
      </c>
      <c r="T114" s="197"/>
      <c r="U114" s="147"/>
      <c r="V114" s="1009"/>
      <c r="W114" s="1009"/>
      <c r="X114" s="974"/>
      <c r="Y114" s="9"/>
      <c r="Z114" s="204"/>
      <c r="AA114" s="25"/>
      <c r="AB114" s="25"/>
      <c r="AC114" s="25"/>
      <c r="AD114" s="22"/>
    </row>
    <row r="115" ht="23.25" customHeight="1">
      <c r="A115" s="67"/>
      <c r="B115" s="67"/>
      <c r="C115" s="67"/>
      <c r="D115" s="67"/>
      <c r="E115" s="67"/>
      <c r="F115" s="67"/>
      <c r="G115" s="63" t="s">
        <v>147</v>
      </c>
      <c r="H115" s="64">
        <v>5.0</v>
      </c>
      <c r="I115" s="975">
        <v>80000.0</v>
      </c>
      <c r="J115" s="48">
        <f t="shared" si="21"/>
        <v>400000</v>
      </c>
      <c r="K115" s="67"/>
      <c r="L115" s="67"/>
      <c r="M115" s="67"/>
      <c r="N115" s="67"/>
      <c r="O115" s="67"/>
      <c r="P115" s="67"/>
      <c r="Q115" s="67"/>
      <c r="R115" s="67"/>
      <c r="S115" s="67"/>
      <c r="T115" s="67"/>
      <c r="U115" s="67"/>
      <c r="V115" s="67"/>
      <c r="W115" s="67"/>
      <c r="X115" s="67"/>
      <c r="Y115" s="9"/>
      <c r="Z115" s="204"/>
      <c r="AA115" s="25"/>
      <c r="AB115" s="25"/>
      <c r="AC115" s="25"/>
      <c r="AD115" s="22"/>
    </row>
    <row r="116" ht="23.25" customHeight="1">
      <c r="A116" s="111">
        <v>52.0</v>
      </c>
      <c r="B116" s="112">
        <v>45101.0</v>
      </c>
      <c r="C116" s="769">
        <v>1.711094316821E12</v>
      </c>
      <c r="D116" s="142" t="s">
        <v>1924</v>
      </c>
      <c r="E116" s="143" t="s">
        <v>1925</v>
      </c>
      <c r="F116" s="1165" t="s">
        <v>1926</v>
      </c>
      <c r="G116" s="63" t="s">
        <v>30</v>
      </c>
      <c r="H116" s="64">
        <v>1.0</v>
      </c>
      <c r="I116" s="975">
        <v>220000.0</v>
      </c>
      <c r="J116" s="48">
        <f t="shared" si="21"/>
        <v>220000</v>
      </c>
      <c r="K116" s="49">
        <f>SUM(J116:J118)</f>
        <v>660000</v>
      </c>
      <c r="L116" s="146"/>
      <c r="M116" s="1143"/>
      <c r="N116" s="52"/>
      <c r="O116" s="53">
        <f>K116+L116-M116-N116</f>
        <v>660000</v>
      </c>
      <c r="P116" s="196"/>
      <c r="Q116" s="196"/>
      <c r="R116" s="145">
        <v>49000.0</v>
      </c>
      <c r="S116" s="56" t="s">
        <v>32</v>
      </c>
      <c r="T116" s="197"/>
      <c r="U116" s="147"/>
      <c r="V116" s="1009"/>
      <c r="W116" s="1009"/>
      <c r="X116" s="942">
        <v>1.0</v>
      </c>
      <c r="Y116" s="9"/>
      <c r="Z116" s="204"/>
      <c r="AA116" s="25"/>
      <c r="AB116" s="25"/>
      <c r="AC116" s="25"/>
      <c r="AD116" s="22"/>
    </row>
    <row r="117" ht="23.25" customHeight="1">
      <c r="A117" s="62"/>
      <c r="B117" s="62"/>
      <c r="C117" s="423"/>
      <c r="D117" s="62"/>
      <c r="E117" s="62"/>
      <c r="F117" s="62"/>
      <c r="G117" s="63" t="s">
        <v>122</v>
      </c>
      <c r="H117" s="64">
        <v>1.0</v>
      </c>
      <c r="I117" s="975">
        <v>220000.0</v>
      </c>
      <c r="J117" s="48">
        <f t="shared" si="21"/>
        <v>220000</v>
      </c>
      <c r="K117" s="62"/>
      <c r="L117" s="62"/>
      <c r="M117" s="62"/>
      <c r="N117" s="62"/>
      <c r="O117" s="62"/>
      <c r="P117" s="62"/>
      <c r="Q117" s="62"/>
      <c r="R117" s="62"/>
      <c r="S117" s="62"/>
      <c r="T117" s="62"/>
      <c r="U117" s="62"/>
      <c r="V117" s="62"/>
      <c r="W117" s="62"/>
      <c r="X117" s="62"/>
      <c r="Y117" s="9"/>
      <c r="Z117" s="204"/>
      <c r="AA117" s="25"/>
      <c r="AB117" s="25"/>
      <c r="AC117" s="25"/>
      <c r="AD117" s="22"/>
    </row>
    <row r="118" ht="23.25" customHeight="1">
      <c r="A118" s="67"/>
      <c r="B118" s="67"/>
      <c r="C118" s="102"/>
      <c r="D118" s="67"/>
      <c r="E118" s="67"/>
      <c r="F118" s="67"/>
      <c r="G118" s="63" t="s">
        <v>165</v>
      </c>
      <c r="H118" s="64">
        <v>1.0</v>
      </c>
      <c r="I118" s="975">
        <v>220000.0</v>
      </c>
      <c r="J118" s="48">
        <f t="shared" si="21"/>
        <v>220000</v>
      </c>
      <c r="K118" s="67"/>
      <c r="L118" s="67"/>
      <c r="M118" s="67"/>
      <c r="N118" s="67"/>
      <c r="O118" s="67"/>
      <c r="P118" s="67"/>
      <c r="Q118" s="67"/>
      <c r="R118" s="67"/>
      <c r="S118" s="67"/>
      <c r="T118" s="67"/>
      <c r="U118" s="67"/>
      <c r="V118" s="67"/>
      <c r="W118" s="67"/>
      <c r="X118" s="67"/>
      <c r="Y118" s="9"/>
      <c r="Z118" s="204"/>
      <c r="AA118" s="25"/>
      <c r="AB118" s="25"/>
      <c r="AC118" s="25"/>
      <c r="AD118" s="22"/>
    </row>
    <row r="119" ht="23.25" customHeight="1">
      <c r="A119" s="93">
        <v>53.0</v>
      </c>
      <c r="B119" s="103">
        <v>45101.0</v>
      </c>
      <c r="C119" s="893">
        <v>1.715172901872E12</v>
      </c>
      <c r="D119" s="92" t="s">
        <v>44</v>
      </c>
      <c r="E119" s="105" t="s">
        <v>45</v>
      </c>
      <c r="F119" s="92" t="s">
        <v>324</v>
      </c>
      <c r="G119" s="63" t="s">
        <v>47</v>
      </c>
      <c r="H119" s="64">
        <v>5.0</v>
      </c>
      <c r="I119" s="975">
        <v>220000.0</v>
      </c>
      <c r="J119" s="48">
        <f t="shared" si="21"/>
        <v>1100000</v>
      </c>
      <c r="K119" s="76">
        <f t="shared" ref="K119:K121" si="23">SUM(J119)</f>
        <v>1100000</v>
      </c>
      <c r="L119" s="65"/>
      <c r="M119" s="1155"/>
      <c r="N119" s="79"/>
      <c r="O119" s="80">
        <f t="shared" ref="O119:O120" si="24">K119+L119-M119-N119</f>
        <v>1100000</v>
      </c>
      <c r="P119" s="176"/>
      <c r="Q119" s="81" t="s">
        <v>31</v>
      </c>
      <c r="R119" s="108">
        <v>57999.0</v>
      </c>
      <c r="S119" s="83" t="s">
        <v>32</v>
      </c>
      <c r="T119" s="183"/>
      <c r="U119" s="122"/>
      <c r="V119" s="1166"/>
      <c r="W119" s="92" t="s">
        <v>1927</v>
      </c>
      <c r="X119" s="687"/>
      <c r="Y119" s="22"/>
      <c r="Z119" s="465"/>
      <c r="AA119" s="25"/>
      <c r="AB119" s="25"/>
      <c r="AC119" s="25"/>
      <c r="AD119" s="22"/>
    </row>
    <row r="120" ht="23.25" customHeight="1">
      <c r="A120" s="65"/>
      <c r="B120" s="65"/>
      <c r="C120" s="65"/>
      <c r="D120" s="122"/>
      <c r="E120" s="65"/>
      <c r="F120" s="122"/>
      <c r="G120" s="457"/>
      <c r="H120" s="85"/>
      <c r="I120" s="975"/>
      <c r="J120" s="48">
        <f t="shared" si="21"/>
        <v>0</v>
      </c>
      <c r="K120" s="76">
        <f t="shared" si="23"/>
        <v>0</v>
      </c>
      <c r="L120" s="65"/>
      <c r="M120" s="1155"/>
      <c r="N120" s="79"/>
      <c r="O120" s="80">
        <f t="shared" si="24"/>
        <v>0</v>
      </c>
      <c r="P120" s="176"/>
      <c r="Q120" s="176"/>
      <c r="R120" s="109"/>
      <c r="S120" s="91"/>
      <c r="T120" s="183"/>
      <c r="U120" s="122"/>
      <c r="V120" s="1002"/>
      <c r="W120" s="1002"/>
      <c r="X120" s="687"/>
      <c r="Y120" s="9"/>
      <c r="Z120" s="204"/>
      <c r="AA120" s="25"/>
      <c r="AB120" s="25"/>
      <c r="AC120" s="25"/>
      <c r="AD120" s="22"/>
    </row>
    <row r="121" ht="24.75" customHeight="1">
      <c r="A121" s="9"/>
      <c r="B121" s="1167" t="s">
        <v>384</v>
      </c>
      <c r="C121" s="16"/>
      <c r="D121" s="16"/>
      <c r="E121" s="16"/>
      <c r="F121" s="16"/>
      <c r="G121" s="16"/>
      <c r="H121" s="16"/>
      <c r="I121" s="17"/>
      <c r="J121" s="1168">
        <f>SUM(J4:J120)</f>
        <v>55615000</v>
      </c>
      <c r="K121" s="1169">
        <f t="shared" si="23"/>
        <v>55615000</v>
      </c>
      <c r="L121" s="201">
        <f t="shared" ref="L121:N121" si="25">SUM(L4:L120)</f>
        <v>327999</v>
      </c>
      <c r="M121" s="201">
        <f t="shared" si="25"/>
        <v>71500</v>
      </c>
      <c r="N121" s="201">
        <f t="shared" si="25"/>
        <v>147999</v>
      </c>
      <c r="O121" s="80">
        <f>K121+L121-N121-M121</f>
        <v>55723500</v>
      </c>
      <c r="P121" s="201"/>
      <c r="Q121" s="201">
        <f t="shared" ref="Q121:W121" si="26">SUM(Q4:Q120)</f>
        <v>0</v>
      </c>
      <c r="R121" s="201">
        <f t="shared" si="26"/>
        <v>2117750</v>
      </c>
      <c r="S121" s="201">
        <f t="shared" si="26"/>
        <v>0</v>
      </c>
      <c r="T121" s="201">
        <f t="shared" si="26"/>
        <v>0</v>
      </c>
      <c r="U121" s="201">
        <f t="shared" si="26"/>
        <v>0</v>
      </c>
      <c r="V121" s="201">
        <f t="shared" si="26"/>
        <v>3</v>
      </c>
      <c r="W121" s="201">
        <f t="shared" si="26"/>
        <v>0</v>
      </c>
      <c r="X121" s="687"/>
      <c r="Y121" s="9"/>
      <c r="Z121" s="204"/>
      <c r="AA121" s="205"/>
      <c r="AB121" s="205"/>
      <c r="AC121" s="205"/>
      <c r="AD121" s="9"/>
    </row>
    <row r="122" ht="24.75" customHeight="1">
      <c r="A122" s="9"/>
      <c r="B122" s="463" t="s">
        <v>385</v>
      </c>
      <c r="C122" s="16"/>
      <c r="D122" s="16"/>
      <c r="E122" s="16"/>
      <c r="F122" s="16"/>
      <c r="G122" s="16"/>
      <c r="H122" s="16"/>
      <c r="I122" s="17"/>
      <c r="J122" s="207">
        <f>SUMIF(G4:G120, "&lt;&gt;*Omi*", J4:J120)</f>
        <v>960000</v>
      </c>
      <c r="K122" s="208"/>
      <c r="L122" s="208"/>
      <c r="M122" s="210"/>
      <c r="N122" s="210"/>
      <c r="O122" s="211"/>
      <c r="P122" s="210"/>
      <c r="Q122" s="210"/>
      <c r="R122" s="23"/>
      <c r="S122" s="23"/>
      <c r="T122" s="23"/>
      <c r="U122" s="23"/>
      <c r="V122" s="464"/>
      <c r="W122" s="464"/>
      <c r="X122" s="223"/>
      <c r="Y122" s="9"/>
      <c r="Z122" s="204"/>
      <c r="AA122" s="205"/>
      <c r="AB122" s="205"/>
      <c r="AC122" s="205"/>
      <c r="AD122" s="9"/>
    </row>
    <row r="123" ht="24.75" customHeight="1">
      <c r="A123" s="9"/>
      <c r="B123" s="214" t="s">
        <v>386</v>
      </c>
      <c r="C123" s="16"/>
      <c r="D123" s="16"/>
      <c r="E123" s="16"/>
      <c r="F123" s="16"/>
      <c r="G123" s="16"/>
      <c r="H123" s="16"/>
      <c r="I123" s="17"/>
      <c r="J123" s="215">
        <f>J121-J122</f>
        <v>54655000</v>
      </c>
      <c r="K123" s="208"/>
      <c r="L123" s="216"/>
      <c r="M123" s="216"/>
      <c r="N123" s="216"/>
      <c r="O123" s="216"/>
      <c r="P123" s="216"/>
      <c r="Q123" s="23"/>
      <c r="R123" s="23"/>
      <c r="S123" s="23"/>
      <c r="T123" s="23"/>
      <c r="U123" s="23"/>
      <c r="V123" s="464"/>
      <c r="W123" s="464"/>
      <c r="X123" s="223"/>
      <c r="Y123" s="9"/>
      <c r="Z123" s="204"/>
      <c r="AA123" s="205"/>
      <c r="AB123" s="205"/>
      <c r="AC123" s="205"/>
      <c r="AD123" s="9"/>
    </row>
    <row r="124" ht="24.75" customHeight="1">
      <c r="A124" s="9"/>
      <c r="B124" s="217" t="s">
        <v>387</v>
      </c>
      <c r="C124" s="16"/>
      <c r="D124" s="16"/>
      <c r="E124" s="16"/>
      <c r="F124" s="16"/>
      <c r="G124" s="16"/>
      <c r="H124" s="16"/>
      <c r="I124" s="17"/>
      <c r="J124" s="207">
        <f>R121</f>
        <v>2117750</v>
      </c>
      <c r="K124" s="208"/>
      <c r="L124" s="216"/>
      <c r="M124" s="216"/>
      <c r="N124" s="216"/>
      <c r="O124" s="216"/>
      <c r="P124" s="216"/>
      <c r="Q124" s="23"/>
      <c r="R124" s="23"/>
      <c r="S124" s="23"/>
      <c r="T124" s="23"/>
      <c r="U124" s="23"/>
      <c r="V124" s="464"/>
      <c r="W124" s="464"/>
      <c r="X124" s="223"/>
      <c r="Y124" s="218"/>
      <c r="Z124" s="219"/>
      <c r="AA124" s="205"/>
      <c r="AB124" s="205"/>
      <c r="AC124" s="205"/>
      <c r="AD124" s="9"/>
    </row>
    <row r="125" ht="24.75" customHeight="1">
      <c r="A125" s="9"/>
      <c r="B125" s="220" t="s">
        <v>388</v>
      </c>
      <c r="C125" s="16"/>
      <c r="D125" s="16"/>
      <c r="E125" s="16"/>
      <c r="F125" s="16"/>
      <c r="G125" s="16"/>
      <c r="H125" s="16"/>
      <c r="I125" s="17"/>
      <c r="J125" s="221">
        <f>N121+M121</f>
        <v>219499</v>
      </c>
      <c r="K125" s="208"/>
      <c r="L125" s="208"/>
      <c r="M125" s="210"/>
      <c r="N125" s="210"/>
      <c r="O125" s="211"/>
      <c r="P125" s="210"/>
      <c r="Q125" s="210"/>
      <c r="R125" s="23"/>
      <c r="S125" s="23"/>
      <c r="T125" s="210"/>
      <c r="U125" s="210"/>
      <c r="V125" s="466"/>
      <c r="W125" s="466"/>
      <c r="X125" s="210"/>
      <c r="Y125" s="218"/>
      <c r="Z125" s="219"/>
      <c r="AA125" s="205"/>
      <c r="AB125" s="205"/>
      <c r="AC125" s="205"/>
      <c r="AD125" s="9"/>
    </row>
    <row r="126" ht="15.75" customHeight="1">
      <c r="A126" s="9"/>
      <c r="B126" s="9"/>
      <c r="C126" s="9"/>
      <c r="D126" s="9"/>
      <c r="E126" s="223"/>
      <c r="F126" s="222"/>
      <c r="G126" s="223"/>
      <c r="H126" s="224"/>
      <c r="I126" s="225"/>
      <c r="J126" s="399" t="s">
        <v>347</v>
      </c>
      <c r="K126" s="22"/>
      <c r="L126" s="9"/>
      <c r="M126" s="9"/>
      <c r="N126" s="9"/>
      <c r="O126" s="226"/>
      <c r="P126" s="9"/>
      <c r="Q126" s="9"/>
      <c r="R126" s="9"/>
      <c r="S126" s="9"/>
      <c r="T126" s="9"/>
      <c r="U126" s="9"/>
      <c r="V126" s="913"/>
      <c r="W126" s="913"/>
      <c r="X126" s="223"/>
      <c r="Y126" s="9"/>
      <c r="Z126" s="204"/>
      <c r="AA126" s="205"/>
      <c r="AB126" s="205"/>
      <c r="AC126" s="205"/>
      <c r="AD126" s="9"/>
    </row>
    <row r="127" ht="15.75" customHeight="1">
      <c r="A127" s="218"/>
      <c r="B127" s="227"/>
      <c r="C127" s="228"/>
      <c r="D127" s="229"/>
      <c r="E127" s="772"/>
      <c r="F127" s="229"/>
      <c r="G127" s="231"/>
      <c r="H127" s="231"/>
      <c r="I127" s="231"/>
      <c r="J127" s="232"/>
      <c r="K127" s="233"/>
      <c r="L127" s="232"/>
      <c r="M127" s="232"/>
      <c r="N127" s="232"/>
      <c r="O127" s="234"/>
      <c r="P127" s="218"/>
      <c r="Q127" s="218"/>
      <c r="R127" s="218"/>
      <c r="S127" s="218"/>
      <c r="T127" s="218"/>
      <c r="U127" s="218"/>
      <c r="V127" s="601"/>
      <c r="W127" s="601"/>
      <c r="X127" s="235"/>
      <c r="Y127" s="218"/>
      <c r="Z127" s="219"/>
      <c r="AA127" s="205"/>
      <c r="AB127" s="205"/>
      <c r="AC127" s="205"/>
      <c r="AD127" s="9"/>
    </row>
    <row r="128" ht="15.75" customHeight="1">
      <c r="A128" s="218"/>
      <c r="B128" s="236"/>
      <c r="C128" s="16"/>
      <c r="D128" s="17"/>
      <c r="E128" s="237" t="s">
        <v>389</v>
      </c>
      <c r="F128" s="16"/>
      <c r="G128" s="16"/>
      <c r="H128" s="16"/>
      <c r="I128" s="16"/>
      <c r="J128" s="17"/>
      <c r="K128" s="23"/>
      <c r="L128" s="218"/>
      <c r="M128" s="1170"/>
      <c r="N128" s="1171" t="s">
        <v>864</v>
      </c>
      <c r="O128" s="2"/>
      <c r="P128" s="2"/>
      <c r="Q128" s="2"/>
      <c r="R128" s="2"/>
      <c r="S128" s="2"/>
      <c r="T128" s="3"/>
      <c r="U128" s="218"/>
      <c r="V128" s="604"/>
      <c r="W128" s="604"/>
      <c r="X128" s="240"/>
      <c r="Y128" s="218"/>
      <c r="Z128" s="219"/>
      <c r="AA128" s="205"/>
      <c r="AB128" s="205"/>
      <c r="AC128" s="205"/>
      <c r="AD128" s="9"/>
    </row>
    <row r="129" ht="15.75" customHeight="1">
      <c r="A129" s="218"/>
      <c r="B129" s="241" t="s">
        <v>391</v>
      </c>
      <c r="C129" s="242" t="s">
        <v>392</v>
      </c>
      <c r="D129" s="243" t="s">
        <v>393</v>
      </c>
      <c r="E129" s="244" t="s">
        <v>394</v>
      </c>
      <c r="F129" s="245" t="s">
        <v>395</v>
      </c>
      <c r="G129" s="201" t="s">
        <v>396</v>
      </c>
      <c r="H129" s="243" t="s">
        <v>397</v>
      </c>
      <c r="I129" s="246" t="s">
        <v>398</v>
      </c>
      <c r="J129" s="247" t="s">
        <v>399</v>
      </c>
      <c r="K129" s="23"/>
      <c r="L129" s="218"/>
      <c r="M129" s="248"/>
      <c r="N129" s="1172" t="s">
        <v>400</v>
      </c>
      <c r="O129" s="1173" t="s">
        <v>1928</v>
      </c>
      <c r="P129" s="1173" t="s">
        <v>1843</v>
      </c>
      <c r="Q129" s="1174" t="s">
        <v>1929</v>
      </c>
      <c r="R129" s="1174" t="s">
        <v>1844</v>
      </c>
      <c r="S129" s="252" t="s">
        <v>405</v>
      </c>
      <c r="T129" s="253" t="s">
        <v>406</v>
      </c>
      <c r="U129" s="9"/>
      <c r="V129" s="618"/>
      <c r="W129" s="608"/>
      <c r="X129" s="240"/>
      <c r="Y129" s="218"/>
      <c r="Z129" s="219"/>
      <c r="AA129" s="205"/>
      <c r="AB129" s="205"/>
      <c r="AC129" s="205"/>
      <c r="AD129" s="9"/>
    </row>
    <row r="130" ht="15.75" customHeight="1">
      <c r="A130" s="218"/>
      <c r="B130" s="254" t="s">
        <v>407</v>
      </c>
      <c r="C130" s="85" t="s">
        <v>121</v>
      </c>
      <c r="D130" s="255">
        <f t="shared" ref="D130:D168" si="27">SUMIF($G$4:$G$123,C130,$H$4:$H$123)</f>
        <v>41</v>
      </c>
      <c r="E130" s="65"/>
      <c r="F130" s="255"/>
      <c r="G130" s="256">
        <f t="shared" ref="G130:G168" si="28">D130-E130-F130</f>
        <v>41</v>
      </c>
      <c r="H130" s="128">
        <v>220000.0</v>
      </c>
      <c r="I130" s="217">
        <f t="shared" ref="I130:I168" si="29">G130*H130</f>
        <v>9020000</v>
      </c>
      <c r="J130" s="257">
        <f t="shared" ref="J130:J168" si="30">SUMIF($U$4:$U$120,C130,$V$4:$V$120)</f>
        <v>0</v>
      </c>
      <c r="K130" s="23"/>
      <c r="L130" s="218"/>
      <c r="M130" s="1175"/>
      <c r="N130" s="103">
        <v>45072.0</v>
      </c>
      <c r="O130" s="261">
        <f>1760000+660000</f>
        <v>2420000</v>
      </c>
      <c r="P130" s="261"/>
      <c r="Q130" s="1176">
        <f>79498+44000+53999</f>
        <v>177497</v>
      </c>
      <c r="R130" s="1177"/>
      <c r="S130" s="1178">
        <f t="shared" ref="S130:S139" si="31">O130+P130-Q130-R130</f>
        <v>2242503</v>
      </c>
      <c r="T130" s="488"/>
      <c r="U130" s="9"/>
      <c r="V130" s="608"/>
      <c r="W130" s="611"/>
      <c r="X130" s="266"/>
      <c r="Y130" s="218"/>
      <c r="Z130" s="219"/>
      <c r="AA130" s="205"/>
      <c r="AB130" s="205"/>
      <c r="AC130" s="205"/>
      <c r="AD130" s="9"/>
    </row>
    <row r="131" ht="15.75" customHeight="1">
      <c r="A131" s="218"/>
      <c r="B131" s="62"/>
      <c r="C131" s="85" t="s">
        <v>123</v>
      </c>
      <c r="D131" s="255">
        <f t="shared" si="27"/>
        <v>5</v>
      </c>
      <c r="E131" s="65"/>
      <c r="F131" s="255"/>
      <c r="G131" s="256">
        <f t="shared" si="28"/>
        <v>5</v>
      </c>
      <c r="H131" s="128">
        <v>220000.0</v>
      </c>
      <c r="I131" s="217">
        <f t="shared" si="29"/>
        <v>1100000</v>
      </c>
      <c r="J131" s="257">
        <f t="shared" si="30"/>
        <v>0</v>
      </c>
      <c r="K131" s="23"/>
      <c r="L131" s="218"/>
      <c r="M131" s="1175"/>
      <c r="N131" s="103">
        <v>45075.0</v>
      </c>
      <c r="O131" s="261">
        <f>90000+470000</f>
        <v>560000</v>
      </c>
      <c r="P131" s="261"/>
      <c r="Q131" s="487">
        <f>40000+46000</f>
        <v>86000</v>
      </c>
      <c r="R131" s="1177"/>
      <c r="S131" s="1178">
        <f t="shared" si="31"/>
        <v>474000</v>
      </c>
      <c r="T131" s="488"/>
      <c r="U131" s="9"/>
      <c r="V131" s="608"/>
      <c r="W131" s="611"/>
      <c r="X131" s="266"/>
      <c r="Y131" s="218"/>
      <c r="Z131" s="219"/>
      <c r="AA131" s="205"/>
      <c r="AB131" s="205"/>
      <c r="AC131" s="205"/>
      <c r="AD131" s="9"/>
    </row>
    <row r="132" ht="15.75" customHeight="1">
      <c r="A132" s="218"/>
      <c r="B132" s="62"/>
      <c r="C132" s="85" t="s">
        <v>124</v>
      </c>
      <c r="D132" s="255">
        <f t="shared" si="27"/>
        <v>13</v>
      </c>
      <c r="E132" s="65"/>
      <c r="F132" s="255"/>
      <c r="G132" s="256">
        <f t="shared" si="28"/>
        <v>13</v>
      </c>
      <c r="H132" s="128">
        <v>220000.0</v>
      </c>
      <c r="I132" s="217">
        <f t="shared" si="29"/>
        <v>2860000</v>
      </c>
      <c r="J132" s="257">
        <f t="shared" si="30"/>
        <v>0</v>
      </c>
      <c r="K132" s="23"/>
      <c r="L132" s="218"/>
      <c r="M132" s="1175"/>
      <c r="N132" s="103">
        <v>45077.0</v>
      </c>
      <c r="O132" s="261"/>
      <c r="P132" s="261">
        <f>O4+O8</f>
        <v>480000</v>
      </c>
      <c r="Q132" s="487"/>
      <c r="R132" s="1177">
        <f>0</f>
        <v>0</v>
      </c>
      <c r="S132" s="1178">
        <f t="shared" si="31"/>
        <v>480000</v>
      </c>
      <c r="T132" s="488"/>
      <c r="U132" s="9"/>
      <c r="V132" s="608"/>
      <c r="W132" s="611"/>
      <c r="X132" s="266"/>
      <c r="Y132" s="218"/>
      <c r="Z132" s="219"/>
      <c r="AA132" s="205"/>
      <c r="AB132" s="205"/>
      <c r="AC132" s="205"/>
      <c r="AD132" s="9"/>
    </row>
    <row r="133" ht="15.75" customHeight="1">
      <c r="A133" s="218"/>
      <c r="B133" s="62"/>
      <c r="C133" s="129" t="s">
        <v>125</v>
      </c>
      <c r="D133" s="255">
        <f t="shared" si="27"/>
        <v>0</v>
      </c>
      <c r="E133" s="65"/>
      <c r="F133" s="255"/>
      <c r="G133" s="256">
        <f t="shared" si="28"/>
        <v>0</v>
      </c>
      <c r="H133" s="80">
        <v>220000.0</v>
      </c>
      <c r="I133" s="217">
        <f t="shared" si="29"/>
        <v>0</v>
      </c>
      <c r="J133" s="257">
        <f t="shared" si="30"/>
        <v>0</v>
      </c>
      <c r="K133" s="23"/>
      <c r="L133" s="218"/>
      <c r="M133" s="1175"/>
      <c r="N133" s="103">
        <v>45079.0</v>
      </c>
      <c r="O133" s="261"/>
      <c r="P133" s="261">
        <f>O11+O14+O5</f>
        <v>3740000</v>
      </c>
      <c r="Q133" s="487"/>
      <c r="R133" s="1177">
        <f>R14+R11+R5+L17+L8+R9</f>
        <v>315496</v>
      </c>
      <c r="S133" s="1178">
        <f t="shared" si="31"/>
        <v>3424504</v>
      </c>
      <c r="T133" s="488"/>
      <c r="U133" s="9"/>
      <c r="V133" s="608"/>
      <c r="W133" s="611"/>
      <c r="X133" s="266"/>
      <c r="Y133" s="218"/>
      <c r="Z133" s="219"/>
      <c r="AA133" s="205"/>
      <c r="AB133" s="205"/>
      <c r="AC133" s="205"/>
      <c r="AD133" s="9"/>
    </row>
    <row r="134" ht="15.75" customHeight="1">
      <c r="A134" s="218"/>
      <c r="B134" s="62"/>
      <c r="C134" s="129" t="s">
        <v>129</v>
      </c>
      <c r="D134" s="255">
        <f t="shared" si="27"/>
        <v>15</v>
      </c>
      <c r="E134" s="268"/>
      <c r="F134" s="269"/>
      <c r="G134" s="256">
        <f t="shared" si="28"/>
        <v>15</v>
      </c>
      <c r="H134" s="80">
        <v>220000.0</v>
      </c>
      <c r="I134" s="217">
        <f t="shared" si="29"/>
        <v>3300000</v>
      </c>
      <c r="J134" s="257">
        <f t="shared" si="30"/>
        <v>0</v>
      </c>
      <c r="K134" s="23"/>
      <c r="L134" s="218"/>
      <c r="M134" s="1175"/>
      <c r="N134" s="103">
        <v>45082.0</v>
      </c>
      <c r="O134" s="261"/>
      <c r="P134" s="261">
        <f>O17+O9+O19+O21</f>
        <v>2850000</v>
      </c>
      <c r="Q134" s="487"/>
      <c r="R134" s="1177">
        <f>R19+R21</f>
        <v>106999</v>
      </c>
      <c r="S134" s="1178">
        <f t="shared" si="31"/>
        <v>2743001</v>
      </c>
      <c r="T134" s="488"/>
      <c r="U134" s="9"/>
      <c r="V134" s="608"/>
      <c r="W134" s="611"/>
      <c r="X134" s="266"/>
      <c r="Y134" s="218"/>
      <c r="Z134" s="219"/>
      <c r="AA134" s="205"/>
      <c r="AB134" s="205"/>
      <c r="AC134" s="205"/>
      <c r="AD134" s="9"/>
    </row>
    <row r="135" ht="15.75" customHeight="1">
      <c r="A135" s="218"/>
      <c r="B135" s="62"/>
      <c r="C135" s="85" t="s">
        <v>133</v>
      </c>
      <c r="D135" s="255">
        <f t="shared" si="27"/>
        <v>29</v>
      </c>
      <c r="E135" s="65"/>
      <c r="F135" s="269"/>
      <c r="G135" s="256">
        <f t="shared" si="28"/>
        <v>29</v>
      </c>
      <c r="H135" s="128">
        <v>220000.0</v>
      </c>
      <c r="I135" s="217">
        <f t="shared" si="29"/>
        <v>6380000</v>
      </c>
      <c r="J135" s="257">
        <f t="shared" si="30"/>
        <v>2</v>
      </c>
      <c r="K135" s="23"/>
      <c r="L135" s="218"/>
      <c r="M135" s="1175"/>
      <c r="N135" s="103">
        <v>45084.0</v>
      </c>
      <c r="O135" s="261"/>
      <c r="P135" s="261">
        <f>O33+O39</f>
        <v>2020000</v>
      </c>
      <c r="Q135" s="487"/>
      <c r="R135" s="1177">
        <f>R29+R35+L27+R33</f>
        <v>229994</v>
      </c>
      <c r="S135" s="1178">
        <f t="shared" si="31"/>
        <v>1790006</v>
      </c>
      <c r="T135" s="488"/>
      <c r="U135" s="9"/>
      <c r="V135" s="608"/>
      <c r="W135" s="611"/>
      <c r="X135" s="266"/>
      <c r="Y135" s="218"/>
      <c r="Z135" s="219"/>
      <c r="AA135" s="205"/>
      <c r="AB135" s="205"/>
      <c r="AC135" s="205"/>
      <c r="AD135" s="9"/>
    </row>
    <row r="136" ht="15.75" customHeight="1">
      <c r="A136" s="218"/>
      <c r="B136" s="62"/>
      <c r="C136" s="85" t="s">
        <v>135</v>
      </c>
      <c r="D136" s="255">
        <f t="shared" si="27"/>
        <v>1</v>
      </c>
      <c r="E136" s="268"/>
      <c r="F136" s="269"/>
      <c r="G136" s="256">
        <f t="shared" si="28"/>
        <v>1</v>
      </c>
      <c r="H136" s="128">
        <v>220000.0</v>
      </c>
      <c r="I136" s="217">
        <f t="shared" si="29"/>
        <v>220000</v>
      </c>
      <c r="J136" s="257">
        <f t="shared" si="30"/>
        <v>0</v>
      </c>
      <c r="K136" s="23"/>
      <c r="L136" s="218"/>
      <c r="M136" s="1175"/>
      <c r="N136" s="103">
        <v>45086.0</v>
      </c>
      <c r="O136" s="261"/>
      <c r="P136" s="261">
        <f>O29+O42+O53+O55+O35+O27+O37+O52</f>
        <v>7825000</v>
      </c>
      <c r="Q136" s="487"/>
      <c r="R136" s="1177">
        <f>R42+R37+R52+R39</f>
        <v>261996</v>
      </c>
      <c r="S136" s="1178">
        <f t="shared" si="31"/>
        <v>7563004</v>
      </c>
      <c r="T136" s="488"/>
      <c r="U136" s="9"/>
      <c r="V136" s="608"/>
      <c r="W136" s="611"/>
      <c r="X136" s="266"/>
      <c r="Y136" s="218"/>
      <c r="Z136" s="219"/>
      <c r="AA136" s="205"/>
      <c r="AB136" s="205"/>
      <c r="AC136" s="205"/>
      <c r="AD136" s="9"/>
    </row>
    <row r="137" ht="15.75" customHeight="1">
      <c r="A137" s="218"/>
      <c r="B137" s="62"/>
      <c r="C137" s="85" t="s">
        <v>139</v>
      </c>
      <c r="D137" s="255">
        <f t="shared" si="27"/>
        <v>55</v>
      </c>
      <c r="E137" s="65"/>
      <c r="F137" s="269"/>
      <c r="G137" s="256">
        <f t="shared" si="28"/>
        <v>55</v>
      </c>
      <c r="H137" s="128">
        <v>80000.0</v>
      </c>
      <c r="I137" s="217">
        <f t="shared" si="29"/>
        <v>4400000</v>
      </c>
      <c r="J137" s="257">
        <f t="shared" si="30"/>
        <v>0</v>
      </c>
      <c r="K137" s="23"/>
      <c r="L137" s="218"/>
      <c r="M137" s="1175"/>
      <c r="N137" s="103">
        <v>45089.0</v>
      </c>
      <c r="O137" s="261"/>
      <c r="P137" s="261">
        <f>O58+O54</f>
        <v>2860000</v>
      </c>
      <c r="Q137" s="487"/>
      <c r="R137" s="1177">
        <f>R58+R54+L55</f>
        <v>176999</v>
      </c>
      <c r="S137" s="1178">
        <f t="shared" si="31"/>
        <v>2683001</v>
      </c>
      <c r="T137" s="488"/>
      <c r="U137" s="9"/>
      <c r="V137" s="608"/>
      <c r="W137" s="611"/>
      <c r="X137" s="266"/>
      <c r="Y137" s="218"/>
      <c r="Z137" s="219"/>
      <c r="AA137" s="205"/>
      <c r="AB137" s="205"/>
      <c r="AC137" s="205"/>
      <c r="AD137" s="9"/>
    </row>
    <row r="138" ht="15.75" customHeight="1">
      <c r="A138" s="218"/>
      <c r="B138" s="62"/>
      <c r="C138" s="85" t="s">
        <v>142</v>
      </c>
      <c r="D138" s="255">
        <f t="shared" si="27"/>
        <v>5</v>
      </c>
      <c r="E138" s="65"/>
      <c r="F138" s="269"/>
      <c r="G138" s="256">
        <f t="shared" si="28"/>
        <v>5</v>
      </c>
      <c r="H138" s="128">
        <v>220000.0</v>
      </c>
      <c r="I138" s="217">
        <f t="shared" si="29"/>
        <v>1100000</v>
      </c>
      <c r="J138" s="257">
        <f t="shared" si="30"/>
        <v>0</v>
      </c>
      <c r="K138" s="23"/>
      <c r="L138" s="218"/>
      <c r="M138" s="1175"/>
      <c r="N138" s="103">
        <v>45091.0</v>
      </c>
      <c r="O138" s="261"/>
      <c r="P138" s="261">
        <f>O59</f>
        <v>470000</v>
      </c>
      <c r="Q138" s="487"/>
      <c r="R138" s="1177">
        <f>L59</f>
        <v>46000</v>
      </c>
      <c r="S138" s="1178">
        <f t="shared" si="31"/>
        <v>424000</v>
      </c>
      <c r="T138" s="488"/>
      <c r="U138" s="9"/>
      <c r="V138" s="608"/>
      <c r="W138" s="611"/>
      <c r="X138" s="266"/>
      <c r="Y138" s="218"/>
      <c r="Z138" s="219"/>
      <c r="AA138" s="205"/>
      <c r="AB138" s="205"/>
      <c r="AC138" s="205"/>
      <c r="AD138" s="9"/>
    </row>
    <row r="139" ht="15.75" customHeight="1">
      <c r="A139" s="218"/>
      <c r="B139" s="62"/>
      <c r="C139" s="85" t="s">
        <v>145</v>
      </c>
      <c r="D139" s="255">
        <f t="shared" si="27"/>
        <v>66</v>
      </c>
      <c r="E139" s="65"/>
      <c r="F139" s="269"/>
      <c r="G139" s="256">
        <f t="shared" si="28"/>
        <v>66</v>
      </c>
      <c r="H139" s="128">
        <v>220000.0</v>
      </c>
      <c r="I139" s="217">
        <f t="shared" si="29"/>
        <v>14520000</v>
      </c>
      <c r="J139" s="257">
        <f t="shared" si="30"/>
        <v>0</v>
      </c>
      <c r="K139" s="23"/>
      <c r="L139" s="218"/>
      <c r="M139" s="1175"/>
      <c r="N139" s="103">
        <v>45096.0</v>
      </c>
      <c r="O139" s="261"/>
      <c r="P139" s="261">
        <f>O62+O63+O61</f>
        <v>1990000</v>
      </c>
      <c r="Q139" s="487"/>
      <c r="R139" s="1177">
        <f>R61+R63</f>
        <v>100999</v>
      </c>
      <c r="S139" s="1178">
        <f t="shared" si="31"/>
        <v>1889001</v>
      </c>
      <c r="T139" s="488"/>
      <c r="U139" s="9"/>
      <c r="V139" s="608"/>
      <c r="W139" s="611"/>
      <c r="X139" s="266"/>
      <c r="Y139" s="218"/>
      <c r="Z139" s="219"/>
      <c r="AA139" s="205"/>
      <c r="AB139" s="205"/>
      <c r="AC139" s="205"/>
      <c r="AD139" s="9"/>
    </row>
    <row r="140" ht="15.75" customHeight="1">
      <c r="A140" s="218"/>
      <c r="B140" s="62"/>
      <c r="C140" s="85" t="s">
        <v>153</v>
      </c>
      <c r="D140" s="255">
        <f t="shared" si="27"/>
        <v>5</v>
      </c>
      <c r="E140" s="65"/>
      <c r="F140" s="269"/>
      <c r="G140" s="256">
        <f t="shared" si="28"/>
        <v>5</v>
      </c>
      <c r="H140" s="128">
        <v>45000.0</v>
      </c>
      <c r="I140" s="217">
        <f t="shared" si="29"/>
        <v>225000</v>
      </c>
      <c r="J140" s="257">
        <f t="shared" si="30"/>
        <v>1</v>
      </c>
      <c r="K140" s="23"/>
      <c r="L140" s="218"/>
      <c r="M140" s="258"/>
      <c r="N140" s="103">
        <v>45098.0</v>
      </c>
      <c r="O140" s="261"/>
      <c r="P140" s="261"/>
      <c r="Q140" s="487"/>
      <c r="R140" s="1177"/>
      <c r="S140" s="1178">
        <f>3700000</f>
        <v>3700000</v>
      </c>
      <c r="T140" s="483" t="s">
        <v>1930</v>
      </c>
      <c r="U140" s="9"/>
      <c r="V140" s="608"/>
      <c r="W140" s="611"/>
      <c r="X140" s="266"/>
      <c r="Y140" s="218"/>
      <c r="Z140" s="219"/>
      <c r="AA140" s="205"/>
      <c r="AB140" s="205"/>
      <c r="AC140" s="205"/>
      <c r="AD140" s="9"/>
    </row>
    <row r="141" ht="15.75" customHeight="1">
      <c r="A141" s="218"/>
      <c r="B141" s="62"/>
      <c r="C141" s="273" t="s">
        <v>161</v>
      </c>
      <c r="D141" s="255">
        <f t="shared" si="27"/>
        <v>5</v>
      </c>
      <c r="E141" s="65"/>
      <c r="F141" s="269"/>
      <c r="G141" s="256">
        <f t="shared" si="28"/>
        <v>5</v>
      </c>
      <c r="H141" s="274">
        <v>220000.0</v>
      </c>
      <c r="I141" s="217">
        <f t="shared" si="29"/>
        <v>1100000</v>
      </c>
      <c r="J141" s="257">
        <f t="shared" si="30"/>
        <v>0</v>
      </c>
      <c r="K141" s="23"/>
      <c r="L141" s="218"/>
      <c r="M141" s="258"/>
      <c r="N141" s="103">
        <v>45099.0</v>
      </c>
      <c r="O141" s="261"/>
      <c r="P141" s="261"/>
      <c r="Q141" s="487"/>
      <c r="R141" s="1177"/>
      <c r="S141" s="1178">
        <f>8660000</f>
        <v>8660000</v>
      </c>
      <c r="T141" s="483" t="s">
        <v>661</v>
      </c>
      <c r="U141" s="9"/>
      <c r="V141" s="608"/>
      <c r="W141" s="611"/>
      <c r="X141" s="266"/>
      <c r="Y141" s="218"/>
      <c r="Z141" s="219"/>
      <c r="AA141" s="205"/>
      <c r="AB141" s="205"/>
      <c r="AC141" s="205"/>
      <c r="AD141" s="9"/>
    </row>
    <row r="142" ht="15.75" customHeight="1">
      <c r="A142" s="218"/>
      <c r="B142" s="62"/>
      <c r="C142" s="273" t="s">
        <v>488</v>
      </c>
      <c r="D142" s="255">
        <f t="shared" si="27"/>
        <v>1</v>
      </c>
      <c r="E142" s="65"/>
      <c r="F142" s="269"/>
      <c r="G142" s="256">
        <f t="shared" si="28"/>
        <v>1</v>
      </c>
      <c r="H142" s="274">
        <v>45000.0</v>
      </c>
      <c r="I142" s="217">
        <f t="shared" si="29"/>
        <v>45000</v>
      </c>
      <c r="J142" s="257">
        <f t="shared" si="30"/>
        <v>0</v>
      </c>
      <c r="K142" s="23"/>
      <c r="L142" s="218"/>
      <c r="M142" s="258"/>
      <c r="N142" s="103">
        <v>45100.0</v>
      </c>
      <c r="O142" s="261"/>
      <c r="P142" s="261">
        <f>O77+O75+O79</f>
        <v>2020000</v>
      </c>
      <c r="Q142" s="487"/>
      <c r="R142" s="1177">
        <f>R77+L75+L79+R74</f>
        <v>235997</v>
      </c>
      <c r="S142" s="1178">
        <f>O142+P142-Q142-R142</f>
        <v>1784003</v>
      </c>
      <c r="T142" s="488"/>
      <c r="U142" s="9"/>
      <c r="V142" s="608"/>
      <c r="W142" s="611"/>
      <c r="X142" s="266"/>
      <c r="Y142" s="218"/>
      <c r="Z142" s="219"/>
      <c r="AA142" s="205"/>
      <c r="AB142" s="205"/>
      <c r="AC142" s="205"/>
      <c r="AD142" s="9"/>
    </row>
    <row r="143" ht="15.75" customHeight="1">
      <c r="A143" s="218"/>
      <c r="B143" s="62"/>
      <c r="C143" s="273" t="s">
        <v>412</v>
      </c>
      <c r="D143" s="255">
        <f t="shared" si="27"/>
        <v>1</v>
      </c>
      <c r="E143" s="65"/>
      <c r="F143" s="269"/>
      <c r="G143" s="256">
        <f t="shared" si="28"/>
        <v>1</v>
      </c>
      <c r="H143" s="274">
        <v>45000.0</v>
      </c>
      <c r="I143" s="217">
        <f t="shared" si="29"/>
        <v>45000</v>
      </c>
      <c r="J143" s="257">
        <f t="shared" si="30"/>
        <v>0</v>
      </c>
      <c r="K143" s="23"/>
      <c r="L143" s="218"/>
      <c r="M143" s="258"/>
      <c r="N143" s="103">
        <v>45101.0</v>
      </c>
      <c r="O143" s="261"/>
      <c r="P143" s="261"/>
      <c r="Q143" s="487"/>
      <c r="R143" s="1177"/>
      <c r="S143" s="1178">
        <f>1100000</f>
        <v>1100000</v>
      </c>
      <c r="T143" s="483" t="s">
        <v>1512</v>
      </c>
      <c r="U143" s="9"/>
      <c r="V143" s="608"/>
      <c r="W143" s="611"/>
      <c r="X143" s="266"/>
      <c r="Y143" s="218"/>
      <c r="Z143" s="219"/>
      <c r="AA143" s="205"/>
      <c r="AB143" s="205"/>
      <c r="AC143" s="205"/>
      <c r="AD143" s="9"/>
    </row>
    <row r="144" ht="15.75" customHeight="1">
      <c r="A144" s="218"/>
      <c r="B144" s="62"/>
      <c r="C144" s="273" t="s">
        <v>151</v>
      </c>
      <c r="D144" s="255">
        <f t="shared" si="27"/>
        <v>36</v>
      </c>
      <c r="E144" s="65"/>
      <c r="F144" s="269"/>
      <c r="G144" s="256">
        <f t="shared" si="28"/>
        <v>36</v>
      </c>
      <c r="H144" s="274">
        <v>220000.0</v>
      </c>
      <c r="I144" s="217">
        <f t="shared" si="29"/>
        <v>7920000</v>
      </c>
      <c r="J144" s="257">
        <f t="shared" si="30"/>
        <v>0</v>
      </c>
      <c r="K144" s="23"/>
      <c r="L144" s="218"/>
      <c r="M144" s="258"/>
      <c r="N144" s="620"/>
      <c r="O144" s="261"/>
      <c r="P144" s="261"/>
      <c r="Q144" s="487"/>
      <c r="R144" s="1177"/>
      <c r="S144" s="1178">
        <f t="shared" ref="S144:S146" si="32">O144+P144-Q144-R144</f>
        <v>0</v>
      </c>
      <c r="T144" s="488"/>
      <c r="U144" s="9"/>
      <c r="V144" s="608"/>
      <c r="W144" s="611"/>
      <c r="X144" s="266"/>
      <c r="Y144" s="218"/>
      <c r="Z144" s="219"/>
      <c r="AA144" s="205"/>
      <c r="AB144" s="205"/>
      <c r="AC144" s="205"/>
      <c r="AD144" s="9"/>
    </row>
    <row r="145" ht="15.75" customHeight="1">
      <c r="A145" s="218"/>
      <c r="B145" s="62"/>
      <c r="C145" s="65" t="s">
        <v>148</v>
      </c>
      <c r="D145" s="255">
        <f t="shared" si="27"/>
        <v>11</v>
      </c>
      <c r="E145" s="65"/>
      <c r="F145" s="269"/>
      <c r="G145" s="256">
        <f t="shared" si="28"/>
        <v>11</v>
      </c>
      <c r="H145" s="66">
        <v>220000.0</v>
      </c>
      <c r="I145" s="217">
        <f t="shared" si="29"/>
        <v>2420000</v>
      </c>
      <c r="J145" s="257">
        <f t="shared" si="30"/>
        <v>0</v>
      </c>
      <c r="K145" s="23"/>
      <c r="L145" s="218"/>
      <c r="M145" s="258"/>
      <c r="N145" s="620"/>
      <c r="O145" s="261"/>
      <c r="P145" s="261"/>
      <c r="Q145" s="487"/>
      <c r="R145" s="1177"/>
      <c r="S145" s="1178">
        <f t="shared" si="32"/>
        <v>0</v>
      </c>
      <c r="T145" s="488"/>
      <c r="U145" s="9"/>
      <c r="V145" s="608"/>
      <c r="W145" s="611"/>
      <c r="X145" s="266"/>
      <c r="Y145" s="218"/>
      <c r="Z145" s="219"/>
      <c r="AA145" s="205"/>
      <c r="AB145" s="205"/>
      <c r="AC145" s="205"/>
      <c r="AD145" s="9"/>
    </row>
    <row r="146" ht="15.75" customHeight="1">
      <c r="A146" s="218"/>
      <c r="B146" s="254" t="s">
        <v>415</v>
      </c>
      <c r="C146" s="283" t="s">
        <v>34</v>
      </c>
      <c r="D146" s="255">
        <f t="shared" si="27"/>
        <v>3</v>
      </c>
      <c r="E146" s="65"/>
      <c r="F146" s="269"/>
      <c r="G146" s="256">
        <f t="shared" si="28"/>
        <v>3</v>
      </c>
      <c r="H146" s="61">
        <v>65000.0</v>
      </c>
      <c r="I146" s="217">
        <f t="shared" si="29"/>
        <v>195000</v>
      </c>
      <c r="J146" s="257">
        <f t="shared" si="30"/>
        <v>0</v>
      </c>
      <c r="K146" s="23"/>
      <c r="L146" s="218"/>
      <c r="M146" s="258"/>
      <c r="N146" s="620"/>
      <c r="O146" s="261"/>
      <c r="P146" s="261"/>
      <c r="Q146" s="487"/>
      <c r="R146" s="1177"/>
      <c r="S146" s="1178">
        <f t="shared" si="32"/>
        <v>0</v>
      </c>
      <c r="T146" s="488"/>
      <c r="U146" s="617"/>
      <c r="V146" s="618"/>
      <c r="W146" s="616"/>
      <c r="X146" s="266"/>
      <c r="Y146" s="218"/>
      <c r="Z146" s="219"/>
      <c r="AA146" s="205"/>
      <c r="AB146" s="205"/>
      <c r="AC146" s="205"/>
      <c r="AD146" s="9"/>
    </row>
    <row r="147" ht="15.75" customHeight="1">
      <c r="A147" s="218"/>
      <c r="B147" s="62"/>
      <c r="C147" s="285" t="s">
        <v>36</v>
      </c>
      <c r="D147" s="255">
        <f t="shared" si="27"/>
        <v>0</v>
      </c>
      <c r="E147" s="65"/>
      <c r="F147" s="269"/>
      <c r="G147" s="256">
        <f t="shared" si="28"/>
        <v>0</v>
      </c>
      <c r="H147" s="66">
        <v>180000.0</v>
      </c>
      <c r="I147" s="217">
        <f t="shared" si="29"/>
        <v>0</v>
      </c>
      <c r="J147" s="257">
        <f t="shared" si="30"/>
        <v>0</v>
      </c>
      <c r="K147" s="23"/>
      <c r="L147" s="218"/>
      <c r="M147" s="1179"/>
      <c r="N147" s="1180" t="s">
        <v>421</v>
      </c>
      <c r="O147" s="1123">
        <f t="shared" ref="O147:S147" si="33">SUM(O130:O146)</f>
        <v>2980000</v>
      </c>
      <c r="P147" s="1123">
        <f t="shared" si="33"/>
        <v>24255000</v>
      </c>
      <c r="Q147" s="1123">
        <f t="shared" si="33"/>
        <v>263497</v>
      </c>
      <c r="R147" s="1123">
        <f t="shared" si="33"/>
        <v>1474480</v>
      </c>
      <c r="S147" s="1123">
        <f t="shared" si="33"/>
        <v>38957023</v>
      </c>
      <c r="T147" s="1181"/>
      <c r="U147" s="617"/>
      <c r="V147" s="618"/>
      <c r="W147" s="616"/>
      <c r="X147" s="266"/>
      <c r="Y147" s="218"/>
      <c r="Z147" s="219"/>
      <c r="AA147" s="205"/>
      <c r="AB147" s="205"/>
      <c r="AC147" s="205"/>
      <c r="AD147" s="9"/>
    </row>
    <row r="148" ht="15.75" customHeight="1">
      <c r="A148" s="218"/>
      <c r="B148" s="62"/>
      <c r="C148" s="285" t="s">
        <v>38</v>
      </c>
      <c r="D148" s="255">
        <f t="shared" si="27"/>
        <v>0</v>
      </c>
      <c r="E148" s="65"/>
      <c r="F148" s="269"/>
      <c r="G148" s="256">
        <f t="shared" si="28"/>
        <v>0</v>
      </c>
      <c r="H148" s="66">
        <v>160000.0</v>
      </c>
      <c r="I148" s="217">
        <f t="shared" si="29"/>
        <v>0</v>
      </c>
      <c r="J148" s="257">
        <f t="shared" si="30"/>
        <v>0</v>
      </c>
      <c r="K148" s="23"/>
      <c r="L148" s="218"/>
      <c r="M148" s="218"/>
      <c r="N148" s="218"/>
      <c r="O148" s="298"/>
      <c r="P148" s="299"/>
      <c r="Q148" s="299"/>
      <c r="R148" s="299"/>
      <c r="S148" s="299"/>
      <c r="T148" s="299"/>
      <c r="U148" s="617"/>
      <c r="V148" s="618"/>
      <c r="W148" s="616"/>
      <c r="X148" s="266"/>
      <c r="Y148" s="218"/>
      <c r="Z148" s="219"/>
      <c r="AA148" s="205"/>
      <c r="AB148" s="205"/>
      <c r="AC148" s="205"/>
      <c r="AD148" s="9"/>
    </row>
    <row r="149" ht="15.75" customHeight="1">
      <c r="A149" s="218"/>
      <c r="B149" s="62"/>
      <c r="C149" s="285" t="s">
        <v>43</v>
      </c>
      <c r="D149" s="255">
        <f t="shared" si="27"/>
        <v>3</v>
      </c>
      <c r="E149" s="65"/>
      <c r="F149" s="269"/>
      <c r="G149" s="256">
        <f t="shared" si="28"/>
        <v>3</v>
      </c>
      <c r="H149" s="66">
        <v>80000.0</v>
      </c>
      <c r="I149" s="217">
        <f t="shared" si="29"/>
        <v>240000</v>
      </c>
      <c r="J149" s="257">
        <f t="shared" si="30"/>
        <v>0</v>
      </c>
      <c r="K149" s="23"/>
      <c r="L149" s="218"/>
      <c r="M149" s="218"/>
      <c r="N149" s="218"/>
      <c r="O149" s="298"/>
      <c r="P149" s="299"/>
      <c r="Q149" s="299"/>
      <c r="R149" s="299"/>
      <c r="S149" s="299"/>
      <c r="T149" s="299"/>
      <c r="U149" s="617"/>
      <c r="V149" s="618"/>
      <c r="W149" s="616"/>
      <c r="X149" s="266"/>
      <c r="Y149" s="218"/>
      <c r="Z149" s="219"/>
      <c r="AA149" s="205"/>
      <c r="AB149" s="205"/>
      <c r="AC149" s="205"/>
      <c r="AD149" s="9"/>
    </row>
    <row r="150" ht="15.75" customHeight="1">
      <c r="A150" s="218"/>
      <c r="B150" s="62"/>
      <c r="C150" s="285" t="s">
        <v>48</v>
      </c>
      <c r="D150" s="255">
        <f t="shared" si="27"/>
        <v>3</v>
      </c>
      <c r="E150" s="65"/>
      <c r="F150" s="269"/>
      <c r="G150" s="256">
        <f t="shared" si="28"/>
        <v>3</v>
      </c>
      <c r="H150" s="66">
        <v>55000.0</v>
      </c>
      <c r="I150" s="217">
        <f t="shared" si="29"/>
        <v>165000</v>
      </c>
      <c r="J150" s="257">
        <f t="shared" si="30"/>
        <v>0</v>
      </c>
      <c r="K150" s="23"/>
      <c r="L150" s="218"/>
      <c r="M150" s="218"/>
      <c r="N150" s="218"/>
      <c r="O150" s="298"/>
      <c r="P150" s="299"/>
      <c r="Q150" s="299"/>
      <c r="R150" s="299"/>
      <c r="S150" s="299"/>
      <c r="T150" s="299"/>
      <c r="U150" s="617"/>
      <c r="V150" s="618"/>
      <c r="W150" s="616"/>
      <c r="X150" s="266"/>
      <c r="Y150" s="218"/>
      <c r="Z150" s="219"/>
      <c r="AA150" s="205"/>
      <c r="AB150" s="205"/>
      <c r="AC150" s="205"/>
      <c r="AD150" s="9"/>
    </row>
    <row r="151" ht="15.75" customHeight="1">
      <c r="A151" s="218"/>
      <c r="B151" s="62"/>
      <c r="C151" s="285" t="s">
        <v>60</v>
      </c>
      <c r="D151" s="255">
        <f t="shared" si="27"/>
        <v>0</v>
      </c>
      <c r="E151" s="65"/>
      <c r="F151" s="269"/>
      <c r="G151" s="256">
        <f t="shared" si="28"/>
        <v>0</v>
      </c>
      <c r="H151" s="66">
        <v>45000.0</v>
      </c>
      <c r="I151" s="217">
        <f t="shared" si="29"/>
        <v>0</v>
      </c>
      <c r="J151" s="257">
        <f t="shared" si="30"/>
        <v>0</v>
      </c>
      <c r="K151" s="23"/>
      <c r="L151" s="218"/>
      <c r="M151" s="218"/>
      <c r="N151" s="218"/>
      <c r="O151" s="298"/>
      <c r="P151" s="299"/>
      <c r="Q151" s="299"/>
      <c r="R151" s="299"/>
      <c r="S151" s="299"/>
      <c r="T151" s="299"/>
      <c r="U151" s="617"/>
      <c r="V151" s="618"/>
      <c r="W151" s="616"/>
      <c r="X151" s="266"/>
      <c r="Y151" s="218"/>
      <c r="Z151" s="219"/>
      <c r="AA151" s="205"/>
      <c r="AB151" s="205"/>
      <c r="AC151" s="205"/>
      <c r="AD151" s="9"/>
    </row>
    <row r="152" ht="15.75" customHeight="1">
      <c r="A152" s="218"/>
      <c r="B152" s="62"/>
      <c r="C152" s="285" t="s">
        <v>679</v>
      </c>
      <c r="D152" s="255">
        <f t="shared" si="27"/>
        <v>0</v>
      </c>
      <c r="E152" s="65"/>
      <c r="F152" s="269"/>
      <c r="G152" s="256">
        <f t="shared" si="28"/>
        <v>0</v>
      </c>
      <c r="H152" s="66">
        <v>110000.0</v>
      </c>
      <c r="I152" s="217">
        <f t="shared" si="29"/>
        <v>0</v>
      </c>
      <c r="J152" s="257">
        <f t="shared" si="30"/>
        <v>0</v>
      </c>
      <c r="K152" s="23"/>
      <c r="L152" s="218"/>
      <c r="M152" s="218"/>
      <c r="N152" s="218"/>
      <c r="O152" s="298"/>
      <c r="P152" s="299"/>
      <c r="Q152" s="299"/>
      <c r="R152" s="299"/>
      <c r="S152" s="299"/>
      <c r="T152" s="299"/>
      <c r="U152" s="617"/>
      <c r="V152" s="618"/>
      <c r="W152" s="616"/>
      <c r="X152" s="266"/>
      <c r="Y152" s="218"/>
      <c r="Z152" s="219"/>
      <c r="AA152" s="205"/>
      <c r="AB152" s="205"/>
      <c r="AC152" s="205"/>
      <c r="AD152" s="9"/>
    </row>
    <row r="153" ht="15.75" customHeight="1">
      <c r="A153" s="218"/>
      <c r="B153" s="62"/>
      <c r="C153" s="285" t="s">
        <v>66</v>
      </c>
      <c r="D153" s="255">
        <f t="shared" si="27"/>
        <v>0</v>
      </c>
      <c r="E153" s="65"/>
      <c r="F153" s="269"/>
      <c r="G153" s="256">
        <f t="shared" si="28"/>
        <v>0</v>
      </c>
      <c r="H153" s="66">
        <v>205000.0</v>
      </c>
      <c r="I153" s="217">
        <f t="shared" si="29"/>
        <v>0</v>
      </c>
      <c r="J153" s="257">
        <f t="shared" si="30"/>
        <v>0</v>
      </c>
      <c r="K153" s="23"/>
      <c r="L153" s="218"/>
      <c r="M153" s="218"/>
      <c r="N153" s="218"/>
      <c r="O153" s="298"/>
      <c r="P153" s="299"/>
      <c r="Q153" s="299"/>
      <c r="R153" s="299"/>
      <c r="S153" s="299"/>
      <c r="T153" s="299"/>
      <c r="U153" s="617"/>
      <c r="V153" s="618"/>
      <c r="W153" s="616"/>
      <c r="X153" s="266"/>
      <c r="Y153" s="218"/>
      <c r="Z153" s="219"/>
      <c r="AA153" s="205"/>
      <c r="AB153" s="205"/>
      <c r="AC153" s="205"/>
      <c r="AD153" s="9"/>
    </row>
    <row r="154" ht="15.75" customHeight="1">
      <c r="A154" s="218"/>
      <c r="B154" s="62"/>
      <c r="C154" s="285" t="s">
        <v>684</v>
      </c>
      <c r="D154" s="255">
        <f t="shared" si="27"/>
        <v>0</v>
      </c>
      <c r="E154" s="65"/>
      <c r="F154" s="269"/>
      <c r="G154" s="256">
        <f t="shared" si="28"/>
        <v>0</v>
      </c>
      <c r="H154" s="66">
        <v>150000.0</v>
      </c>
      <c r="I154" s="217">
        <f t="shared" si="29"/>
        <v>0</v>
      </c>
      <c r="J154" s="257">
        <f t="shared" si="30"/>
        <v>0</v>
      </c>
      <c r="K154" s="23"/>
      <c r="L154" s="218"/>
      <c r="M154" s="218"/>
      <c r="N154" s="218"/>
      <c r="O154" s="298"/>
      <c r="P154" s="299"/>
      <c r="Q154" s="299"/>
      <c r="R154" s="299"/>
      <c r="S154" s="299"/>
      <c r="T154" s="299"/>
      <c r="U154" s="617"/>
      <c r="V154" s="618"/>
      <c r="W154" s="616"/>
      <c r="X154" s="266"/>
      <c r="Y154" s="218"/>
      <c r="Z154" s="219"/>
      <c r="AA154" s="205"/>
      <c r="AB154" s="205"/>
      <c r="AC154" s="205"/>
      <c r="AD154" s="9"/>
    </row>
    <row r="155" ht="15.75" customHeight="1">
      <c r="A155" s="218"/>
      <c r="B155" s="62"/>
      <c r="C155" s="288" t="s">
        <v>71</v>
      </c>
      <c r="D155" s="255">
        <f t="shared" si="27"/>
        <v>0</v>
      </c>
      <c r="E155" s="65"/>
      <c r="F155" s="269"/>
      <c r="G155" s="256">
        <f t="shared" si="28"/>
        <v>0</v>
      </c>
      <c r="H155" s="66">
        <v>85000.0</v>
      </c>
      <c r="I155" s="217">
        <f t="shared" si="29"/>
        <v>0</v>
      </c>
      <c r="J155" s="257">
        <f t="shared" si="30"/>
        <v>0</v>
      </c>
      <c r="K155" s="23"/>
      <c r="L155" s="218"/>
      <c r="M155" s="218"/>
      <c r="N155" s="218"/>
      <c r="O155" s="298"/>
      <c r="P155" s="299"/>
      <c r="Q155" s="299"/>
      <c r="R155" s="299"/>
      <c r="S155" s="299"/>
      <c r="T155" s="299"/>
      <c r="U155" s="617"/>
      <c r="V155" s="618"/>
      <c r="W155" s="616"/>
      <c r="X155" s="266"/>
      <c r="Y155" s="218"/>
      <c r="Z155" s="219"/>
      <c r="AA155" s="205"/>
      <c r="AB155" s="205"/>
      <c r="AC155" s="205"/>
      <c r="AD155" s="9"/>
    </row>
    <row r="156" ht="15.75" customHeight="1">
      <c r="A156" s="218"/>
      <c r="B156" s="62"/>
      <c r="C156" s="285" t="s">
        <v>76</v>
      </c>
      <c r="D156" s="255">
        <f t="shared" si="27"/>
        <v>0</v>
      </c>
      <c r="E156" s="65"/>
      <c r="F156" s="269"/>
      <c r="G156" s="256">
        <f t="shared" si="28"/>
        <v>0</v>
      </c>
      <c r="H156" s="66">
        <v>90000.0</v>
      </c>
      <c r="I156" s="217">
        <f t="shared" si="29"/>
        <v>0</v>
      </c>
      <c r="J156" s="257">
        <f t="shared" si="30"/>
        <v>0</v>
      </c>
      <c r="K156" s="23"/>
      <c r="L156" s="218"/>
      <c r="M156" s="218"/>
      <c r="N156" s="218"/>
      <c r="O156" s="298"/>
      <c r="P156" s="299"/>
      <c r="Q156" s="299"/>
      <c r="R156" s="299"/>
      <c r="S156" s="299"/>
      <c r="T156" s="299"/>
      <c r="U156" s="617"/>
      <c r="V156" s="618"/>
      <c r="W156" s="616"/>
      <c r="X156" s="266"/>
      <c r="Y156" s="218"/>
      <c r="Z156" s="219"/>
      <c r="AA156" s="205"/>
      <c r="AB156" s="205"/>
      <c r="AC156" s="205"/>
      <c r="AD156" s="9"/>
    </row>
    <row r="157" ht="15.75" customHeight="1">
      <c r="A157" s="218"/>
      <c r="B157" s="62"/>
      <c r="C157" s="285" t="s">
        <v>80</v>
      </c>
      <c r="D157" s="255">
        <f t="shared" si="27"/>
        <v>0</v>
      </c>
      <c r="E157" s="65"/>
      <c r="F157" s="269"/>
      <c r="G157" s="256">
        <f t="shared" si="28"/>
        <v>0</v>
      </c>
      <c r="H157" s="66">
        <v>85000.0</v>
      </c>
      <c r="I157" s="217">
        <f t="shared" si="29"/>
        <v>0</v>
      </c>
      <c r="J157" s="257">
        <f t="shared" si="30"/>
        <v>0</v>
      </c>
      <c r="K157" s="23"/>
      <c r="L157" s="218"/>
      <c r="M157" s="218"/>
      <c r="N157" s="218"/>
      <c r="O157" s="298"/>
      <c r="P157" s="299"/>
      <c r="Q157" s="299"/>
      <c r="R157" s="299"/>
      <c r="S157" s="299"/>
      <c r="T157" s="299"/>
      <c r="U157" s="617"/>
      <c r="V157" s="618"/>
      <c r="W157" s="616"/>
      <c r="X157" s="266"/>
      <c r="Y157" s="218"/>
      <c r="Z157" s="219"/>
      <c r="AA157" s="205"/>
      <c r="AB157" s="205"/>
      <c r="AC157" s="205"/>
      <c r="AD157" s="9"/>
    </row>
    <row r="158" ht="15.75" customHeight="1">
      <c r="A158" s="218"/>
      <c r="B158" s="62"/>
      <c r="C158" s="285" t="s">
        <v>81</v>
      </c>
      <c r="D158" s="255">
        <f t="shared" si="27"/>
        <v>0</v>
      </c>
      <c r="E158" s="65"/>
      <c r="F158" s="269"/>
      <c r="G158" s="256">
        <f t="shared" si="28"/>
        <v>0</v>
      </c>
      <c r="H158" s="66">
        <v>150000.0</v>
      </c>
      <c r="I158" s="217">
        <f t="shared" si="29"/>
        <v>0</v>
      </c>
      <c r="J158" s="257">
        <f t="shared" si="30"/>
        <v>0</v>
      </c>
      <c r="K158" s="23"/>
      <c r="L158" s="218"/>
      <c r="M158" s="218"/>
      <c r="N158" s="218"/>
      <c r="O158" s="298"/>
      <c r="P158" s="299"/>
      <c r="Q158" s="299"/>
      <c r="R158" s="299"/>
      <c r="S158" s="299"/>
      <c r="T158" s="299"/>
      <c r="U158" s="617"/>
      <c r="V158" s="618"/>
      <c r="W158" s="616"/>
      <c r="X158" s="266"/>
      <c r="Y158" s="218"/>
      <c r="Z158" s="219"/>
      <c r="AA158" s="205"/>
      <c r="AB158" s="205"/>
      <c r="AC158" s="205"/>
      <c r="AD158" s="9"/>
    </row>
    <row r="159" ht="15.75" customHeight="1">
      <c r="A159" s="218"/>
      <c r="B159" s="62"/>
      <c r="C159" s="285" t="s">
        <v>85</v>
      </c>
      <c r="D159" s="255">
        <f t="shared" si="27"/>
        <v>0</v>
      </c>
      <c r="E159" s="65"/>
      <c r="F159" s="269"/>
      <c r="G159" s="256">
        <f t="shared" si="28"/>
        <v>0</v>
      </c>
      <c r="H159" s="66">
        <v>125000.0</v>
      </c>
      <c r="I159" s="217">
        <f t="shared" si="29"/>
        <v>0</v>
      </c>
      <c r="J159" s="257">
        <f t="shared" si="30"/>
        <v>0</v>
      </c>
      <c r="K159" s="23"/>
      <c r="L159" s="218"/>
      <c r="M159" s="218"/>
      <c r="N159" s="218"/>
      <c r="O159" s="298"/>
      <c r="P159" s="299"/>
      <c r="Q159" s="299"/>
      <c r="R159" s="299"/>
      <c r="S159" s="299"/>
      <c r="T159" s="299"/>
      <c r="U159" s="617"/>
      <c r="V159" s="618"/>
      <c r="W159" s="622"/>
      <c r="X159" s="235"/>
      <c r="Y159" s="218"/>
      <c r="Z159" s="219"/>
      <c r="AA159" s="205"/>
      <c r="AB159" s="205"/>
      <c r="AC159" s="205"/>
      <c r="AD159" s="9"/>
    </row>
    <row r="160" ht="15.75" customHeight="1">
      <c r="A160" s="218"/>
      <c r="B160" s="62"/>
      <c r="C160" s="285" t="s">
        <v>89</v>
      </c>
      <c r="D160" s="255">
        <f t="shared" si="27"/>
        <v>0</v>
      </c>
      <c r="E160" s="65"/>
      <c r="F160" s="269"/>
      <c r="G160" s="256">
        <f t="shared" si="28"/>
        <v>0</v>
      </c>
      <c r="H160" s="66">
        <v>35000.0</v>
      </c>
      <c r="I160" s="217">
        <f t="shared" si="29"/>
        <v>0</v>
      </c>
      <c r="J160" s="257">
        <f t="shared" si="30"/>
        <v>0</v>
      </c>
      <c r="K160" s="23"/>
      <c r="L160" s="218"/>
      <c r="M160" s="218"/>
      <c r="N160" s="218"/>
      <c r="O160" s="298"/>
      <c r="P160" s="299"/>
      <c r="Q160" s="299"/>
      <c r="R160" s="299"/>
      <c r="S160" s="299"/>
      <c r="T160" s="299"/>
      <c r="U160" s="617"/>
      <c r="V160" s="618"/>
      <c r="W160" s="616"/>
      <c r="X160" s="266"/>
      <c r="Y160" s="218"/>
      <c r="Z160" s="219"/>
      <c r="AA160" s="205"/>
      <c r="AB160" s="205"/>
      <c r="AC160" s="205"/>
      <c r="AD160" s="9"/>
    </row>
    <row r="161" ht="15.75" customHeight="1">
      <c r="A161" s="218"/>
      <c r="B161" s="62"/>
      <c r="C161" s="285" t="s">
        <v>93</v>
      </c>
      <c r="D161" s="255">
        <f t="shared" si="27"/>
        <v>4</v>
      </c>
      <c r="E161" s="65"/>
      <c r="F161" s="269"/>
      <c r="G161" s="256">
        <f t="shared" si="28"/>
        <v>4</v>
      </c>
      <c r="H161" s="66">
        <v>90000.0</v>
      </c>
      <c r="I161" s="217">
        <f t="shared" si="29"/>
        <v>360000</v>
      </c>
      <c r="J161" s="257">
        <f t="shared" si="30"/>
        <v>0</v>
      </c>
      <c r="K161" s="23"/>
      <c r="L161" s="218"/>
      <c r="M161" s="218"/>
      <c r="N161" s="218"/>
      <c r="O161" s="298"/>
      <c r="P161" s="299"/>
      <c r="Q161" s="299"/>
      <c r="R161" s="299"/>
      <c r="S161" s="299"/>
      <c r="T161" s="299"/>
      <c r="U161" s="617"/>
      <c r="V161" s="618"/>
      <c r="W161" s="616"/>
      <c r="X161" s="266"/>
      <c r="Y161" s="218"/>
      <c r="Z161" s="219"/>
      <c r="AA161" s="205"/>
      <c r="AB161" s="205"/>
      <c r="AC161" s="205"/>
      <c r="AD161" s="9"/>
    </row>
    <row r="162" ht="15.75" customHeight="1">
      <c r="A162" s="218"/>
      <c r="B162" s="62"/>
      <c r="C162" s="285" t="s">
        <v>94</v>
      </c>
      <c r="D162" s="255">
        <f t="shared" si="27"/>
        <v>0</v>
      </c>
      <c r="E162" s="65"/>
      <c r="F162" s="269"/>
      <c r="G162" s="256">
        <f t="shared" si="28"/>
        <v>0</v>
      </c>
      <c r="H162" s="66">
        <v>140000.0</v>
      </c>
      <c r="I162" s="217">
        <f t="shared" si="29"/>
        <v>0</v>
      </c>
      <c r="J162" s="257">
        <f t="shared" si="30"/>
        <v>0</v>
      </c>
      <c r="K162" s="23"/>
      <c r="L162" s="218"/>
      <c r="M162" s="218"/>
      <c r="N162" s="218"/>
      <c r="O162" s="298"/>
      <c r="P162" s="299"/>
      <c r="Q162" s="299"/>
      <c r="R162" s="299"/>
      <c r="S162" s="299"/>
      <c r="T162" s="299"/>
      <c r="U162" s="617"/>
      <c r="V162" s="618"/>
      <c r="W162" s="611"/>
      <c r="X162" s="266"/>
      <c r="Y162" s="218"/>
      <c r="Z162" s="219"/>
      <c r="AA162" s="205"/>
      <c r="AB162" s="205"/>
      <c r="AC162" s="205"/>
      <c r="AD162" s="9"/>
    </row>
    <row r="163" ht="15.75" customHeight="1">
      <c r="A163" s="218"/>
      <c r="B163" s="62"/>
      <c r="C163" s="285" t="s">
        <v>97</v>
      </c>
      <c r="D163" s="255">
        <f t="shared" si="27"/>
        <v>0</v>
      </c>
      <c r="E163" s="65"/>
      <c r="F163" s="269"/>
      <c r="G163" s="256">
        <f t="shared" si="28"/>
        <v>0</v>
      </c>
      <c r="H163" s="66">
        <v>95000.0</v>
      </c>
      <c r="I163" s="217">
        <f t="shared" si="29"/>
        <v>0</v>
      </c>
      <c r="J163" s="257">
        <f t="shared" si="30"/>
        <v>0</v>
      </c>
      <c r="K163" s="23"/>
      <c r="L163" s="218"/>
      <c r="M163" s="218"/>
      <c r="N163" s="218"/>
      <c r="O163" s="298"/>
      <c r="P163" s="299"/>
      <c r="Q163" s="299"/>
      <c r="R163" s="299"/>
      <c r="S163" s="299"/>
      <c r="T163" s="299"/>
      <c r="U163" s="617"/>
      <c r="V163" s="608"/>
      <c r="W163" s="611"/>
      <c r="X163" s="266"/>
      <c r="Y163" s="218"/>
      <c r="Z163" s="219"/>
      <c r="AA163" s="205"/>
      <c r="AB163" s="205"/>
      <c r="AC163" s="205"/>
      <c r="AD163" s="9"/>
    </row>
    <row r="164" ht="15.75" customHeight="1">
      <c r="A164" s="218"/>
      <c r="B164" s="62"/>
      <c r="C164" s="285" t="s">
        <v>99</v>
      </c>
      <c r="D164" s="255">
        <f t="shared" si="27"/>
        <v>0</v>
      </c>
      <c r="E164" s="65"/>
      <c r="F164" s="269"/>
      <c r="G164" s="256">
        <f t="shared" si="28"/>
        <v>0</v>
      </c>
      <c r="H164" s="66">
        <v>140000.0</v>
      </c>
      <c r="I164" s="217">
        <f t="shared" si="29"/>
        <v>0</v>
      </c>
      <c r="J164" s="257">
        <f t="shared" si="30"/>
        <v>0</v>
      </c>
      <c r="K164" s="23"/>
      <c r="L164" s="218"/>
      <c r="M164" s="218"/>
      <c r="N164" s="218"/>
      <c r="O164" s="298"/>
      <c r="P164" s="299"/>
      <c r="Q164" s="299"/>
      <c r="R164" s="299"/>
      <c r="S164" s="299"/>
      <c r="T164" s="299"/>
      <c r="U164" s="218"/>
      <c r="V164" s="608"/>
      <c r="W164" s="611"/>
      <c r="X164" s="266"/>
      <c r="Y164" s="218"/>
      <c r="Z164" s="219"/>
      <c r="AA164" s="205"/>
      <c r="AB164" s="205"/>
      <c r="AC164" s="205"/>
      <c r="AD164" s="9"/>
    </row>
    <row r="165" ht="15.75" customHeight="1">
      <c r="A165" s="218"/>
      <c r="B165" s="62"/>
      <c r="C165" s="285" t="s">
        <v>101</v>
      </c>
      <c r="D165" s="255">
        <f t="shared" si="27"/>
        <v>0</v>
      </c>
      <c r="E165" s="65"/>
      <c r="F165" s="269"/>
      <c r="G165" s="256">
        <f t="shared" si="28"/>
        <v>0</v>
      </c>
      <c r="H165" s="66">
        <v>150000.0</v>
      </c>
      <c r="I165" s="217">
        <f t="shared" si="29"/>
        <v>0</v>
      </c>
      <c r="J165" s="257">
        <f t="shared" si="30"/>
        <v>0</v>
      </c>
      <c r="K165" s="23"/>
      <c r="L165" s="218"/>
      <c r="M165" s="218"/>
      <c r="N165" s="218"/>
      <c r="O165" s="298"/>
      <c r="P165" s="299"/>
      <c r="Q165" s="299"/>
      <c r="R165" s="299"/>
      <c r="S165" s="299"/>
      <c r="T165" s="299"/>
      <c r="U165" s="218"/>
      <c r="V165" s="608"/>
      <c r="W165" s="611"/>
      <c r="X165" s="266"/>
      <c r="Y165" s="218"/>
      <c r="Z165" s="219"/>
      <c r="AA165" s="205"/>
      <c r="AB165" s="205"/>
      <c r="AC165" s="205"/>
      <c r="AD165" s="9"/>
    </row>
    <row r="166" ht="15.75" customHeight="1">
      <c r="A166" s="218"/>
      <c r="B166" s="62"/>
      <c r="C166" s="285" t="s">
        <v>109</v>
      </c>
      <c r="D166" s="255">
        <f t="shared" si="27"/>
        <v>0</v>
      </c>
      <c r="E166" s="65"/>
      <c r="F166" s="269"/>
      <c r="G166" s="256">
        <f t="shared" si="28"/>
        <v>0</v>
      </c>
      <c r="H166" s="66">
        <v>125000.0</v>
      </c>
      <c r="I166" s="217">
        <f t="shared" si="29"/>
        <v>0</v>
      </c>
      <c r="J166" s="257">
        <f t="shared" si="30"/>
        <v>0</v>
      </c>
      <c r="K166" s="23"/>
      <c r="L166" s="218"/>
      <c r="M166" s="218"/>
      <c r="N166" s="218"/>
      <c r="O166" s="298"/>
      <c r="P166" s="299"/>
      <c r="Q166" s="299"/>
      <c r="R166" s="299"/>
      <c r="S166" s="299"/>
      <c r="T166" s="299"/>
      <c r="U166" s="218"/>
      <c r="V166" s="608"/>
      <c r="W166" s="622"/>
      <c r="X166" s="235"/>
      <c r="Y166" s="218"/>
      <c r="Z166" s="219"/>
      <c r="AA166" s="205"/>
      <c r="AB166" s="205"/>
      <c r="AC166" s="205"/>
      <c r="AD166" s="9"/>
    </row>
    <row r="167" ht="15.75" customHeight="1">
      <c r="A167" s="218"/>
      <c r="B167" s="62"/>
      <c r="C167" s="285" t="s">
        <v>113</v>
      </c>
      <c r="D167" s="255">
        <f t="shared" si="27"/>
        <v>0</v>
      </c>
      <c r="E167" s="65"/>
      <c r="F167" s="269"/>
      <c r="G167" s="256">
        <f t="shared" si="28"/>
        <v>0</v>
      </c>
      <c r="H167" s="66">
        <v>75000.0</v>
      </c>
      <c r="I167" s="217">
        <f t="shared" si="29"/>
        <v>0</v>
      </c>
      <c r="J167" s="257">
        <f t="shared" si="30"/>
        <v>0</v>
      </c>
      <c r="K167" s="23"/>
      <c r="L167" s="218"/>
      <c r="M167" s="218"/>
      <c r="N167" s="218"/>
      <c r="O167" s="298"/>
      <c r="P167" s="299"/>
      <c r="Q167" s="299"/>
      <c r="R167" s="299"/>
      <c r="S167" s="299"/>
      <c r="T167" s="299"/>
      <c r="U167" s="218"/>
      <c r="V167" s="608"/>
      <c r="W167" s="622"/>
      <c r="X167" s="235"/>
      <c r="Y167" s="218"/>
      <c r="Z167" s="219"/>
      <c r="AA167" s="205"/>
      <c r="AB167" s="205"/>
      <c r="AC167" s="205"/>
      <c r="AD167" s="9"/>
    </row>
    <row r="168" ht="15.75" customHeight="1">
      <c r="A168" s="218"/>
      <c r="B168" s="67"/>
      <c r="C168" s="300" t="s">
        <v>116</v>
      </c>
      <c r="D168" s="301">
        <f t="shared" si="27"/>
        <v>0</v>
      </c>
      <c r="E168" s="146"/>
      <c r="F168" s="305"/>
      <c r="G168" s="624">
        <f t="shared" si="28"/>
        <v>0</v>
      </c>
      <c r="H168" s="302">
        <v>475000.0</v>
      </c>
      <c r="I168" s="217">
        <f t="shared" si="29"/>
        <v>0</v>
      </c>
      <c r="J168" s="257">
        <f t="shared" si="30"/>
        <v>0</v>
      </c>
      <c r="K168" s="23"/>
      <c r="L168" s="218"/>
      <c r="M168" s="218"/>
      <c r="N168" s="218"/>
      <c r="O168" s="298"/>
      <c r="P168" s="299"/>
      <c r="Q168" s="299"/>
      <c r="R168" s="299"/>
      <c r="S168" s="299"/>
      <c r="T168" s="299"/>
      <c r="U168" s="218"/>
      <c r="V168" s="608"/>
      <c r="W168" s="622"/>
      <c r="X168" s="235"/>
      <c r="Y168" s="218"/>
      <c r="Z168" s="219"/>
      <c r="AA168" s="205"/>
      <c r="AB168" s="205"/>
      <c r="AC168" s="205"/>
      <c r="AD168" s="9"/>
    </row>
    <row r="169" ht="22.5" customHeight="1">
      <c r="A169" s="218"/>
      <c r="B169" s="308" t="s">
        <v>419</v>
      </c>
      <c r="C169" s="16"/>
      <c r="D169" s="16"/>
      <c r="E169" s="16"/>
      <c r="F169" s="16"/>
      <c r="G169" s="16"/>
      <c r="H169" s="17"/>
      <c r="I169" s="309">
        <f>SUM(I130:I145)</f>
        <v>54655000</v>
      </c>
      <c r="J169" s="23"/>
      <c r="K169" s="23"/>
      <c r="L169" s="218"/>
      <c r="M169" s="218"/>
      <c r="N169" s="218"/>
      <c r="O169" s="298"/>
      <c r="P169" s="299"/>
      <c r="Q169" s="299"/>
      <c r="R169" s="299"/>
      <c r="S169" s="299"/>
      <c r="T169" s="299"/>
      <c r="U169" s="299"/>
      <c r="V169" s="608"/>
      <c r="W169" s="601"/>
      <c r="X169" s="235"/>
      <c r="Y169" s="218"/>
      <c r="Z169" s="219"/>
      <c r="AA169" s="205"/>
      <c r="AB169" s="205"/>
      <c r="AC169" s="205"/>
      <c r="AD169" s="9"/>
    </row>
    <row r="170" ht="22.5" customHeight="1">
      <c r="A170" s="218"/>
      <c r="B170" s="308" t="s">
        <v>385</v>
      </c>
      <c r="C170" s="16"/>
      <c r="D170" s="16"/>
      <c r="E170" s="16"/>
      <c r="F170" s="16"/>
      <c r="G170" s="16"/>
      <c r="H170" s="17"/>
      <c r="I170" s="309">
        <f>SUM(I146:I168)</f>
        <v>960000</v>
      </c>
      <c r="J170" s="23"/>
      <c r="K170" s="310" t="s">
        <v>420</v>
      </c>
      <c r="L170" s="16"/>
      <c r="M170" s="16"/>
      <c r="N170" s="17"/>
      <c r="O170" s="298"/>
      <c r="P170" s="299"/>
      <c r="Q170" s="299"/>
      <c r="R170" s="299"/>
      <c r="S170" s="299"/>
      <c r="T170" s="299"/>
      <c r="U170" s="299"/>
      <c r="V170" s="608"/>
      <c r="W170" s="601"/>
      <c r="X170" s="235"/>
      <c r="Y170" s="218"/>
      <c r="Z170" s="219"/>
      <c r="AA170" s="205"/>
      <c r="AB170" s="205"/>
      <c r="AC170" s="205"/>
      <c r="AD170" s="9"/>
    </row>
    <row r="171" ht="22.5" customHeight="1">
      <c r="A171" s="218"/>
      <c r="B171" s="312" t="s">
        <v>421</v>
      </c>
      <c r="C171" s="16"/>
      <c r="D171" s="16"/>
      <c r="E171" s="16"/>
      <c r="F171" s="16"/>
      <c r="G171" s="16"/>
      <c r="H171" s="17"/>
      <c r="I171" s="313">
        <f>SUM(I169:I170)</f>
        <v>55615000</v>
      </c>
      <c r="J171" s="23"/>
      <c r="K171" s="314" t="s">
        <v>422</v>
      </c>
      <c r="L171" s="316">
        <f>2950000</f>
        <v>2950000</v>
      </c>
      <c r="M171" s="316"/>
      <c r="N171" s="316"/>
      <c r="O171" s="234"/>
      <c r="P171" s="218"/>
      <c r="Q171" s="218"/>
      <c r="R171" s="218"/>
      <c r="S171" s="218"/>
      <c r="T171" s="218"/>
      <c r="U171" s="218"/>
      <c r="V171" s="601"/>
      <c r="W171" s="601"/>
      <c r="X171" s="235"/>
      <c r="Y171" s="218"/>
      <c r="Z171" s="219"/>
      <c r="AA171" s="205"/>
      <c r="AB171" s="205"/>
      <c r="AC171" s="205"/>
      <c r="AD171" s="9"/>
    </row>
    <row r="172" ht="22.5" customHeight="1">
      <c r="A172" s="218"/>
      <c r="B172" s="317"/>
      <c r="C172" s="16"/>
      <c r="D172" s="17"/>
      <c r="E172" s="777" t="s">
        <v>423</v>
      </c>
      <c r="F172" s="16"/>
      <c r="G172" s="16"/>
      <c r="H172" s="17"/>
      <c r="I172" s="319">
        <f>O121</f>
        <v>55723500</v>
      </c>
      <c r="J172" s="23"/>
      <c r="K172" s="314" t="s">
        <v>424</v>
      </c>
      <c r="L172" s="316">
        <f>sumif(Q4:Q120,"Đã thu",K4:K120)</f>
        <v>40395000</v>
      </c>
      <c r="M172" s="316"/>
      <c r="N172" s="316"/>
      <c r="O172" s="234"/>
      <c r="P172" s="218"/>
      <c r="Q172" s="218"/>
      <c r="R172" s="218"/>
      <c r="S172" s="218"/>
      <c r="T172" s="218"/>
      <c r="U172" s="218"/>
      <c r="V172" s="601"/>
      <c r="W172" s="601"/>
      <c r="X172" s="235"/>
      <c r="Y172" s="218"/>
      <c r="Z172" s="219"/>
      <c r="AA172" s="205"/>
      <c r="AB172" s="205"/>
      <c r="AC172" s="205"/>
      <c r="AD172" s="9"/>
    </row>
    <row r="173" ht="22.5" customHeight="1">
      <c r="A173" s="218"/>
      <c r="B173" s="321" t="s">
        <v>425</v>
      </c>
      <c r="C173" s="16"/>
      <c r="D173" s="16"/>
      <c r="E173" s="16"/>
      <c r="F173" s="16"/>
      <c r="G173" s="16"/>
      <c r="H173" s="17"/>
      <c r="I173" s="322">
        <f>SUMIF(Q4:Q120,"Đã thu",O4:O120)</f>
        <v>40569500</v>
      </c>
      <c r="J173" s="23"/>
      <c r="K173" s="507" t="s">
        <v>415</v>
      </c>
      <c r="L173" s="315">
        <f>I170</f>
        <v>960000</v>
      </c>
      <c r="M173" s="324"/>
      <c r="N173" s="324"/>
      <c r="O173" s="234"/>
      <c r="P173" s="218"/>
      <c r="Q173" s="218"/>
      <c r="R173" s="218"/>
      <c r="S173" s="218"/>
      <c r="T173" s="218"/>
      <c r="U173" s="218"/>
      <c r="V173" s="601"/>
      <c r="W173" s="601"/>
      <c r="X173" s="235"/>
      <c r="Y173" s="218"/>
      <c r="Z173" s="219"/>
      <c r="AA173" s="205"/>
      <c r="AB173" s="205"/>
      <c r="AC173" s="205"/>
      <c r="AD173" s="9"/>
    </row>
    <row r="174" ht="22.5" customHeight="1">
      <c r="A174" s="325"/>
      <c r="B174" s="326" t="s">
        <v>426</v>
      </c>
      <c r="C174" s="16"/>
      <c r="D174" s="16"/>
      <c r="E174" s="16"/>
      <c r="F174" s="16"/>
      <c r="G174" s="16"/>
      <c r="H174" s="17"/>
      <c r="I174" s="327">
        <f>I172-I173</f>
        <v>15154000</v>
      </c>
      <c r="J174" s="23"/>
      <c r="K174" s="328" t="s">
        <v>407</v>
      </c>
      <c r="L174" s="315">
        <f>sum(L171:L172)-L173</f>
        <v>42385000</v>
      </c>
      <c r="M174" s="324"/>
      <c r="N174" s="324"/>
      <c r="O174" s="234"/>
      <c r="P174" s="623"/>
      <c r="Q174" s="218"/>
      <c r="R174" s="218"/>
      <c r="S174" s="218"/>
      <c r="T174" s="218"/>
      <c r="U174" s="218"/>
      <c r="V174" s="601"/>
      <c r="W174" s="601"/>
      <c r="X174" s="235"/>
      <c r="Y174" s="218"/>
      <c r="Z174" s="219"/>
      <c r="AA174" s="205"/>
      <c r="AB174" s="205"/>
      <c r="AC174" s="205"/>
      <c r="AD174" s="9"/>
    </row>
    <row r="175" ht="22.5" customHeight="1">
      <c r="A175" s="325"/>
      <c r="B175" s="330" t="s">
        <v>427</v>
      </c>
      <c r="C175" s="16"/>
      <c r="D175" s="16"/>
      <c r="E175" s="16"/>
      <c r="F175" s="16"/>
      <c r="G175" s="16"/>
      <c r="H175" s="17"/>
      <c r="I175" s="331">
        <f>L121+R121</f>
        <v>2445749</v>
      </c>
      <c r="J175" s="23"/>
      <c r="K175" s="335"/>
      <c r="L175" s="299"/>
      <c r="M175" s="218"/>
      <c r="N175" s="218"/>
      <c r="O175" s="234"/>
      <c r="P175" s="218"/>
      <c r="Q175" s="218"/>
      <c r="R175" s="218"/>
      <c r="S175" s="218"/>
      <c r="T175" s="218"/>
      <c r="U175" s="218"/>
      <c r="V175" s="601"/>
      <c r="W175" s="601"/>
      <c r="X175" s="235"/>
      <c r="Y175" s="218"/>
      <c r="Z175" s="219"/>
      <c r="AA175" s="205"/>
      <c r="AB175" s="205"/>
      <c r="AC175" s="205"/>
      <c r="AD175" s="9"/>
    </row>
    <row r="176" ht="22.5" customHeight="1">
      <c r="A176" s="218"/>
      <c r="B176" s="321" t="s">
        <v>428</v>
      </c>
      <c r="C176" s="16"/>
      <c r="D176" s="16"/>
      <c r="E176" s="16"/>
      <c r="F176" s="16"/>
      <c r="G176" s="16"/>
      <c r="H176" s="17"/>
      <c r="I176" s="207">
        <f>SUMIF($T$4:$T$120,"x",R4:R120)+SUMIF($T$4:$T$120,"x",$L$4:$L$120)</f>
        <v>1885997</v>
      </c>
      <c r="J176" s="23"/>
      <c r="K176" s="335">
        <f>I169-(L172-L173)</f>
        <v>15220000</v>
      </c>
      <c r="L176" s="299"/>
      <c r="M176" s="299"/>
      <c r="N176" s="299"/>
      <c r="O176" s="234"/>
      <c r="P176" s="218"/>
      <c r="Q176" s="218"/>
      <c r="R176" s="218"/>
      <c r="S176" s="218"/>
      <c r="T176" s="218"/>
      <c r="U176" s="218"/>
      <c r="V176" s="601"/>
      <c r="W176" s="601"/>
      <c r="X176" s="235"/>
      <c r="Y176" s="218"/>
      <c r="Z176" s="219"/>
      <c r="AA176" s="205"/>
      <c r="AB176" s="205"/>
      <c r="AC176" s="205"/>
      <c r="AD176" s="9"/>
    </row>
    <row r="177" ht="22.5" customHeight="1">
      <c r="A177" s="218"/>
      <c r="B177" s="326" t="s">
        <v>429</v>
      </c>
      <c r="C177" s="16"/>
      <c r="D177" s="16"/>
      <c r="E177" s="16"/>
      <c r="F177" s="16"/>
      <c r="G177" s="16"/>
      <c r="H177" s="17"/>
      <c r="I177" s="327">
        <f>I175-I176</f>
        <v>559752</v>
      </c>
      <c r="J177" s="23"/>
      <c r="K177" s="335"/>
      <c r="L177" s="299"/>
      <c r="M177" s="218"/>
      <c r="N177" s="218"/>
      <c r="O177" s="234"/>
      <c r="P177" s="218"/>
      <c r="Q177" s="218"/>
      <c r="R177" s="218"/>
      <c r="S177" s="218"/>
      <c r="T177" s="218"/>
      <c r="U177" s="218"/>
      <c r="V177" s="601"/>
      <c r="W177" s="601"/>
      <c r="X177" s="235"/>
      <c r="Y177" s="218"/>
      <c r="Z177" s="219"/>
      <c r="AA177" s="205"/>
      <c r="AB177" s="205"/>
      <c r="AC177" s="205"/>
      <c r="AD177" s="9"/>
    </row>
    <row r="178" ht="15.75" customHeight="1">
      <c r="A178" s="218"/>
      <c r="B178" s="336"/>
      <c r="C178" s="336"/>
      <c r="D178" s="336"/>
      <c r="E178" s="345"/>
      <c r="F178" s="338"/>
      <c r="G178" s="218"/>
      <c r="H178" s="218"/>
      <c r="I178" s="218"/>
      <c r="J178" s="218"/>
      <c r="K178" s="23"/>
      <c r="L178" s="218"/>
      <c r="M178" s="218"/>
      <c r="N178" s="218"/>
      <c r="O178" s="234"/>
      <c r="P178" s="218"/>
      <c r="Q178" s="218"/>
      <c r="R178" s="218"/>
      <c r="S178" s="218"/>
      <c r="T178" s="218"/>
      <c r="U178" s="218"/>
      <c r="V178" s="601"/>
      <c r="W178" s="601"/>
      <c r="X178" s="235"/>
      <c r="Y178" s="218"/>
      <c r="Z178" s="219"/>
      <c r="AA178" s="205"/>
      <c r="AB178" s="205"/>
      <c r="AC178" s="205"/>
      <c r="AD178" s="9"/>
    </row>
    <row r="179" ht="15.75" customHeight="1">
      <c r="A179" s="339" t="s">
        <v>430</v>
      </c>
      <c r="E179" s="345"/>
      <c r="F179" s="338"/>
      <c r="G179" s="218"/>
      <c r="H179" s="218"/>
      <c r="I179" s="218"/>
      <c r="J179" s="218"/>
      <c r="K179" s="23"/>
      <c r="L179" s="218"/>
      <c r="M179" s="218"/>
      <c r="N179" s="218"/>
      <c r="O179" s="234"/>
      <c r="P179" s="218"/>
      <c r="Q179" s="218"/>
      <c r="R179" s="218"/>
      <c r="S179" s="218"/>
      <c r="T179" s="218"/>
      <c r="U179" s="218"/>
      <c r="V179" s="601"/>
      <c r="W179" s="601"/>
      <c r="X179" s="235"/>
      <c r="Y179" s="218"/>
      <c r="Z179" s="219"/>
      <c r="AA179" s="205"/>
      <c r="AB179" s="205"/>
      <c r="AC179" s="205"/>
      <c r="AD179" s="9"/>
    </row>
    <row r="180" ht="15.75" customHeight="1">
      <c r="A180" s="340"/>
      <c r="B180" s="341"/>
      <c r="C180" s="341"/>
      <c r="D180" s="341"/>
      <c r="E180" s="342"/>
      <c r="F180" s="341"/>
      <c r="G180" s="341"/>
      <c r="H180" s="341"/>
      <c r="I180" s="341"/>
      <c r="J180" s="341"/>
      <c r="K180" s="341"/>
      <c r="L180" s="341"/>
      <c r="M180" s="341"/>
      <c r="N180" s="341"/>
      <c r="O180" s="343"/>
      <c r="P180" s="344"/>
      <c r="Q180" s="344"/>
      <c r="R180" s="344"/>
      <c r="S180" s="344"/>
      <c r="T180" s="344"/>
      <c r="U180" s="344"/>
      <c r="V180" s="662"/>
      <c r="W180" s="662"/>
      <c r="X180" s="345"/>
      <c r="Y180" s="344"/>
      <c r="Z180" s="219"/>
      <c r="AA180" s="205"/>
      <c r="AB180" s="205"/>
      <c r="AC180" s="205"/>
      <c r="AD180" s="9"/>
    </row>
    <row r="181" ht="15.75" customHeight="1">
      <c r="A181" s="340"/>
      <c r="B181" s="346" t="s">
        <v>431</v>
      </c>
      <c r="C181" s="347" t="s">
        <v>432</v>
      </c>
      <c r="D181" s="348" t="s">
        <v>433</v>
      </c>
      <c r="E181" s="348" t="s">
        <v>434</v>
      </c>
      <c r="F181" s="349" t="s">
        <v>5</v>
      </c>
      <c r="G181" s="348" t="s">
        <v>435</v>
      </c>
      <c r="H181" s="348" t="s">
        <v>25</v>
      </c>
      <c r="I181" s="349" t="s">
        <v>26</v>
      </c>
      <c r="J181" s="349" t="s">
        <v>436</v>
      </c>
      <c r="K181" s="349" t="s">
        <v>437</v>
      </c>
      <c r="L181" s="349" t="s">
        <v>438</v>
      </c>
      <c r="M181" s="518"/>
      <c r="N181" s="932" t="s">
        <v>9</v>
      </c>
      <c r="O181" s="933" t="s">
        <v>439</v>
      </c>
      <c r="P181" s="17"/>
      <c r="Q181" s="344"/>
      <c r="R181" s="340"/>
      <c r="S181" s="340"/>
      <c r="T181" s="340"/>
      <c r="U181" s="340"/>
      <c r="V181" s="779"/>
      <c r="W181" s="780"/>
      <c r="X181" s="340"/>
      <c r="Y181" s="299"/>
      <c r="Z181" s="353"/>
      <c r="AA181" s="205"/>
      <c r="AB181" s="205"/>
      <c r="AC181" s="205"/>
      <c r="AD181" s="9"/>
    </row>
    <row r="182" ht="36.75" customHeight="1">
      <c r="A182" s="354"/>
      <c r="B182" s="785"/>
      <c r="C182" s="1182"/>
      <c r="D182" s="357"/>
      <c r="E182" s="357"/>
      <c r="F182" s="129"/>
      <c r="G182" s="357"/>
      <c r="H182" s="357"/>
      <c r="I182" s="358"/>
      <c r="J182" s="359"/>
      <c r="K182" s="359"/>
      <c r="L182" s="358"/>
      <c r="M182" s="783"/>
      <c r="N182" s="1183"/>
      <c r="O182" s="1184"/>
      <c r="P182" s="17"/>
      <c r="Q182" s="344"/>
      <c r="R182" s="364"/>
      <c r="S182" s="364"/>
      <c r="T182" s="364"/>
      <c r="U182" s="364"/>
      <c r="V182" s="601"/>
      <c r="W182" s="622"/>
      <c r="X182" s="364"/>
      <c r="Y182" s="364"/>
      <c r="Z182" s="365"/>
      <c r="AA182" s="205"/>
      <c r="AB182" s="205"/>
      <c r="AC182" s="205"/>
      <c r="AD182" s="9"/>
    </row>
    <row r="183" ht="36.75" customHeight="1">
      <c r="A183" s="354"/>
      <c r="B183" s="785"/>
      <c r="C183" s="1182"/>
      <c r="D183" s="357"/>
      <c r="E183" s="357"/>
      <c r="F183" s="129"/>
      <c r="G183" s="357"/>
      <c r="H183" s="357"/>
      <c r="I183" s="358"/>
      <c r="J183" s="359"/>
      <c r="K183" s="359"/>
      <c r="L183" s="358"/>
      <c r="M183" s="783"/>
      <c r="N183" s="1183"/>
      <c r="O183" s="1184"/>
      <c r="P183" s="17"/>
      <c r="Q183" s="642"/>
      <c r="R183" s="784"/>
      <c r="S183" s="364"/>
      <c r="T183" s="364"/>
      <c r="U183" s="364"/>
      <c r="V183" s="601"/>
      <c r="W183" s="601"/>
      <c r="X183" s="370"/>
      <c r="Y183" s="364"/>
      <c r="Z183" s="365"/>
      <c r="AA183" s="205"/>
      <c r="AB183" s="205"/>
      <c r="AC183" s="205"/>
      <c r="AD183" s="9"/>
    </row>
    <row r="184" ht="36.75" customHeight="1">
      <c r="A184" s="354"/>
      <c r="B184" s="1185"/>
      <c r="C184" s="1186"/>
      <c r="D184" s="1187"/>
      <c r="E184" s="1187"/>
      <c r="F184" s="1188"/>
      <c r="G184" s="1187"/>
      <c r="H184" s="1187"/>
      <c r="I184" s="1189"/>
      <c r="J184" s="1190"/>
      <c r="K184" s="359"/>
      <c r="L184" s="358"/>
      <c r="M184" s="783"/>
      <c r="N184" s="1183"/>
      <c r="O184" s="1184"/>
      <c r="P184" s="17"/>
      <c r="Q184" s="642"/>
      <c r="R184" s="784"/>
      <c r="S184" s="364"/>
      <c r="T184" s="364"/>
      <c r="U184" s="364"/>
      <c r="V184" s="601"/>
      <c r="W184" s="601"/>
      <c r="X184" s="370"/>
      <c r="Y184" s="364"/>
      <c r="Z184" s="365"/>
      <c r="AA184" s="205"/>
      <c r="AB184" s="205"/>
      <c r="AC184" s="205"/>
      <c r="AD184" s="9"/>
    </row>
    <row r="185" ht="31.5" customHeight="1">
      <c r="A185" s="354"/>
      <c r="B185" s="389" t="s">
        <v>421</v>
      </c>
      <c r="C185" s="16"/>
      <c r="D185" s="16"/>
      <c r="E185" s="16"/>
      <c r="F185" s="16"/>
      <c r="G185" s="16"/>
      <c r="H185" s="16"/>
      <c r="I185" s="16"/>
      <c r="J185" s="17"/>
      <c r="K185" s="1191">
        <f>SUM(K182:K184)</f>
        <v>0</v>
      </c>
      <c r="L185" s="392"/>
      <c r="M185" s="542"/>
      <c r="N185" s="967">
        <f>SUM(N182:N184)</f>
        <v>0</v>
      </c>
      <c r="O185" s="542"/>
      <c r="P185" s="17"/>
      <c r="Q185" s="344"/>
      <c r="R185" s="364"/>
      <c r="S185" s="364"/>
      <c r="T185" s="364"/>
      <c r="U185" s="364"/>
      <c r="V185" s="601"/>
      <c r="W185" s="601"/>
      <c r="X185" s="370"/>
      <c r="Y185" s="364"/>
      <c r="Z185" s="365"/>
      <c r="AA185" s="205"/>
      <c r="AB185" s="205"/>
      <c r="AC185" s="205"/>
      <c r="AD185" s="9"/>
    </row>
    <row r="186" ht="15.75" customHeight="1">
      <c r="A186" s="344"/>
      <c r="B186" s="345"/>
      <c r="C186" s="394"/>
      <c r="D186" s="395"/>
      <c r="E186" s="396"/>
      <c r="F186" s="395"/>
      <c r="G186" s="396"/>
      <c r="H186" s="345"/>
      <c r="I186" s="344"/>
      <c r="J186" s="344"/>
      <c r="K186" s="107"/>
      <c r="L186" s="344"/>
      <c r="M186" s="344"/>
      <c r="N186" s="344"/>
      <c r="O186" s="343"/>
      <c r="P186" s="344"/>
      <c r="Q186" s="344"/>
      <c r="R186" s="344"/>
      <c r="S186" s="344"/>
      <c r="T186" s="344"/>
      <c r="U186" s="344"/>
      <c r="V186" s="662"/>
      <c r="W186" s="662"/>
      <c r="X186" s="345"/>
      <c r="Y186" s="344"/>
      <c r="Z186" s="219"/>
      <c r="AA186" s="205"/>
      <c r="AB186" s="205"/>
      <c r="AC186" s="205"/>
      <c r="AD186" s="9"/>
    </row>
    <row r="187" ht="15.75" customHeight="1">
      <c r="A187" s="9"/>
      <c r="B187" s="223"/>
      <c r="C187" s="394"/>
      <c r="D187" s="395"/>
      <c r="E187" s="396"/>
      <c r="F187" s="395"/>
      <c r="G187" s="396"/>
      <c r="H187" s="224"/>
      <c r="I187" s="225"/>
      <c r="J187" s="225"/>
      <c r="K187" s="22"/>
      <c r="L187" s="9"/>
      <c r="M187" s="9"/>
      <c r="N187" s="9"/>
      <c r="O187" s="226"/>
      <c r="P187" s="9"/>
      <c r="Q187" s="9"/>
      <c r="R187" s="9"/>
      <c r="S187" s="9"/>
      <c r="T187" s="9"/>
      <c r="U187" s="9"/>
      <c r="V187" s="913"/>
      <c r="W187" s="913"/>
      <c r="X187" s="223"/>
      <c r="Y187" s="9"/>
      <c r="Z187" s="204"/>
      <c r="AA187" s="205"/>
      <c r="AB187" s="205"/>
      <c r="AC187" s="205"/>
      <c r="AD187" s="9"/>
    </row>
    <row r="188" ht="15.75" customHeight="1">
      <c r="A188" s="9"/>
      <c r="B188" s="223"/>
      <c r="C188" s="397"/>
      <c r="D188" s="9"/>
      <c r="E188" s="223"/>
      <c r="F188" s="222"/>
      <c r="G188" s="223"/>
      <c r="H188" s="224"/>
      <c r="I188" s="225"/>
      <c r="J188" s="225"/>
      <c r="K188" s="22"/>
      <c r="L188" s="9"/>
      <c r="M188" s="9"/>
      <c r="N188" s="9"/>
      <c r="O188" s="226"/>
      <c r="P188" s="9"/>
      <c r="Q188" s="9"/>
      <c r="R188" s="9"/>
      <c r="S188" s="9"/>
      <c r="T188" s="9"/>
      <c r="U188" s="9"/>
      <c r="V188" s="913"/>
      <c r="W188" s="913"/>
      <c r="X188" s="223"/>
      <c r="Y188" s="9"/>
      <c r="Z188" s="204"/>
      <c r="AA188" s="9"/>
      <c r="AB188" s="9"/>
      <c r="AC188" s="9"/>
      <c r="AD188" s="9"/>
    </row>
    <row r="189" ht="15.75" customHeight="1">
      <c r="A189" s="9"/>
      <c r="B189" s="794" t="s">
        <v>1302</v>
      </c>
      <c r="E189" s="223"/>
      <c r="F189" s="222"/>
      <c r="G189" s="223"/>
      <c r="H189" s="224"/>
      <c r="I189" s="225"/>
      <c r="J189" s="225"/>
      <c r="K189" s="22"/>
      <c r="L189" s="9"/>
      <c r="M189" s="9"/>
      <c r="N189" s="9"/>
      <c r="O189" s="226"/>
      <c r="P189" s="9"/>
      <c r="Q189" s="9"/>
      <c r="R189" s="9"/>
      <c r="S189" s="9"/>
      <c r="T189" s="9"/>
      <c r="U189" s="9"/>
      <c r="V189" s="913"/>
      <c r="W189" s="913"/>
      <c r="X189" s="223"/>
      <c r="Y189" s="9"/>
      <c r="Z189" s="204"/>
      <c r="AA189" s="9"/>
      <c r="AB189" s="9"/>
      <c r="AC189" s="9"/>
      <c r="AD189" s="9"/>
    </row>
    <row r="190" ht="15.75" customHeight="1">
      <c r="A190" s="9"/>
      <c r="B190" s="223"/>
      <c r="C190" s="397"/>
      <c r="D190" s="9"/>
      <c r="E190" s="223"/>
      <c r="F190" s="222"/>
      <c r="G190" s="223"/>
      <c r="H190" s="224"/>
      <c r="I190" s="225"/>
      <c r="J190" s="225"/>
      <c r="K190" s="22"/>
      <c r="L190" s="9"/>
      <c r="M190" s="9"/>
      <c r="N190" s="9"/>
      <c r="O190" s="226"/>
      <c r="P190" s="9"/>
      <c r="Q190" s="9"/>
      <c r="R190" s="9"/>
      <c r="S190" s="9"/>
      <c r="T190" s="9"/>
      <c r="U190" s="9"/>
      <c r="V190" s="913"/>
      <c r="W190" s="913"/>
      <c r="X190" s="223"/>
      <c r="Y190" s="9"/>
      <c r="Z190" s="204"/>
      <c r="AA190" s="9"/>
      <c r="AB190" s="9"/>
      <c r="AC190" s="9"/>
      <c r="AD190" s="9"/>
    </row>
    <row r="191" ht="15.75" customHeight="1">
      <c r="A191" s="9"/>
      <c r="B191" s="795" t="s">
        <v>431</v>
      </c>
      <c r="C191" s="796" t="s">
        <v>432</v>
      </c>
      <c r="D191" s="795" t="s">
        <v>433</v>
      </c>
      <c r="E191" s="795" t="s">
        <v>434</v>
      </c>
      <c r="F191" s="797" t="s">
        <v>435</v>
      </c>
      <c r="G191" s="795" t="s">
        <v>5</v>
      </c>
      <c r="H191" s="797" t="s">
        <v>26</v>
      </c>
      <c r="I191" s="399"/>
      <c r="J191" s="399"/>
      <c r="K191" s="968"/>
      <c r="L191" s="9"/>
      <c r="M191" s="9"/>
      <c r="N191" s="9"/>
      <c r="O191" s="226"/>
      <c r="P191" s="9"/>
      <c r="Q191" s="9"/>
      <c r="R191" s="9"/>
      <c r="S191" s="9"/>
      <c r="T191" s="9"/>
      <c r="U191" s="9"/>
      <c r="V191" s="913"/>
      <c r="W191" s="913"/>
      <c r="X191" s="223"/>
      <c r="Y191" s="9"/>
      <c r="Z191" s="204"/>
      <c r="AA191" s="9"/>
      <c r="AB191" s="9"/>
      <c r="AC191" s="9"/>
      <c r="AD191" s="9"/>
    </row>
    <row r="192" ht="33.0" customHeight="1">
      <c r="A192" s="106"/>
      <c r="B192" s="694">
        <v>6.0</v>
      </c>
      <c r="C192" s="103">
        <v>45098.0</v>
      </c>
      <c r="D192" s="905">
        <v>1.710851887058E12</v>
      </c>
      <c r="E192" s="694" t="s">
        <v>247</v>
      </c>
      <c r="F192" s="156" t="s">
        <v>549</v>
      </c>
      <c r="G192" s="684" t="s">
        <v>248</v>
      </c>
      <c r="H192" s="93">
        <v>1.0</v>
      </c>
      <c r="I192" s="107"/>
      <c r="J192" s="107"/>
      <c r="K192" s="106"/>
      <c r="L192" s="106"/>
      <c r="M192" s="106"/>
      <c r="N192" s="106"/>
      <c r="O192" s="801"/>
      <c r="P192" s="106"/>
      <c r="Q192" s="106"/>
      <c r="R192" s="106"/>
      <c r="S192" s="106"/>
      <c r="T192" s="106"/>
      <c r="U192" s="106"/>
      <c r="V192" s="517"/>
      <c r="W192" s="517"/>
      <c r="X192" s="589"/>
      <c r="Y192" s="106"/>
      <c r="Z192" s="427"/>
      <c r="AA192" s="106"/>
      <c r="AB192" s="106"/>
      <c r="AC192" s="106"/>
      <c r="AD192" s="106"/>
    </row>
    <row r="193" ht="15.75" customHeight="1">
      <c r="A193" s="9"/>
      <c r="B193" s="1192"/>
      <c r="C193" s="1193"/>
      <c r="D193" s="1192"/>
      <c r="E193" s="1192"/>
      <c r="F193" s="1194"/>
      <c r="G193" s="1192"/>
      <c r="H193" s="1194"/>
      <c r="I193" s="225"/>
      <c r="J193" s="225"/>
      <c r="K193" s="22"/>
      <c r="L193" s="9"/>
      <c r="M193" s="9"/>
      <c r="N193" s="9"/>
      <c r="O193" s="226"/>
      <c r="P193" s="9"/>
      <c r="Q193" s="9"/>
      <c r="R193" s="9"/>
      <c r="S193" s="9"/>
      <c r="T193" s="9"/>
      <c r="U193" s="9"/>
      <c r="V193" s="913"/>
      <c r="W193" s="913"/>
      <c r="X193" s="223"/>
      <c r="Y193" s="9"/>
      <c r="Z193" s="204"/>
      <c r="AA193" s="9"/>
      <c r="AB193" s="9"/>
      <c r="AC193" s="9"/>
      <c r="AD193" s="9"/>
    </row>
    <row r="194" ht="15.75" customHeight="1">
      <c r="A194" s="9"/>
      <c r="B194" s="1192"/>
      <c r="C194" s="1193"/>
      <c r="D194" s="1192"/>
      <c r="E194" s="1192"/>
      <c r="F194" s="1194"/>
      <c r="G194" s="1192"/>
      <c r="H194" s="1194"/>
      <c r="I194" s="225"/>
      <c r="J194" s="225"/>
      <c r="K194" s="22"/>
      <c r="L194" s="9"/>
      <c r="M194" s="9"/>
      <c r="N194" s="9"/>
      <c r="O194" s="226"/>
      <c r="P194" s="9"/>
      <c r="Q194" s="9"/>
      <c r="R194" s="9"/>
      <c r="S194" s="9"/>
      <c r="T194" s="9"/>
      <c r="U194" s="9"/>
      <c r="V194" s="913"/>
      <c r="W194" s="913"/>
      <c r="X194" s="223"/>
      <c r="Y194" s="9"/>
      <c r="Z194" s="204"/>
      <c r="AA194" s="9"/>
      <c r="AB194" s="9"/>
      <c r="AC194" s="9"/>
      <c r="AD194" s="9"/>
    </row>
    <row r="195" ht="15.75" customHeight="1">
      <c r="A195" s="9"/>
      <c r="B195" s="794" t="s">
        <v>1546</v>
      </c>
      <c r="E195" s="223"/>
      <c r="F195" s="222"/>
      <c r="G195" s="223"/>
      <c r="H195" s="224"/>
      <c r="I195" s="225"/>
      <c r="J195" s="225"/>
      <c r="K195" s="22"/>
      <c r="L195" s="9"/>
      <c r="M195" s="9"/>
      <c r="N195" s="9"/>
      <c r="O195" s="226"/>
      <c r="P195" s="9"/>
      <c r="Q195" s="9"/>
      <c r="R195" s="9"/>
      <c r="S195" s="9"/>
      <c r="T195" s="9"/>
      <c r="U195" s="9"/>
      <c r="V195" s="913"/>
      <c r="W195" s="913"/>
      <c r="X195" s="223"/>
      <c r="Y195" s="9"/>
      <c r="Z195" s="204"/>
      <c r="AA195" s="9"/>
      <c r="AB195" s="9"/>
      <c r="AC195" s="9"/>
      <c r="AD195" s="9"/>
    </row>
    <row r="196" ht="15.75" customHeight="1">
      <c r="A196" s="9"/>
      <c r="B196" s="223"/>
      <c r="C196" s="397"/>
      <c r="D196" s="9"/>
      <c r="E196" s="223"/>
      <c r="F196" s="222"/>
      <c r="G196" s="223"/>
      <c r="H196" s="224"/>
      <c r="I196" s="225"/>
      <c r="J196" s="225"/>
      <c r="K196" s="22"/>
      <c r="L196" s="9"/>
      <c r="M196" s="9"/>
      <c r="N196" s="9"/>
      <c r="O196" s="226"/>
      <c r="P196" s="9"/>
      <c r="Q196" s="9"/>
      <c r="R196" s="9"/>
      <c r="S196" s="9"/>
      <c r="T196" s="9"/>
      <c r="U196" s="9"/>
      <c r="V196" s="913"/>
      <c r="W196" s="913"/>
      <c r="X196" s="223"/>
      <c r="Y196" s="9"/>
      <c r="Z196" s="204"/>
      <c r="AA196" s="9"/>
      <c r="AB196" s="9"/>
      <c r="AC196" s="9"/>
      <c r="AD196" s="9"/>
    </row>
    <row r="197" ht="15.75" customHeight="1">
      <c r="A197" s="9"/>
      <c r="B197" s="795" t="s">
        <v>431</v>
      </c>
      <c r="C197" s="796" t="s">
        <v>432</v>
      </c>
      <c r="D197" s="795" t="s">
        <v>433</v>
      </c>
      <c r="E197" s="795" t="s">
        <v>434</v>
      </c>
      <c r="F197" s="797" t="s">
        <v>435</v>
      </c>
      <c r="G197" s="795" t="s">
        <v>5</v>
      </c>
      <c r="H197" s="797" t="s">
        <v>26</v>
      </c>
      <c r="I197" s="225"/>
      <c r="J197" s="225"/>
      <c r="K197" s="22"/>
      <c r="L197" s="9"/>
      <c r="M197" s="9"/>
      <c r="N197" s="9"/>
      <c r="O197" s="226"/>
      <c r="P197" s="9"/>
      <c r="Q197" s="9"/>
      <c r="R197" s="9"/>
      <c r="S197" s="9"/>
      <c r="T197" s="9"/>
      <c r="U197" s="9"/>
      <c r="V197" s="913"/>
      <c r="W197" s="913"/>
      <c r="X197" s="223"/>
      <c r="Y197" s="9"/>
      <c r="Z197" s="204"/>
      <c r="AA197" s="9"/>
      <c r="AB197" s="9"/>
      <c r="AC197" s="9"/>
      <c r="AD197" s="9"/>
    </row>
    <row r="198" ht="54.0" customHeight="1">
      <c r="A198" s="9"/>
      <c r="B198" s="694">
        <v>6.0</v>
      </c>
      <c r="C198" s="103">
        <v>45101.0</v>
      </c>
      <c r="D198" s="905">
        <v>1.715172901872E12</v>
      </c>
      <c r="E198" s="694" t="s">
        <v>1931</v>
      </c>
      <c r="F198" s="156" t="s">
        <v>324</v>
      </c>
      <c r="G198" s="684" t="s">
        <v>45</v>
      </c>
      <c r="H198" s="93">
        <v>1.0</v>
      </c>
      <c r="I198" s="225"/>
      <c r="J198" s="225"/>
      <c r="K198" s="22"/>
      <c r="L198" s="9"/>
      <c r="M198" s="9"/>
      <c r="N198" s="9"/>
      <c r="O198" s="226"/>
      <c r="P198" s="9"/>
      <c r="Q198" s="9"/>
      <c r="R198" s="9"/>
      <c r="S198" s="9"/>
      <c r="T198" s="9"/>
      <c r="U198" s="9"/>
      <c r="V198" s="913"/>
      <c r="W198" s="913"/>
      <c r="X198" s="223"/>
      <c r="Y198" s="9"/>
      <c r="Z198" s="204"/>
      <c r="AA198" s="9"/>
      <c r="AB198" s="9"/>
      <c r="AC198" s="9"/>
      <c r="AD198" s="9"/>
    </row>
    <row r="199" ht="15.75" customHeight="1">
      <c r="A199" s="9"/>
      <c r="B199" s="223"/>
      <c r="C199" s="397"/>
      <c r="D199" s="9"/>
      <c r="E199" s="223"/>
      <c r="F199" s="222"/>
      <c r="G199" s="223"/>
      <c r="H199" s="224"/>
      <c r="I199" s="225"/>
      <c r="J199" s="225"/>
      <c r="K199" s="22"/>
      <c r="L199" s="9"/>
      <c r="M199" s="9"/>
      <c r="N199" s="9"/>
      <c r="O199" s="226"/>
      <c r="P199" s="9"/>
      <c r="Q199" s="9"/>
      <c r="R199" s="9"/>
      <c r="S199" s="9"/>
      <c r="T199" s="9"/>
      <c r="U199" s="9"/>
      <c r="V199" s="913"/>
      <c r="W199" s="913"/>
      <c r="X199" s="223"/>
      <c r="Y199" s="9"/>
      <c r="Z199" s="204"/>
      <c r="AA199" s="9"/>
      <c r="AB199" s="9"/>
      <c r="AC199" s="9"/>
      <c r="AD199" s="9"/>
    </row>
    <row r="200" ht="15.75" customHeight="1">
      <c r="A200" s="9"/>
      <c r="B200" s="223"/>
      <c r="C200" s="397"/>
      <c r="D200" s="9"/>
      <c r="E200" s="223"/>
      <c r="F200" s="222"/>
      <c r="G200" s="223"/>
      <c r="H200" s="224"/>
      <c r="I200" s="225"/>
      <c r="J200" s="225"/>
      <c r="K200" s="22"/>
      <c r="L200" s="9"/>
      <c r="M200" s="9"/>
      <c r="N200" s="9"/>
      <c r="O200" s="226"/>
      <c r="P200" s="9"/>
      <c r="Q200" s="9"/>
      <c r="R200" s="9"/>
      <c r="S200" s="9"/>
      <c r="T200" s="9"/>
      <c r="U200" s="9"/>
      <c r="V200" s="913"/>
      <c r="W200" s="913"/>
      <c r="X200" s="223"/>
      <c r="Y200" s="9"/>
      <c r="Z200" s="204"/>
      <c r="AA200" s="9"/>
      <c r="AB200" s="9"/>
      <c r="AC200" s="9"/>
      <c r="AD200" s="9"/>
    </row>
    <row r="201" ht="15.75" customHeight="1">
      <c r="A201" s="9"/>
      <c r="B201" s="223"/>
      <c r="C201" s="397"/>
      <c r="D201" s="9"/>
      <c r="E201" s="223"/>
      <c r="F201" s="222"/>
      <c r="G201" s="223"/>
      <c r="H201" s="224"/>
      <c r="I201" s="225"/>
      <c r="J201" s="225"/>
      <c r="K201" s="22"/>
      <c r="L201" s="9"/>
      <c r="M201" s="9"/>
      <c r="N201" s="9"/>
      <c r="O201" s="226"/>
      <c r="P201" s="9"/>
      <c r="Q201" s="9"/>
      <c r="R201" s="9"/>
      <c r="S201" s="9"/>
      <c r="T201" s="9"/>
      <c r="U201" s="9"/>
      <c r="V201" s="913"/>
      <c r="W201" s="913"/>
      <c r="X201" s="223"/>
      <c r="Y201" s="9"/>
      <c r="Z201" s="204"/>
      <c r="AA201" s="9"/>
      <c r="AB201" s="9"/>
      <c r="AC201" s="9"/>
      <c r="AD201" s="9"/>
    </row>
    <row r="202" ht="15.75" customHeight="1">
      <c r="A202" s="9"/>
      <c r="B202" s="223"/>
      <c r="C202" s="397"/>
      <c r="D202" s="9"/>
      <c r="E202" s="223"/>
      <c r="F202" s="222"/>
      <c r="G202" s="223"/>
      <c r="H202" s="224"/>
      <c r="I202" s="225"/>
      <c r="J202" s="225"/>
      <c r="K202" s="22"/>
      <c r="L202" s="9"/>
      <c r="M202" s="9"/>
      <c r="N202" s="9"/>
      <c r="O202" s="226"/>
      <c r="P202" s="9"/>
      <c r="Q202" s="9"/>
      <c r="R202" s="9"/>
      <c r="S202" s="9"/>
      <c r="T202" s="9"/>
      <c r="U202" s="9"/>
      <c r="V202" s="913"/>
      <c r="W202" s="913"/>
      <c r="X202" s="223"/>
      <c r="Y202" s="9"/>
      <c r="Z202" s="204"/>
      <c r="AA202" s="9"/>
      <c r="AB202" s="9"/>
      <c r="AC202" s="9"/>
      <c r="AD202" s="9"/>
    </row>
    <row r="203" ht="15.75" customHeight="1">
      <c r="A203" s="9"/>
      <c r="B203" s="223"/>
      <c r="C203" s="397"/>
      <c r="D203" s="9"/>
      <c r="E203" s="223"/>
      <c r="F203" s="222"/>
      <c r="G203" s="223"/>
      <c r="H203" s="224"/>
      <c r="I203" s="225"/>
      <c r="J203" s="225"/>
      <c r="K203" s="22"/>
      <c r="L203" s="9"/>
      <c r="M203" s="9"/>
      <c r="N203" s="9"/>
      <c r="O203" s="226"/>
      <c r="P203" s="9"/>
      <c r="Q203" s="9"/>
      <c r="R203" s="9"/>
      <c r="S203" s="9"/>
      <c r="T203" s="9"/>
      <c r="U203" s="9"/>
      <c r="V203" s="913"/>
      <c r="W203" s="913"/>
      <c r="X203" s="223"/>
      <c r="Y203" s="9"/>
      <c r="Z203" s="204"/>
      <c r="AA203" s="9"/>
      <c r="AB203" s="9"/>
      <c r="AC203" s="9"/>
      <c r="AD203" s="9"/>
    </row>
    <row r="204" ht="15.75" customHeight="1">
      <c r="A204" s="9"/>
      <c r="B204" s="223"/>
      <c r="C204" s="397"/>
      <c r="D204" s="9"/>
      <c r="E204" s="223"/>
      <c r="F204" s="222"/>
      <c r="G204" s="223"/>
      <c r="H204" s="224"/>
      <c r="I204" s="225"/>
      <c r="J204" s="225"/>
      <c r="K204" s="22"/>
      <c r="L204" s="9"/>
      <c r="M204" s="9"/>
      <c r="N204" s="9"/>
      <c r="O204" s="226"/>
      <c r="P204" s="9"/>
      <c r="Q204" s="9"/>
      <c r="R204" s="9"/>
      <c r="S204" s="9"/>
      <c r="T204" s="9"/>
      <c r="U204" s="9"/>
      <c r="V204" s="913"/>
      <c r="W204" s="913"/>
      <c r="X204" s="223"/>
      <c r="Y204" s="9"/>
      <c r="Z204" s="204"/>
      <c r="AA204" s="9"/>
      <c r="AB204" s="9"/>
      <c r="AC204" s="9"/>
      <c r="AD204" s="9"/>
    </row>
    <row r="205" ht="15.75" customHeight="1">
      <c r="A205" s="9"/>
      <c r="B205" s="223"/>
      <c r="C205" s="397"/>
      <c r="D205" s="9"/>
      <c r="E205" s="223"/>
      <c r="F205" s="222"/>
      <c r="G205" s="223"/>
      <c r="H205" s="224"/>
      <c r="I205" s="225"/>
      <c r="J205" s="225"/>
      <c r="K205" s="22"/>
      <c r="L205" s="9"/>
      <c r="M205" s="9"/>
      <c r="N205" s="9"/>
      <c r="O205" s="226"/>
      <c r="P205" s="9"/>
      <c r="Q205" s="9"/>
      <c r="R205" s="9"/>
      <c r="S205" s="9"/>
      <c r="T205" s="9"/>
      <c r="U205" s="9"/>
      <c r="V205" s="913"/>
      <c r="W205" s="913"/>
      <c r="X205" s="223"/>
      <c r="Y205" s="9"/>
      <c r="Z205" s="204"/>
      <c r="AA205" s="9"/>
      <c r="AB205" s="9"/>
      <c r="AC205" s="9"/>
      <c r="AD205" s="9"/>
    </row>
    <row r="206" ht="15.75" customHeight="1">
      <c r="A206" s="9"/>
      <c r="B206" s="223"/>
      <c r="C206" s="397"/>
      <c r="D206" s="9"/>
      <c r="E206" s="223"/>
      <c r="F206" s="222"/>
      <c r="G206" s="223"/>
      <c r="H206" s="224"/>
      <c r="I206" s="225"/>
      <c r="J206" s="225"/>
      <c r="K206" s="22"/>
      <c r="L206" s="9"/>
      <c r="M206" s="9"/>
      <c r="N206" s="9"/>
      <c r="O206" s="226"/>
      <c r="P206" s="9"/>
      <c r="Q206" s="9"/>
      <c r="R206" s="9"/>
      <c r="S206" s="9"/>
      <c r="T206" s="9"/>
      <c r="U206" s="9"/>
      <c r="V206" s="913"/>
      <c r="W206" s="913"/>
      <c r="X206" s="223"/>
      <c r="Y206" s="9"/>
      <c r="Z206" s="204"/>
      <c r="AA206" s="9"/>
      <c r="AB206" s="9"/>
      <c r="AC206" s="9"/>
      <c r="AD206" s="9"/>
    </row>
    <row r="207" ht="15.75" customHeight="1">
      <c r="A207" s="9"/>
      <c r="B207" s="9"/>
      <c r="C207" s="9"/>
      <c r="D207" s="9"/>
      <c r="E207" s="223"/>
      <c r="F207" s="9"/>
      <c r="G207" s="9"/>
      <c r="H207" s="9"/>
      <c r="I207" s="9"/>
      <c r="J207" s="9"/>
      <c r="K207" s="9"/>
      <c r="L207" s="9"/>
      <c r="M207" s="9"/>
      <c r="N207" s="9"/>
      <c r="O207" s="9"/>
      <c r="P207" s="9"/>
      <c r="Q207" s="9"/>
      <c r="R207" s="9"/>
      <c r="S207" s="9"/>
      <c r="T207" s="9"/>
      <c r="U207" s="9"/>
      <c r="V207" s="9"/>
      <c r="W207" s="9"/>
      <c r="X207" s="223"/>
      <c r="Y207" s="9"/>
      <c r="Z207" s="204"/>
      <c r="AA207" s="9"/>
      <c r="AB207" s="9"/>
      <c r="AC207" s="9"/>
      <c r="AD207" s="9"/>
    </row>
    <row r="208" ht="15.75" customHeight="1">
      <c r="A208" s="9"/>
      <c r="B208" s="9"/>
      <c r="C208" s="9"/>
      <c r="D208" s="9"/>
      <c r="E208" s="223"/>
      <c r="F208" s="9"/>
      <c r="G208" s="9"/>
      <c r="H208" s="9"/>
      <c r="I208" s="9"/>
      <c r="J208" s="9"/>
      <c r="K208" s="9"/>
      <c r="L208" s="9"/>
      <c r="M208" s="9"/>
      <c r="N208" s="9"/>
      <c r="O208" s="9"/>
      <c r="P208" s="9"/>
      <c r="Q208" s="9"/>
      <c r="R208" s="9"/>
      <c r="S208" s="9"/>
      <c r="T208" s="9"/>
      <c r="U208" s="9"/>
      <c r="V208" s="9"/>
      <c r="W208" s="9"/>
      <c r="X208" s="223"/>
      <c r="Y208" s="9"/>
      <c r="Z208" s="204"/>
      <c r="AA208" s="9"/>
      <c r="AB208" s="9"/>
      <c r="AC208" s="9"/>
      <c r="AD208" s="9"/>
    </row>
    <row r="209" ht="15.75" customHeight="1">
      <c r="A209" s="9"/>
      <c r="B209" s="9"/>
      <c r="C209" s="9"/>
      <c r="D209" s="9"/>
      <c r="E209" s="223"/>
      <c r="F209" s="9"/>
      <c r="G209" s="9"/>
      <c r="H209" s="9"/>
      <c r="I209" s="9"/>
      <c r="J209" s="9"/>
      <c r="K209" s="9"/>
      <c r="L209" s="9"/>
      <c r="M209" s="9"/>
      <c r="N209" s="9"/>
      <c r="O209" s="9"/>
      <c r="P209" s="9"/>
      <c r="Q209" s="9"/>
      <c r="R209" s="9"/>
      <c r="S209" s="9"/>
      <c r="T209" s="9"/>
      <c r="U209" s="9"/>
      <c r="V209" s="9"/>
      <c r="W209" s="9"/>
      <c r="X209" s="223"/>
      <c r="Y209" s="9"/>
      <c r="Z209" s="204"/>
      <c r="AA209" s="9"/>
      <c r="AB209" s="9"/>
      <c r="AC209" s="9"/>
      <c r="AD209" s="9"/>
    </row>
    <row r="210" ht="15.75" customHeight="1">
      <c r="A210" s="9"/>
      <c r="B210" s="9"/>
      <c r="C210" s="9"/>
      <c r="D210" s="9"/>
      <c r="E210" s="223"/>
      <c r="F210" s="9"/>
      <c r="G210" s="9"/>
      <c r="H210" s="9"/>
      <c r="I210" s="9"/>
      <c r="J210" s="9"/>
      <c r="K210" s="9"/>
      <c r="L210" s="9"/>
      <c r="M210" s="9"/>
      <c r="N210" s="9"/>
      <c r="O210" s="9"/>
      <c r="P210" s="9"/>
      <c r="Q210" s="9"/>
      <c r="R210" s="9"/>
      <c r="S210" s="9"/>
      <c r="T210" s="9"/>
      <c r="U210" s="9"/>
      <c r="V210" s="9"/>
      <c r="W210" s="9"/>
      <c r="X210" s="223"/>
      <c r="Y210" s="9"/>
      <c r="Z210" s="204"/>
      <c r="AA210" s="9"/>
      <c r="AB210" s="9"/>
      <c r="AC210" s="9"/>
      <c r="AD210" s="9"/>
    </row>
    <row r="211" ht="15.75" customHeight="1">
      <c r="A211" s="9"/>
      <c r="B211" s="9"/>
      <c r="C211" s="9"/>
      <c r="D211" s="9"/>
      <c r="E211" s="223"/>
      <c r="F211" s="9"/>
      <c r="G211" s="9"/>
      <c r="H211" s="9"/>
      <c r="I211" s="9"/>
      <c r="J211" s="9"/>
      <c r="K211" s="9"/>
      <c r="L211" s="9"/>
      <c r="M211" s="9"/>
      <c r="N211" s="9"/>
      <c r="O211" s="9"/>
      <c r="P211" s="9"/>
      <c r="Q211" s="9"/>
      <c r="R211" s="9"/>
      <c r="S211" s="9"/>
      <c r="T211" s="9"/>
      <c r="U211" s="9"/>
      <c r="V211" s="9"/>
      <c r="W211" s="9"/>
      <c r="X211" s="223"/>
      <c r="Y211" s="9"/>
      <c r="Z211" s="204"/>
      <c r="AA211" s="9"/>
      <c r="AB211" s="9"/>
      <c r="AC211" s="9"/>
      <c r="AD211" s="9"/>
    </row>
    <row r="212" ht="15.75" customHeight="1">
      <c r="A212" s="9"/>
      <c r="B212" s="9"/>
      <c r="C212" s="9"/>
      <c r="D212" s="9"/>
      <c r="E212" s="223"/>
      <c r="F212" s="9"/>
      <c r="G212" s="9"/>
      <c r="H212" s="9"/>
      <c r="I212" s="9"/>
      <c r="J212" s="9"/>
      <c r="K212" s="9"/>
      <c r="L212" s="9"/>
      <c r="M212" s="9"/>
      <c r="N212" s="9"/>
      <c r="O212" s="9"/>
      <c r="P212" s="9"/>
      <c r="Q212" s="9"/>
      <c r="R212" s="9"/>
      <c r="S212" s="9"/>
      <c r="T212" s="9"/>
      <c r="U212" s="9"/>
      <c r="V212" s="9"/>
      <c r="W212" s="9"/>
      <c r="X212" s="223"/>
      <c r="Y212" s="9"/>
      <c r="Z212" s="204"/>
      <c r="AA212" s="9"/>
      <c r="AB212" s="9"/>
      <c r="AC212" s="9"/>
      <c r="AD212" s="9"/>
    </row>
    <row r="213" ht="15.75" customHeight="1">
      <c r="A213" s="9"/>
      <c r="B213" s="9"/>
      <c r="C213" s="9"/>
      <c r="D213" s="9"/>
      <c r="E213" s="223"/>
      <c r="F213" s="9"/>
      <c r="G213" s="9"/>
      <c r="H213" s="9"/>
      <c r="I213" s="9"/>
      <c r="J213" s="9"/>
      <c r="K213" s="9"/>
      <c r="L213" s="9"/>
      <c r="M213" s="9"/>
      <c r="N213" s="9"/>
      <c r="O213" s="9"/>
      <c r="P213" s="9"/>
      <c r="Q213" s="9"/>
      <c r="R213" s="9"/>
      <c r="S213" s="9"/>
      <c r="T213" s="9"/>
      <c r="U213" s="9"/>
      <c r="V213" s="9"/>
      <c r="W213" s="9"/>
      <c r="X213" s="223"/>
      <c r="Y213" s="9"/>
      <c r="Z213" s="204"/>
      <c r="AA213" s="9"/>
      <c r="AB213" s="9"/>
      <c r="AC213" s="9"/>
      <c r="AD213" s="9"/>
    </row>
    <row r="214" ht="15.75" customHeight="1">
      <c r="A214" s="9"/>
      <c r="B214" s="9"/>
      <c r="C214" s="9"/>
      <c r="D214" s="9"/>
      <c r="E214" s="223"/>
      <c r="F214" s="9"/>
      <c r="G214" s="9"/>
      <c r="H214" s="9"/>
      <c r="I214" s="9"/>
      <c r="J214" s="9"/>
      <c r="K214" s="9"/>
      <c r="L214" s="9"/>
      <c r="M214" s="9"/>
      <c r="N214" s="9"/>
      <c r="O214" s="9"/>
      <c r="P214" s="9"/>
      <c r="Q214" s="9"/>
      <c r="R214" s="9"/>
      <c r="S214" s="9"/>
      <c r="T214" s="9"/>
      <c r="U214" s="9"/>
      <c r="V214" s="9"/>
      <c r="W214" s="9"/>
      <c r="X214" s="223"/>
      <c r="Y214" s="9"/>
      <c r="Z214" s="204"/>
      <c r="AA214" s="9"/>
      <c r="AB214" s="9"/>
      <c r="AC214" s="9"/>
      <c r="AD214" s="9"/>
    </row>
    <row r="215" ht="15.75" customHeight="1">
      <c r="A215" s="9"/>
      <c r="B215" s="9"/>
      <c r="C215" s="9"/>
      <c r="D215" s="9"/>
      <c r="E215" s="223"/>
      <c r="F215" s="9"/>
      <c r="G215" s="9"/>
      <c r="H215" s="9"/>
      <c r="I215" s="9"/>
      <c r="J215" s="9"/>
      <c r="K215" s="9"/>
      <c r="L215" s="9"/>
      <c r="M215" s="9"/>
      <c r="N215" s="9"/>
      <c r="O215" s="9"/>
      <c r="P215" s="9"/>
      <c r="Q215" s="9"/>
      <c r="R215" s="9"/>
      <c r="S215" s="9"/>
      <c r="T215" s="9"/>
      <c r="U215" s="9"/>
      <c r="V215" s="9"/>
      <c r="W215" s="9"/>
      <c r="X215" s="223"/>
      <c r="Y215" s="9"/>
      <c r="Z215" s="204"/>
      <c r="AA215" s="9"/>
      <c r="AB215" s="9"/>
      <c r="AC215" s="9"/>
      <c r="AD215" s="9"/>
    </row>
    <row r="216" ht="15.75" customHeight="1">
      <c r="A216" s="9"/>
      <c r="B216" s="9"/>
      <c r="C216" s="9"/>
      <c r="D216" s="9"/>
      <c r="E216" s="223"/>
      <c r="F216" s="9"/>
      <c r="G216" s="9"/>
      <c r="H216" s="9"/>
      <c r="I216" s="9"/>
      <c r="J216" s="9"/>
      <c r="K216" s="9"/>
      <c r="L216" s="9"/>
      <c r="M216" s="9"/>
      <c r="N216" s="9"/>
      <c r="O216" s="9"/>
      <c r="P216" s="9"/>
      <c r="Q216" s="9"/>
      <c r="R216" s="9"/>
      <c r="S216" s="9"/>
      <c r="T216" s="9"/>
      <c r="U216" s="9"/>
      <c r="V216" s="9"/>
      <c r="W216" s="9"/>
      <c r="X216" s="223"/>
      <c r="Y216" s="9"/>
      <c r="Z216" s="204"/>
      <c r="AA216" s="9"/>
      <c r="AB216" s="9"/>
      <c r="AC216" s="9"/>
      <c r="AD216" s="9"/>
    </row>
    <row r="217" ht="15.75" customHeight="1">
      <c r="A217" s="9"/>
      <c r="B217" s="9"/>
      <c r="C217" s="9"/>
      <c r="D217" s="9"/>
      <c r="E217" s="223"/>
      <c r="F217" s="9"/>
      <c r="G217" s="9"/>
      <c r="H217" s="9"/>
      <c r="I217" s="9"/>
      <c r="J217" s="9"/>
      <c r="K217" s="9"/>
      <c r="L217" s="9"/>
      <c r="M217" s="9"/>
      <c r="N217" s="9"/>
      <c r="O217" s="9"/>
      <c r="P217" s="9"/>
      <c r="Q217" s="9"/>
      <c r="R217" s="9"/>
      <c r="S217" s="9"/>
      <c r="T217" s="9"/>
      <c r="U217" s="9"/>
      <c r="V217" s="9"/>
      <c r="W217" s="9"/>
      <c r="X217" s="223"/>
      <c r="Y217" s="9"/>
      <c r="Z217" s="204"/>
      <c r="AA217" s="9"/>
      <c r="AB217" s="9"/>
      <c r="AC217" s="9"/>
      <c r="AD217" s="9"/>
    </row>
    <row r="218" ht="15.75" customHeight="1">
      <c r="A218" s="9"/>
      <c r="B218" s="9"/>
      <c r="C218" s="9"/>
      <c r="D218" s="9"/>
      <c r="E218" s="223"/>
      <c r="F218" s="9"/>
      <c r="G218" s="9"/>
      <c r="H218" s="9"/>
      <c r="I218" s="9"/>
      <c r="J218" s="9"/>
      <c r="K218" s="9"/>
      <c r="L218" s="9"/>
      <c r="M218" s="9"/>
      <c r="N218" s="9"/>
      <c r="O218" s="9"/>
      <c r="P218" s="9"/>
      <c r="Q218" s="9"/>
      <c r="R218" s="9"/>
      <c r="S218" s="9"/>
      <c r="T218" s="9"/>
      <c r="U218" s="9"/>
      <c r="V218" s="9"/>
      <c r="W218" s="9"/>
      <c r="X218" s="223"/>
      <c r="Y218" s="9"/>
      <c r="Z218" s="204"/>
      <c r="AA218" s="9"/>
      <c r="AB218" s="9"/>
      <c r="AC218" s="9"/>
      <c r="AD218" s="9"/>
    </row>
    <row r="219" ht="15.75" customHeight="1">
      <c r="A219" s="9"/>
      <c r="B219" s="9"/>
      <c r="C219" s="9"/>
      <c r="D219" s="9"/>
      <c r="E219" s="223"/>
      <c r="F219" s="9"/>
      <c r="G219" s="9"/>
      <c r="H219" s="9"/>
      <c r="I219" s="9"/>
      <c r="J219" s="9"/>
      <c r="K219" s="9"/>
      <c r="L219" s="9"/>
      <c r="M219" s="9"/>
      <c r="N219" s="9"/>
      <c r="O219" s="9"/>
      <c r="P219" s="9"/>
      <c r="Q219" s="9"/>
      <c r="R219" s="9"/>
      <c r="S219" s="9"/>
      <c r="T219" s="9"/>
      <c r="U219" s="9"/>
      <c r="V219" s="9"/>
      <c r="W219" s="9"/>
      <c r="X219" s="223"/>
      <c r="Y219" s="9"/>
      <c r="Z219" s="204"/>
      <c r="AA219" s="9"/>
      <c r="AB219" s="9"/>
      <c r="AC219" s="9"/>
      <c r="AD219" s="9"/>
    </row>
    <row r="220" ht="15.75" customHeight="1">
      <c r="A220" s="9"/>
      <c r="B220" s="9"/>
      <c r="C220" s="9"/>
      <c r="D220" s="9"/>
      <c r="E220" s="223"/>
      <c r="F220" s="9"/>
      <c r="G220" s="9"/>
      <c r="H220" s="9"/>
      <c r="I220" s="9"/>
      <c r="J220" s="9"/>
      <c r="K220" s="9"/>
      <c r="L220" s="9"/>
      <c r="M220" s="9"/>
      <c r="N220" s="9"/>
      <c r="O220" s="9"/>
      <c r="P220" s="9"/>
      <c r="Q220" s="9"/>
      <c r="R220" s="9"/>
      <c r="S220" s="9"/>
      <c r="T220" s="9"/>
      <c r="U220" s="9"/>
      <c r="V220" s="9"/>
      <c r="W220" s="9"/>
      <c r="X220" s="223"/>
      <c r="Y220" s="9"/>
      <c r="Z220" s="204"/>
      <c r="AA220" s="9"/>
      <c r="AB220" s="9"/>
      <c r="AC220" s="9"/>
      <c r="AD220" s="9"/>
    </row>
    <row r="221" ht="15.75" customHeight="1">
      <c r="A221" s="9"/>
      <c r="B221" s="9"/>
      <c r="C221" s="9"/>
      <c r="D221" s="9"/>
      <c r="E221" s="223"/>
      <c r="F221" s="9"/>
      <c r="G221" s="9"/>
      <c r="H221" s="9"/>
      <c r="I221" s="9"/>
      <c r="J221" s="9"/>
      <c r="K221" s="9"/>
      <c r="L221" s="9"/>
      <c r="M221" s="9"/>
      <c r="N221" s="9"/>
      <c r="O221" s="9"/>
      <c r="P221" s="9"/>
      <c r="Q221" s="9"/>
      <c r="R221" s="9"/>
      <c r="S221" s="9"/>
      <c r="T221" s="9"/>
      <c r="U221" s="9"/>
      <c r="V221" s="9"/>
      <c r="W221" s="9"/>
      <c r="X221" s="223"/>
      <c r="Y221" s="9"/>
      <c r="Z221" s="204"/>
      <c r="AA221" s="9"/>
      <c r="AB221" s="9"/>
      <c r="AC221" s="9"/>
      <c r="AD221" s="9"/>
    </row>
    <row r="222" ht="15.75" customHeight="1">
      <c r="A222" s="9"/>
      <c r="B222" s="9"/>
      <c r="C222" s="9"/>
      <c r="D222" s="9"/>
      <c r="E222" s="223"/>
      <c r="F222" s="9"/>
      <c r="G222" s="9"/>
      <c r="H222" s="9"/>
      <c r="I222" s="9"/>
      <c r="J222" s="9"/>
      <c r="K222" s="9"/>
      <c r="L222" s="9"/>
      <c r="M222" s="9"/>
      <c r="N222" s="9"/>
      <c r="O222" s="9"/>
      <c r="P222" s="9"/>
      <c r="Q222" s="9"/>
      <c r="R222" s="9"/>
      <c r="S222" s="9"/>
      <c r="T222" s="9"/>
      <c r="U222" s="9"/>
      <c r="V222" s="9"/>
      <c r="W222" s="9"/>
      <c r="X222" s="223"/>
      <c r="Y222" s="9"/>
      <c r="Z222" s="204"/>
      <c r="AA222" s="9"/>
      <c r="AB222" s="9"/>
      <c r="AC222" s="9"/>
      <c r="AD222" s="9"/>
    </row>
    <row r="223" ht="15.75" customHeight="1">
      <c r="A223" s="9"/>
      <c r="B223" s="9"/>
      <c r="C223" s="9"/>
      <c r="D223" s="9"/>
      <c r="E223" s="223"/>
      <c r="F223" s="9"/>
      <c r="G223" s="9"/>
      <c r="H223" s="9"/>
      <c r="I223" s="9"/>
      <c r="J223" s="9"/>
      <c r="K223" s="9"/>
      <c r="L223" s="9"/>
      <c r="M223" s="9"/>
      <c r="N223" s="9"/>
      <c r="O223" s="9"/>
      <c r="P223" s="9"/>
      <c r="Q223" s="9"/>
      <c r="R223" s="9"/>
      <c r="S223" s="9"/>
      <c r="T223" s="9"/>
      <c r="U223" s="9"/>
      <c r="V223" s="9"/>
      <c r="W223" s="9"/>
      <c r="X223" s="223"/>
      <c r="Y223" s="9"/>
      <c r="Z223" s="204"/>
      <c r="AA223" s="9"/>
      <c r="AB223" s="9"/>
      <c r="AC223" s="9"/>
      <c r="AD223" s="9"/>
    </row>
    <row r="224" ht="15.75" customHeight="1">
      <c r="A224" s="9"/>
      <c r="B224" s="9"/>
      <c r="C224" s="9"/>
      <c r="D224" s="9"/>
      <c r="E224" s="223"/>
      <c r="F224" s="9"/>
      <c r="G224" s="9"/>
      <c r="H224" s="9"/>
      <c r="I224" s="9"/>
      <c r="J224" s="9"/>
      <c r="K224" s="9"/>
      <c r="L224" s="9"/>
      <c r="M224" s="9"/>
      <c r="N224" s="9"/>
      <c r="O224" s="9"/>
      <c r="P224" s="9"/>
      <c r="Q224" s="9"/>
      <c r="R224" s="9"/>
      <c r="S224" s="9"/>
      <c r="T224" s="9"/>
      <c r="U224" s="9"/>
      <c r="V224" s="9"/>
      <c r="W224" s="9"/>
      <c r="X224" s="223"/>
      <c r="Y224" s="9"/>
      <c r="Z224" s="204"/>
      <c r="AA224" s="9"/>
      <c r="AB224" s="9"/>
      <c r="AC224" s="9"/>
      <c r="AD224" s="9"/>
    </row>
    <row r="225" ht="15.75" customHeight="1">
      <c r="A225" s="9"/>
      <c r="B225" s="9"/>
      <c r="C225" s="9"/>
      <c r="D225" s="9"/>
      <c r="E225" s="223"/>
      <c r="F225" s="9"/>
      <c r="G225" s="9"/>
      <c r="H225" s="9"/>
      <c r="I225" s="9"/>
      <c r="J225" s="9"/>
      <c r="K225" s="9"/>
      <c r="L225" s="9"/>
      <c r="M225" s="9"/>
      <c r="N225" s="9"/>
      <c r="O225" s="9"/>
      <c r="P225" s="9"/>
      <c r="Q225" s="9"/>
      <c r="R225" s="9"/>
      <c r="S225" s="9"/>
      <c r="T225" s="9"/>
      <c r="U225" s="9"/>
      <c r="V225" s="9"/>
      <c r="W225" s="9"/>
      <c r="X225" s="223"/>
      <c r="Y225" s="9"/>
      <c r="Z225" s="204"/>
      <c r="AA225" s="9"/>
      <c r="AB225" s="9"/>
      <c r="AC225" s="9"/>
      <c r="AD225" s="9"/>
    </row>
    <row r="226" ht="15.75" customHeight="1">
      <c r="A226" s="9"/>
      <c r="B226" s="9"/>
      <c r="C226" s="9"/>
      <c r="D226" s="9"/>
      <c r="E226" s="223"/>
      <c r="F226" s="9"/>
      <c r="G226" s="9"/>
      <c r="H226" s="9"/>
      <c r="I226" s="9"/>
      <c r="J226" s="9"/>
      <c r="K226" s="9"/>
      <c r="L226" s="9"/>
      <c r="M226" s="9"/>
      <c r="N226" s="9"/>
      <c r="O226" s="9"/>
      <c r="P226" s="9"/>
      <c r="Q226" s="9"/>
      <c r="R226" s="9"/>
      <c r="S226" s="9"/>
      <c r="T226" s="9"/>
      <c r="U226" s="9"/>
      <c r="V226" s="9"/>
      <c r="W226" s="9"/>
      <c r="X226" s="223"/>
      <c r="Y226" s="9"/>
      <c r="Z226" s="204"/>
      <c r="AA226" s="9"/>
      <c r="AB226" s="9"/>
      <c r="AC226" s="9"/>
      <c r="AD226" s="9"/>
    </row>
    <row r="227" ht="15.75" customHeight="1">
      <c r="A227" s="9"/>
      <c r="B227" s="9"/>
      <c r="C227" s="9"/>
      <c r="D227" s="9"/>
      <c r="E227" s="223"/>
      <c r="F227" s="9"/>
      <c r="G227" s="9"/>
      <c r="H227" s="9"/>
      <c r="I227" s="9"/>
      <c r="J227" s="9"/>
      <c r="K227" s="9"/>
      <c r="L227" s="9"/>
      <c r="M227" s="9"/>
      <c r="N227" s="9"/>
      <c r="O227" s="9"/>
      <c r="P227" s="9"/>
      <c r="Q227" s="9"/>
      <c r="R227" s="9"/>
      <c r="S227" s="9"/>
      <c r="T227" s="9"/>
      <c r="U227" s="9"/>
      <c r="V227" s="9"/>
      <c r="W227" s="9"/>
      <c r="X227" s="223"/>
      <c r="Y227" s="9"/>
      <c r="Z227" s="204"/>
      <c r="AA227" s="9"/>
      <c r="AB227" s="9"/>
      <c r="AC227" s="9"/>
      <c r="AD227" s="9"/>
    </row>
    <row r="228" ht="15.75" customHeight="1">
      <c r="A228" s="9"/>
      <c r="B228" s="9"/>
      <c r="C228" s="9"/>
      <c r="D228" s="9"/>
      <c r="E228" s="223"/>
      <c r="F228" s="9"/>
      <c r="G228" s="9"/>
      <c r="H228" s="9"/>
      <c r="I228" s="9"/>
      <c r="J228" s="9"/>
      <c r="K228" s="9"/>
      <c r="L228" s="9"/>
      <c r="M228" s="9"/>
      <c r="N228" s="9"/>
      <c r="O228" s="9"/>
      <c r="P228" s="9"/>
      <c r="Q228" s="9"/>
      <c r="R228" s="9"/>
      <c r="S228" s="9"/>
      <c r="T228" s="9"/>
      <c r="U228" s="9"/>
      <c r="V228" s="9"/>
      <c r="W228" s="9"/>
      <c r="X228" s="223"/>
      <c r="Y228" s="9"/>
      <c r="Z228" s="204"/>
      <c r="AA228" s="9"/>
      <c r="AB228" s="9"/>
      <c r="AC228" s="9"/>
      <c r="AD228" s="9"/>
    </row>
    <row r="229" ht="15.75" customHeight="1">
      <c r="A229" s="9"/>
      <c r="B229" s="9"/>
      <c r="C229" s="9"/>
      <c r="D229" s="9"/>
      <c r="E229" s="223"/>
      <c r="F229" s="9"/>
      <c r="G229" s="9"/>
      <c r="H229" s="9"/>
      <c r="I229" s="9"/>
      <c r="J229" s="9"/>
      <c r="K229" s="9"/>
      <c r="L229" s="9"/>
      <c r="M229" s="9"/>
      <c r="N229" s="9"/>
      <c r="O229" s="9"/>
      <c r="P229" s="9"/>
      <c r="Q229" s="9"/>
      <c r="R229" s="9"/>
      <c r="S229" s="9"/>
      <c r="T229" s="9"/>
      <c r="U229" s="9"/>
      <c r="V229" s="9"/>
      <c r="W229" s="9"/>
      <c r="X229" s="223"/>
      <c r="Y229" s="9"/>
      <c r="Z229" s="204"/>
      <c r="AA229" s="9"/>
      <c r="AB229" s="9"/>
      <c r="AC229" s="9"/>
      <c r="AD229" s="9"/>
    </row>
    <row r="230" ht="15.75" customHeight="1">
      <c r="A230" s="9"/>
      <c r="B230" s="9"/>
      <c r="C230" s="9"/>
      <c r="D230" s="9"/>
      <c r="E230" s="223"/>
      <c r="F230" s="9"/>
      <c r="G230" s="9"/>
      <c r="H230" s="9"/>
      <c r="I230" s="9"/>
      <c r="J230" s="9"/>
      <c r="K230" s="9"/>
      <c r="L230" s="9"/>
      <c r="M230" s="9"/>
      <c r="N230" s="9"/>
      <c r="O230" s="9"/>
      <c r="P230" s="9"/>
      <c r="Q230" s="9"/>
      <c r="R230" s="9"/>
      <c r="S230" s="9"/>
      <c r="T230" s="9"/>
      <c r="U230" s="9"/>
      <c r="V230" s="9"/>
      <c r="W230" s="9"/>
      <c r="X230" s="223"/>
      <c r="Y230" s="9"/>
      <c r="Z230" s="204"/>
      <c r="AA230" s="9"/>
      <c r="AB230" s="9"/>
      <c r="AC230" s="9"/>
      <c r="AD230" s="9"/>
    </row>
    <row r="231" ht="15.75" customHeight="1">
      <c r="A231" s="9"/>
      <c r="B231" s="9"/>
      <c r="C231" s="9"/>
      <c r="D231" s="9"/>
      <c r="E231" s="223"/>
      <c r="F231" s="9"/>
      <c r="G231" s="9"/>
      <c r="H231" s="9"/>
      <c r="I231" s="9"/>
      <c r="J231" s="9"/>
      <c r="K231" s="9"/>
      <c r="L231" s="9"/>
      <c r="M231" s="9"/>
      <c r="N231" s="9"/>
      <c r="O231" s="9"/>
      <c r="P231" s="9"/>
      <c r="Q231" s="9"/>
      <c r="R231" s="9"/>
      <c r="S231" s="9"/>
      <c r="T231" s="9"/>
      <c r="U231" s="9"/>
      <c r="V231" s="9"/>
      <c r="W231" s="9"/>
      <c r="X231" s="223"/>
      <c r="Y231" s="9"/>
      <c r="Z231" s="204"/>
      <c r="AA231" s="9"/>
      <c r="AB231" s="9"/>
      <c r="AC231" s="9"/>
      <c r="AD231" s="9"/>
    </row>
    <row r="232" ht="15.75" customHeight="1">
      <c r="A232" s="9"/>
      <c r="B232" s="9"/>
      <c r="C232" s="9"/>
      <c r="D232" s="9"/>
      <c r="E232" s="223"/>
      <c r="F232" s="9"/>
      <c r="G232" s="9"/>
      <c r="H232" s="9"/>
      <c r="I232" s="9"/>
      <c r="J232" s="9"/>
      <c r="K232" s="9"/>
      <c r="L232" s="9"/>
      <c r="M232" s="9"/>
      <c r="N232" s="9"/>
      <c r="O232" s="9"/>
      <c r="P232" s="9"/>
      <c r="Q232" s="9"/>
      <c r="R232" s="9"/>
      <c r="S232" s="9"/>
      <c r="T232" s="9"/>
      <c r="U232" s="9"/>
      <c r="V232" s="9"/>
      <c r="W232" s="9"/>
      <c r="X232" s="223"/>
      <c r="Y232" s="9"/>
      <c r="Z232" s="204"/>
      <c r="AA232" s="9"/>
      <c r="AB232" s="9"/>
      <c r="AC232" s="9"/>
      <c r="AD232" s="9"/>
    </row>
    <row r="233" ht="15.75" customHeight="1">
      <c r="A233" s="9"/>
      <c r="B233" s="9"/>
      <c r="C233" s="9"/>
      <c r="D233" s="9"/>
      <c r="E233" s="223"/>
      <c r="F233" s="9"/>
      <c r="G233" s="9"/>
      <c r="H233" s="9"/>
      <c r="I233" s="9"/>
      <c r="J233" s="9"/>
      <c r="K233" s="9"/>
      <c r="L233" s="9"/>
      <c r="M233" s="9"/>
      <c r="N233" s="9"/>
      <c r="O233" s="9"/>
      <c r="P233" s="9"/>
      <c r="Q233" s="9"/>
      <c r="R233" s="9"/>
      <c r="S233" s="9"/>
      <c r="T233" s="9"/>
      <c r="U233" s="9"/>
      <c r="V233" s="9"/>
      <c r="W233" s="9"/>
      <c r="X233" s="223"/>
      <c r="Y233" s="9"/>
      <c r="Z233" s="204"/>
      <c r="AA233" s="9"/>
      <c r="AB233" s="9"/>
      <c r="AC233" s="9"/>
      <c r="AD233" s="9"/>
    </row>
    <row r="234" ht="15.75" customHeight="1">
      <c r="A234" s="9"/>
      <c r="B234" s="9"/>
      <c r="C234" s="9"/>
      <c r="D234" s="9"/>
      <c r="E234" s="223"/>
      <c r="F234" s="9"/>
      <c r="G234" s="9"/>
      <c r="H234" s="9"/>
      <c r="I234" s="9"/>
      <c r="J234" s="9"/>
      <c r="K234" s="9"/>
      <c r="L234" s="9"/>
      <c r="M234" s="9"/>
      <c r="N234" s="9"/>
      <c r="O234" s="9"/>
      <c r="P234" s="9"/>
      <c r="Q234" s="9"/>
      <c r="R234" s="9"/>
      <c r="S234" s="9"/>
      <c r="T234" s="9"/>
      <c r="U234" s="9"/>
      <c r="V234" s="9"/>
      <c r="W234" s="9"/>
      <c r="X234" s="223"/>
      <c r="Y234" s="9"/>
      <c r="Z234" s="204"/>
      <c r="AA234" s="9"/>
      <c r="AB234" s="9"/>
      <c r="AC234" s="9"/>
      <c r="AD234" s="9"/>
    </row>
    <row r="235" ht="15.75" customHeight="1">
      <c r="A235" s="9"/>
      <c r="B235" s="9"/>
      <c r="C235" s="9"/>
      <c r="D235" s="9"/>
      <c r="E235" s="223"/>
      <c r="F235" s="9"/>
      <c r="G235" s="9"/>
      <c r="H235" s="9"/>
      <c r="I235" s="9"/>
      <c r="J235" s="9"/>
      <c r="K235" s="9"/>
      <c r="L235" s="9"/>
      <c r="M235" s="9"/>
      <c r="N235" s="9"/>
      <c r="O235" s="9"/>
      <c r="P235" s="9"/>
      <c r="Q235" s="9"/>
      <c r="R235" s="9"/>
      <c r="S235" s="9"/>
      <c r="T235" s="9"/>
      <c r="U235" s="9"/>
      <c r="V235" s="9"/>
      <c r="W235" s="9"/>
      <c r="X235" s="223"/>
      <c r="Y235" s="9"/>
      <c r="Z235" s="204"/>
      <c r="AA235" s="9"/>
      <c r="AB235" s="9"/>
      <c r="AC235" s="9"/>
      <c r="AD235" s="9"/>
    </row>
    <row r="236" ht="15.75" customHeight="1">
      <c r="A236" s="9"/>
      <c r="B236" s="9"/>
      <c r="C236" s="9"/>
      <c r="D236" s="9"/>
      <c r="E236" s="223"/>
      <c r="F236" s="9"/>
      <c r="G236" s="9"/>
      <c r="H236" s="9"/>
      <c r="I236" s="9"/>
      <c r="J236" s="9"/>
      <c r="K236" s="9"/>
      <c r="L236" s="9"/>
      <c r="M236" s="9"/>
      <c r="N236" s="9"/>
      <c r="O236" s="9"/>
      <c r="P236" s="9"/>
      <c r="Q236" s="9"/>
      <c r="R236" s="9"/>
      <c r="S236" s="9"/>
      <c r="T236" s="9"/>
      <c r="U236" s="9"/>
      <c r="V236" s="9"/>
      <c r="W236" s="9"/>
      <c r="X236" s="223"/>
      <c r="Y236" s="9"/>
      <c r="Z236" s="204"/>
      <c r="AA236" s="9"/>
      <c r="AB236" s="9"/>
      <c r="AC236" s="9"/>
      <c r="AD236" s="9"/>
    </row>
    <row r="237" ht="15.75" customHeight="1">
      <c r="A237" s="9"/>
      <c r="B237" s="9"/>
      <c r="C237" s="9"/>
      <c r="D237" s="9"/>
      <c r="E237" s="223"/>
      <c r="F237" s="9"/>
      <c r="G237" s="9"/>
      <c r="H237" s="9"/>
      <c r="I237" s="9"/>
      <c r="J237" s="9"/>
      <c r="K237" s="9"/>
      <c r="L237" s="9"/>
      <c r="M237" s="9"/>
      <c r="N237" s="9"/>
      <c r="O237" s="9"/>
      <c r="P237" s="9"/>
      <c r="Q237" s="9"/>
      <c r="R237" s="9"/>
      <c r="S237" s="9"/>
      <c r="T237" s="9"/>
      <c r="U237" s="9"/>
      <c r="V237" s="9"/>
      <c r="W237" s="9"/>
      <c r="X237" s="223"/>
      <c r="Y237" s="9"/>
      <c r="Z237" s="204"/>
      <c r="AA237" s="9"/>
      <c r="AB237" s="9"/>
      <c r="AC237" s="9"/>
      <c r="AD237" s="9"/>
    </row>
    <row r="238" ht="15.75" customHeight="1">
      <c r="A238" s="9"/>
      <c r="B238" s="9"/>
      <c r="C238" s="9"/>
      <c r="D238" s="9"/>
      <c r="E238" s="223"/>
      <c r="F238" s="9"/>
      <c r="G238" s="9"/>
      <c r="H238" s="9"/>
      <c r="I238" s="9"/>
      <c r="J238" s="9"/>
      <c r="K238" s="9"/>
      <c r="L238" s="9"/>
      <c r="M238" s="9"/>
      <c r="N238" s="9"/>
      <c r="O238" s="9"/>
      <c r="P238" s="9"/>
      <c r="Q238" s="9"/>
      <c r="R238" s="9"/>
      <c r="S238" s="9"/>
      <c r="T238" s="9"/>
      <c r="U238" s="9"/>
      <c r="V238" s="9"/>
      <c r="W238" s="9"/>
      <c r="X238" s="223"/>
      <c r="Y238" s="9"/>
      <c r="Z238" s="204"/>
      <c r="AA238" s="9"/>
      <c r="AB238" s="9"/>
      <c r="AC238" s="9"/>
      <c r="AD238" s="9"/>
    </row>
    <row r="239" ht="15.75" customHeight="1">
      <c r="A239" s="9"/>
      <c r="B239" s="9"/>
      <c r="C239" s="9"/>
      <c r="D239" s="9"/>
      <c r="E239" s="223"/>
      <c r="F239" s="9"/>
      <c r="G239" s="9"/>
      <c r="H239" s="9"/>
      <c r="I239" s="9"/>
      <c r="J239" s="9"/>
      <c r="K239" s="9"/>
      <c r="L239" s="9"/>
      <c r="M239" s="9"/>
      <c r="N239" s="9"/>
      <c r="O239" s="9"/>
      <c r="P239" s="9"/>
      <c r="Q239" s="9"/>
      <c r="R239" s="9"/>
      <c r="S239" s="9"/>
      <c r="T239" s="9"/>
      <c r="U239" s="9"/>
      <c r="V239" s="9"/>
      <c r="W239" s="9"/>
      <c r="X239" s="223"/>
      <c r="Y239" s="9"/>
      <c r="Z239" s="204"/>
      <c r="AA239" s="9"/>
      <c r="AB239" s="9"/>
      <c r="AC239" s="9"/>
      <c r="AD239" s="9"/>
    </row>
    <row r="240" ht="15.75" customHeight="1">
      <c r="A240" s="9"/>
      <c r="B240" s="9"/>
      <c r="C240" s="9"/>
      <c r="D240" s="9"/>
      <c r="E240" s="223"/>
      <c r="F240" s="9"/>
      <c r="G240" s="9"/>
      <c r="H240" s="9"/>
      <c r="I240" s="9"/>
      <c r="J240" s="9"/>
      <c r="K240" s="9"/>
      <c r="L240" s="9"/>
      <c r="M240" s="9"/>
      <c r="N240" s="9"/>
      <c r="O240" s="9"/>
      <c r="P240" s="9"/>
      <c r="Q240" s="9"/>
      <c r="R240" s="9"/>
      <c r="S240" s="9"/>
      <c r="T240" s="9"/>
      <c r="U240" s="9"/>
      <c r="V240" s="9"/>
      <c r="W240" s="9"/>
      <c r="X240" s="223"/>
      <c r="Y240" s="9"/>
      <c r="Z240" s="204"/>
      <c r="AA240" s="9"/>
      <c r="AB240" s="9"/>
      <c r="AC240" s="9"/>
      <c r="AD240" s="9"/>
    </row>
    <row r="241" ht="15.75" customHeight="1">
      <c r="A241" s="9"/>
      <c r="B241" s="9"/>
      <c r="C241" s="9"/>
      <c r="D241" s="9"/>
      <c r="E241" s="223"/>
      <c r="F241" s="9"/>
      <c r="G241" s="9"/>
      <c r="H241" s="9"/>
      <c r="I241" s="9"/>
      <c r="J241" s="9"/>
      <c r="K241" s="9"/>
      <c r="L241" s="9"/>
      <c r="M241" s="9"/>
      <c r="N241" s="9"/>
      <c r="O241" s="9"/>
      <c r="P241" s="9"/>
      <c r="Q241" s="9"/>
      <c r="R241" s="9"/>
      <c r="S241" s="9"/>
      <c r="T241" s="9"/>
      <c r="U241" s="9"/>
      <c r="V241" s="9"/>
      <c r="W241" s="9"/>
      <c r="X241" s="223"/>
      <c r="Y241" s="9"/>
      <c r="Z241" s="204"/>
      <c r="AA241" s="9"/>
      <c r="AB241" s="9"/>
      <c r="AC241" s="9"/>
      <c r="AD241" s="9"/>
    </row>
    <row r="242" ht="15.75" customHeight="1">
      <c r="A242" s="9"/>
      <c r="B242" s="9"/>
      <c r="C242" s="9"/>
      <c r="D242" s="9"/>
      <c r="E242" s="223"/>
      <c r="F242" s="9"/>
      <c r="G242" s="9"/>
      <c r="H242" s="9"/>
      <c r="I242" s="9"/>
      <c r="J242" s="9"/>
      <c r="K242" s="9"/>
      <c r="L242" s="9"/>
      <c r="M242" s="9"/>
      <c r="N242" s="9"/>
      <c r="O242" s="9"/>
      <c r="P242" s="9"/>
      <c r="Q242" s="9"/>
      <c r="R242" s="9"/>
      <c r="S242" s="9"/>
      <c r="T242" s="9"/>
      <c r="U242" s="9"/>
      <c r="V242" s="9"/>
      <c r="W242" s="9"/>
      <c r="X242" s="223"/>
      <c r="Y242" s="9"/>
      <c r="Z242" s="204"/>
      <c r="AA242" s="9"/>
      <c r="AB242" s="9"/>
      <c r="AC242" s="9"/>
      <c r="AD242" s="9"/>
    </row>
    <row r="243" ht="15.75" customHeight="1">
      <c r="A243" s="9"/>
      <c r="B243" s="9"/>
      <c r="C243" s="9"/>
      <c r="D243" s="9"/>
      <c r="E243" s="223"/>
      <c r="F243" s="9"/>
      <c r="G243" s="9"/>
      <c r="H243" s="9"/>
      <c r="I243" s="9"/>
      <c r="J243" s="9"/>
      <c r="K243" s="9"/>
      <c r="L243" s="9"/>
      <c r="M243" s="9"/>
      <c r="N243" s="9"/>
      <c r="O243" s="9"/>
      <c r="P243" s="9"/>
      <c r="Q243" s="9"/>
      <c r="R243" s="9"/>
      <c r="S243" s="9"/>
      <c r="T243" s="9"/>
      <c r="U243" s="9"/>
      <c r="V243" s="9"/>
      <c r="W243" s="9"/>
      <c r="X243" s="223"/>
      <c r="Y243" s="9"/>
      <c r="Z243" s="204"/>
      <c r="AA243" s="9"/>
      <c r="AB243" s="9"/>
      <c r="AC243" s="9"/>
      <c r="AD243" s="9"/>
    </row>
    <row r="244" ht="15.75" customHeight="1">
      <c r="A244" s="9"/>
      <c r="B244" s="9"/>
      <c r="C244" s="9"/>
      <c r="D244" s="9"/>
      <c r="E244" s="223"/>
      <c r="F244" s="9"/>
      <c r="G244" s="9"/>
      <c r="H244" s="9"/>
      <c r="I244" s="9"/>
      <c r="J244" s="9"/>
      <c r="K244" s="9"/>
      <c r="L244" s="9"/>
      <c r="M244" s="9"/>
      <c r="N244" s="9"/>
      <c r="O244" s="9"/>
      <c r="P244" s="9"/>
      <c r="Q244" s="9"/>
      <c r="R244" s="9"/>
      <c r="S244" s="9"/>
      <c r="T244" s="9"/>
      <c r="U244" s="9"/>
      <c r="V244" s="9"/>
      <c r="W244" s="9"/>
      <c r="X244" s="223"/>
      <c r="Y244" s="9"/>
      <c r="Z244" s="204"/>
      <c r="AA244" s="9"/>
      <c r="AB244" s="9"/>
      <c r="AC244" s="9"/>
      <c r="AD244" s="9"/>
    </row>
    <row r="245" ht="15.75" customHeight="1">
      <c r="A245" s="9"/>
      <c r="B245" s="9"/>
      <c r="C245" s="9"/>
      <c r="D245" s="9"/>
      <c r="E245" s="223"/>
      <c r="F245" s="9"/>
      <c r="G245" s="9"/>
      <c r="H245" s="9"/>
      <c r="I245" s="9"/>
      <c r="J245" s="9"/>
      <c r="K245" s="9"/>
      <c r="L245" s="9"/>
      <c r="M245" s="9"/>
      <c r="N245" s="9"/>
      <c r="O245" s="9"/>
      <c r="P245" s="9"/>
      <c r="Q245" s="9"/>
      <c r="R245" s="9"/>
      <c r="S245" s="9"/>
      <c r="T245" s="9"/>
      <c r="U245" s="9"/>
      <c r="V245" s="9"/>
      <c r="W245" s="9"/>
      <c r="X245" s="223"/>
      <c r="Y245" s="9"/>
      <c r="Z245" s="204"/>
      <c r="AA245" s="9"/>
      <c r="AB245" s="9"/>
      <c r="AC245" s="9"/>
      <c r="AD245" s="9"/>
    </row>
    <row r="246" ht="15.75" customHeight="1">
      <c r="A246" s="9"/>
      <c r="B246" s="9"/>
      <c r="C246" s="9"/>
      <c r="D246" s="9"/>
      <c r="E246" s="223"/>
      <c r="F246" s="9"/>
      <c r="G246" s="9"/>
      <c r="H246" s="9"/>
      <c r="I246" s="9"/>
      <c r="J246" s="9"/>
      <c r="K246" s="9"/>
      <c r="L246" s="9"/>
      <c r="M246" s="9"/>
      <c r="N246" s="9"/>
      <c r="O246" s="9"/>
      <c r="P246" s="9"/>
      <c r="Q246" s="9"/>
      <c r="R246" s="9"/>
      <c r="S246" s="9"/>
      <c r="T246" s="9"/>
      <c r="U246" s="9"/>
      <c r="V246" s="9"/>
      <c r="W246" s="9"/>
      <c r="X246" s="223"/>
      <c r="Y246" s="9"/>
      <c r="Z246" s="204"/>
      <c r="AA246" s="9"/>
      <c r="AB246" s="9"/>
      <c r="AC246" s="9"/>
      <c r="AD246" s="9"/>
    </row>
    <row r="247" ht="15.75" customHeight="1">
      <c r="A247" s="9"/>
      <c r="B247" s="9"/>
      <c r="C247" s="9"/>
      <c r="D247" s="9"/>
      <c r="E247" s="223"/>
      <c r="F247" s="9"/>
      <c r="G247" s="9"/>
      <c r="H247" s="9"/>
      <c r="I247" s="9"/>
      <c r="J247" s="9"/>
      <c r="K247" s="9"/>
      <c r="L247" s="9"/>
      <c r="M247" s="9"/>
      <c r="N247" s="9"/>
      <c r="O247" s="9"/>
      <c r="P247" s="9"/>
      <c r="Q247" s="9"/>
      <c r="R247" s="9"/>
      <c r="S247" s="9"/>
      <c r="T247" s="9"/>
      <c r="U247" s="9"/>
      <c r="V247" s="9"/>
      <c r="W247" s="9"/>
      <c r="X247" s="223"/>
      <c r="Y247" s="9"/>
      <c r="Z247" s="204"/>
      <c r="AA247" s="9"/>
      <c r="AB247" s="9"/>
      <c r="AC247" s="9"/>
      <c r="AD247" s="9"/>
    </row>
    <row r="248" ht="15.75" customHeight="1">
      <c r="A248" s="9"/>
      <c r="B248" s="9"/>
      <c r="C248" s="9"/>
      <c r="D248" s="9"/>
      <c r="E248" s="223"/>
      <c r="F248" s="9"/>
      <c r="G248" s="9"/>
      <c r="H248" s="9"/>
      <c r="I248" s="9"/>
      <c r="J248" s="9"/>
      <c r="K248" s="9"/>
      <c r="L248" s="9"/>
      <c r="M248" s="9"/>
      <c r="N248" s="9"/>
      <c r="O248" s="9"/>
      <c r="P248" s="9"/>
      <c r="Q248" s="9"/>
      <c r="R248" s="9"/>
      <c r="S248" s="9"/>
      <c r="T248" s="9"/>
      <c r="U248" s="9"/>
      <c r="V248" s="9"/>
      <c r="W248" s="9"/>
      <c r="X248" s="223"/>
      <c r="Y248" s="9"/>
      <c r="Z248" s="204"/>
      <c r="AA248" s="9"/>
      <c r="AB248" s="9"/>
      <c r="AC248" s="9"/>
      <c r="AD248" s="9"/>
    </row>
    <row r="249" ht="15.75" customHeight="1">
      <c r="A249" s="9"/>
      <c r="B249" s="9"/>
      <c r="C249" s="9"/>
      <c r="D249" s="9"/>
      <c r="E249" s="223"/>
      <c r="F249" s="9"/>
      <c r="G249" s="9"/>
      <c r="H249" s="9"/>
      <c r="I249" s="9"/>
      <c r="J249" s="9"/>
      <c r="K249" s="9"/>
      <c r="L249" s="9"/>
      <c r="M249" s="9"/>
      <c r="N249" s="9"/>
      <c r="O249" s="9"/>
      <c r="P249" s="9"/>
      <c r="Q249" s="9"/>
      <c r="R249" s="9"/>
      <c r="S249" s="9"/>
      <c r="T249" s="9"/>
      <c r="U249" s="9"/>
      <c r="V249" s="9"/>
      <c r="W249" s="9"/>
      <c r="X249" s="223"/>
      <c r="Y249" s="9"/>
      <c r="Z249" s="204"/>
      <c r="AA249" s="9"/>
      <c r="AB249" s="9"/>
      <c r="AC249" s="9"/>
      <c r="AD249" s="9"/>
    </row>
    <row r="250" ht="15.75" customHeight="1">
      <c r="A250" s="9"/>
      <c r="B250" s="9"/>
      <c r="C250" s="9"/>
      <c r="D250" s="9"/>
      <c r="E250" s="223"/>
      <c r="F250" s="9"/>
      <c r="G250" s="9"/>
      <c r="H250" s="9"/>
      <c r="I250" s="9"/>
      <c r="J250" s="9"/>
      <c r="K250" s="9"/>
      <c r="L250" s="9"/>
      <c r="M250" s="9"/>
      <c r="N250" s="9"/>
      <c r="O250" s="9"/>
      <c r="P250" s="9"/>
      <c r="Q250" s="9"/>
      <c r="R250" s="9"/>
      <c r="S250" s="9"/>
      <c r="T250" s="9"/>
      <c r="U250" s="9"/>
      <c r="V250" s="9"/>
      <c r="W250" s="9"/>
      <c r="X250" s="223"/>
      <c r="Y250" s="9"/>
      <c r="Z250" s="204"/>
      <c r="AA250" s="9"/>
      <c r="AB250" s="9"/>
      <c r="AC250" s="9"/>
      <c r="AD250" s="9"/>
    </row>
    <row r="251" ht="15.75" customHeight="1">
      <c r="A251" s="9"/>
      <c r="B251" s="9"/>
      <c r="C251" s="9"/>
      <c r="D251" s="9"/>
      <c r="E251" s="223"/>
      <c r="F251" s="9"/>
      <c r="G251" s="9"/>
      <c r="H251" s="9"/>
      <c r="I251" s="9"/>
      <c r="J251" s="9"/>
      <c r="K251" s="9"/>
      <c r="L251" s="9"/>
      <c r="M251" s="9"/>
      <c r="N251" s="9"/>
      <c r="O251" s="9"/>
      <c r="P251" s="9"/>
      <c r="Q251" s="9"/>
      <c r="R251" s="9"/>
      <c r="S251" s="9"/>
      <c r="T251" s="9"/>
      <c r="U251" s="9"/>
      <c r="V251" s="9"/>
      <c r="W251" s="9"/>
      <c r="X251" s="223"/>
      <c r="Y251" s="9"/>
      <c r="Z251" s="204"/>
      <c r="AA251" s="9"/>
      <c r="AB251" s="9"/>
      <c r="AC251" s="9"/>
      <c r="AD251" s="9"/>
    </row>
    <row r="252" ht="15.75" customHeight="1">
      <c r="A252" s="9"/>
      <c r="B252" s="9"/>
      <c r="C252" s="9"/>
      <c r="D252" s="9"/>
      <c r="E252" s="223"/>
      <c r="F252" s="9"/>
      <c r="G252" s="9"/>
      <c r="H252" s="9"/>
      <c r="I252" s="9"/>
      <c r="J252" s="9"/>
      <c r="K252" s="9"/>
      <c r="L252" s="9"/>
      <c r="M252" s="9"/>
      <c r="N252" s="9"/>
      <c r="O252" s="9"/>
      <c r="P252" s="9"/>
      <c r="Q252" s="9"/>
      <c r="R252" s="9"/>
      <c r="S252" s="9"/>
      <c r="T252" s="9"/>
      <c r="U252" s="9"/>
      <c r="V252" s="9"/>
      <c r="W252" s="9"/>
      <c r="X252" s="223"/>
      <c r="Y252" s="9"/>
      <c r="Z252" s="204"/>
      <c r="AA252" s="9"/>
      <c r="AB252" s="9"/>
      <c r="AC252" s="9"/>
      <c r="AD252" s="9"/>
    </row>
    <row r="253" ht="15.75" customHeight="1">
      <c r="A253" s="9"/>
      <c r="B253" s="9"/>
      <c r="C253" s="9"/>
      <c r="D253" s="9"/>
      <c r="E253" s="223"/>
      <c r="F253" s="9"/>
      <c r="G253" s="9"/>
      <c r="H253" s="9"/>
      <c r="I253" s="9"/>
      <c r="J253" s="9"/>
      <c r="K253" s="9"/>
      <c r="L253" s="9"/>
      <c r="M253" s="9"/>
      <c r="N253" s="9"/>
      <c r="O253" s="9"/>
      <c r="P253" s="9"/>
      <c r="Q253" s="9"/>
      <c r="R253" s="9"/>
      <c r="S253" s="9"/>
      <c r="T253" s="9"/>
      <c r="U253" s="9"/>
      <c r="V253" s="9"/>
      <c r="W253" s="9"/>
      <c r="X253" s="223"/>
      <c r="Y253" s="9"/>
      <c r="Z253" s="204"/>
      <c r="AA253" s="9"/>
      <c r="AB253" s="9"/>
      <c r="AC253" s="9"/>
      <c r="AD253" s="9"/>
    </row>
    <row r="254" ht="15.75" customHeight="1">
      <c r="A254" s="9"/>
      <c r="B254" s="9"/>
      <c r="C254" s="9"/>
      <c r="D254" s="9"/>
      <c r="E254" s="223"/>
      <c r="F254" s="9"/>
      <c r="G254" s="9"/>
      <c r="H254" s="9"/>
      <c r="I254" s="9"/>
      <c r="J254" s="9"/>
      <c r="K254" s="9"/>
      <c r="L254" s="9"/>
      <c r="M254" s="9"/>
      <c r="N254" s="9"/>
      <c r="O254" s="9"/>
      <c r="P254" s="9"/>
      <c r="Q254" s="9"/>
      <c r="R254" s="9"/>
      <c r="S254" s="9"/>
      <c r="T254" s="9"/>
      <c r="U254" s="9"/>
      <c r="V254" s="9"/>
      <c r="W254" s="9"/>
      <c r="X254" s="223"/>
      <c r="Y254" s="9"/>
      <c r="Z254" s="204"/>
      <c r="AA254" s="9"/>
      <c r="AB254" s="9"/>
      <c r="AC254" s="9"/>
      <c r="AD254" s="9"/>
    </row>
    <row r="255" ht="15.75" customHeight="1">
      <c r="A255" s="9"/>
      <c r="B255" s="9"/>
      <c r="C255" s="9"/>
      <c r="D255" s="9"/>
      <c r="E255" s="223"/>
      <c r="F255" s="9"/>
      <c r="G255" s="9"/>
      <c r="H255" s="9"/>
      <c r="I255" s="9"/>
      <c r="J255" s="9"/>
      <c r="K255" s="9"/>
      <c r="L255" s="9"/>
      <c r="M255" s="9"/>
      <c r="N255" s="9"/>
      <c r="O255" s="9"/>
      <c r="P255" s="9"/>
      <c r="Q255" s="9"/>
      <c r="R255" s="9"/>
      <c r="S255" s="9"/>
      <c r="T255" s="9"/>
      <c r="U255" s="9"/>
      <c r="V255" s="9"/>
      <c r="W255" s="9"/>
      <c r="X255" s="223"/>
      <c r="Y255" s="9"/>
      <c r="Z255" s="204"/>
      <c r="AA255" s="9"/>
      <c r="AB255" s="9"/>
      <c r="AC255" s="9"/>
      <c r="AD255" s="9"/>
    </row>
    <row r="256" ht="15.75" customHeight="1">
      <c r="A256" s="9"/>
      <c r="B256" s="9"/>
      <c r="C256" s="9"/>
      <c r="D256" s="9"/>
      <c r="E256" s="223"/>
      <c r="F256" s="9"/>
      <c r="G256" s="9"/>
      <c r="H256" s="9"/>
      <c r="I256" s="9"/>
      <c r="J256" s="9"/>
      <c r="K256" s="9"/>
      <c r="L256" s="9"/>
      <c r="M256" s="9"/>
      <c r="N256" s="9"/>
      <c r="O256" s="9"/>
      <c r="P256" s="9"/>
      <c r="Q256" s="9"/>
      <c r="R256" s="9"/>
      <c r="S256" s="9"/>
      <c r="T256" s="9"/>
      <c r="U256" s="9"/>
      <c r="V256" s="9"/>
      <c r="W256" s="9"/>
      <c r="X256" s="223"/>
      <c r="Y256" s="9"/>
      <c r="Z256" s="204"/>
      <c r="AA256" s="9"/>
      <c r="AB256" s="9"/>
      <c r="AC256" s="9"/>
      <c r="AD256" s="9"/>
    </row>
    <row r="257" ht="15.75" customHeight="1">
      <c r="A257" s="9"/>
      <c r="B257" s="9"/>
      <c r="C257" s="9"/>
      <c r="D257" s="9"/>
      <c r="E257" s="223"/>
      <c r="F257" s="9"/>
      <c r="G257" s="9"/>
      <c r="H257" s="9"/>
      <c r="I257" s="9"/>
      <c r="J257" s="9"/>
      <c r="K257" s="9"/>
      <c r="L257" s="9"/>
      <c r="M257" s="9"/>
      <c r="N257" s="9"/>
      <c r="O257" s="9"/>
      <c r="P257" s="9"/>
      <c r="Q257" s="9"/>
      <c r="R257" s="9"/>
      <c r="S257" s="9"/>
      <c r="T257" s="9"/>
      <c r="U257" s="9"/>
      <c r="V257" s="9"/>
      <c r="W257" s="9"/>
      <c r="X257" s="223"/>
      <c r="Y257" s="9"/>
      <c r="Z257" s="204"/>
      <c r="AA257" s="9"/>
      <c r="AB257" s="9"/>
      <c r="AC257" s="9"/>
      <c r="AD257" s="9"/>
    </row>
    <row r="258" ht="15.75" customHeight="1">
      <c r="A258" s="9"/>
      <c r="B258" s="9"/>
      <c r="C258" s="9"/>
      <c r="D258" s="9"/>
      <c r="E258" s="223"/>
      <c r="F258" s="9"/>
      <c r="G258" s="9"/>
      <c r="H258" s="9"/>
      <c r="I258" s="9"/>
      <c r="J258" s="9"/>
      <c r="K258" s="9"/>
      <c r="L258" s="9"/>
      <c r="M258" s="9"/>
      <c r="N258" s="9"/>
      <c r="O258" s="9"/>
      <c r="P258" s="9"/>
      <c r="Q258" s="9"/>
      <c r="R258" s="9"/>
      <c r="S258" s="9"/>
      <c r="T258" s="9"/>
      <c r="U258" s="9"/>
      <c r="V258" s="9"/>
      <c r="W258" s="9"/>
      <c r="X258" s="223"/>
      <c r="Y258" s="9"/>
      <c r="Z258" s="204"/>
      <c r="AA258" s="9"/>
      <c r="AB258" s="9"/>
      <c r="AC258" s="9"/>
      <c r="AD258" s="9"/>
    </row>
    <row r="259" ht="15.75" customHeight="1">
      <c r="A259" s="9"/>
      <c r="B259" s="9"/>
      <c r="C259" s="9"/>
      <c r="D259" s="9"/>
      <c r="E259" s="223"/>
      <c r="F259" s="9"/>
      <c r="G259" s="9"/>
      <c r="H259" s="9"/>
      <c r="I259" s="9"/>
      <c r="J259" s="9"/>
      <c r="K259" s="9"/>
      <c r="L259" s="9"/>
      <c r="M259" s="9"/>
      <c r="N259" s="9"/>
      <c r="O259" s="9"/>
      <c r="P259" s="9"/>
      <c r="Q259" s="9"/>
      <c r="R259" s="9"/>
      <c r="S259" s="9"/>
      <c r="T259" s="9"/>
      <c r="U259" s="9"/>
      <c r="V259" s="9"/>
      <c r="W259" s="9"/>
      <c r="X259" s="223"/>
      <c r="Y259" s="9"/>
      <c r="Z259" s="204"/>
      <c r="AA259" s="9"/>
      <c r="AB259" s="9"/>
      <c r="AC259" s="9"/>
      <c r="AD259" s="9"/>
    </row>
    <row r="260" ht="15.75" customHeight="1">
      <c r="A260" s="9"/>
      <c r="B260" s="9"/>
      <c r="C260" s="9"/>
      <c r="D260" s="9"/>
      <c r="E260" s="223"/>
      <c r="F260" s="9"/>
      <c r="G260" s="9"/>
      <c r="H260" s="9"/>
      <c r="I260" s="9"/>
      <c r="J260" s="9"/>
      <c r="K260" s="9"/>
      <c r="L260" s="9"/>
      <c r="M260" s="9"/>
      <c r="N260" s="9"/>
      <c r="O260" s="9"/>
      <c r="P260" s="9"/>
      <c r="Q260" s="9"/>
      <c r="R260" s="9"/>
      <c r="S260" s="9"/>
      <c r="T260" s="9"/>
      <c r="U260" s="9"/>
      <c r="V260" s="9"/>
      <c r="W260" s="9"/>
      <c r="X260" s="223"/>
      <c r="Y260" s="9"/>
      <c r="Z260" s="204"/>
      <c r="AA260" s="9"/>
      <c r="AB260" s="9"/>
      <c r="AC260" s="9"/>
      <c r="AD260" s="9"/>
    </row>
    <row r="261" ht="15.75" customHeight="1">
      <c r="A261" s="9"/>
      <c r="B261" s="9"/>
      <c r="C261" s="9"/>
      <c r="D261" s="9"/>
      <c r="E261" s="223"/>
      <c r="F261" s="9"/>
      <c r="G261" s="9"/>
      <c r="H261" s="9"/>
      <c r="I261" s="9"/>
      <c r="J261" s="9"/>
      <c r="K261" s="9"/>
      <c r="L261" s="9"/>
      <c r="M261" s="9"/>
      <c r="N261" s="9"/>
      <c r="O261" s="9"/>
      <c r="P261" s="9"/>
      <c r="Q261" s="9"/>
      <c r="R261" s="9"/>
      <c r="S261" s="9"/>
      <c r="T261" s="9"/>
      <c r="U261" s="9"/>
      <c r="V261" s="9"/>
      <c r="W261" s="9"/>
      <c r="X261" s="223"/>
      <c r="Y261" s="9"/>
      <c r="Z261" s="204"/>
      <c r="AA261" s="9"/>
      <c r="AB261" s="9"/>
      <c r="AC261" s="9"/>
      <c r="AD261" s="9"/>
    </row>
    <row r="262" ht="15.75" customHeight="1">
      <c r="A262" s="9"/>
      <c r="B262" s="9"/>
      <c r="C262" s="9"/>
      <c r="D262" s="9"/>
      <c r="E262" s="223"/>
      <c r="F262" s="9"/>
      <c r="G262" s="9"/>
      <c r="H262" s="9"/>
      <c r="I262" s="9"/>
      <c r="J262" s="9"/>
      <c r="K262" s="9"/>
      <c r="L262" s="9"/>
      <c r="M262" s="9"/>
      <c r="N262" s="9"/>
      <c r="O262" s="9"/>
      <c r="P262" s="9"/>
      <c r="Q262" s="9"/>
      <c r="R262" s="9"/>
      <c r="S262" s="9"/>
      <c r="T262" s="9"/>
      <c r="U262" s="9"/>
      <c r="V262" s="9"/>
      <c r="W262" s="9"/>
      <c r="X262" s="223"/>
      <c r="Y262" s="9"/>
      <c r="Z262" s="204"/>
      <c r="AA262" s="9"/>
      <c r="AB262" s="9"/>
      <c r="AC262" s="9"/>
      <c r="AD262" s="9"/>
    </row>
    <row r="263" ht="15.75" customHeight="1">
      <c r="A263" s="9"/>
      <c r="B263" s="9"/>
      <c r="C263" s="9"/>
      <c r="D263" s="9"/>
      <c r="E263" s="223"/>
      <c r="F263" s="9"/>
      <c r="G263" s="9"/>
      <c r="H263" s="9"/>
      <c r="I263" s="9"/>
      <c r="J263" s="9"/>
      <c r="K263" s="9"/>
      <c r="L263" s="9"/>
      <c r="M263" s="9"/>
      <c r="N263" s="9"/>
      <c r="O263" s="9"/>
      <c r="P263" s="9"/>
      <c r="Q263" s="9"/>
      <c r="R263" s="9"/>
      <c r="S263" s="9"/>
      <c r="T263" s="9"/>
      <c r="U263" s="9"/>
      <c r="V263" s="9"/>
      <c r="W263" s="9"/>
      <c r="X263" s="223"/>
      <c r="Y263" s="9"/>
      <c r="Z263" s="204"/>
      <c r="AA263" s="9"/>
      <c r="AB263" s="9"/>
      <c r="AC263" s="9"/>
      <c r="AD263" s="9"/>
    </row>
    <row r="264" ht="15.75" customHeight="1">
      <c r="A264" s="9"/>
      <c r="B264" s="9"/>
      <c r="C264" s="9"/>
      <c r="D264" s="9"/>
      <c r="E264" s="223"/>
      <c r="F264" s="9"/>
      <c r="G264" s="9"/>
      <c r="H264" s="9"/>
      <c r="I264" s="9"/>
      <c r="J264" s="9"/>
      <c r="K264" s="9"/>
      <c r="L264" s="9"/>
      <c r="M264" s="9"/>
      <c r="N264" s="9"/>
      <c r="O264" s="9"/>
      <c r="P264" s="9"/>
      <c r="Q264" s="9"/>
      <c r="R264" s="9"/>
      <c r="S264" s="9"/>
      <c r="T264" s="9"/>
      <c r="U264" s="9"/>
      <c r="V264" s="9"/>
      <c r="W264" s="9"/>
      <c r="X264" s="223"/>
      <c r="Y264" s="9"/>
      <c r="Z264" s="204"/>
      <c r="AA264" s="9"/>
      <c r="AB264" s="9"/>
      <c r="AC264" s="9"/>
      <c r="AD264" s="9"/>
    </row>
    <row r="265" ht="15.75" customHeight="1">
      <c r="A265" s="9"/>
      <c r="B265" s="9"/>
      <c r="C265" s="9"/>
      <c r="D265" s="9"/>
      <c r="E265" s="223"/>
      <c r="F265" s="9"/>
      <c r="G265" s="9"/>
      <c r="H265" s="9"/>
      <c r="I265" s="9"/>
      <c r="J265" s="9"/>
      <c r="K265" s="9"/>
      <c r="L265" s="9"/>
      <c r="M265" s="9"/>
      <c r="N265" s="9"/>
      <c r="O265" s="9"/>
      <c r="P265" s="9"/>
      <c r="Q265" s="9"/>
      <c r="R265" s="9"/>
      <c r="S265" s="9"/>
      <c r="T265" s="9"/>
      <c r="U265" s="9"/>
      <c r="V265" s="9"/>
      <c r="W265" s="9"/>
      <c r="X265" s="223"/>
      <c r="Y265" s="9"/>
      <c r="Z265" s="204"/>
      <c r="AA265" s="9"/>
      <c r="AB265" s="9"/>
      <c r="AC265" s="9"/>
      <c r="AD265" s="9"/>
    </row>
    <row r="266" ht="15.75" customHeight="1">
      <c r="A266" s="9"/>
      <c r="B266" s="9"/>
      <c r="C266" s="9"/>
      <c r="D266" s="9"/>
      <c r="E266" s="223"/>
      <c r="F266" s="9"/>
      <c r="G266" s="9"/>
      <c r="H266" s="9"/>
      <c r="I266" s="9"/>
      <c r="J266" s="9"/>
      <c r="K266" s="9"/>
      <c r="L266" s="9"/>
      <c r="M266" s="9"/>
      <c r="N266" s="9"/>
      <c r="O266" s="9"/>
      <c r="P266" s="9"/>
      <c r="Q266" s="9"/>
      <c r="R266" s="9"/>
      <c r="S266" s="9"/>
      <c r="T266" s="9"/>
      <c r="U266" s="9"/>
      <c r="V266" s="9"/>
      <c r="W266" s="9"/>
      <c r="X266" s="223"/>
      <c r="Y266" s="9"/>
      <c r="Z266" s="204"/>
      <c r="AA266" s="9"/>
      <c r="AB266" s="9"/>
      <c r="AC266" s="9"/>
      <c r="AD266" s="9"/>
    </row>
    <row r="267" ht="15.75" customHeight="1">
      <c r="A267" s="9"/>
      <c r="B267" s="9"/>
      <c r="C267" s="9"/>
      <c r="D267" s="9"/>
      <c r="E267" s="223"/>
      <c r="F267" s="9"/>
      <c r="G267" s="9"/>
      <c r="H267" s="9"/>
      <c r="I267" s="9"/>
      <c r="J267" s="9"/>
      <c r="K267" s="9"/>
      <c r="L267" s="9"/>
      <c r="M267" s="9"/>
      <c r="N267" s="9"/>
      <c r="O267" s="9"/>
      <c r="P267" s="9"/>
      <c r="Q267" s="9"/>
      <c r="R267" s="9"/>
      <c r="S267" s="9"/>
      <c r="T267" s="9"/>
      <c r="U267" s="9"/>
      <c r="V267" s="9"/>
      <c r="W267" s="9"/>
      <c r="X267" s="223"/>
      <c r="Y267" s="9"/>
      <c r="Z267" s="204"/>
      <c r="AA267" s="9"/>
      <c r="AB267" s="9"/>
      <c r="AC267" s="9"/>
      <c r="AD267" s="9"/>
    </row>
    <row r="268" ht="15.75" customHeight="1">
      <c r="A268" s="9"/>
      <c r="B268" s="9"/>
      <c r="C268" s="9"/>
      <c r="D268" s="9"/>
      <c r="E268" s="223"/>
      <c r="F268" s="9"/>
      <c r="G268" s="9"/>
      <c r="H268" s="9"/>
      <c r="I268" s="9"/>
      <c r="J268" s="9"/>
      <c r="K268" s="9"/>
      <c r="L268" s="9"/>
      <c r="M268" s="9"/>
      <c r="N268" s="9"/>
      <c r="O268" s="9"/>
      <c r="P268" s="9"/>
      <c r="Q268" s="9"/>
      <c r="R268" s="9"/>
      <c r="S268" s="9"/>
      <c r="T268" s="9"/>
      <c r="U268" s="9"/>
      <c r="V268" s="9"/>
      <c r="W268" s="9"/>
      <c r="X268" s="223"/>
      <c r="Y268" s="9"/>
      <c r="Z268" s="204"/>
      <c r="AA268" s="9"/>
      <c r="AB268" s="9"/>
      <c r="AC268" s="9"/>
      <c r="AD268" s="9"/>
    </row>
    <row r="269" ht="15.75" customHeight="1">
      <c r="A269" s="9"/>
      <c r="B269" s="9"/>
      <c r="C269" s="9"/>
      <c r="D269" s="9"/>
      <c r="E269" s="223"/>
      <c r="F269" s="9"/>
      <c r="G269" s="9"/>
      <c r="H269" s="9"/>
      <c r="I269" s="9"/>
      <c r="J269" s="9"/>
      <c r="K269" s="9"/>
      <c r="L269" s="9"/>
      <c r="M269" s="9"/>
      <c r="N269" s="9"/>
      <c r="O269" s="9"/>
      <c r="P269" s="9"/>
      <c r="Q269" s="9"/>
      <c r="R269" s="9"/>
      <c r="S269" s="9"/>
      <c r="T269" s="9"/>
      <c r="U269" s="9"/>
      <c r="V269" s="9"/>
      <c r="W269" s="9"/>
      <c r="X269" s="223"/>
      <c r="Y269" s="9"/>
      <c r="Z269" s="204"/>
      <c r="AA269" s="9"/>
      <c r="AB269" s="9"/>
      <c r="AC269" s="9"/>
      <c r="AD269" s="9"/>
    </row>
    <row r="270" ht="15.75" customHeight="1">
      <c r="A270" s="9"/>
      <c r="B270" s="9"/>
      <c r="C270" s="9"/>
      <c r="D270" s="9"/>
      <c r="E270" s="223"/>
      <c r="F270" s="9"/>
      <c r="G270" s="9"/>
      <c r="H270" s="9"/>
      <c r="I270" s="9"/>
      <c r="J270" s="9"/>
      <c r="K270" s="9"/>
      <c r="L270" s="9"/>
      <c r="M270" s="9"/>
      <c r="N270" s="9"/>
      <c r="O270" s="9"/>
      <c r="P270" s="9"/>
      <c r="Q270" s="9"/>
      <c r="R270" s="9"/>
      <c r="S270" s="9"/>
      <c r="T270" s="9"/>
      <c r="U270" s="9"/>
      <c r="V270" s="9"/>
      <c r="W270" s="9"/>
      <c r="X270" s="223"/>
      <c r="Y270" s="9"/>
      <c r="Z270" s="204"/>
      <c r="AA270" s="9"/>
      <c r="AB270" s="9"/>
      <c r="AC270" s="9"/>
      <c r="AD270" s="9"/>
    </row>
    <row r="271" ht="15.75" customHeight="1">
      <c r="A271" s="9"/>
      <c r="B271" s="9"/>
      <c r="C271" s="9"/>
      <c r="D271" s="9"/>
      <c r="E271" s="223"/>
      <c r="F271" s="9"/>
      <c r="G271" s="9"/>
      <c r="H271" s="9"/>
      <c r="I271" s="9"/>
      <c r="J271" s="9"/>
      <c r="K271" s="9"/>
      <c r="L271" s="9"/>
      <c r="M271" s="9"/>
      <c r="N271" s="9"/>
      <c r="O271" s="9"/>
      <c r="P271" s="9"/>
      <c r="Q271" s="9"/>
      <c r="R271" s="9"/>
      <c r="S271" s="9"/>
      <c r="T271" s="9"/>
      <c r="U271" s="9"/>
      <c r="V271" s="9"/>
      <c r="W271" s="9"/>
      <c r="X271" s="223"/>
      <c r="Y271" s="9"/>
      <c r="Z271" s="204"/>
      <c r="AA271" s="9"/>
      <c r="AB271" s="9"/>
      <c r="AC271" s="9"/>
      <c r="AD271" s="9"/>
    </row>
    <row r="272" ht="15.75" customHeight="1">
      <c r="A272" s="9"/>
      <c r="B272" s="9"/>
      <c r="C272" s="9"/>
      <c r="D272" s="9"/>
      <c r="E272" s="223"/>
      <c r="F272" s="9"/>
      <c r="G272" s="9"/>
      <c r="H272" s="9"/>
      <c r="I272" s="9"/>
      <c r="J272" s="9"/>
      <c r="K272" s="9"/>
      <c r="L272" s="9"/>
      <c r="M272" s="9"/>
      <c r="N272" s="9"/>
      <c r="O272" s="9"/>
      <c r="P272" s="9"/>
      <c r="Q272" s="9"/>
      <c r="R272" s="9"/>
      <c r="S272" s="9"/>
      <c r="T272" s="9"/>
      <c r="U272" s="9"/>
      <c r="V272" s="9"/>
      <c r="W272" s="9"/>
      <c r="X272" s="223"/>
      <c r="Y272" s="9"/>
      <c r="Z272" s="204"/>
      <c r="AA272" s="9"/>
      <c r="AB272" s="9"/>
      <c r="AC272" s="9"/>
      <c r="AD272" s="9"/>
    </row>
    <row r="273" ht="15.75" customHeight="1">
      <c r="A273" s="9"/>
      <c r="B273" s="9"/>
      <c r="C273" s="9"/>
      <c r="D273" s="9"/>
      <c r="E273" s="223"/>
      <c r="F273" s="9"/>
      <c r="G273" s="9"/>
      <c r="H273" s="9"/>
      <c r="I273" s="9"/>
      <c r="J273" s="9"/>
      <c r="K273" s="9"/>
      <c r="L273" s="9"/>
      <c r="M273" s="9"/>
      <c r="N273" s="9"/>
      <c r="O273" s="9"/>
      <c r="P273" s="9"/>
      <c r="Q273" s="9"/>
      <c r="R273" s="9"/>
      <c r="S273" s="9"/>
      <c r="T273" s="9"/>
      <c r="U273" s="9"/>
      <c r="V273" s="9"/>
      <c r="W273" s="9"/>
      <c r="X273" s="223"/>
      <c r="Y273" s="9"/>
      <c r="Z273" s="204"/>
      <c r="AA273" s="9"/>
      <c r="AB273" s="9"/>
      <c r="AC273" s="9"/>
      <c r="AD273" s="9"/>
    </row>
    <row r="274" ht="15.75" customHeight="1">
      <c r="A274" s="9"/>
      <c r="B274" s="9"/>
      <c r="C274" s="9"/>
      <c r="D274" s="9"/>
      <c r="E274" s="223"/>
      <c r="F274" s="9"/>
      <c r="G274" s="9"/>
      <c r="H274" s="9"/>
      <c r="I274" s="9"/>
      <c r="J274" s="9"/>
      <c r="K274" s="9"/>
      <c r="L274" s="9"/>
      <c r="M274" s="9"/>
      <c r="N274" s="9"/>
      <c r="O274" s="9"/>
      <c r="P274" s="9"/>
      <c r="Q274" s="9"/>
      <c r="R274" s="9"/>
      <c r="S274" s="9"/>
      <c r="T274" s="9"/>
      <c r="U274" s="9"/>
      <c r="V274" s="9"/>
      <c r="W274" s="9"/>
      <c r="X274" s="223"/>
      <c r="Y274" s="9"/>
      <c r="Z274" s="204"/>
      <c r="AA274" s="9"/>
      <c r="AB274" s="9"/>
      <c r="AC274" s="9"/>
      <c r="AD274" s="9"/>
    </row>
    <row r="275" ht="15.75" customHeight="1">
      <c r="A275" s="9"/>
      <c r="B275" s="9"/>
      <c r="C275" s="9"/>
      <c r="D275" s="9"/>
      <c r="E275" s="223"/>
      <c r="F275" s="9"/>
      <c r="G275" s="9"/>
      <c r="H275" s="9"/>
      <c r="I275" s="9"/>
      <c r="J275" s="9"/>
      <c r="K275" s="9"/>
      <c r="L275" s="9"/>
      <c r="M275" s="9"/>
      <c r="N275" s="9"/>
      <c r="O275" s="9"/>
      <c r="P275" s="9"/>
      <c r="Q275" s="9"/>
      <c r="R275" s="9"/>
      <c r="S275" s="9"/>
      <c r="T275" s="9"/>
      <c r="U275" s="9"/>
      <c r="V275" s="9"/>
      <c r="W275" s="9"/>
      <c r="X275" s="223"/>
      <c r="Y275" s="9"/>
      <c r="Z275" s="204"/>
      <c r="AA275" s="9"/>
      <c r="AB275" s="9"/>
      <c r="AC275" s="9"/>
      <c r="AD275" s="9"/>
    </row>
    <row r="276" ht="15.75" customHeight="1">
      <c r="A276" s="9"/>
      <c r="B276" s="9"/>
      <c r="C276" s="9"/>
      <c r="D276" s="9"/>
      <c r="E276" s="223"/>
      <c r="F276" s="9"/>
      <c r="G276" s="9"/>
      <c r="H276" s="9"/>
      <c r="I276" s="9"/>
      <c r="J276" s="9"/>
      <c r="K276" s="9"/>
      <c r="L276" s="9"/>
      <c r="M276" s="9"/>
      <c r="N276" s="9"/>
      <c r="O276" s="9"/>
      <c r="P276" s="9"/>
      <c r="Q276" s="9"/>
      <c r="R276" s="9"/>
      <c r="S276" s="9"/>
      <c r="T276" s="9"/>
      <c r="U276" s="9"/>
      <c r="V276" s="9"/>
      <c r="W276" s="9"/>
      <c r="X276" s="223"/>
      <c r="Y276" s="9"/>
      <c r="Z276" s="204"/>
      <c r="AA276" s="9"/>
      <c r="AB276" s="9"/>
      <c r="AC276" s="9"/>
      <c r="AD276" s="9"/>
    </row>
    <row r="277" ht="15.75" customHeight="1">
      <c r="A277" s="9"/>
      <c r="B277" s="9"/>
      <c r="C277" s="9"/>
      <c r="D277" s="9"/>
      <c r="E277" s="223"/>
      <c r="F277" s="9"/>
      <c r="G277" s="9"/>
      <c r="H277" s="9"/>
      <c r="I277" s="9"/>
      <c r="J277" s="9"/>
      <c r="K277" s="9"/>
      <c r="L277" s="9"/>
      <c r="M277" s="9"/>
      <c r="N277" s="9"/>
      <c r="O277" s="9"/>
      <c r="P277" s="9"/>
      <c r="Q277" s="9"/>
      <c r="R277" s="9"/>
      <c r="S277" s="9"/>
      <c r="T277" s="9"/>
      <c r="U277" s="9"/>
      <c r="V277" s="9"/>
      <c r="W277" s="9"/>
      <c r="X277" s="223"/>
      <c r="Y277" s="9"/>
      <c r="Z277" s="204"/>
      <c r="AA277" s="9"/>
      <c r="AB277" s="9"/>
      <c r="AC277" s="9"/>
      <c r="AD277" s="9"/>
    </row>
    <row r="278" ht="15.75" customHeight="1">
      <c r="A278" s="9"/>
      <c r="B278" s="9"/>
      <c r="C278" s="9"/>
      <c r="D278" s="9"/>
      <c r="E278" s="223"/>
      <c r="F278" s="9"/>
      <c r="G278" s="9"/>
      <c r="H278" s="9"/>
      <c r="I278" s="9"/>
      <c r="J278" s="9"/>
      <c r="K278" s="9"/>
      <c r="L278" s="9"/>
      <c r="M278" s="9"/>
      <c r="N278" s="9"/>
      <c r="O278" s="9"/>
      <c r="P278" s="9"/>
      <c r="Q278" s="9"/>
      <c r="R278" s="9"/>
      <c r="S278" s="9"/>
      <c r="T278" s="9"/>
      <c r="U278" s="9"/>
      <c r="V278" s="9"/>
      <c r="W278" s="9"/>
      <c r="X278" s="223"/>
      <c r="Y278" s="9"/>
      <c r="Z278" s="204"/>
      <c r="AA278" s="9"/>
      <c r="AB278" s="9"/>
      <c r="AC278" s="9"/>
      <c r="AD278" s="9"/>
    </row>
    <row r="279" ht="15.75" customHeight="1">
      <c r="A279" s="9"/>
      <c r="B279" s="9"/>
      <c r="C279" s="9"/>
      <c r="D279" s="9"/>
      <c r="E279" s="223"/>
      <c r="F279" s="9"/>
      <c r="G279" s="9"/>
      <c r="H279" s="9"/>
      <c r="I279" s="9"/>
      <c r="J279" s="9"/>
      <c r="K279" s="9"/>
      <c r="L279" s="9"/>
      <c r="M279" s="9"/>
      <c r="N279" s="9"/>
      <c r="O279" s="9"/>
      <c r="P279" s="9"/>
      <c r="Q279" s="9"/>
      <c r="R279" s="9"/>
      <c r="S279" s="9"/>
      <c r="T279" s="9"/>
      <c r="U279" s="9"/>
      <c r="V279" s="9"/>
      <c r="W279" s="9"/>
      <c r="X279" s="223"/>
      <c r="Y279" s="9"/>
      <c r="Z279" s="204"/>
      <c r="AA279" s="9"/>
      <c r="AB279" s="9"/>
      <c r="AC279" s="9"/>
      <c r="AD279" s="9"/>
    </row>
    <row r="280" ht="15.75" customHeight="1">
      <c r="A280" s="9"/>
      <c r="B280" s="9"/>
      <c r="C280" s="9"/>
      <c r="D280" s="9"/>
      <c r="E280" s="223"/>
      <c r="F280" s="9"/>
      <c r="G280" s="9"/>
      <c r="H280" s="9"/>
      <c r="I280" s="9"/>
      <c r="J280" s="9"/>
      <c r="K280" s="9"/>
      <c r="L280" s="9"/>
      <c r="M280" s="9"/>
      <c r="N280" s="9"/>
      <c r="O280" s="9"/>
      <c r="P280" s="9"/>
      <c r="Q280" s="9"/>
      <c r="R280" s="9"/>
      <c r="S280" s="9"/>
      <c r="T280" s="9"/>
      <c r="U280" s="9"/>
      <c r="V280" s="9"/>
      <c r="W280" s="9"/>
      <c r="X280" s="223"/>
      <c r="Y280" s="9"/>
      <c r="Z280" s="204"/>
      <c r="AA280" s="9"/>
      <c r="AB280" s="9"/>
      <c r="AC280" s="9"/>
      <c r="AD280" s="9"/>
    </row>
    <row r="281" ht="15.75" customHeight="1">
      <c r="A281" s="9"/>
      <c r="B281" s="9"/>
      <c r="C281" s="9"/>
      <c r="D281" s="9"/>
      <c r="E281" s="223"/>
      <c r="F281" s="9"/>
      <c r="G281" s="9"/>
      <c r="H281" s="9"/>
      <c r="I281" s="9"/>
      <c r="J281" s="9"/>
      <c r="K281" s="9"/>
      <c r="L281" s="9"/>
      <c r="M281" s="9"/>
      <c r="N281" s="9"/>
      <c r="O281" s="9"/>
      <c r="P281" s="9"/>
      <c r="Q281" s="9"/>
      <c r="R281" s="9"/>
      <c r="S281" s="9"/>
      <c r="T281" s="9"/>
      <c r="U281" s="9"/>
      <c r="V281" s="9"/>
      <c r="W281" s="9"/>
      <c r="X281" s="223"/>
      <c r="Y281" s="9"/>
      <c r="Z281" s="204"/>
      <c r="AA281" s="9"/>
      <c r="AB281" s="9"/>
      <c r="AC281" s="9"/>
      <c r="AD281" s="9"/>
    </row>
    <row r="282" ht="15.75" customHeight="1">
      <c r="A282" s="9"/>
      <c r="B282" s="9"/>
      <c r="C282" s="9"/>
      <c r="D282" s="9"/>
      <c r="E282" s="223"/>
      <c r="F282" s="9"/>
      <c r="G282" s="9"/>
      <c r="H282" s="9"/>
      <c r="I282" s="9"/>
      <c r="J282" s="9"/>
      <c r="K282" s="9"/>
      <c r="L282" s="9"/>
      <c r="M282" s="9"/>
      <c r="N282" s="9"/>
      <c r="O282" s="9"/>
      <c r="P282" s="9"/>
      <c r="Q282" s="9"/>
      <c r="R282" s="9"/>
      <c r="S282" s="9"/>
      <c r="T282" s="9"/>
      <c r="U282" s="9"/>
      <c r="V282" s="9"/>
      <c r="W282" s="9"/>
      <c r="X282" s="223"/>
      <c r="Y282" s="9"/>
      <c r="Z282" s="204"/>
      <c r="AA282" s="9"/>
      <c r="AB282" s="9"/>
      <c r="AC282" s="9"/>
      <c r="AD282" s="9"/>
    </row>
    <row r="283" ht="15.75" customHeight="1">
      <c r="A283" s="9"/>
      <c r="B283" s="9"/>
      <c r="C283" s="9"/>
      <c r="D283" s="9"/>
      <c r="E283" s="223"/>
      <c r="F283" s="9"/>
      <c r="G283" s="9"/>
      <c r="H283" s="9"/>
      <c r="I283" s="9"/>
      <c r="J283" s="9"/>
      <c r="K283" s="9"/>
      <c r="L283" s="9"/>
      <c r="M283" s="9"/>
      <c r="N283" s="9"/>
      <c r="O283" s="9"/>
      <c r="P283" s="9"/>
      <c r="Q283" s="9"/>
      <c r="R283" s="9"/>
      <c r="S283" s="9"/>
      <c r="T283" s="9"/>
      <c r="U283" s="9"/>
      <c r="V283" s="9"/>
      <c r="W283" s="9"/>
      <c r="X283" s="223"/>
      <c r="Y283" s="9"/>
      <c r="Z283" s="204"/>
      <c r="AA283" s="9"/>
      <c r="AB283" s="9"/>
      <c r="AC283" s="9"/>
      <c r="AD283" s="9"/>
    </row>
    <row r="284" ht="15.75" customHeight="1">
      <c r="A284" s="9"/>
      <c r="B284" s="9"/>
      <c r="C284" s="9"/>
      <c r="D284" s="9"/>
      <c r="E284" s="223"/>
      <c r="F284" s="9"/>
      <c r="G284" s="9"/>
      <c r="H284" s="9"/>
      <c r="I284" s="9"/>
      <c r="J284" s="9"/>
      <c r="K284" s="9"/>
      <c r="L284" s="9"/>
      <c r="M284" s="9"/>
      <c r="N284" s="9"/>
      <c r="O284" s="9"/>
      <c r="P284" s="9"/>
      <c r="Q284" s="9"/>
      <c r="R284" s="9"/>
      <c r="S284" s="9"/>
      <c r="T284" s="9"/>
      <c r="U284" s="9"/>
      <c r="V284" s="9"/>
      <c r="W284" s="9"/>
      <c r="X284" s="223"/>
      <c r="Y284" s="9"/>
      <c r="Z284" s="204"/>
      <c r="AA284" s="9"/>
      <c r="AB284" s="9"/>
      <c r="AC284" s="9"/>
      <c r="AD284" s="9"/>
    </row>
    <row r="285" ht="15.75" customHeight="1">
      <c r="A285" s="9"/>
      <c r="B285" s="9"/>
      <c r="C285" s="9"/>
      <c r="D285" s="9"/>
      <c r="E285" s="223"/>
      <c r="F285" s="9"/>
      <c r="G285" s="9"/>
      <c r="H285" s="9"/>
      <c r="I285" s="9"/>
      <c r="J285" s="9"/>
      <c r="K285" s="9"/>
      <c r="L285" s="9"/>
      <c r="M285" s="9"/>
      <c r="N285" s="9"/>
      <c r="O285" s="9"/>
      <c r="P285" s="9"/>
      <c r="Q285" s="9"/>
      <c r="R285" s="9"/>
      <c r="S285" s="9"/>
      <c r="T285" s="9"/>
      <c r="U285" s="9"/>
      <c r="V285" s="9"/>
      <c r="W285" s="9"/>
      <c r="X285" s="223"/>
      <c r="Y285" s="9"/>
      <c r="Z285" s="204"/>
      <c r="AA285" s="9"/>
      <c r="AB285" s="9"/>
      <c r="AC285" s="9"/>
      <c r="AD285" s="9"/>
    </row>
    <row r="286" ht="15.75" customHeight="1">
      <c r="A286" s="9"/>
      <c r="B286" s="9"/>
      <c r="C286" s="9"/>
      <c r="D286" s="9"/>
      <c r="E286" s="223"/>
      <c r="F286" s="9"/>
      <c r="G286" s="9"/>
      <c r="H286" s="9"/>
      <c r="I286" s="9"/>
      <c r="J286" s="9"/>
      <c r="K286" s="9"/>
      <c r="L286" s="9"/>
      <c r="M286" s="9"/>
      <c r="N286" s="9"/>
      <c r="O286" s="9"/>
      <c r="P286" s="9"/>
      <c r="Q286" s="9"/>
      <c r="R286" s="9"/>
      <c r="S286" s="9"/>
      <c r="T286" s="9"/>
      <c r="U286" s="9"/>
      <c r="V286" s="9"/>
      <c r="W286" s="9"/>
      <c r="X286" s="223"/>
      <c r="Y286" s="9"/>
      <c r="Z286" s="204"/>
      <c r="AA286" s="9"/>
      <c r="AB286" s="9"/>
      <c r="AC286" s="9"/>
      <c r="AD286" s="9"/>
    </row>
    <row r="287" ht="15.75" customHeight="1">
      <c r="A287" s="9"/>
      <c r="B287" s="9"/>
      <c r="C287" s="9"/>
      <c r="D287" s="9"/>
      <c r="E287" s="223"/>
      <c r="F287" s="9"/>
      <c r="G287" s="9"/>
      <c r="H287" s="9"/>
      <c r="I287" s="9"/>
      <c r="J287" s="9"/>
      <c r="K287" s="9"/>
      <c r="L287" s="9"/>
      <c r="M287" s="9"/>
      <c r="N287" s="9"/>
      <c r="O287" s="9"/>
      <c r="P287" s="9"/>
      <c r="Q287" s="9"/>
      <c r="R287" s="9"/>
      <c r="S287" s="9"/>
      <c r="T287" s="9"/>
      <c r="U287" s="9"/>
      <c r="V287" s="9"/>
      <c r="W287" s="9"/>
      <c r="X287" s="223"/>
      <c r="Y287" s="9"/>
      <c r="Z287" s="204"/>
      <c r="AA287" s="9"/>
      <c r="AB287" s="9"/>
      <c r="AC287" s="9"/>
      <c r="AD287" s="9"/>
    </row>
    <row r="288" ht="15.75" customHeight="1">
      <c r="A288" s="9"/>
      <c r="B288" s="9"/>
      <c r="C288" s="9"/>
      <c r="D288" s="9"/>
      <c r="E288" s="223"/>
      <c r="F288" s="9"/>
      <c r="G288" s="9"/>
      <c r="H288" s="9"/>
      <c r="I288" s="9"/>
      <c r="J288" s="9"/>
      <c r="K288" s="9"/>
      <c r="L288" s="9"/>
      <c r="M288" s="9"/>
      <c r="N288" s="9"/>
      <c r="O288" s="9"/>
      <c r="P288" s="9"/>
      <c r="Q288" s="9"/>
      <c r="R288" s="9"/>
      <c r="S288" s="9"/>
      <c r="T288" s="9"/>
      <c r="U288" s="9"/>
      <c r="V288" s="9"/>
      <c r="W288" s="9"/>
      <c r="X288" s="223"/>
      <c r="Y288" s="9"/>
      <c r="Z288" s="204"/>
      <c r="AA288" s="9"/>
      <c r="AB288" s="9"/>
      <c r="AC288" s="9"/>
      <c r="AD288" s="9"/>
    </row>
    <row r="289" ht="15.75" customHeight="1">
      <c r="A289" s="9"/>
      <c r="B289" s="9"/>
      <c r="C289" s="9"/>
      <c r="D289" s="9"/>
      <c r="E289" s="223"/>
      <c r="F289" s="9"/>
      <c r="G289" s="9"/>
      <c r="H289" s="9"/>
      <c r="I289" s="9"/>
      <c r="J289" s="9"/>
      <c r="K289" s="9"/>
      <c r="L289" s="9"/>
      <c r="M289" s="9"/>
      <c r="N289" s="9"/>
      <c r="O289" s="9"/>
      <c r="P289" s="9"/>
      <c r="Q289" s="9"/>
      <c r="R289" s="9"/>
      <c r="S289" s="9"/>
      <c r="T289" s="9"/>
      <c r="U289" s="9"/>
      <c r="V289" s="9"/>
      <c r="W289" s="9"/>
      <c r="X289" s="223"/>
      <c r="Y289" s="9"/>
      <c r="Z289" s="204"/>
      <c r="AA289" s="9"/>
      <c r="AB289" s="9"/>
      <c r="AC289" s="9"/>
      <c r="AD289" s="9"/>
    </row>
    <row r="290" ht="15.75" customHeight="1">
      <c r="A290" s="9"/>
      <c r="B290" s="9"/>
      <c r="C290" s="9"/>
      <c r="D290" s="9"/>
      <c r="E290" s="223"/>
      <c r="F290" s="9"/>
      <c r="G290" s="9"/>
      <c r="H290" s="9"/>
      <c r="I290" s="9"/>
      <c r="J290" s="9"/>
      <c r="K290" s="9"/>
      <c r="L290" s="9"/>
      <c r="M290" s="9"/>
      <c r="N290" s="9"/>
      <c r="O290" s="9"/>
      <c r="P290" s="9"/>
      <c r="Q290" s="9"/>
      <c r="R290" s="9"/>
      <c r="S290" s="9"/>
      <c r="T290" s="9"/>
      <c r="U290" s="9"/>
      <c r="V290" s="9"/>
      <c r="W290" s="9"/>
      <c r="X290" s="223"/>
      <c r="Y290" s="9"/>
      <c r="Z290" s="204"/>
      <c r="AA290" s="9"/>
      <c r="AB290" s="9"/>
      <c r="AC290" s="9"/>
      <c r="AD290" s="9"/>
    </row>
    <row r="291" ht="15.75" customHeight="1">
      <c r="A291" s="9"/>
      <c r="B291" s="9"/>
      <c r="C291" s="9"/>
      <c r="D291" s="9"/>
      <c r="E291" s="223"/>
      <c r="F291" s="9"/>
      <c r="G291" s="9"/>
      <c r="H291" s="9"/>
      <c r="I291" s="9"/>
      <c r="J291" s="9"/>
      <c r="K291" s="9"/>
      <c r="L291" s="9"/>
      <c r="M291" s="9"/>
      <c r="N291" s="9"/>
      <c r="O291" s="9"/>
      <c r="P291" s="9"/>
      <c r="Q291" s="9"/>
      <c r="R291" s="9"/>
      <c r="S291" s="9"/>
      <c r="T291" s="9"/>
      <c r="U291" s="9"/>
      <c r="V291" s="9"/>
      <c r="W291" s="9"/>
      <c r="X291" s="223"/>
      <c r="Y291" s="9"/>
      <c r="Z291" s="204"/>
      <c r="AA291" s="9"/>
      <c r="AB291" s="9"/>
      <c r="AC291" s="9"/>
      <c r="AD291" s="9"/>
    </row>
    <row r="292" ht="15.75" customHeight="1">
      <c r="A292" s="9"/>
      <c r="B292" s="9"/>
      <c r="C292" s="9"/>
      <c r="D292" s="9"/>
      <c r="E292" s="223"/>
      <c r="F292" s="9"/>
      <c r="G292" s="9"/>
      <c r="H292" s="9"/>
      <c r="I292" s="9"/>
      <c r="J292" s="9"/>
      <c r="K292" s="9"/>
      <c r="L292" s="9"/>
      <c r="M292" s="9"/>
      <c r="N292" s="9"/>
      <c r="O292" s="9"/>
      <c r="P292" s="9"/>
      <c r="Q292" s="9"/>
      <c r="R292" s="9"/>
      <c r="S292" s="9"/>
      <c r="T292" s="9"/>
      <c r="U292" s="9"/>
      <c r="V292" s="9"/>
      <c r="W292" s="9"/>
      <c r="X292" s="223"/>
      <c r="Y292" s="9"/>
      <c r="Z292" s="204"/>
      <c r="AA292" s="9"/>
      <c r="AB292" s="9"/>
      <c r="AC292" s="9"/>
      <c r="AD292" s="9"/>
    </row>
    <row r="293" ht="15.75" customHeight="1">
      <c r="A293" s="9"/>
      <c r="B293" s="9"/>
      <c r="C293" s="9"/>
      <c r="D293" s="9"/>
      <c r="E293" s="223"/>
      <c r="F293" s="9"/>
      <c r="G293" s="9"/>
      <c r="H293" s="9"/>
      <c r="I293" s="9"/>
      <c r="J293" s="9"/>
      <c r="K293" s="9"/>
      <c r="L293" s="9"/>
      <c r="M293" s="9"/>
      <c r="N293" s="9"/>
      <c r="O293" s="9"/>
      <c r="P293" s="9"/>
      <c r="Q293" s="9"/>
      <c r="R293" s="9"/>
      <c r="S293" s="9"/>
      <c r="T293" s="9"/>
      <c r="U293" s="9"/>
      <c r="V293" s="9"/>
      <c r="W293" s="9"/>
      <c r="X293" s="223"/>
      <c r="Y293" s="9"/>
      <c r="Z293" s="204"/>
      <c r="AA293" s="9"/>
      <c r="AB293" s="9"/>
      <c r="AC293" s="9"/>
      <c r="AD293" s="9"/>
    </row>
    <row r="294" ht="15.75" customHeight="1">
      <c r="A294" s="9"/>
      <c r="B294" s="9"/>
      <c r="C294" s="9"/>
      <c r="D294" s="9"/>
      <c r="E294" s="223"/>
      <c r="F294" s="9"/>
      <c r="G294" s="9"/>
      <c r="H294" s="9"/>
      <c r="I294" s="9"/>
      <c r="J294" s="9"/>
      <c r="K294" s="9"/>
      <c r="L294" s="9"/>
      <c r="M294" s="9"/>
      <c r="N294" s="9"/>
      <c r="O294" s="9"/>
      <c r="P294" s="9"/>
      <c r="Q294" s="9"/>
      <c r="R294" s="9"/>
      <c r="S294" s="9"/>
      <c r="T294" s="9"/>
      <c r="U294" s="9"/>
      <c r="V294" s="9"/>
      <c r="W294" s="9"/>
      <c r="X294" s="223"/>
      <c r="Y294" s="9"/>
      <c r="Z294" s="204"/>
      <c r="AA294" s="9"/>
      <c r="AB294" s="9"/>
      <c r="AC294" s="9"/>
      <c r="AD294" s="9"/>
    </row>
    <row r="295" ht="15.75" customHeight="1">
      <c r="A295" s="9"/>
      <c r="B295" s="9"/>
      <c r="C295" s="9"/>
      <c r="D295" s="9"/>
      <c r="E295" s="223"/>
      <c r="F295" s="9"/>
      <c r="G295" s="9"/>
      <c r="H295" s="9"/>
      <c r="I295" s="9"/>
      <c r="J295" s="9"/>
      <c r="K295" s="9"/>
      <c r="L295" s="9"/>
      <c r="M295" s="9"/>
      <c r="N295" s="9"/>
      <c r="O295" s="9"/>
      <c r="P295" s="9"/>
      <c r="Q295" s="9"/>
      <c r="R295" s="9"/>
      <c r="S295" s="9"/>
      <c r="T295" s="9"/>
      <c r="U295" s="9"/>
      <c r="V295" s="9"/>
      <c r="W295" s="9"/>
      <c r="X295" s="223"/>
      <c r="Y295" s="9"/>
      <c r="Z295" s="204"/>
      <c r="AA295" s="9"/>
      <c r="AB295" s="9"/>
      <c r="AC295" s="9"/>
      <c r="AD295" s="9"/>
    </row>
    <row r="296" ht="15.75" customHeight="1">
      <c r="A296" s="9"/>
      <c r="B296" s="9"/>
      <c r="C296" s="9"/>
      <c r="D296" s="9"/>
      <c r="E296" s="223"/>
      <c r="F296" s="9"/>
      <c r="G296" s="9"/>
      <c r="H296" s="9"/>
      <c r="I296" s="9"/>
      <c r="J296" s="9"/>
      <c r="K296" s="9"/>
      <c r="L296" s="9"/>
      <c r="M296" s="9"/>
      <c r="N296" s="9"/>
      <c r="O296" s="9"/>
      <c r="P296" s="9"/>
      <c r="Q296" s="9"/>
      <c r="R296" s="9"/>
      <c r="S296" s="9"/>
      <c r="T296" s="9"/>
      <c r="U296" s="9"/>
      <c r="V296" s="9"/>
      <c r="W296" s="9"/>
      <c r="X296" s="223"/>
      <c r="Y296" s="9"/>
      <c r="Z296" s="204"/>
      <c r="AA296" s="9"/>
      <c r="AB296" s="9"/>
      <c r="AC296" s="9"/>
      <c r="AD296" s="9"/>
    </row>
    <row r="297" ht="15.75" customHeight="1">
      <c r="A297" s="9"/>
      <c r="B297" s="9"/>
      <c r="C297" s="9"/>
      <c r="D297" s="9"/>
      <c r="E297" s="223"/>
      <c r="F297" s="9"/>
      <c r="G297" s="9"/>
      <c r="H297" s="9"/>
      <c r="I297" s="9"/>
      <c r="J297" s="9"/>
      <c r="K297" s="9"/>
      <c r="L297" s="9"/>
      <c r="M297" s="9"/>
      <c r="N297" s="9"/>
      <c r="O297" s="9"/>
      <c r="P297" s="9"/>
      <c r="Q297" s="9"/>
      <c r="R297" s="9"/>
      <c r="S297" s="9"/>
      <c r="T297" s="9"/>
      <c r="U297" s="9"/>
      <c r="V297" s="9"/>
      <c r="W297" s="9"/>
      <c r="X297" s="223"/>
      <c r="Y297" s="9"/>
      <c r="Z297" s="204"/>
      <c r="AA297" s="9"/>
      <c r="AB297" s="9"/>
      <c r="AC297" s="9"/>
      <c r="AD297" s="9"/>
    </row>
    <row r="298" ht="15.75" customHeight="1">
      <c r="A298" s="9"/>
      <c r="B298" s="9"/>
      <c r="C298" s="9"/>
      <c r="D298" s="9"/>
      <c r="E298" s="223"/>
      <c r="F298" s="9"/>
      <c r="G298" s="9"/>
      <c r="H298" s="9"/>
      <c r="I298" s="9"/>
      <c r="J298" s="9"/>
      <c r="K298" s="9"/>
      <c r="L298" s="9"/>
      <c r="M298" s="9"/>
      <c r="N298" s="9"/>
      <c r="O298" s="9"/>
      <c r="P298" s="9"/>
      <c r="Q298" s="9"/>
      <c r="R298" s="9"/>
      <c r="S298" s="9"/>
      <c r="T298" s="9"/>
      <c r="U298" s="9"/>
      <c r="V298" s="9"/>
      <c r="W298" s="9"/>
      <c r="X298" s="223"/>
      <c r="Y298" s="9"/>
      <c r="Z298" s="204"/>
      <c r="AA298" s="9"/>
      <c r="AB298" s="9"/>
      <c r="AC298" s="9"/>
      <c r="AD298" s="9"/>
    </row>
    <row r="299" ht="15.75" customHeight="1">
      <c r="A299" s="9"/>
      <c r="B299" s="9"/>
      <c r="C299" s="9"/>
      <c r="D299" s="9"/>
      <c r="E299" s="223"/>
      <c r="F299" s="9"/>
      <c r="G299" s="9"/>
      <c r="H299" s="9"/>
      <c r="I299" s="9"/>
      <c r="J299" s="9"/>
      <c r="K299" s="9"/>
      <c r="L299" s="9"/>
      <c r="M299" s="9"/>
      <c r="N299" s="9"/>
      <c r="O299" s="9"/>
      <c r="P299" s="9"/>
      <c r="Q299" s="9"/>
      <c r="R299" s="9"/>
      <c r="S299" s="9"/>
      <c r="T299" s="9"/>
      <c r="U299" s="9"/>
      <c r="V299" s="9"/>
      <c r="W299" s="9"/>
      <c r="X299" s="223"/>
      <c r="Y299" s="9"/>
      <c r="Z299" s="204"/>
      <c r="AA299" s="9"/>
      <c r="AB299" s="9"/>
      <c r="AC299" s="9"/>
      <c r="AD299" s="9"/>
    </row>
    <row r="300" ht="15.75" customHeight="1">
      <c r="A300" s="9"/>
      <c r="B300" s="9"/>
      <c r="C300" s="9"/>
      <c r="D300" s="9"/>
      <c r="E300" s="223"/>
      <c r="F300" s="9"/>
      <c r="G300" s="9"/>
      <c r="H300" s="9"/>
      <c r="I300" s="9"/>
      <c r="J300" s="9"/>
      <c r="K300" s="9"/>
      <c r="L300" s="9"/>
      <c r="M300" s="9"/>
      <c r="N300" s="9"/>
      <c r="O300" s="9"/>
      <c r="P300" s="9"/>
      <c r="Q300" s="9"/>
      <c r="R300" s="9"/>
      <c r="S300" s="9"/>
      <c r="T300" s="9"/>
      <c r="U300" s="9"/>
      <c r="V300" s="9"/>
      <c r="W300" s="9"/>
      <c r="X300" s="223"/>
      <c r="Y300" s="9"/>
      <c r="Z300" s="204"/>
      <c r="AA300" s="9"/>
      <c r="AB300" s="9"/>
      <c r="AC300" s="9"/>
      <c r="AD300" s="9"/>
    </row>
    <row r="301" ht="15.75" customHeight="1">
      <c r="A301" s="9"/>
      <c r="B301" s="9"/>
      <c r="C301" s="9"/>
      <c r="D301" s="9"/>
      <c r="E301" s="223"/>
      <c r="F301" s="9"/>
      <c r="G301" s="9"/>
      <c r="H301" s="9"/>
      <c r="I301" s="9"/>
      <c r="J301" s="9"/>
      <c r="K301" s="9"/>
      <c r="L301" s="9"/>
      <c r="M301" s="9"/>
      <c r="N301" s="9"/>
      <c r="O301" s="9"/>
      <c r="P301" s="9"/>
      <c r="Q301" s="9"/>
      <c r="R301" s="9"/>
      <c r="S301" s="9"/>
      <c r="T301" s="9"/>
      <c r="U301" s="9"/>
      <c r="V301" s="9"/>
      <c r="W301" s="9"/>
      <c r="X301" s="223"/>
      <c r="Y301" s="9"/>
      <c r="Z301" s="204"/>
      <c r="AA301" s="9"/>
      <c r="AB301" s="9"/>
      <c r="AC301" s="9"/>
      <c r="AD301" s="9"/>
    </row>
    <row r="302" ht="15.75" customHeight="1">
      <c r="A302" s="9"/>
      <c r="B302" s="9"/>
      <c r="C302" s="9"/>
      <c r="D302" s="9"/>
      <c r="E302" s="223"/>
      <c r="F302" s="9"/>
      <c r="G302" s="9"/>
      <c r="H302" s="9"/>
      <c r="I302" s="9"/>
      <c r="J302" s="9"/>
      <c r="K302" s="9"/>
      <c r="L302" s="9"/>
      <c r="M302" s="9"/>
      <c r="N302" s="9"/>
      <c r="O302" s="9"/>
      <c r="P302" s="9"/>
      <c r="Q302" s="9"/>
      <c r="R302" s="9"/>
      <c r="S302" s="9"/>
      <c r="T302" s="9"/>
      <c r="U302" s="9"/>
      <c r="V302" s="9"/>
      <c r="W302" s="9"/>
      <c r="X302" s="223"/>
      <c r="Y302" s="9"/>
      <c r="Z302" s="204"/>
      <c r="AA302" s="9"/>
      <c r="AB302" s="9"/>
      <c r="AC302" s="9"/>
      <c r="AD302" s="9"/>
    </row>
    <row r="303" ht="15.75" customHeight="1">
      <c r="A303" s="9"/>
      <c r="B303" s="9"/>
      <c r="C303" s="9"/>
      <c r="D303" s="9"/>
      <c r="E303" s="223"/>
      <c r="F303" s="9"/>
      <c r="G303" s="9"/>
      <c r="H303" s="9"/>
      <c r="I303" s="9"/>
      <c r="J303" s="9"/>
      <c r="K303" s="9"/>
      <c r="L303" s="9"/>
      <c r="M303" s="9"/>
      <c r="N303" s="9"/>
      <c r="O303" s="9"/>
      <c r="P303" s="9"/>
      <c r="Q303" s="9"/>
      <c r="R303" s="9"/>
      <c r="S303" s="9"/>
      <c r="T303" s="9"/>
      <c r="U303" s="9"/>
      <c r="V303" s="9"/>
      <c r="W303" s="9"/>
      <c r="X303" s="223"/>
      <c r="Y303" s="9"/>
      <c r="Z303" s="204"/>
      <c r="AA303" s="9"/>
      <c r="AB303" s="9"/>
      <c r="AC303" s="9"/>
      <c r="AD303" s="9"/>
    </row>
    <row r="304" ht="15.75" customHeight="1">
      <c r="A304" s="9"/>
      <c r="B304" s="9"/>
      <c r="C304" s="9"/>
      <c r="D304" s="9"/>
      <c r="E304" s="223"/>
      <c r="F304" s="9"/>
      <c r="G304" s="9"/>
      <c r="H304" s="9"/>
      <c r="I304" s="9"/>
      <c r="J304" s="9"/>
      <c r="K304" s="9"/>
      <c r="L304" s="9"/>
      <c r="M304" s="9"/>
      <c r="N304" s="9"/>
      <c r="O304" s="9"/>
      <c r="P304" s="9"/>
      <c r="Q304" s="9"/>
      <c r="R304" s="9"/>
      <c r="S304" s="9"/>
      <c r="T304" s="9"/>
      <c r="U304" s="9"/>
      <c r="V304" s="9"/>
      <c r="W304" s="9"/>
      <c r="X304" s="223"/>
      <c r="Y304" s="9"/>
      <c r="Z304" s="204"/>
      <c r="AA304" s="9"/>
      <c r="AB304" s="9"/>
      <c r="AC304" s="9"/>
      <c r="AD304" s="9"/>
    </row>
    <row r="305" ht="15.75" customHeight="1">
      <c r="A305" s="9"/>
      <c r="B305" s="9"/>
      <c r="C305" s="9"/>
      <c r="D305" s="9"/>
      <c r="E305" s="223"/>
      <c r="F305" s="9"/>
      <c r="G305" s="9"/>
      <c r="H305" s="9"/>
      <c r="I305" s="9"/>
      <c r="J305" s="9"/>
      <c r="K305" s="9"/>
      <c r="L305" s="9"/>
      <c r="M305" s="9"/>
      <c r="N305" s="9"/>
      <c r="O305" s="9"/>
      <c r="P305" s="9"/>
      <c r="Q305" s="9"/>
      <c r="R305" s="9"/>
      <c r="S305" s="9"/>
      <c r="T305" s="9"/>
      <c r="U305" s="9"/>
      <c r="V305" s="9"/>
      <c r="W305" s="9"/>
      <c r="X305" s="223"/>
      <c r="Y305" s="9"/>
      <c r="Z305" s="204"/>
      <c r="AA305" s="9"/>
      <c r="AB305" s="9"/>
      <c r="AC305" s="9"/>
      <c r="AD305" s="9"/>
    </row>
    <row r="306" ht="15.75" customHeight="1">
      <c r="A306" s="9"/>
      <c r="B306" s="9"/>
      <c r="C306" s="9"/>
      <c r="D306" s="9"/>
      <c r="E306" s="223"/>
      <c r="F306" s="9"/>
      <c r="G306" s="9"/>
      <c r="H306" s="9"/>
      <c r="I306" s="9"/>
      <c r="J306" s="9"/>
      <c r="K306" s="9"/>
      <c r="L306" s="9"/>
      <c r="M306" s="9"/>
      <c r="N306" s="9"/>
      <c r="O306" s="9"/>
      <c r="P306" s="9"/>
      <c r="Q306" s="9"/>
      <c r="R306" s="9"/>
      <c r="S306" s="9"/>
      <c r="T306" s="9"/>
      <c r="U306" s="9"/>
      <c r="V306" s="9"/>
      <c r="W306" s="9"/>
      <c r="X306" s="223"/>
      <c r="Y306" s="9"/>
      <c r="Z306" s="204"/>
      <c r="AA306" s="9"/>
      <c r="AB306" s="9"/>
      <c r="AC306" s="9"/>
      <c r="AD306" s="9"/>
    </row>
    <row r="307" ht="15.75" customHeight="1">
      <c r="A307" s="9"/>
      <c r="B307" s="9"/>
      <c r="C307" s="9"/>
      <c r="D307" s="9"/>
      <c r="E307" s="223"/>
      <c r="F307" s="9"/>
      <c r="G307" s="9"/>
      <c r="H307" s="9"/>
      <c r="I307" s="9"/>
      <c r="J307" s="9"/>
      <c r="K307" s="9"/>
      <c r="L307" s="9"/>
      <c r="M307" s="9"/>
      <c r="N307" s="9"/>
      <c r="O307" s="9"/>
      <c r="P307" s="9"/>
      <c r="Q307" s="9"/>
      <c r="R307" s="9"/>
      <c r="S307" s="9"/>
      <c r="T307" s="9"/>
      <c r="U307" s="9"/>
      <c r="V307" s="9"/>
      <c r="W307" s="9"/>
      <c r="X307" s="223"/>
      <c r="Y307" s="9"/>
      <c r="Z307" s="204"/>
      <c r="AA307" s="9"/>
      <c r="AB307" s="9"/>
      <c r="AC307" s="9"/>
      <c r="AD307" s="9"/>
    </row>
    <row r="308" ht="15.75" customHeight="1">
      <c r="A308" s="9"/>
      <c r="B308" s="9"/>
      <c r="C308" s="9"/>
      <c r="D308" s="9"/>
      <c r="E308" s="223"/>
      <c r="F308" s="9"/>
      <c r="G308" s="9"/>
      <c r="H308" s="9"/>
      <c r="I308" s="9"/>
      <c r="J308" s="9"/>
      <c r="K308" s="9"/>
      <c r="L308" s="9"/>
      <c r="M308" s="9"/>
      <c r="N308" s="9"/>
      <c r="O308" s="9"/>
      <c r="P308" s="9"/>
      <c r="Q308" s="9"/>
      <c r="R308" s="9"/>
      <c r="S308" s="9"/>
      <c r="T308" s="9"/>
      <c r="U308" s="9"/>
      <c r="V308" s="9"/>
      <c r="W308" s="9"/>
      <c r="X308" s="223"/>
      <c r="Y308" s="9"/>
      <c r="Z308" s="204"/>
      <c r="AA308" s="9"/>
      <c r="AB308" s="9"/>
      <c r="AC308" s="9"/>
      <c r="AD308" s="9"/>
    </row>
    <row r="309" ht="15.75" customHeight="1">
      <c r="A309" s="9"/>
      <c r="B309" s="9"/>
      <c r="C309" s="9"/>
      <c r="D309" s="9"/>
      <c r="E309" s="223"/>
      <c r="F309" s="9"/>
      <c r="G309" s="9"/>
      <c r="H309" s="9"/>
      <c r="I309" s="9"/>
      <c r="J309" s="9"/>
      <c r="K309" s="9"/>
      <c r="L309" s="9"/>
      <c r="M309" s="9"/>
      <c r="N309" s="9"/>
      <c r="O309" s="9"/>
      <c r="P309" s="9"/>
      <c r="Q309" s="9"/>
      <c r="R309" s="9"/>
      <c r="S309" s="9"/>
      <c r="T309" s="9"/>
      <c r="U309" s="9"/>
      <c r="V309" s="9"/>
      <c r="W309" s="9"/>
      <c r="X309" s="223"/>
      <c r="Y309" s="9"/>
      <c r="Z309" s="204"/>
      <c r="AA309" s="9"/>
      <c r="AB309" s="9"/>
      <c r="AC309" s="9"/>
      <c r="AD309" s="9"/>
    </row>
    <row r="310" ht="15.75" customHeight="1">
      <c r="A310" s="9"/>
      <c r="B310" s="9"/>
      <c r="C310" s="9"/>
      <c r="D310" s="9"/>
      <c r="E310" s="223"/>
      <c r="F310" s="9"/>
      <c r="G310" s="9"/>
      <c r="H310" s="9"/>
      <c r="I310" s="9"/>
      <c r="J310" s="9"/>
      <c r="K310" s="9"/>
      <c r="L310" s="9"/>
      <c r="M310" s="9"/>
      <c r="N310" s="9"/>
      <c r="O310" s="9"/>
      <c r="P310" s="9"/>
      <c r="Q310" s="9"/>
      <c r="R310" s="9"/>
      <c r="S310" s="9"/>
      <c r="T310" s="9"/>
      <c r="U310" s="9"/>
      <c r="V310" s="9"/>
      <c r="W310" s="9"/>
      <c r="X310" s="223"/>
      <c r="Y310" s="9"/>
      <c r="Z310" s="204"/>
      <c r="AA310" s="9"/>
      <c r="AB310" s="9"/>
      <c r="AC310" s="9"/>
      <c r="AD310" s="9"/>
    </row>
    <row r="311" ht="15.75" customHeight="1">
      <c r="A311" s="9"/>
      <c r="B311" s="9"/>
      <c r="C311" s="9"/>
      <c r="D311" s="9"/>
      <c r="E311" s="223"/>
      <c r="F311" s="9"/>
      <c r="G311" s="9"/>
      <c r="H311" s="9"/>
      <c r="I311" s="9"/>
      <c r="J311" s="9"/>
      <c r="K311" s="9"/>
      <c r="L311" s="9"/>
      <c r="M311" s="9"/>
      <c r="N311" s="9"/>
      <c r="O311" s="9"/>
      <c r="P311" s="9"/>
      <c r="Q311" s="9"/>
      <c r="R311" s="9"/>
      <c r="S311" s="9"/>
      <c r="T311" s="9"/>
      <c r="U311" s="9"/>
      <c r="V311" s="9"/>
      <c r="W311" s="9"/>
      <c r="X311" s="223"/>
      <c r="Y311" s="9"/>
      <c r="Z311" s="204"/>
      <c r="AA311" s="9"/>
      <c r="AB311" s="9"/>
      <c r="AC311" s="9"/>
      <c r="AD311" s="9"/>
    </row>
    <row r="312" ht="15.75" customHeight="1">
      <c r="A312" s="9"/>
      <c r="B312" s="9"/>
      <c r="C312" s="9"/>
      <c r="D312" s="9"/>
      <c r="E312" s="223"/>
      <c r="F312" s="9"/>
      <c r="G312" s="9"/>
      <c r="H312" s="9"/>
      <c r="I312" s="9"/>
      <c r="J312" s="9"/>
      <c r="K312" s="9"/>
      <c r="L312" s="9"/>
      <c r="M312" s="9"/>
      <c r="N312" s="9"/>
      <c r="O312" s="9"/>
      <c r="P312" s="9"/>
      <c r="Q312" s="9"/>
      <c r="R312" s="9"/>
      <c r="S312" s="9"/>
      <c r="T312" s="9"/>
      <c r="U312" s="9"/>
      <c r="V312" s="9"/>
      <c r="W312" s="9"/>
      <c r="X312" s="223"/>
      <c r="Y312" s="9"/>
      <c r="Z312" s="204"/>
      <c r="AA312" s="9"/>
      <c r="AB312" s="9"/>
      <c r="AC312" s="9"/>
      <c r="AD312" s="9"/>
    </row>
    <row r="313" ht="15.75" customHeight="1">
      <c r="A313" s="9"/>
      <c r="B313" s="9"/>
      <c r="C313" s="9"/>
      <c r="D313" s="9"/>
      <c r="E313" s="223"/>
      <c r="F313" s="9"/>
      <c r="G313" s="9"/>
      <c r="H313" s="9"/>
      <c r="I313" s="9"/>
      <c r="J313" s="9"/>
      <c r="K313" s="9"/>
      <c r="L313" s="9"/>
      <c r="M313" s="9"/>
      <c r="N313" s="9"/>
      <c r="O313" s="9"/>
      <c r="P313" s="9"/>
      <c r="Q313" s="9"/>
      <c r="R313" s="9"/>
      <c r="S313" s="9"/>
      <c r="T313" s="9"/>
      <c r="U313" s="9"/>
      <c r="V313" s="9"/>
      <c r="W313" s="9"/>
      <c r="X313" s="223"/>
      <c r="Y313" s="9"/>
      <c r="Z313" s="204"/>
      <c r="AA313" s="9"/>
      <c r="AB313" s="9"/>
      <c r="AC313" s="9"/>
      <c r="AD313" s="9"/>
    </row>
    <row r="314" ht="15.75" customHeight="1">
      <c r="A314" s="9"/>
      <c r="B314" s="9"/>
      <c r="C314" s="9"/>
      <c r="D314" s="9"/>
      <c r="E314" s="223"/>
      <c r="F314" s="9"/>
      <c r="G314" s="9"/>
      <c r="H314" s="9"/>
      <c r="I314" s="9"/>
      <c r="J314" s="9"/>
      <c r="K314" s="9"/>
      <c r="L314" s="9"/>
      <c r="M314" s="9"/>
      <c r="N314" s="9"/>
      <c r="O314" s="9"/>
      <c r="P314" s="9"/>
      <c r="Q314" s="9"/>
      <c r="R314" s="9"/>
      <c r="S314" s="9"/>
      <c r="T314" s="9"/>
      <c r="U314" s="9"/>
      <c r="V314" s="9"/>
      <c r="W314" s="9"/>
      <c r="X314" s="223"/>
      <c r="Y314" s="9"/>
      <c r="Z314" s="204"/>
      <c r="AA314" s="9"/>
      <c r="AB314" s="9"/>
      <c r="AC314" s="9"/>
      <c r="AD314" s="9"/>
    </row>
    <row r="315" ht="15.75" customHeight="1">
      <c r="A315" s="9"/>
      <c r="B315" s="9"/>
      <c r="C315" s="9"/>
      <c r="D315" s="9"/>
      <c r="E315" s="223"/>
      <c r="F315" s="9"/>
      <c r="G315" s="9"/>
      <c r="H315" s="9"/>
      <c r="I315" s="9"/>
      <c r="J315" s="9"/>
      <c r="K315" s="9"/>
      <c r="L315" s="9"/>
      <c r="M315" s="9"/>
      <c r="N315" s="9"/>
      <c r="O315" s="9"/>
      <c r="P315" s="9"/>
      <c r="Q315" s="9"/>
      <c r="R315" s="9"/>
      <c r="S315" s="9"/>
      <c r="T315" s="9"/>
      <c r="U315" s="9"/>
      <c r="V315" s="9"/>
      <c r="W315" s="9"/>
      <c r="X315" s="223"/>
      <c r="Y315" s="9"/>
      <c r="Z315" s="204"/>
      <c r="AA315" s="9"/>
      <c r="AB315" s="9"/>
      <c r="AC315" s="9"/>
      <c r="AD315" s="9"/>
    </row>
    <row r="316" ht="15.75" customHeight="1">
      <c r="A316" s="9"/>
      <c r="B316" s="9"/>
      <c r="C316" s="9"/>
      <c r="D316" s="9"/>
      <c r="E316" s="223"/>
      <c r="F316" s="9"/>
      <c r="G316" s="9"/>
      <c r="H316" s="9"/>
      <c r="I316" s="9"/>
      <c r="J316" s="9"/>
      <c r="K316" s="9"/>
      <c r="L316" s="9"/>
      <c r="M316" s="9"/>
      <c r="N316" s="9"/>
      <c r="O316" s="9"/>
      <c r="P316" s="9"/>
      <c r="Q316" s="9"/>
      <c r="R316" s="9"/>
      <c r="S316" s="9"/>
      <c r="T316" s="9"/>
      <c r="U316" s="9"/>
      <c r="V316" s="9"/>
      <c r="W316" s="9"/>
      <c r="X316" s="223"/>
      <c r="Y316" s="9"/>
      <c r="Z316" s="204"/>
      <c r="AA316" s="9"/>
      <c r="AB316" s="9"/>
      <c r="AC316" s="9"/>
      <c r="AD316" s="9"/>
    </row>
    <row r="317" ht="15.75" customHeight="1">
      <c r="A317" s="9"/>
      <c r="B317" s="9"/>
      <c r="C317" s="9"/>
      <c r="D317" s="9"/>
      <c r="E317" s="223"/>
      <c r="F317" s="9"/>
      <c r="G317" s="9"/>
      <c r="H317" s="9"/>
      <c r="I317" s="9"/>
      <c r="J317" s="9"/>
      <c r="K317" s="9"/>
      <c r="L317" s="9"/>
      <c r="M317" s="9"/>
      <c r="N317" s="9"/>
      <c r="O317" s="9"/>
      <c r="P317" s="9"/>
      <c r="Q317" s="9"/>
      <c r="R317" s="9"/>
      <c r="S317" s="9"/>
      <c r="T317" s="9"/>
      <c r="U317" s="9"/>
      <c r="V317" s="9"/>
      <c r="W317" s="9"/>
      <c r="X317" s="223"/>
      <c r="Y317" s="9"/>
      <c r="Z317" s="204"/>
      <c r="AA317" s="9"/>
      <c r="AB317" s="9"/>
      <c r="AC317" s="9"/>
      <c r="AD317" s="9"/>
    </row>
    <row r="318" ht="15.75" customHeight="1">
      <c r="A318" s="9"/>
      <c r="B318" s="9"/>
      <c r="C318" s="9"/>
      <c r="D318" s="9"/>
      <c r="E318" s="223"/>
      <c r="F318" s="9"/>
      <c r="G318" s="9"/>
      <c r="H318" s="9"/>
      <c r="I318" s="9"/>
      <c r="J318" s="9"/>
      <c r="K318" s="9"/>
      <c r="L318" s="9"/>
      <c r="M318" s="9"/>
      <c r="N318" s="9"/>
      <c r="O318" s="9"/>
      <c r="P318" s="9"/>
      <c r="Q318" s="9"/>
      <c r="R318" s="9"/>
      <c r="S318" s="9"/>
      <c r="T318" s="9"/>
      <c r="U318" s="9"/>
      <c r="V318" s="9"/>
      <c r="W318" s="9"/>
      <c r="X318" s="223"/>
      <c r="Y318" s="9"/>
      <c r="Z318" s="204"/>
      <c r="AA318" s="9"/>
      <c r="AB318" s="9"/>
      <c r="AC318" s="9"/>
      <c r="AD318" s="9"/>
    </row>
    <row r="319" ht="15.75" customHeight="1">
      <c r="A319" s="9"/>
      <c r="B319" s="9"/>
      <c r="C319" s="9"/>
      <c r="D319" s="9"/>
      <c r="E319" s="223"/>
      <c r="F319" s="9"/>
      <c r="G319" s="9"/>
      <c r="H319" s="9"/>
      <c r="I319" s="9"/>
      <c r="J319" s="9"/>
      <c r="K319" s="9"/>
      <c r="L319" s="9"/>
      <c r="M319" s="9"/>
      <c r="N319" s="9"/>
      <c r="O319" s="9"/>
      <c r="P319" s="9"/>
      <c r="Q319" s="9"/>
      <c r="R319" s="9"/>
      <c r="S319" s="9"/>
      <c r="T319" s="9"/>
      <c r="U319" s="9"/>
      <c r="V319" s="9"/>
      <c r="W319" s="9"/>
      <c r="X319" s="223"/>
      <c r="Y319" s="9"/>
      <c r="Z319" s="204"/>
      <c r="AA319" s="9"/>
      <c r="AB319" s="9"/>
      <c r="AC319" s="9"/>
      <c r="AD319" s="9"/>
    </row>
    <row r="320" ht="15.75" customHeight="1">
      <c r="A320" s="9"/>
      <c r="B320" s="9"/>
      <c r="C320" s="9"/>
      <c r="D320" s="9"/>
      <c r="E320" s="223"/>
      <c r="F320" s="9"/>
      <c r="G320" s="9"/>
      <c r="H320" s="9"/>
      <c r="I320" s="9"/>
      <c r="J320" s="9"/>
      <c r="K320" s="9"/>
      <c r="L320" s="9"/>
      <c r="M320" s="9"/>
      <c r="N320" s="9"/>
      <c r="O320" s="9"/>
      <c r="P320" s="9"/>
      <c r="Q320" s="9"/>
      <c r="R320" s="9"/>
      <c r="S320" s="9"/>
      <c r="T320" s="9"/>
      <c r="U320" s="9"/>
      <c r="V320" s="9"/>
      <c r="W320" s="9"/>
      <c r="X320" s="223"/>
      <c r="Y320" s="9"/>
      <c r="Z320" s="204"/>
      <c r="AA320" s="9"/>
      <c r="AB320" s="9"/>
      <c r="AC320" s="9"/>
      <c r="AD320" s="9"/>
    </row>
    <row r="321" ht="15.75" customHeight="1">
      <c r="A321" s="9"/>
      <c r="B321" s="9"/>
      <c r="C321" s="9"/>
      <c r="D321" s="9"/>
      <c r="E321" s="223"/>
      <c r="F321" s="9"/>
      <c r="G321" s="9"/>
      <c r="H321" s="9"/>
      <c r="I321" s="9"/>
      <c r="J321" s="9"/>
      <c r="K321" s="9"/>
      <c r="L321" s="9"/>
      <c r="M321" s="9"/>
      <c r="N321" s="9"/>
      <c r="O321" s="9"/>
      <c r="P321" s="9"/>
      <c r="Q321" s="9"/>
      <c r="R321" s="9"/>
      <c r="S321" s="9"/>
      <c r="T321" s="9"/>
      <c r="U321" s="9"/>
      <c r="V321" s="9"/>
      <c r="W321" s="9"/>
      <c r="X321" s="223"/>
      <c r="Y321" s="9"/>
      <c r="Z321" s="204"/>
      <c r="AA321" s="9"/>
      <c r="AB321" s="9"/>
      <c r="AC321" s="9"/>
      <c r="AD321" s="9"/>
    </row>
    <row r="322" ht="15.75" customHeight="1">
      <c r="A322" s="9"/>
      <c r="B322" s="9"/>
      <c r="C322" s="9"/>
      <c r="D322" s="9"/>
      <c r="E322" s="223"/>
      <c r="F322" s="9"/>
      <c r="G322" s="9"/>
      <c r="H322" s="9"/>
      <c r="I322" s="9"/>
      <c r="J322" s="9"/>
      <c r="K322" s="9"/>
      <c r="L322" s="9"/>
      <c r="M322" s="9"/>
      <c r="N322" s="9"/>
      <c r="O322" s="9"/>
      <c r="P322" s="9"/>
      <c r="Q322" s="9"/>
      <c r="R322" s="9"/>
      <c r="S322" s="9"/>
      <c r="T322" s="9"/>
      <c r="U322" s="9"/>
      <c r="V322" s="9"/>
      <c r="W322" s="9"/>
      <c r="X322" s="223"/>
      <c r="Y322" s="9"/>
      <c r="Z322" s="204"/>
      <c r="AA322" s="9"/>
      <c r="AB322" s="9"/>
      <c r="AC322" s="9"/>
      <c r="AD322" s="9"/>
    </row>
    <row r="323" ht="15.75" customHeight="1">
      <c r="A323" s="9"/>
      <c r="B323" s="9"/>
      <c r="C323" s="9"/>
      <c r="D323" s="9"/>
      <c r="E323" s="223"/>
      <c r="F323" s="9"/>
      <c r="G323" s="9"/>
      <c r="H323" s="9"/>
      <c r="I323" s="9"/>
      <c r="J323" s="9"/>
      <c r="K323" s="9"/>
      <c r="L323" s="9"/>
      <c r="M323" s="9"/>
      <c r="N323" s="9"/>
      <c r="O323" s="9"/>
      <c r="P323" s="9"/>
      <c r="Q323" s="9"/>
      <c r="R323" s="9"/>
      <c r="S323" s="9"/>
      <c r="T323" s="9"/>
      <c r="U323" s="9"/>
      <c r="V323" s="9"/>
      <c r="W323" s="9"/>
      <c r="X323" s="223"/>
      <c r="Y323" s="9"/>
      <c r="Z323" s="204"/>
      <c r="AA323" s="9"/>
      <c r="AB323" s="9"/>
      <c r="AC323" s="9"/>
      <c r="AD323" s="9"/>
    </row>
    <row r="324" ht="15.75" customHeight="1">
      <c r="A324" s="9"/>
      <c r="B324" s="9"/>
      <c r="C324" s="9"/>
      <c r="D324" s="9"/>
      <c r="E324" s="223"/>
      <c r="F324" s="9"/>
      <c r="G324" s="9"/>
      <c r="H324" s="9"/>
      <c r="I324" s="9"/>
      <c r="J324" s="9"/>
      <c r="K324" s="9"/>
      <c r="L324" s="9"/>
      <c r="M324" s="9"/>
      <c r="N324" s="9"/>
      <c r="O324" s="9"/>
      <c r="P324" s="9"/>
      <c r="Q324" s="9"/>
      <c r="R324" s="9"/>
      <c r="S324" s="9"/>
      <c r="T324" s="9"/>
      <c r="U324" s="9"/>
      <c r="V324" s="9"/>
      <c r="W324" s="9"/>
      <c r="X324" s="223"/>
      <c r="Y324" s="9"/>
      <c r="Z324" s="204"/>
      <c r="AA324" s="9"/>
      <c r="AB324" s="9"/>
      <c r="AC324" s="9"/>
      <c r="AD324" s="9"/>
    </row>
    <row r="325" ht="15.75" customHeight="1">
      <c r="A325" s="9"/>
      <c r="B325" s="9"/>
      <c r="C325" s="9"/>
      <c r="D325" s="9"/>
      <c r="E325" s="223"/>
      <c r="F325" s="9"/>
      <c r="G325" s="9"/>
      <c r="H325" s="9"/>
      <c r="I325" s="9"/>
      <c r="J325" s="9"/>
      <c r="K325" s="9"/>
      <c r="L325" s="9"/>
      <c r="M325" s="9"/>
      <c r="N325" s="9"/>
      <c r="O325" s="9"/>
      <c r="P325" s="9"/>
      <c r="Q325" s="9"/>
      <c r="R325" s="9"/>
      <c r="S325" s="9"/>
      <c r="T325" s="9"/>
      <c r="U325" s="9"/>
      <c r="V325" s="9"/>
      <c r="W325" s="9"/>
      <c r="X325" s="223"/>
      <c r="Y325" s="9"/>
      <c r="Z325" s="204"/>
      <c r="AA325" s="9"/>
      <c r="AB325" s="9"/>
      <c r="AC325" s="9"/>
      <c r="AD325" s="9"/>
    </row>
    <row r="326" ht="15.75" customHeight="1">
      <c r="A326" s="9"/>
      <c r="B326" s="9"/>
      <c r="C326" s="9"/>
      <c r="D326" s="9"/>
      <c r="E326" s="223"/>
      <c r="F326" s="9"/>
      <c r="G326" s="9"/>
      <c r="H326" s="9"/>
      <c r="I326" s="9"/>
      <c r="J326" s="9"/>
      <c r="K326" s="9"/>
      <c r="L326" s="9"/>
      <c r="M326" s="9"/>
      <c r="N326" s="9"/>
      <c r="O326" s="9"/>
      <c r="P326" s="9"/>
      <c r="Q326" s="9"/>
      <c r="R326" s="9"/>
      <c r="S326" s="9"/>
      <c r="T326" s="9"/>
      <c r="U326" s="9"/>
      <c r="V326" s="9"/>
      <c r="W326" s="9"/>
      <c r="X326" s="223"/>
      <c r="Y326" s="9"/>
      <c r="Z326" s="204"/>
      <c r="AA326" s="9"/>
      <c r="AB326" s="9"/>
      <c r="AC326" s="9"/>
      <c r="AD326" s="9"/>
    </row>
    <row r="327" ht="15.75" customHeight="1">
      <c r="A327" s="9"/>
      <c r="B327" s="9"/>
      <c r="C327" s="9"/>
      <c r="D327" s="9"/>
      <c r="E327" s="223"/>
      <c r="F327" s="9"/>
      <c r="G327" s="9"/>
      <c r="H327" s="9"/>
      <c r="I327" s="9"/>
      <c r="J327" s="9"/>
      <c r="K327" s="9"/>
      <c r="L327" s="9"/>
      <c r="M327" s="9"/>
      <c r="N327" s="9"/>
      <c r="O327" s="9"/>
      <c r="P327" s="9"/>
      <c r="Q327" s="9"/>
      <c r="R327" s="9"/>
      <c r="S327" s="9"/>
      <c r="T327" s="9"/>
      <c r="U327" s="9"/>
      <c r="V327" s="9"/>
      <c r="W327" s="9"/>
      <c r="X327" s="223"/>
      <c r="Y327" s="9"/>
      <c r="Z327" s="204"/>
      <c r="AA327" s="9"/>
      <c r="AB327" s="9"/>
      <c r="AC327" s="9"/>
      <c r="AD327" s="9"/>
    </row>
    <row r="328" ht="15.75" customHeight="1">
      <c r="A328" s="9"/>
      <c r="B328" s="9"/>
      <c r="C328" s="9"/>
      <c r="D328" s="9"/>
      <c r="E328" s="223"/>
      <c r="F328" s="9"/>
      <c r="G328" s="9"/>
      <c r="H328" s="9"/>
      <c r="I328" s="9"/>
      <c r="J328" s="9"/>
      <c r="K328" s="9"/>
      <c r="L328" s="9"/>
      <c r="M328" s="9"/>
      <c r="N328" s="9"/>
      <c r="O328" s="9"/>
      <c r="P328" s="9"/>
      <c r="Q328" s="9"/>
      <c r="R328" s="9"/>
      <c r="S328" s="9"/>
      <c r="T328" s="9"/>
      <c r="U328" s="9"/>
      <c r="V328" s="9"/>
      <c r="W328" s="9"/>
      <c r="X328" s="223"/>
      <c r="Y328" s="9"/>
      <c r="Z328" s="204"/>
      <c r="AA328" s="9"/>
      <c r="AB328" s="9"/>
      <c r="AC328" s="9"/>
      <c r="AD328" s="9"/>
    </row>
    <row r="329" ht="15.75" customHeight="1">
      <c r="A329" s="9"/>
      <c r="B329" s="9"/>
      <c r="C329" s="9"/>
      <c r="D329" s="9"/>
      <c r="E329" s="223"/>
      <c r="F329" s="9"/>
      <c r="G329" s="9"/>
      <c r="H329" s="9"/>
      <c r="I329" s="9"/>
      <c r="J329" s="9"/>
      <c r="K329" s="9"/>
      <c r="L329" s="9"/>
      <c r="M329" s="9"/>
      <c r="N329" s="9"/>
      <c r="O329" s="9"/>
      <c r="P329" s="9"/>
      <c r="Q329" s="9"/>
      <c r="R329" s="9"/>
      <c r="S329" s="9"/>
      <c r="T329" s="9"/>
      <c r="U329" s="9"/>
      <c r="V329" s="9"/>
      <c r="W329" s="9"/>
      <c r="X329" s="223"/>
      <c r="Y329" s="9"/>
      <c r="Z329" s="204"/>
      <c r="AA329" s="9"/>
      <c r="AB329" s="9"/>
      <c r="AC329" s="9"/>
      <c r="AD329" s="9"/>
    </row>
    <row r="330" ht="15.75" customHeight="1">
      <c r="A330" s="9"/>
      <c r="B330" s="9"/>
      <c r="C330" s="9"/>
      <c r="D330" s="9"/>
      <c r="E330" s="223"/>
      <c r="F330" s="9"/>
      <c r="G330" s="9"/>
      <c r="H330" s="9"/>
      <c r="I330" s="9"/>
      <c r="J330" s="9"/>
      <c r="K330" s="9"/>
      <c r="L330" s="9"/>
      <c r="M330" s="9"/>
      <c r="N330" s="9"/>
      <c r="O330" s="9"/>
      <c r="P330" s="9"/>
      <c r="Q330" s="9"/>
      <c r="R330" s="9"/>
      <c r="S330" s="9"/>
      <c r="T330" s="9"/>
      <c r="U330" s="9"/>
      <c r="V330" s="9"/>
      <c r="W330" s="9"/>
      <c r="X330" s="223"/>
      <c r="Y330" s="9"/>
      <c r="Z330" s="204"/>
      <c r="AA330" s="9"/>
      <c r="AB330" s="9"/>
      <c r="AC330" s="9"/>
      <c r="AD330" s="9"/>
    </row>
    <row r="331" ht="15.75" customHeight="1">
      <c r="A331" s="9"/>
      <c r="B331" s="9"/>
      <c r="C331" s="9"/>
      <c r="D331" s="9"/>
      <c r="E331" s="223"/>
      <c r="F331" s="9"/>
      <c r="G331" s="9"/>
      <c r="H331" s="9"/>
      <c r="I331" s="9"/>
      <c r="J331" s="9"/>
      <c r="K331" s="9"/>
      <c r="L331" s="9"/>
      <c r="M331" s="9"/>
      <c r="N331" s="9"/>
      <c r="O331" s="9"/>
      <c r="P331" s="9"/>
      <c r="Q331" s="9"/>
      <c r="R331" s="9"/>
      <c r="S331" s="9"/>
      <c r="T331" s="9"/>
      <c r="U331" s="9"/>
      <c r="V331" s="9"/>
      <c r="W331" s="9"/>
      <c r="X331" s="223"/>
      <c r="Y331" s="9"/>
      <c r="Z331" s="204"/>
      <c r="AA331" s="9"/>
      <c r="AB331" s="9"/>
      <c r="AC331" s="9"/>
      <c r="AD331" s="9"/>
    </row>
    <row r="332" ht="15.75" customHeight="1">
      <c r="A332" s="9"/>
      <c r="B332" s="9"/>
      <c r="C332" s="9"/>
      <c r="D332" s="9"/>
      <c r="E332" s="223"/>
      <c r="F332" s="9"/>
      <c r="G332" s="9"/>
      <c r="H332" s="9"/>
      <c r="I332" s="9"/>
      <c r="J332" s="9"/>
      <c r="K332" s="9"/>
      <c r="L332" s="9"/>
      <c r="M332" s="9"/>
      <c r="N332" s="9"/>
      <c r="O332" s="9"/>
      <c r="P332" s="9"/>
      <c r="Q332" s="9"/>
      <c r="R332" s="9"/>
      <c r="S332" s="9"/>
      <c r="T332" s="9"/>
      <c r="U332" s="9"/>
      <c r="V332" s="9"/>
      <c r="W332" s="9"/>
      <c r="X332" s="223"/>
      <c r="Y332" s="9"/>
      <c r="Z332" s="204"/>
      <c r="AA332" s="9"/>
      <c r="AB332" s="9"/>
      <c r="AC332" s="9"/>
      <c r="AD332" s="9"/>
    </row>
    <row r="333" ht="15.75" customHeight="1">
      <c r="A333" s="9"/>
      <c r="B333" s="9"/>
      <c r="C333" s="9"/>
      <c r="D333" s="9"/>
      <c r="E333" s="223"/>
      <c r="F333" s="9"/>
      <c r="G333" s="9"/>
      <c r="H333" s="9"/>
      <c r="I333" s="9"/>
      <c r="J333" s="9"/>
      <c r="K333" s="9"/>
      <c r="L333" s="9"/>
      <c r="M333" s="9"/>
      <c r="N333" s="9"/>
      <c r="O333" s="9"/>
      <c r="P333" s="9"/>
      <c r="Q333" s="9"/>
      <c r="R333" s="9"/>
      <c r="S333" s="9"/>
      <c r="T333" s="9"/>
      <c r="U333" s="9"/>
      <c r="V333" s="9"/>
      <c r="W333" s="9"/>
      <c r="X333" s="223"/>
      <c r="Y333" s="9"/>
      <c r="Z333" s="204"/>
      <c r="AA333" s="9"/>
      <c r="AB333" s="9"/>
      <c r="AC333" s="9"/>
      <c r="AD333" s="9"/>
    </row>
    <row r="334" ht="15.75" customHeight="1">
      <c r="A334" s="9"/>
      <c r="B334" s="9"/>
      <c r="C334" s="9"/>
      <c r="D334" s="9"/>
      <c r="E334" s="223"/>
      <c r="F334" s="9"/>
      <c r="G334" s="9"/>
      <c r="H334" s="9"/>
      <c r="I334" s="9"/>
      <c r="J334" s="9"/>
      <c r="K334" s="9"/>
      <c r="L334" s="9"/>
      <c r="M334" s="9"/>
      <c r="N334" s="9"/>
      <c r="O334" s="9"/>
      <c r="P334" s="9"/>
      <c r="Q334" s="9"/>
      <c r="R334" s="9"/>
      <c r="S334" s="9"/>
      <c r="T334" s="9"/>
      <c r="U334" s="9"/>
      <c r="V334" s="9"/>
      <c r="W334" s="9"/>
      <c r="X334" s="223"/>
      <c r="Y334" s="9"/>
      <c r="Z334" s="204"/>
      <c r="AA334" s="9"/>
      <c r="AB334" s="9"/>
      <c r="AC334" s="9"/>
      <c r="AD334" s="9"/>
    </row>
    <row r="335" ht="15.75" customHeight="1">
      <c r="A335" s="9"/>
      <c r="B335" s="9"/>
      <c r="C335" s="9"/>
      <c r="D335" s="9"/>
      <c r="E335" s="223"/>
      <c r="F335" s="9"/>
      <c r="G335" s="9"/>
      <c r="H335" s="9"/>
      <c r="I335" s="9"/>
      <c r="J335" s="9"/>
      <c r="K335" s="9"/>
      <c r="L335" s="9"/>
      <c r="M335" s="9"/>
      <c r="N335" s="9"/>
      <c r="O335" s="9"/>
      <c r="P335" s="9"/>
      <c r="Q335" s="9"/>
      <c r="R335" s="9"/>
      <c r="S335" s="9"/>
      <c r="T335" s="9"/>
      <c r="U335" s="9"/>
      <c r="V335" s="9"/>
      <c r="W335" s="9"/>
      <c r="X335" s="223"/>
      <c r="Y335" s="9"/>
      <c r="Z335" s="204"/>
      <c r="AA335" s="9"/>
      <c r="AB335" s="9"/>
      <c r="AC335" s="9"/>
      <c r="AD335" s="9"/>
    </row>
    <row r="336" ht="15.75" customHeight="1">
      <c r="A336" s="9"/>
      <c r="B336" s="9"/>
      <c r="C336" s="9"/>
      <c r="D336" s="9"/>
      <c r="E336" s="223"/>
      <c r="F336" s="9"/>
      <c r="G336" s="9"/>
      <c r="H336" s="9"/>
      <c r="I336" s="9"/>
      <c r="J336" s="9"/>
      <c r="K336" s="9"/>
      <c r="L336" s="9"/>
      <c r="M336" s="9"/>
      <c r="N336" s="9"/>
      <c r="O336" s="9"/>
      <c r="P336" s="9"/>
      <c r="Q336" s="9"/>
      <c r="R336" s="9"/>
      <c r="S336" s="9"/>
      <c r="T336" s="9"/>
      <c r="U336" s="9"/>
      <c r="V336" s="9"/>
      <c r="W336" s="9"/>
      <c r="X336" s="223"/>
      <c r="Y336" s="9"/>
      <c r="Z336" s="204"/>
      <c r="AA336" s="9"/>
      <c r="AB336" s="9"/>
      <c r="AC336" s="9"/>
      <c r="AD336" s="9"/>
    </row>
    <row r="337" ht="15.75" customHeight="1">
      <c r="A337" s="9"/>
      <c r="B337" s="9"/>
      <c r="C337" s="9"/>
      <c r="D337" s="9"/>
      <c r="E337" s="223"/>
      <c r="F337" s="9"/>
      <c r="G337" s="9"/>
      <c r="H337" s="9"/>
      <c r="I337" s="9"/>
      <c r="J337" s="9"/>
      <c r="K337" s="9"/>
      <c r="L337" s="9"/>
      <c r="M337" s="9"/>
      <c r="N337" s="9"/>
      <c r="O337" s="9"/>
      <c r="P337" s="9"/>
      <c r="Q337" s="9"/>
      <c r="R337" s="9"/>
      <c r="S337" s="9"/>
      <c r="T337" s="9"/>
      <c r="U337" s="9"/>
      <c r="V337" s="9"/>
      <c r="W337" s="9"/>
      <c r="X337" s="223"/>
      <c r="Y337" s="9"/>
      <c r="Z337" s="204"/>
      <c r="AA337" s="9"/>
      <c r="AB337" s="9"/>
      <c r="AC337" s="9"/>
      <c r="AD337" s="9"/>
    </row>
    <row r="338" ht="15.75" customHeight="1">
      <c r="A338" s="9"/>
      <c r="B338" s="9"/>
      <c r="C338" s="9"/>
      <c r="D338" s="9"/>
      <c r="E338" s="223"/>
      <c r="F338" s="9"/>
      <c r="G338" s="9"/>
      <c r="H338" s="9"/>
      <c r="I338" s="9"/>
      <c r="J338" s="9"/>
      <c r="K338" s="9"/>
      <c r="L338" s="9"/>
      <c r="M338" s="9"/>
      <c r="N338" s="9"/>
      <c r="O338" s="9"/>
      <c r="P338" s="9"/>
      <c r="Q338" s="9"/>
      <c r="R338" s="9"/>
      <c r="S338" s="9"/>
      <c r="T338" s="9"/>
      <c r="U338" s="9"/>
      <c r="V338" s="9"/>
      <c r="W338" s="9"/>
      <c r="X338" s="223"/>
      <c r="Y338" s="9"/>
      <c r="Z338" s="204"/>
      <c r="AA338" s="9"/>
      <c r="AB338" s="9"/>
      <c r="AC338" s="9"/>
      <c r="AD338" s="9"/>
    </row>
    <row r="339" ht="15.75" customHeight="1">
      <c r="A339" s="9"/>
      <c r="B339" s="9"/>
      <c r="C339" s="9"/>
      <c r="D339" s="9"/>
      <c r="E339" s="223"/>
      <c r="F339" s="9"/>
      <c r="G339" s="9"/>
      <c r="H339" s="9"/>
      <c r="I339" s="9"/>
      <c r="J339" s="9"/>
      <c r="K339" s="9"/>
      <c r="L339" s="9"/>
      <c r="M339" s="9"/>
      <c r="N339" s="9"/>
      <c r="O339" s="9"/>
      <c r="P339" s="9"/>
      <c r="Q339" s="9"/>
      <c r="R339" s="9"/>
      <c r="S339" s="9"/>
      <c r="T339" s="9"/>
      <c r="U339" s="9"/>
      <c r="V339" s="9"/>
      <c r="W339" s="9"/>
      <c r="X339" s="223"/>
      <c r="Y339" s="9"/>
      <c r="Z339" s="204"/>
      <c r="AA339" s="9"/>
      <c r="AB339" s="9"/>
      <c r="AC339" s="9"/>
      <c r="AD339" s="9"/>
    </row>
    <row r="340" ht="15.75" customHeight="1">
      <c r="A340" s="9"/>
      <c r="B340" s="9"/>
      <c r="C340" s="9"/>
      <c r="D340" s="9"/>
      <c r="E340" s="223"/>
      <c r="F340" s="9"/>
      <c r="G340" s="9"/>
      <c r="H340" s="9"/>
      <c r="I340" s="9"/>
      <c r="J340" s="9"/>
      <c r="K340" s="9"/>
      <c r="L340" s="9"/>
      <c r="M340" s="9"/>
      <c r="N340" s="9"/>
      <c r="O340" s="9"/>
      <c r="P340" s="9"/>
      <c r="Q340" s="9"/>
      <c r="R340" s="9"/>
      <c r="S340" s="9"/>
      <c r="T340" s="9"/>
      <c r="U340" s="9"/>
      <c r="V340" s="9"/>
      <c r="W340" s="9"/>
      <c r="X340" s="223"/>
      <c r="Y340" s="9"/>
      <c r="Z340" s="204"/>
      <c r="AA340" s="9"/>
      <c r="AB340" s="9"/>
      <c r="AC340" s="9"/>
      <c r="AD340" s="9"/>
    </row>
    <row r="341" ht="15.75" customHeight="1">
      <c r="A341" s="9"/>
      <c r="B341" s="9"/>
      <c r="C341" s="9"/>
      <c r="D341" s="9"/>
      <c r="E341" s="223"/>
      <c r="F341" s="9"/>
      <c r="G341" s="9"/>
      <c r="H341" s="9"/>
      <c r="I341" s="9"/>
      <c r="J341" s="9"/>
      <c r="K341" s="9"/>
      <c r="L341" s="9"/>
      <c r="M341" s="9"/>
      <c r="N341" s="9"/>
      <c r="O341" s="9"/>
      <c r="P341" s="9"/>
      <c r="Q341" s="9"/>
      <c r="R341" s="9"/>
      <c r="S341" s="9"/>
      <c r="T341" s="9"/>
      <c r="U341" s="9"/>
      <c r="V341" s="9"/>
      <c r="W341" s="9"/>
      <c r="X341" s="223"/>
      <c r="Y341" s="9"/>
      <c r="Z341" s="204"/>
      <c r="AA341" s="9"/>
      <c r="AB341" s="9"/>
      <c r="AC341" s="9"/>
      <c r="AD341" s="9"/>
    </row>
    <row r="342" ht="15.75" customHeight="1">
      <c r="A342" s="9"/>
      <c r="B342" s="9"/>
      <c r="C342" s="9"/>
      <c r="D342" s="9"/>
      <c r="E342" s="223"/>
      <c r="F342" s="9"/>
      <c r="G342" s="9"/>
      <c r="H342" s="9"/>
      <c r="I342" s="9"/>
      <c r="J342" s="9"/>
      <c r="K342" s="9"/>
      <c r="L342" s="9"/>
      <c r="M342" s="9"/>
      <c r="N342" s="9"/>
      <c r="O342" s="9"/>
      <c r="P342" s="9"/>
      <c r="Q342" s="9"/>
      <c r="R342" s="9"/>
      <c r="S342" s="9"/>
      <c r="T342" s="9"/>
      <c r="U342" s="9"/>
      <c r="V342" s="9"/>
      <c r="W342" s="9"/>
      <c r="X342" s="223"/>
      <c r="Y342" s="9"/>
      <c r="Z342" s="204"/>
      <c r="AA342" s="9"/>
      <c r="AB342" s="9"/>
      <c r="AC342" s="9"/>
      <c r="AD342" s="9"/>
    </row>
    <row r="343" ht="15.75" customHeight="1">
      <c r="A343" s="9"/>
      <c r="B343" s="9"/>
      <c r="C343" s="9"/>
      <c r="D343" s="9"/>
      <c r="E343" s="223"/>
      <c r="F343" s="9"/>
      <c r="G343" s="9"/>
      <c r="H343" s="9"/>
      <c r="I343" s="9"/>
      <c r="J343" s="9"/>
      <c r="K343" s="9"/>
      <c r="L343" s="9"/>
      <c r="M343" s="9"/>
      <c r="N343" s="9"/>
      <c r="O343" s="9"/>
      <c r="P343" s="9"/>
      <c r="Q343" s="9"/>
      <c r="R343" s="9"/>
      <c r="S343" s="9"/>
      <c r="T343" s="9"/>
      <c r="U343" s="9"/>
      <c r="V343" s="9"/>
      <c r="W343" s="9"/>
      <c r="X343" s="223"/>
      <c r="Y343" s="9"/>
      <c r="Z343" s="204"/>
      <c r="AA343" s="9"/>
      <c r="AB343" s="9"/>
      <c r="AC343" s="9"/>
      <c r="AD343" s="9"/>
    </row>
    <row r="344" ht="15.75" customHeight="1">
      <c r="A344" s="9"/>
      <c r="B344" s="9"/>
      <c r="C344" s="9"/>
      <c r="D344" s="9"/>
      <c r="E344" s="223"/>
      <c r="F344" s="9"/>
      <c r="G344" s="9"/>
      <c r="H344" s="9"/>
      <c r="I344" s="9"/>
      <c r="J344" s="9"/>
      <c r="K344" s="9"/>
      <c r="L344" s="9"/>
      <c r="M344" s="9"/>
      <c r="N344" s="9"/>
      <c r="O344" s="9"/>
      <c r="P344" s="9"/>
      <c r="Q344" s="9"/>
      <c r="R344" s="9"/>
      <c r="S344" s="9"/>
      <c r="T344" s="9"/>
      <c r="U344" s="9"/>
      <c r="V344" s="9"/>
      <c r="W344" s="9"/>
      <c r="X344" s="223"/>
      <c r="Y344" s="9"/>
      <c r="Z344" s="204"/>
      <c r="AA344" s="9"/>
      <c r="AB344" s="9"/>
      <c r="AC344" s="9"/>
      <c r="AD344" s="9"/>
    </row>
    <row r="345" ht="15.75" customHeight="1">
      <c r="A345" s="9"/>
      <c r="B345" s="9"/>
      <c r="C345" s="9"/>
      <c r="D345" s="9"/>
      <c r="E345" s="223"/>
      <c r="F345" s="9"/>
      <c r="G345" s="9"/>
      <c r="H345" s="9"/>
      <c r="I345" s="9"/>
      <c r="J345" s="9"/>
      <c r="K345" s="9"/>
      <c r="L345" s="9"/>
      <c r="M345" s="9"/>
      <c r="N345" s="9"/>
      <c r="O345" s="9"/>
      <c r="P345" s="9"/>
      <c r="Q345" s="9"/>
      <c r="R345" s="9"/>
      <c r="S345" s="9"/>
      <c r="T345" s="9"/>
      <c r="U345" s="9"/>
      <c r="V345" s="9"/>
      <c r="W345" s="9"/>
      <c r="X345" s="223"/>
      <c r="Y345" s="9"/>
      <c r="Z345" s="204"/>
      <c r="AA345" s="9"/>
      <c r="AB345" s="9"/>
      <c r="AC345" s="9"/>
      <c r="AD345" s="9"/>
    </row>
    <row r="346" ht="15.75" customHeight="1">
      <c r="A346" s="9"/>
      <c r="B346" s="9"/>
      <c r="C346" s="9"/>
      <c r="D346" s="9"/>
      <c r="E346" s="223"/>
      <c r="F346" s="9"/>
      <c r="G346" s="9"/>
      <c r="H346" s="9"/>
      <c r="I346" s="9"/>
      <c r="J346" s="9"/>
      <c r="K346" s="9"/>
      <c r="L346" s="9"/>
      <c r="M346" s="9"/>
      <c r="N346" s="9"/>
      <c r="O346" s="9"/>
      <c r="P346" s="9"/>
      <c r="Q346" s="9"/>
      <c r="R346" s="9"/>
      <c r="S346" s="9"/>
      <c r="T346" s="9"/>
      <c r="U346" s="9"/>
      <c r="V346" s="9"/>
      <c r="W346" s="9"/>
      <c r="X346" s="223"/>
      <c r="Y346" s="9"/>
      <c r="Z346" s="204"/>
      <c r="AA346" s="9"/>
      <c r="AB346" s="9"/>
      <c r="AC346" s="9"/>
      <c r="AD346" s="9"/>
    </row>
    <row r="347" ht="15.75" customHeight="1">
      <c r="A347" s="9"/>
      <c r="B347" s="9"/>
      <c r="C347" s="9"/>
      <c r="D347" s="9"/>
      <c r="E347" s="223"/>
      <c r="F347" s="9"/>
      <c r="G347" s="9"/>
      <c r="H347" s="9"/>
      <c r="I347" s="9"/>
      <c r="J347" s="9"/>
      <c r="K347" s="9"/>
      <c r="L347" s="9"/>
      <c r="M347" s="9"/>
      <c r="N347" s="9"/>
      <c r="O347" s="9"/>
      <c r="P347" s="9"/>
      <c r="Q347" s="9"/>
      <c r="R347" s="9"/>
      <c r="S347" s="9"/>
      <c r="T347" s="9"/>
      <c r="U347" s="9"/>
      <c r="V347" s="9"/>
      <c r="W347" s="9"/>
      <c r="X347" s="223"/>
      <c r="Y347" s="9"/>
      <c r="Z347" s="204"/>
      <c r="AA347" s="9"/>
      <c r="AB347" s="9"/>
      <c r="AC347" s="9"/>
      <c r="AD347" s="9"/>
    </row>
    <row r="348" ht="15.75" customHeight="1">
      <c r="A348" s="9"/>
      <c r="B348" s="9"/>
      <c r="C348" s="9"/>
      <c r="D348" s="9"/>
      <c r="E348" s="223"/>
      <c r="F348" s="9"/>
      <c r="G348" s="9"/>
      <c r="H348" s="9"/>
      <c r="I348" s="9"/>
      <c r="J348" s="9"/>
      <c r="K348" s="9"/>
      <c r="L348" s="9"/>
      <c r="M348" s="9"/>
      <c r="N348" s="9"/>
      <c r="O348" s="9"/>
      <c r="P348" s="9"/>
      <c r="Q348" s="9"/>
      <c r="R348" s="9"/>
      <c r="S348" s="9"/>
      <c r="T348" s="9"/>
      <c r="U348" s="9"/>
      <c r="V348" s="9"/>
      <c r="W348" s="9"/>
      <c r="X348" s="223"/>
      <c r="Y348" s="9"/>
      <c r="Z348" s="204"/>
      <c r="AA348" s="9"/>
      <c r="AB348" s="9"/>
      <c r="AC348" s="9"/>
      <c r="AD348" s="9"/>
    </row>
    <row r="349" ht="15.75" customHeight="1">
      <c r="A349" s="9"/>
      <c r="B349" s="9"/>
      <c r="C349" s="9"/>
      <c r="D349" s="9"/>
      <c r="E349" s="223"/>
      <c r="F349" s="9"/>
      <c r="G349" s="9"/>
      <c r="H349" s="9"/>
      <c r="I349" s="9"/>
      <c r="J349" s="9"/>
      <c r="K349" s="9"/>
      <c r="L349" s="9"/>
      <c r="M349" s="9"/>
      <c r="N349" s="9"/>
      <c r="O349" s="9"/>
      <c r="P349" s="9"/>
      <c r="Q349" s="9"/>
      <c r="R349" s="9"/>
      <c r="S349" s="9"/>
      <c r="T349" s="9"/>
      <c r="U349" s="9"/>
      <c r="V349" s="9"/>
      <c r="W349" s="9"/>
      <c r="X349" s="223"/>
      <c r="Y349" s="9"/>
      <c r="Z349" s="204"/>
      <c r="AA349" s="9"/>
      <c r="AB349" s="9"/>
      <c r="AC349" s="9"/>
      <c r="AD349" s="9"/>
    </row>
    <row r="350" ht="15.75" customHeight="1">
      <c r="A350" s="9"/>
      <c r="B350" s="9"/>
      <c r="C350" s="9"/>
      <c r="D350" s="9"/>
      <c r="E350" s="223"/>
      <c r="F350" s="9"/>
      <c r="G350" s="9"/>
      <c r="H350" s="9"/>
      <c r="I350" s="9"/>
      <c r="J350" s="9"/>
      <c r="K350" s="9"/>
      <c r="L350" s="9"/>
      <c r="M350" s="9"/>
      <c r="N350" s="9"/>
      <c r="O350" s="9"/>
      <c r="P350" s="9"/>
      <c r="Q350" s="9"/>
      <c r="R350" s="9"/>
      <c r="S350" s="9"/>
      <c r="T350" s="9"/>
      <c r="U350" s="9"/>
      <c r="V350" s="9"/>
      <c r="W350" s="9"/>
      <c r="X350" s="223"/>
      <c r="Y350" s="9"/>
      <c r="Z350" s="204"/>
      <c r="AA350" s="9"/>
      <c r="AB350" s="9"/>
      <c r="AC350" s="9"/>
      <c r="AD350" s="9"/>
    </row>
    <row r="351" ht="15.75" customHeight="1">
      <c r="A351" s="9"/>
      <c r="B351" s="9"/>
      <c r="C351" s="9"/>
      <c r="D351" s="9"/>
      <c r="E351" s="223"/>
      <c r="F351" s="9"/>
      <c r="G351" s="9"/>
      <c r="H351" s="9"/>
      <c r="I351" s="9"/>
      <c r="J351" s="9"/>
      <c r="K351" s="9"/>
      <c r="L351" s="9"/>
      <c r="M351" s="9"/>
      <c r="N351" s="9"/>
      <c r="O351" s="9"/>
      <c r="P351" s="9"/>
      <c r="Q351" s="9"/>
      <c r="R351" s="9"/>
      <c r="S351" s="9"/>
      <c r="T351" s="9"/>
      <c r="U351" s="9"/>
      <c r="V351" s="9"/>
      <c r="W351" s="9"/>
      <c r="X351" s="223"/>
      <c r="Y351" s="9"/>
      <c r="Z351" s="204"/>
      <c r="AA351" s="9"/>
      <c r="AB351" s="9"/>
      <c r="AC351" s="9"/>
      <c r="AD351" s="9"/>
    </row>
    <row r="352" ht="15.75" customHeight="1">
      <c r="A352" s="9"/>
      <c r="B352" s="9"/>
      <c r="C352" s="9"/>
      <c r="D352" s="9"/>
      <c r="E352" s="223"/>
      <c r="F352" s="9"/>
      <c r="G352" s="9"/>
      <c r="H352" s="9"/>
      <c r="I352" s="9"/>
      <c r="J352" s="9"/>
      <c r="K352" s="9"/>
      <c r="L352" s="9"/>
      <c r="M352" s="9"/>
      <c r="N352" s="9"/>
      <c r="O352" s="9"/>
      <c r="P352" s="9"/>
      <c r="Q352" s="9"/>
      <c r="R352" s="9"/>
      <c r="S352" s="9"/>
      <c r="T352" s="9"/>
      <c r="U352" s="9"/>
      <c r="V352" s="9"/>
      <c r="W352" s="9"/>
      <c r="X352" s="223"/>
      <c r="Y352" s="9"/>
      <c r="Z352" s="204"/>
      <c r="AA352" s="9"/>
      <c r="AB352" s="9"/>
      <c r="AC352" s="9"/>
      <c r="AD352" s="9"/>
    </row>
    <row r="353" ht="15.75" customHeight="1">
      <c r="A353" s="9"/>
      <c r="B353" s="9"/>
      <c r="C353" s="9"/>
      <c r="D353" s="9"/>
      <c r="E353" s="223"/>
      <c r="F353" s="9"/>
      <c r="G353" s="9"/>
      <c r="H353" s="9"/>
      <c r="I353" s="9"/>
      <c r="J353" s="9"/>
      <c r="K353" s="9"/>
      <c r="L353" s="9"/>
      <c r="M353" s="9"/>
      <c r="N353" s="9"/>
      <c r="O353" s="9"/>
      <c r="P353" s="9"/>
      <c r="Q353" s="9"/>
      <c r="R353" s="9"/>
      <c r="S353" s="9"/>
      <c r="T353" s="9"/>
      <c r="U353" s="9"/>
      <c r="V353" s="9"/>
      <c r="W353" s="9"/>
      <c r="X353" s="223"/>
      <c r="Y353" s="9"/>
      <c r="Z353" s="204"/>
      <c r="AA353" s="9"/>
      <c r="AB353" s="9"/>
      <c r="AC353" s="9"/>
      <c r="AD353" s="9"/>
    </row>
    <row r="354" ht="15.75" customHeight="1">
      <c r="A354" s="9"/>
      <c r="B354" s="9"/>
      <c r="C354" s="9"/>
      <c r="D354" s="9"/>
      <c r="E354" s="223"/>
      <c r="F354" s="9"/>
      <c r="G354" s="9"/>
      <c r="H354" s="9"/>
      <c r="I354" s="9"/>
      <c r="J354" s="9"/>
      <c r="K354" s="9"/>
      <c r="L354" s="9"/>
      <c r="M354" s="9"/>
      <c r="N354" s="9"/>
      <c r="O354" s="9"/>
      <c r="P354" s="9"/>
      <c r="Q354" s="9"/>
      <c r="R354" s="9"/>
      <c r="S354" s="9"/>
      <c r="T354" s="9"/>
      <c r="U354" s="9"/>
      <c r="V354" s="9"/>
      <c r="W354" s="9"/>
      <c r="X354" s="223"/>
      <c r="Y354" s="9"/>
      <c r="Z354" s="204"/>
      <c r="AA354" s="9"/>
      <c r="AB354" s="9"/>
      <c r="AC354" s="9"/>
      <c r="AD354" s="9"/>
    </row>
    <row r="355" ht="15.75" customHeight="1">
      <c r="A355" s="9"/>
      <c r="B355" s="9"/>
      <c r="C355" s="9"/>
      <c r="D355" s="9"/>
      <c r="E355" s="223"/>
      <c r="F355" s="9"/>
      <c r="G355" s="9"/>
      <c r="H355" s="9"/>
      <c r="I355" s="9"/>
      <c r="J355" s="9"/>
      <c r="K355" s="9"/>
      <c r="L355" s="9"/>
      <c r="M355" s="9"/>
      <c r="N355" s="9"/>
      <c r="O355" s="9"/>
      <c r="P355" s="9"/>
      <c r="Q355" s="9"/>
      <c r="R355" s="9"/>
      <c r="S355" s="9"/>
      <c r="T355" s="9"/>
      <c r="U355" s="9"/>
      <c r="V355" s="9"/>
      <c r="W355" s="9"/>
      <c r="X355" s="223"/>
      <c r="Y355" s="9"/>
      <c r="Z355" s="204"/>
      <c r="AA355" s="9"/>
      <c r="AB355" s="9"/>
      <c r="AC355" s="9"/>
      <c r="AD355" s="9"/>
    </row>
    <row r="356" ht="15.75" customHeight="1">
      <c r="A356" s="9"/>
      <c r="B356" s="9"/>
      <c r="C356" s="9"/>
      <c r="D356" s="9"/>
      <c r="E356" s="223"/>
      <c r="F356" s="9"/>
      <c r="G356" s="9"/>
      <c r="H356" s="9"/>
      <c r="I356" s="9"/>
      <c r="J356" s="9"/>
      <c r="K356" s="9"/>
      <c r="L356" s="9"/>
      <c r="M356" s="9"/>
      <c r="N356" s="9"/>
      <c r="O356" s="9"/>
      <c r="P356" s="9"/>
      <c r="Q356" s="9"/>
      <c r="R356" s="9"/>
      <c r="S356" s="9"/>
      <c r="T356" s="9"/>
      <c r="U356" s="9"/>
      <c r="V356" s="9"/>
      <c r="W356" s="9"/>
      <c r="X356" s="223"/>
      <c r="Y356" s="9"/>
      <c r="Z356" s="204"/>
      <c r="AA356" s="9"/>
      <c r="AB356" s="9"/>
      <c r="AC356" s="9"/>
      <c r="AD356" s="9"/>
    </row>
    <row r="357" ht="15.75" customHeight="1">
      <c r="A357" s="9"/>
      <c r="B357" s="9"/>
      <c r="C357" s="9"/>
      <c r="D357" s="9"/>
      <c r="E357" s="223"/>
      <c r="F357" s="9"/>
      <c r="G357" s="9"/>
      <c r="H357" s="9"/>
      <c r="I357" s="9"/>
      <c r="J357" s="9"/>
      <c r="K357" s="9"/>
      <c r="L357" s="9"/>
      <c r="M357" s="9"/>
      <c r="N357" s="9"/>
      <c r="O357" s="9"/>
      <c r="P357" s="9"/>
      <c r="Q357" s="9"/>
      <c r="R357" s="9"/>
      <c r="S357" s="9"/>
      <c r="T357" s="9"/>
      <c r="U357" s="9"/>
      <c r="V357" s="9"/>
      <c r="W357" s="9"/>
      <c r="X357" s="223"/>
      <c r="Y357" s="9"/>
      <c r="Z357" s="204"/>
      <c r="AA357" s="9"/>
      <c r="AB357" s="9"/>
      <c r="AC357" s="9"/>
      <c r="AD357" s="9"/>
    </row>
    <row r="358" ht="15.75" customHeight="1">
      <c r="A358" s="9"/>
      <c r="B358" s="9"/>
      <c r="C358" s="9"/>
      <c r="D358" s="9"/>
      <c r="E358" s="223"/>
      <c r="F358" s="9"/>
      <c r="G358" s="9"/>
      <c r="H358" s="9"/>
      <c r="I358" s="9"/>
      <c r="J358" s="9"/>
      <c r="K358" s="9"/>
      <c r="L358" s="9"/>
      <c r="M358" s="9"/>
      <c r="N358" s="9"/>
      <c r="O358" s="9"/>
      <c r="P358" s="9"/>
      <c r="Q358" s="9"/>
      <c r="R358" s="9"/>
      <c r="S358" s="9"/>
      <c r="T358" s="9"/>
      <c r="U358" s="9"/>
      <c r="V358" s="9"/>
      <c r="W358" s="9"/>
      <c r="X358" s="223"/>
      <c r="Y358" s="9"/>
      <c r="Z358" s="204"/>
      <c r="AA358" s="9"/>
      <c r="AB358" s="9"/>
      <c r="AC358" s="9"/>
      <c r="AD358" s="9"/>
    </row>
    <row r="359" ht="15.75" customHeight="1">
      <c r="A359" s="9"/>
      <c r="B359" s="9"/>
      <c r="C359" s="9"/>
      <c r="D359" s="9"/>
      <c r="E359" s="223"/>
      <c r="F359" s="9"/>
      <c r="G359" s="9"/>
      <c r="H359" s="9"/>
      <c r="I359" s="9"/>
      <c r="J359" s="9"/>
      <c r="K359" s="9"/>
      <c r="L359" s="9"/>
      <c r="M359" s="9"/>
      <c r="N359" s="9"/>
      <c r="O359" s="9"/>
      <c r="P359" s="9"/>
      <c r="Q359" s="9"/>
      <c r="R359" s="9"/>
      <c r="S359" s="9"/>
      <c r="T359" s="9"/>
      <c r="U359" s="9"/>
      <c r="V359" s="9"/>
      <c r="W359" s="9"/>
      <c r="X359" s="223"/>
      <c r="Y359" s="9"/>
      <c r="Z359" s="204"/>
      <c r="AA359" s="9"/>
      <c r="AB359" s="9"/>
      <c r="AC359" s="9"/>
      <c r="AD359" s="9"/>
    </row>
    <row r="360" ht="15.75" customHeight="1">
      <c r="A360" s="9"/>
      <c r="B360" s="9"/>
      <c r="C360" s="9"/>
      <c r="D360" s="9"/>
      <c r="E360" s="223"/>
      <c r="F360" s="9"/>
      <c r="G360" s="9"/>
      <c r="H360" s="9"/>
      <c r="I360" s="9"/>
      <c r="J360" s="9"/>
      <c r="K360" s="9"/>
      <c r="L360" s="9"/>
      <c r="M360" s="9"/>
      <c r="N360" s="9"/>
      <c r="O360" s="9"/>
      <c r="P360" s="9"/>
      <c r="Q360" s="9"/>
      <c r="R360" s="9"/>
      <c r="S360" s="9"/>
      <c r="T360" s="9"/>
      <c r="U360" s="9"/>
      <c r="V360" s="9"/>
      <c r="W360" s="9"/>
      <c r="X360" s="223"/>
      <c r="Y360" s="9"/>
      <c r="Z360" s="204"/>
      <c r="AA360" s="9"/>
      <c r="AB360" s="9"/>
      <c r="AC360" s="9"/>
      <c r="AD360" s="9"/>
    </row>
    <row r="361" ht="15.75" customHeight="1">
      <c r="A361" s="9"/>
      <c r="B361" s="9"/>
      <c r="C361" s="9"/>
      <c r="D361" s="9"/>
      <c r="E361" s="223"/>
      <c r="F361" s="9"/>
      <c r="G361" s="9"/>
      <c r="H361" s="9"/>
      <c r="I361" s="9"/>
      <c r="J361" s="9"/>
      <c r="K361" s="9"/>
      <c r="L361" s="9"/>
      <c r="M361" s="9"/>
      <c r="N361" s="9"/>
      <c r="O361" s="9"/>
      <c r="P361" s="9"/>
      <c r="Q361" s="9"/>
      <c r="R361" s="9"/>
      <c r="S361" s="9"/>
      <c r="T361" s="9"/>
      <c r="U361" s="9"/>
      <c r="V361" s="9"/>
      <c r="W361" s="9"/>
      <c r="X361" s="223"/>
      <c r="Y361" s="9"/>
      <c r="Z361" s="204"/>
      <c r="AA361" s="9"/>
      <c r="AB361" s="9"/>
      <c r="AC361" s="9"/>
      <c r="AD361" s="9"/>
    </row>
    <row r="362" ht="15.75" customHeight="1">
      <c r="A362" s="9"/>
      <c r="B362" s="9"/>
      <c r="C362" s="9"/>
      <c r="D362" s="9"/>
      <c r="E362" s="223"/>
      <c r="F362" s="9"/>
      <c r="G362" s="9"/>
      <c r="H362" s="9"/>
      <c r="I362" s="9"/>
      <c r="J362" s="9"/>
      <c r="K362" s="9"/>
      <c r="L362" s="9"/>
      <c r="M362" s="9"/>
      <c r="N362" s="9"/>
      <c r="O362" s="9"/>
      <c r="P362" s="9"/>
      <c r="Q362" s="9"/>
      <c r="R362" s="9"/>
      <c r="S362" s="9"/>
      <c r="T362" s="9"/>
      <c r="U362" s="9"/>
      <c r="V362" s="9"/>
      <c r="W362" s="9"/>
      <c r="X362" s="223"/>
      <c r="Y362" s="9"/>
      <c r="Z362" s="204"/>
      <c r="AA362" s="9"/>
      <c r="AB362" s="9"/>
      <c r="AC362" s="9"/>
      <c r="AD362" s="9"/>
    </row>
    <row r="363" ht="15.75" customHeight="1">
      <c r="A363" s="9"/>
      <c r="B363" s="9"/>
      <c r="C363" s="9"/>
      <c r="D363" s="9"/>
      <c r="E363" s="223"/>
      <c r="F363" s="9"/>
      <c r="G363" s="9"/>
      <c r="H363" s="9"/>
      <c r="I363" s="9"/>
      <c r="J363" s="9"/>
      <c r="K363" s="9"/>
      <c r="L363" s="9"/>
      <c r="M363" s="9"/>
      <c r="N363" s="9"/>
      <c r="O363" s="9"/>
      <c r="P363" s="9"/>
      <c r="Q363" s="9"/>
      <c r="R363" s="9"/>
      <c r="S363" s="9"/>
      <c r="T363" s="9"/>
      <c r="U363" s="9"/>
      <c r="V363" s="9"/>
      <c r="W363" s="9"/>
      <c r="X363" s="223"/>
      <c r="Y363" s="9"/>
      <c r="Z363" s="204"/>
      <c r="AA363" s="9"/>
      <c r="AB363" s="9"/>
      <c r="AC363" s="9"/>
      <c r="AD363" s="9"/>
    </row>
    <row r="364" ht="15.75" customHeight="1">
      <c r="A364" s="9"/>
      <c r="B364" s="9"/>
      <c r="C364" s="9"/>
      <c r="D364" s="9"/>
      <c r="E364" s="223"/>
      <c r="F364" s="9"/>
      <c r="G364" s="9"/>
      <c r="H364" s="9"/>
      <c r="I364" s="9"/>
      <c r="J364" s="9"/>
      <c r="K364" s="9"/>
      <c r="L364" s="9"/>
      <c r="M364" s="9"/>
      <c r="N364" s="9"/>
      <c r="O364" s="9"/>
      <c r="P364" s="9"/>
      <c r="Q364" s="9"/>
      <c r="R364" s="9"/>
      <c r="S364" s="9"/>
      <c r="T364" s="9"/>
      <c r="U364" s="9"/>
      <c r="V364" s="9"/>
      <c r="W364" s="9"/>
      <c r="X364" s="223"/>
      <c r="Y364" s="9"/>
      <c r="Z364" s="204"/>
      <c r="AA364" s="9"/>
      <c r="AB364" s="9"/>
      <c r="AC364" s="9"/>
      <c r="AD364" s="9"/>
    </row>
    <row r="365" ht="15.75" customHeight="1">
      <c r="A365" s="9"/>
      <c r="B365" s="9"/>
      <c r="C365" s="9"/>
      <c r="D365" s="9"/>
      <c r="E365" s="223"/>
      <c r="F365" s="9"/>
      <c r="G365" s="9"/>
      <c r="H365" s="9"/>
      <c r="I365" s="9"/>
      <c r="J365" s="9"/>
      <c r="K365" s="9"/>
      <c r="L365" s="9"/>
      <c r="M365" s="9"/>
      <c r="N365" s="9"/>
      <c r="O365" s="9"/>
      <c r="P365" s="9"/>
      <c r="Q365" s="9"/>
      <c r="R365" s="9"/>
      <c r="S365" s="9"/>
      <c r="T365" s="9"/>
      <c r="U365" s="9"/>
      <c r="V365" s="9"/>
      <c r="W365" s="9"/>
      <c r="X365" s="223"/>
      <c r="Y365" s="9"/>
      <c r="Z365" s="204"/>
      <c r="AA365" s="9"/>
      <c r="AB365" s="9"/>
      <c r="AC365" s="9"/>
      <c r="AD365" s="9"/>
    </row>
    <row r="366" ht="15.75" customHeight="1">
      <c r="A366" s="9"/>
      <c r="B366" s="9"/>
      <c r="C366" s="9"/>
      <c r="D366" s="9"/>
      <c r="E366" s="223"/>
      <c r="F366" s="9"/>
      <c r="G366" s="9"/>
      <c r="H366" s="9"/>
      <c r="I366" s="9"/>
      <c r="J366" s="9"/>
      <c r="K366" s="9"/>
      <c r="L366" s="9"/>
      <c r="M366" s="9"/>
      <c r="N366" s="9"/>
      <c r="O366" s="9"/>
      <c r="P366" s="9"/>
      <c r="Q366" s="9"/>
      <c r="R366" s="9"/>
      <c r="S366" s="9"/>
      <c r="T366" s="9"/>
      <c r="U366" s="9"/>
      <c r="V366" s="9"/>
      <c r="W366" s="9"/>
      <c r="X366" s="223"/>
      <c r="Y366" s="9"/>
      <c r="Z366" s="204"/>
      <c r="AA366" s="9"/>
      <c r="AB366" s="9"/>
      <c r="AC366" s="9"/>
      <c r="AD366" s="9"/>
    </row>
    <row r="367" ht="15.75" customHeight="1">
      <c r="A367" s="9"/>
      <c r="B367" s="9"/>
      <c r="C367" s="9"/>
      <c r="D367" s="9"/>
      <c r="E367" s="223"/>
      <c r="F367" s="9"/>
      <c r="G367" s="9"/>
      <c r="H367" s="9"/>
      <c r="I367" s="9"/>
      <c r="J367" s="9"/>
      <c r="K367" s="9"/>
      <c r="L367" s="9"/>
      <c r="M367" s="9"/>
      <c r="N367" s="9"/>
      <c r="O367" s="9"/>
      <c r="P367" s="9"/>
      <c r="Q367" s="9"/>
      <c r="R367" s="9"/>
      <c r="S367" s="9"/>
      <c r="T367" s="9"/>
      <c r="U367" s="9"/>
      <c r="V367" s="9"/>
      <c r="W367" s="9"/>
      <c r="X367" s="223"/>
      <c r="Y367" s="9"/>
      <c r="Z367" s="204"/>
      <c r="AA367" s="9"/>
      <c r="AB367" s="9"/>
      <c r="AC367" s="9"/>
      <c r="AD367" s="9"/>
    </row>
    <row r="368" ht="15.75" customHeight="1">
      <c r="A368" s="9"/>
      <c r="B368" s="9"/>
      <c r="C368" s="9"/>
      <c r="D368" s="9"/>
      <c r="E368" s="223"/>
      <c r="F368" s="9"/>
      <c r="G368" s="9"/>
      <c r="H368" s="9"/>
      <c r="I368" s="9"/>
      <c r="J368" s="9"/>
      <c r="K368" s="9"/>
      <c r="L368" s="9"/>
      <c r="M368" s="9"/>
      <c r="N368" s="9"/>
      <c r="O368" s="9"/>
      <c r="P368" s="9"/>
      <c r="Q368" s="9"/>
      <c r="R368" s="9"/>
      <c r="S368" s="9"/>
      <c r="T368" s="9"/>
      <c r="U368" s="9"/>
      <c r="V368" s="9"/>
      <c r="W368" s="9"/>
      <c r="X368" s="223"/>
      <c r="Y368" s="9"/>
      <c r="Z368" s="204"/>
      <c r="AA368" s="9"/>
      <c r="AB368" s="9"/>
      <c r="AC368" s="9"/>
      <c r="AD368" s="9"/>
    </row>
    <row r="369" ht="15.75" customHeight="1">
      <c r="A369" s="9"/>
      <c r="B369" s="9"/>
      <c r="C369" s="9"/>
      <c r="D369" s="9"/>
      <c r="E369" s="223"/>
      <c r="F369" s="9"/>
      <c r="G369" s="9"/>
      <c r="H369" s="9"/>
      <c r="I369" s="9"/>
      <c r="J369" s="9"/>
      <c r="K369" s="9"/>
      <c r="L369" s="9"/>
      <c r="M369" s="9"/>
      <c r="N369" s="9"/>
      <c r="O369" s="9"/>
      <c r="P369" s="9"/>
      <c r="Q369" s="9"/>
      <c r="R369" s="9"/>
      <c r="S369" s="9"/>
      <c r="T369" s="9"/>
      <c r="U369" s="9"/>
      <c r="V369" s="9"/>
      <c r="W369" s="9"/>
      <c r="X369" s="223"/>
      <c r="Y369" s="9"/>
      <c r="Z369" s="204"/>
      <c r="AA369" s="9"/>
      <c r="AB369" s="9"/>
      <c r="AC369" s="9"/>
      <c r="AD369" s="9"/>
    </row>
    <row r="370" ht="15.75" customHeight="1">
      <c r="A370" s="9"/>
      <c r="B370" s="9"/>
      <c r="C370" s="9"/>
      <c r="D370" s="9"/>
      <c r="E370" s="223"/>
      <c r="F370" s="9"/>
      <c r="G370" s="9"/>
      <c r="H370" s="9"/>
      <c r="I370" s="9"/>
      <c r="J370" s="9"/>
      <c r="K370" s="9"/>
      <c r="L370" s="9"/>
      <c r="M370" s="9"/>
      <c r="N370" s="9"/>
      <c r="O370" s="9"/>
      <c r="P370" s="9"/>
      <c r="Q370" s="9"/>
      <c r="R370" s="9"/>
      <c r="S370" s="9"/>
      <c r="T370" s="9"/>
      <c r="U370" s="9"/>
      <c r="V370" s="9"/>
      <c r="W370" s="9"/>
      <c r="X370" s="223"/>
      <c r="Y370" s="9"/>
      <c r="Z370" s="204"/>
      <c r="AA370" s="9"/>
      <c r="AB370" s="9"/>
      <c r="AC370" s="9"/>
      <c r="AD370" s="9"/>
    </row>
    <row r="371" ht="15.75" customHeight="1">
      <c r="A371" s="9"/>
      <c r="B371" s="9"/>
      <c r="C371" s="9"/>
      <c r="D371" s="9"/>
      <c r="E371" s="223"/>
      <c r="F371" s="9"/>
      <c r="G371" s="9"/>
      <c r="H371" s="9"/>
      <c r="I371" s="9"/>
      <c r="J371" s="9"/>
      <c r="K371" s="9"/>
      <c r="L371" s="9"/>
      <c r="M371" s="9"/>
      <c r="N371" s="9"/>
      <c r="O371" s="9"/>
      <c r="P371" s="9"/>
      <c r="Q371" s="9"/>
      <c r="R371" s="9"/>
      <c r="S371" s="9"/>
      <c r="T371" s="9"/>
      <c r="U371" s="9"/>
      <c r="V371" s="9"/>
      <c r="W371" s="9"/>
      <c r="X371" s="223"/>
      <c r="Y371" s="9"/>
      <c r="Z371" s="204"/>
      <c r="AA371" s="9"/>
      <c r="AB371" s="9"/>
      <c r="AC371" s="9"/>
      <c r="AD371" s="9"/>
    </row>
    <row r="372" ht="15.75" customHeight="1">
      <c r="A372" s="9"/>
      <c r="B372" s="9"/>
      <c r="C372" s="9"/>
      <c r="D372" s="9"/>
      <c r="E372" s="223"/>
      <c r="F372" s="9"/>
      <c r="G372" s="9"/>
      <c r="H372" s="9"/>
      <c r="I372" s="9"/>
      <c r="J372" s="9"/>
      <c r="K372" s="9"/>
      <c r="L372" s="9"/>
      <c r="M372" s="9"/>
      <c r="N372" s="9"/>
      <c r="O372" s="9"/>
      <c r="P372" s="9"/>
      <c r="Q372" s="9"/>
      <c r="R372" s="9"/>
      <c r="S372" s="9"/>
      <c r="T372" s="9"/>
      <c r="U372" s="9"/>
      <c r="V372" s="9"/>
      <c r="W372" s="9"/>
      <c r="X372" s="223"/>
      <c r="Y372" s="9"/>
      <c r="Z372" s="204"/>
      <c r="AA372" s="9"/>
      <c r="AB372" s="9"/>
      <c r="AC372" s="9"/>
      <c r="AD372" s="9"/>
    </row>
    <row r="373" ht="15.75" customHeight="1">
      <c r="A373" s="9"/>
      <c r="B373" s="9"/>
      <c r="C373" s="9"/>
      <c r="D373" s="9"/>
      <c r="E373" s="223"/>
      <c r="F373" s="9"/>
      <c r="G373" s="9"/>
      <c r="H373" s="9"/>
      <c r="I373" s="9"/>
      <c r="J373" s="9"/>
      <c r="K373" s="9"/>
      <c r="L373" s="9"/>
      <c r="M373" s="9"/>
      <c r="N373" s="9"/>
      <c r="O373" s="9"/>
      <c r="P373" s="9"/>
      <c r="Q373" s="9"/>
      <c r="R373" s="9"/>
      <c r="S373" s="9"/>
      <c r="T373" s="9"/>
      <c r="U373" s="9"/>
      <c r="V373" s="9"/>
      <c r="W373" s="9"/>
      <c r="X373" s="223"/>
      <c r="Y373" s="9"/>
      <c r="Z373" s="204"/>
      <c r="AA373" s="9"/>
      <c r="AB373" s="9"/>
      <c r="AC373" s="9"/>
      <c r="AD373" s="9"/>
    </row>
    <row r="374" ht="15.75" customHeight="1">
      <c r="A374" s="9"/>
      <c r="B374" s="9"/>
      <c r="C374" s="9"/>
      <c r="D374" s="9"/>
      <c r="E374" s="223"/>
      <c r="F374" s="9"/>
      <c r="G374" s="9"/>
      <c r="H374" s="9"/>
      <c r="I374" s="9"/>
      <c r="J374" s="9"/>
      <c r="K374" s="9"/>
      <c r="L374" s="9"/>
      <c r="M374" s="9"/>
      <c r="N374" s="9"/>
      <c r="O374" s="9"/>
      <c r="P374" s="9"/>
      <c r="Q374" s="9"/>
      <c r="R374" s="9"/>
      <c r="S374" s="9"/>
      <c r="T374" s="9"/>
      <c r="U374" s="9"/>
      <c r="V374" s="9"/>
      <c r="W374" s="9"/>
      <c r="X374" s="223"/>
      <c r="Y374" s="9"/>
      <c r="Z374" s="204"/>
      <c r="AA374" s="9"/>
      <c r="AB374" s="9"/>
      <c r="AC374" s="9"/>
      <c r="AD374" s="9"/>
    </row>
    <row r="375" ht="15.75" customHeight="1">
      <c r="A375" s="9"/>
      <c r="B375" s="9"/>
      <c r="C375" s="9"/>
      <c r="D375" s="9"/>
      <c r="E375" s="223"/>
      <c r="F375" s="9"/>
      <c r="G375" s="9"/>
      <c r="H375" s="9"/>
      <c r="I375" s="9"/>
      <c r="J375" s="9"/>
      <c r="K375" s="9"/>
      <c r="L375" s="9"/>
      <c r="M375" s="9"/>
      <c r="N375" s="9"/>
      <c r="O375" s="9"/>
      <c r="P375" s="9"/>
      <c r="Q375" s="9"/>
      <c r="R375" s="9"/>
      <c r="S375" s="9"/>
      <c r="T375" s="9"/>
      <c r="U375" s="9"/>
      <c r="V375" s="9"/>
      <c r="W375" s="9"/>
      <c r="X375" s="223"/>
      <c r="Y375" s="9"/>
      <c r="Z375" s="204"/>
      <c r="AA375" s="9"/>
      <c r="AB375" s="9"/>
      <c r="AC375" s="9"/>
      <c r="AD375" s="9"/>
    </row>
    <row r="376" ht="15.75" customHeight="1">
      <c r="A376" s="9"/>
      <c r="B376" s="9"/>
      <c r="C376" s="9"/>
      <c r="D376" s="9"/>
      <c r="E376" s="223"/>
      <c r="F376" s="9"/>
      <c r="G376" s="9"/>
      <c r="H376" s="9"/>
      <c r="I376" s="9"/>
      <c r="J376" s="9"/>
      <c r="K376" s="9"/>
      <c r="L376" s="9"/>
      <c r="M376" s="9"/>
      <c r="N376" s="9"/>
      <c r="O376" s="9"/>
      <c r="P376" s="9"/>
      <c r="Q376" s="9"/>
      <c r="R376" s="9"/>
      <c r="S376" s="9"/>
      <c r="T376" s="9"/>
      <c r="U376" s="9"/>
      <c r="V376" s="9"/>
      <c r="W376" s="9"/>
      <c r="X376" s="223"/>
      <c r="Y376" s="9"/>
      <c r="Z376" s="204"/>
      <c r="AA376" s="9"/>
      <c r="AB376" s="9"/>
      <c r="AC376" s="9"/>
      <c r="AD376" s="9"/>
    </row>
    <row r="377" ht="15.75" customHeight="1">
      <c r="A377" s="9"/>
      <c r="B377" s="9"/>
      <c r="C377" s="9"/>
      <c r="D377" s="9"/>
      <c r="E377" s="223"/>
      <c r="F377" s="9"/>
      <c r="G377" s="9"/>
      <c r="H377" s="9"/>
      <c r="I377" s="9"/>
      <c r="J377" s="9"/>
      <c r="K377" s="9"/>
      <c r="L377" s="9"/>
      <c r="M377" s="9"/>
      <c r="N377" s="9"/>
      <c r="O377" s="9"/>
      <c r="P377" s="9"/>
      <c r="Q377" s="9"/>
      <c r="R377" s="9"/>
      <c r="S377" s="9"/>
      <c r="T377" s="9"/>
      <c r="U377" s="9"/>
      <c r="V377" s="9"/>
      <c r="W377" s="9"/>
      <c r="X377" s="223"/>
      <c r="Y377" s="9"/>
      <c r="Z377" s="204"/>
      <c r="AA377" s="9"/>
      <c r="AB377" s="9"/>
      <c r="AC377" s="9"/>
      <c r="AD377" s="9"/>
    </row>
    <row r="378" ht="15.75" customHeight="1">
      <c r="A378" s="9"/>
      <c r="B378" s="9"/>
      <c r="C378" s="9"/>
      <c r="D378" s="9"/>
      <c r="E378" s="223"/>
      <c r="F378" s="9"/>
      <c r="G378" s="9"/>
      <c r="H378" s="9"/>
      <c r="I378" s="9"/>
      <c r="J378" s="9"/>
      <c r="K378" s="9"/>
      <c r="L378" s="9"/>
      <c r="M378" s="9"/>
      <c r="N378" s="9"/>
      <c r="O378" s="9"/>
      <c r="P378" s="9"/>
      <c r="Q378" s="9"/>
      <c r="R378" s="9"/>
      <c r="S378" s="9"/>
      <c r="T378" s="9"/>
      <c r="U378" s="9"/>
      <c r="V378" s="9"/>
      <c r="W378" s="9"/>
      <c r="X378" s="223"/>
      <c r="Y378" s="9"/>
      <c r="Z378" s="204"/>
      <c r="AA378" s="9"/>
      <c r="AB378" s="9"/>
      <c r="AC378" s="9"/>
      <c r="AD378" s="9"/>
    </row>
    <row r="379" ht="15.75" customHeight="1">
      <c r="A379" s="9"/>
      <c r="B379" s="9"/>
      <c r="C379" s="9"/>
      <c r="D379" s="9"/>
      <c r="E379" s="223"/>
      <c r="F379" s="9"/>
      <c r="G379" s="9"/>
      <c r="H379" s="9"/>
      <c r="I379" s="9"/>
      <c r="J379" s="9"/>
      <c r="K379" s="9"/>
      <c r="L379" s="9"/>
      <c r="M379" s="9"/>
      <c r="N379" s="9"/>
      <c r="O379" s="9"/>
      <c r="P379" s="9"/>
      <c r="Q379" s="9"/>
      <c r="R379" s="9"/>
      <c r="S379" s="9"/>
      <c r="T379" s="9"/>
      <c r="U379" s="9"/>
      <c r="V379" s="9"/>
      <c r="W379" s="9"/>
      <c r="X379" s="223"/>
      <c r="Y379" s="9"/>
      <c r="Z379" s="204"/>
      <c r="AA379" s="9"/>
      <c r="AB379" s="9"/>
      <c r="AC379" s="9"/>
      <c r="AD379" s="9"/>
    </row>
    <row r="380" ht="15.75" customHeight="1">
      <c r="A380" s="9"/>
      <c r="B380" s="9"/>
      <c r="C380" s="9"/>
      <c r="D380" s="9"/>
      <c r="E380" s="223"/>
      <c r="F380" s="9"/>
      <c r="G380" s="9"/>
      <c r="H380" s="9"/>
      <c r="I380" s="9"/>
      <c r="J380" s="9"/>
      <c r="K380" s="9"/>
      <c r="L380" s="9"/>
      <c r="M380" s="9"/>
      <c r="N380" s="9"/>
      <c r="O380" s="9"/>
      <c r="P380" s="9"/>
      <c r="Q380" s="9"/>
      <c r="R380" s="9"/>
      <c r="S380" s="9"/>
      <c r="T380" s="9"/>
      <c r="U380" s="9"/>
      <c r="V380" s="9"/>
      <c r="W380" s="9"/>
      <c r="X380" s="223"/>
      <c r="Y380" s="9"/>
      <c r="Z380" s="204"/>
      <c r="AA380" s="9"/>
      <c r="AB380" s="9"/>
      <c r="AC380" s="9"/>
      <c r="AD380" s="9"/>
    </row>
    <row r="381" ht="15.75" customHeight="1">
      <c r="A381" s="9"/>
      <c r="B381" s="9"/>
      <c r="C381" s="9"/>
      <c r="D381" s="9"/>
      <c r="E381" s="223"/>
      <c r="F381" s="9"/>
      <c r="G381" s="9"/>
      <c r="H381" s="9"/>
      <c r="I381" s="9"/>
      <c r="J381" s="9"/>
      <c r="K381" s="9"/>
      <c r="L381" s="9"/>
      <c r="M381" s="9"/>
      <c r="N381" s="9"/>
      <c r="O381" s="9"/>
      <c r="P381" s="9"/>
      <c r="Q381" s="9"/>
      <c r="R381" s="9"/>
      <c r="S381" s="9"/>
      <c r="T381" s="9"/>
      <c r="U381" s="9"/>
      <c r="V381" s="9"/>
      <c r="W381" s="9"/>
      <c r="X381" s="223"/>
      <c r="Y381" s="9"/>
      <c r="Z381" s="204"/>
      <c r="AA381" s="9"/>
      <c r="AB381" s="9"/>
      <c r="AC381" s="9"/>
      <c r="AD381" s="9"/>
    </row>
    <row r="382" ht="15.75" customHeight="1">
      <c r="A382" s="9"/>
      <c r="B382" s="9"/>
      <c r="C382" s="9"/>
      <c r="D382" s="9"/>
      <c r="E382" s="223"/>
      <c r="F382" s="9"/>
      <c r="G382" s="9"/>
      <c r="H382" s="9"/>
      <c r="I382" s="9"/>
      <c r="J382" s="9"/>
      <c r="K382" s="9"/>
      <c r="L382" s="9"/>
      <c r="M382" s="9"/>
      <c r="N382" s="9"/>
      <c r="O382" s="9"/>
      <c r="P382" s="9"/>
      <c r="Q382" s="9"/>
      <c r="R382" s="9"/>
      <c r="S382" s="9"/>
      <c r="T382" s="9"/>
      <c r="U382" s="9"/>
      <c r="V382" s="9"/>
      <c r="W382" s="9"/>
      <c r="X382" s="223"/>
      <c r="Y382" s="9"/>
      <c r="Z382" s="204"/>
      <c r="AA382" s="9"/>
      <c r="AB382" s="9"/>
      <c r="AC382" s="9"/>
      <c r="AD382" s="9"/>
    </row>
    <row r="383" ht="15.75" customHeight="1">
      <c r="A383" s="9"/>
      <c r="B383" s="9"/>
      <c r="C383" s="9"/>
      <c r="D383" s="9"/>
      <c r="E383" s="223"/>
      <c r="F383" s="9"/>
      <c r="G383" s="9"/>
      <c r="H383" s="9"/>
      <c r="I383" s="9"/>
      <c r="J383" s="9"/>
      <c r="K383" s="9"/>
      <c r="L383" s="9"/>
      <c r="M383" s="9"/>
      <c r="N383" s="9"/>
      <c r="O383" s="9"/>
      <c r="P383" s="9"/>
      <c r="Q383" s="9"/>
      <c r="R383" s="9"/>
      <c r="S383" s="9"/>
      <c r="T383" s="9"/>
      <c r="U383" s="9"/>
      <c r="V383" s="9"/>
      <c r="W383" s="9"/>
      <c r="X383" s="223"/>
      <c r="Y383" s="9"/>
      <c r="Z383" s="204"/>
      <c r="AA383" s="9"/>
      <c r="AB383" s="9"/>
      <c r="AC383" s="9"/>
      <c r="AD383" s="9"/>
    </row>
    <row r="384" ht="15.75" customHeight="1">
      <c r="A384" s="9"/>
      <c r="B384" s="9"/>
      <c r="C384" s="9"/>
      <c r="D384" s="9"/>
      <c r="E384" s="223"/>
      <c r="F384" s="9"/>
      <c r="G384" s="9"/>
      <c r="H384" s="9"/>
      <c r="I384" s="9"/>
      <c r="J384" s="9"/>
      <c r="K384" s="9"/>
      <c r="L384" s="9"/>
      <c r="M384" s="9"/>
      <c r="N384" s="9"/>
      <c r="O384" s="9"/>
      <c r="P384" s="9"/>
      <c r="Q384" s="9"/>
      <c r="R384" s="9"/>
      <c r="S384" s="9"/>
      <c r="T384" s="9"/>
      <c r="U384" s="9"/>
      <c r="V384" s="9"/>
      <c r="W384" s="9"/>
      <c r="X384" s="223"/>
      <c r="Y384" s="9"/>
      <c r="Z384" s="204"/>
      <c r="AA384" s="9"/>
      <c r="AB384" s="9"/>
      <c r="AC384" s="9"/>
      <c r="AD384" s="9"/>
    </row>
    <row r="385" ht="15.75" customHeight="1">
      <c r="A385" s="9"/>
      <c r="B385" s="9"/>
      <c r="C385" s="9"/>
      <c r="D385" s="9"/>
      <c r="E385" s="223"/>
      <c r="F385" s="9"/>
      <c r="G385" s="9"/>
      <c r="H385" s="9"/>
      <c r="I385" s="9"/>
      <c r="J385" s="9"/>
      <c r="K385" s="9"/>
      <c r="L385" s="9"/>
      <c r="M385" s="9"/>
      <c r="N385" s="9"/>
      <c r="O385" s="9"/>
      <c r="P385" s="9"/>
      <c r="Q385" s="9"/>
      <c r="R385" s="9"/>
      <c r="S385" s="9"/>
      <c r="T385" s="9"/>
      <c r="U385" s="9"/>
      <c r="V385" s="9"/>
      <c r="W385" s="9"/>
      <c r="X385" s="223"/>
      <c r="Y385" s="9"/>
      <c r="Z385" s="204"/>
      <c r="AA385" s="9"/>
      <c r="AB385" s="9"/>
      <c r="AC385" s="9"/>
      <c r="AD385" s="9"/>
    </row>
    <row r="386" ht="15.75" customHeight="1">
      <c r="A386" s="9"/>
      <c r="B386" s="9"/>
      <c r="C386" s="9"/>
      <c r="D386" s="9"/>
      <c r="E386" s="223"/>
      <c r="F386" s="9"/>
      <c r="G386" s="9"/>
      <c r="H386" s="9"/>
      <c r="I386" s="9"/>
      <c r="J386" s="9"/>
      <c r="K386" s="9"/>
      <c r="L386" s="9"/>
      <c r="M386" s="9"/>
      <c r="N386" s="9"/>
      <c r="O386" s="9"/>
      <c r="P386" s="9"/>
      <c r="Q386" s="9"/>
      <c r="R386" s="9"/>
      <c r="S386" s="9"/>
      <c r="T386" s="9"/>
      <c r="U386" s="9"/>
      <c r="V386" s="9"/>
      <c r="W386" s="9"/>
      <c r="X386" s="223"/>
      <c r="Y386" s="9"/>
      <c r="Z386" s="204"/>
      <c r="AA386" s="9"/>
      <c r="AB386" s="9"/>
      <c r="AC386" s="9"/>
      <c r="AD386" s="9"/>
    </row>
    <row r="387" ht="15.75" customHeight="1">
      <c r="A387" s="9"/>
      <c r="B387" s="9"/>
      <c r="C387" s="9"/>
      <c r="D387" s="9"/>
      <c r="E387" s="223"/>
      <c r="F387" s="9"/>
      <c r="G387" s="9"/>
      <c r="H387" s="9"/>
      <c r="I387" s="9"/>
      <c r="J387" s="9"/>
      <c r="K387" s="9"/>
      <c r="L387" s="9"/>
      <c r="M387" s="9"/>
      <c r="N387" s="9"/>
      <c r="O387" s="9"/>
      <c r="P387" s="9"/>
      <c r="Q387" s="9"/>
      <c r="R387" s="9"/>
      <c r="S387" s="9"/>
      <c r="T387" s="9"/>
      <c r="U387" s="9"/>
      <c r="V387" s="9"/>
      <c r="W387" s="9"/>
      <c r="X387" s="223"/>
      <c r="Y387" s="9"/>
      <c r="Z387" s="204"/>
      <c r="AA387" s="9"/>
      <c r="AB387" s="9"/>
      <c r="AC387" s="9"/>
      <c r="AD387" s="9"/>
    </row>
    <row r="388" ht="15.75" customHeight="1">
      <c r="A388" s="9"/>
      <c r="B388" s="9"/>
      <c r="C388" s="9"/>
      <c r="D388" s="9"/>
      <c r="E388" s="223"/>
      <c r="F388" s="9"/>
      <c r="G388" s="9"/>
      <c r="H388" s="9"/>
      <c r="I388" s="9"/>
      <c r="J388" s="9"/>
      <c r="K388" s="9"/>
      <c r="L388" s="9"/>
      <c r="M388" s="9"/>
      <c r="N388" s="9"/>
      <c r="O388" s="9"/>
      <c r="P388" s="9"/>
      <c r="Q388" s="9"/>
      <c r="R388" s="9"/>
      <c r="S388" s="9"/>
      <c r="T388" s="9"/>
      <c r="U388" s="9"/>
      <c r="V388" s="9"/>
      <c r="W388" s="9"/>
      <c r="X388" s="223"/>
      <c r="Y388" s="9"/>
      <c r="Z388" s="204"/>
      <c r="AA388" s="9"/>
      <c r="AB388" s="9"/>
      <c r="AC388" s="9"/>
      <c r="AD388" s="9"/>
    </row>
    <row r="389" ht="15.75" customHeight="1">
      <c r="A389" s="9"/>
      <c r="B389" s="9"/>
      <c r="C389" s="9"/>
      <c r="D389" s="9"/>
      <c r="E389" s="223"/>
      <c r="F389" s="9"/>
      <c r="G389" s="9"/>
      <c r="H389" s="9"/>
      <c r="I389" s="9"/>
      <c r="J389" s="9"/>
      <c r="K389" s="9"/>
      <c r="L389" s="9"/>
      <c r="M389" s="9"/>
      <c r="N389" s="9"/>
      <c r="O389" s="9"/>
      <c r="P389" s="9"/>
      <c r="Q389" s="9"/>
      <c r="R389" s="9"/>
      <c r="S389" s="9"/>
      <c r="T389" s="9"/>
      <c r="U389" s="9"/>
      <c r="V389" s="9"/>
      <c r="W389" s="9"/>
      <c r="X389" s="223"/>
      <c r="Y389" s="9"/>
      <c r="Z389" s="204"/>
      <c r="AA389" s="9"/>
      <c r="AB389" s="9"/>
      <c r="AC389" s="9"/>
      <c r="AD389" s="9"/>
    </row>
    <row r="390" ht="15.75" customHeight="1">
      <c r="A390" s="9"/>
      <c r="B390" s="9"/>
      <c r="C390" s="9"/>
      <c r="D390" s="9"/>
      <c r="E390" s="223"/>
      <c r="F390" s="9"/>
      <c r="G390" s="9"/>
      <c r="H390" s="9"/>
      <c r="I390" s="9"/>
      <c r="J390" s="9"/>
      <c r="K390" s="9"/>
      <c r="L390" s="9"/>
      <c r="M390" s="9"/>
      <c r="N390" s="9"/>
      <c r="O390" s="9"/>
      <c r="P390" s="9"/>
      <c r="Q390" s="9"/>
      <c r="R390" s="9"/>
      <c r="S390" s="9"/>
      <c r="T390" s="9"/>
      <c r="U390" s="9"/>
      <c r="V390" s="9"/>
      <c r="W390" s="9"/>
      <c r="X390" s="223"/>
      <c r="Y390" s="9"/>
      <c r="Z390" s="204"/>
      <c r="AA390" s="9"/>
      <c r="AB390" s="9"/>
      <c r="AC390" s="9"/>
      <c r="AD390" s="9"/>
    </row>
    <row r="391" ht="15.75" customHeight="1">
      <c r="A391" s="9"/>
      <c r="B391" s="9"/>
      <c r="C391" s="9"/>
      <c r="D391" s="9"/>
      <c r="E391" s="223"/>
      <c r="F391" s="9"/>
      <c r="G391" s="9"/>
      <c r="H391" s="9"/>
      <c r="I391" s="9"/>
      <c r="J391" s="9"/>
      <c r="K391" s="9"/>
      <c r="L391" s="9"/>
      <c r="M391" s="9"/>
      <c r="N391" s="9"/>
      <c r="O391" s="9"/>
      <c r="P391" s="9"/>
      <c r="Q391" s="9"/>
      <c r="R391" s="9"/>
      <c r="S391" s="9"/>
      <c r="T391" s="9"/>
      <c r="U391" s="9"/>
      <c r="V391" s="9"/>
      <c r="W391" s="9"/>
      <c r="X391" s="223"/>
      <c r="Y391" s="9"/>
      <c r="Z391" s="204"/>
      <c r="AA391" s="9"/>
      <c r="AB391" s="9"/>
      <c r="AC391" s="9"/>
      <c r="AD391" s="9"/>
    </row>
    <row r="392" ht="15.75" customHeight="1">
      <c r="A392" s="9"/>
      <c r="B392" s="9"/>
      <c r="C392" s="9"/>
      <c r="D392" s="9"/>
      <c r="E392" s="223"/>
      <c r="F392" s="9"/>
      <c r="G392" s="9"/>
      <c r="H392" s="9"/>
      <c r="I392" s="9"/>
      <c r="J392" s="9"/>
      <c r="K392" s="9"/>
      <c r="L392" s="9"/>
      <c r="M392" s="9"/>
      <c r="N392" s="9"/>
      <c r="O392" s="9"/>
      <c r="P392" s="9"/>
      <c r="Q392" s="9"/>
      <c r="R392" s="9"/>
      <c r="S392" s="9"/>
      <c r="T392" s="9"/>
      <c r="U392" s="9"/>
      <c r="V392" s="9"/>
      <c r="W392" s="9"/>
      <c r="X392" s="223"/>
      <c r="Y392" s="9"/>
      <c r="Z392" s="204"/>
      <c r="AA392" s="9"/>
      <c r="AB392" s="9"/>
      <c r="AC392" s="9"/>
      <c r="AD392" s="9"/>
    </row>
    <row r="393" ht="15.75" customHeight="1">
      <c r="A393" s="9"/>
      <c r="B393" s="9"/>
      <c r="C393" s="9"/>
      <c r="D393" s="9"/>
      <c r="E393" s="223"/>
      <c r="F393" s="9"/>
      <c r="G393" s="9"/>
      <c r="H393" s="9"/>
      <c r="I393" s="9"/>
      <c r="J393" s="9"/>
      <c r="K393" s="9"/>
      <c r="L393" s="9"/>
      <c r="M393" s="9"/>
      <c r="N393" s="9"/>
      <c r="O393" s="9"/>
      <c r="P393" s="9"/>
      <c r="Q393" s="9"/>
      <c r="R393" s="9"/>
      <c r="S393" s="9"/>
      <c r="T393" s="9"/>
      <c r="U393" s="9"/>
      <c r="V393" s="9"/>
      <c r="W393" s="9"/>
      <c r="X393" s="223"/>
      <c r="Y393" s="9"/>
      <c r="Z393" s="204"/>
      <c r="AA393" s="9"/>
      <c r="AB393" s="9"/>
      <c r="AC393" s="9"/>
      <c r="AD393" s="9"/>
    </row>
    <row r="394" ht="15.75" customHeight="1">
      <c r="A394" s="9"/>
      <c r="B394" s="9"/>
      <c r="C394" s="9"/>
      <c r="D394" s="9"/>
      <c r="E394" s="223"/>
      <c r="F394" s="9"/>
      <c r="G394" s="9"/>
      <c r="H394" s="9"/>
      <c r="I394" s="9"/>
      <c r="J394" s="9"/>
      <c r="K394" s="9"/>
      <c r="L394" s="9"/>
      <c r="M394" s="9"/>
      <c r="N394" s="9"/>
      <c r="O394" s="9"/>
      <c r="P394" s="9"/>
      <c r="Q394" s="9"/>
      <c r="R394" s="9"/>
      <c r="S394" s="9"/>
      <c r="T394" s="9"/>
      <c r="U394" s="9"/>
      <c r="V394" s="9"/>
      <c r="W394" s="9"/>
      <c r="X394" s="223"/>
      <c r="Y394" s="9"/>
      <c r="Z394" s="204"/>
      <c r="AA394" s="9"/>
      <c r="AB394" s="9"/>
      <c r="AC394" s="9"/>
      <c r="AD394" s="9"/>
    </row>
    <row r="395" ht="15.75" customHeight="1">
      <c r="A395" s="9"/>
      <c r="B395" s="9"/>
      <c r="C395" s="9"/>
      <c r="D395" s="9"/>
      <c r="E395" s="223"/>
      <c r="F395" s="9"/>
      <c r="G395" s="9"/>
      <c r="H395" s="9"/>
      <c r="I395" s="9"/>
      <c r="J395" s="9"/>
      <c r="K395" s="9"/>
      <c r="L395" s="9"/>
      <c r="M395" s="9"/>
      <c r="N395" s="9"/>
      <c r="O395" s="9"/>
      <c r="P395" s="9"/>
      <c r="Q395" s="9"/>
      <c r="R395" s="9"/>
      <c r="S395" s="9"/>
      <c r="T395" s="9"/>
      <c r="U395" s="9"/>
      <c r="V395" s="9"/>
      <c r="W395" s="9"/>
      <c r="X395" s="223"/>
      <c r="Y395" s="9"/>
      <c r="Z395" s="204"/>
      <c r="AA395" s="9"/>
      <c r="AB395" s="9"/>
      <c r="AC395" s="9"/>
      <c r="AD395" s="9"/>
    </row>
    <row r="396" ht="15.75" customHeight="1">
      <c r="A396" s="9"/>
      <c r="B396" s="9"/>
      <c r="C396" s="9"/>
      <c r="D396" s="9"/>
      <c r="E396" s="223"/>
      <c r="F396" s="9"/>
      <c r="G396" s="9"/>
      <c r="H396" s="9"/>
      <c r="I396" s="9"/>
      <c r="J396" s="9"/>
      <c r="K396" s="9"/>
      <c r="L396" s="9"/>
      <c r="M396" s="9"/>
      <c r="N396" s="9"/>
      <c r="O396" s="9"/>
      <c r="P396" s="9"/>
      <c r="Q396" s="9"/>
      <c r="R396" s="9"/>
      <c r="S396" s="9"/>
      <c r="T396" s="9"/>
      <c r="U396" s="9"/>
      <c r="V396" s="9"/>
      <c r="W396" s="9"/>
      <c r="X396" s="223"/>
      <c r="Y396" s="9"/>
      <c r="Z396" s="204"/>
      <c r="AA396" s="9"/>
      <c r="AB396" s="9"/>
      <c r="AC396" s="9"/>
      <c r="AD396" s="9"/>
    </row>
    <row r="397" ht="15.75" customHeight="1">
      <c r="A397" s="9"/>
      <c r="B397" s="9"/>
      <c r="C397" s="9"/>
      <c r="D397" s="9"/>
      <c r="E397" s="223"/>
      <c r="F397" s="9"/>
      <c r="G397" s="9"/>
      <c r="H397" s="9"/>
      <c r="I397" s="9"/>
      <c r="J397" s="9"/>
      <c r="K397" s="9"/>
      <c r="L397" s="9"/>
      <c r="M397" s="9"/>
      <c r="N397" s="9"/>
      <c r="O397" s="9"/>
      <c r="P397" s="9"/>
      <c r="Q397" s="9"/>
      <c r="R397" s="9"/>
      <c r="S397" s="9"/>
      <c r="T397" s="9"/>
      <c r="U397" s="9"/>
      <c r="V397" s="9"/>
      <c r="W397" s="9"/>
      <c r="X397" s="223"/>
      <c r="Y397" s="9"/>
      <c r="Z397" s="204"/>
      <c r="AA397" s="9"/>
      <c r="AB397" s="9"/>
      <c r="AC397" s="9"/>
      <c r="AD397" s="9"/>
    </row>
    <row r="398" ht="15.75" customHeight="1">
      <c r="A398" s="9"/>
      <c r="B398" s="9"/>
      <c r="C398" s="9"/>
      <c r="D398" s="9"/>
      <c r="E398" s="223"/>
      <c r="F398" s="9"/>
      <c r="G398" s="9"/>
      <c r="H398" s="9"/>
      <c r="I398" s="9"/>
      <c r="J398" s="9"/>
      <c r="K398" s="9"/>
      <c r="L398" s="9"/>
      <c r="M398" s="9"/>
      <c r="N398" s="9"/>
      <c r="O398" s="9"/>
      <c r="P398" s="9"/>
      <c r="Q398" s="9"/>
      <c r="R398" s="9"/>
      <c r="S398" s="9"/>
      <c r="T398" s="9"/>
      <c r="U398" s="9"/>
      <c r="V398" s="9"/>
      <c r="W398" s="9"/>
      <c r="X398" s="223"/>
      <c r="Y398" s="9"/>
      <c r="Z398" s="204"/>
      <c r="AA398" s="9"/>
      <c r="AB398" s="9"/>
      <c r="AC398" s="9"/>
      <c r="AD398" s="9"/>
    </row>
    <row r="399" ht="15.75" customHeight="1">
      <c r="A399" s="9"/>
      <c r="B399" s="9"/>
      <c r="C399" s="9"/>
      <c r="D399" s="9"/>
      <c r="E399" s="223"/>
      <c r="F399" s="9"/>
      <c r="G399" s="9"/>
      <c r="H399" s="9"/>
      <c r="I399" s="9"/>
      <c r="J399" s="9"/>
      <c r="K399" s="9"/>
      <c r="L399" s="9"/>
      <c r="M399" s="9"/>
      <c r="N399" s="9"/>
      <c r="O399" s="9"/>
      <c r="P399" s="9"/>
      <c r="Q399" s="9"/>
      <c r="R399" s="9"/>
      <c r="S399" s="9"/>
      <c r="T399" s="9"/>
      <c r="U399" s="9"/>
      <c r="V399" s="9"/>
      <c r="W399" s="9"/>
      <c r="X399" s="223"/>
      <c r="Y399" s="9"/>
      <c r="Z399" s="204"/>
      <c r="AA399" s="9"/>
      <c r="AB399" s="9"/>
      <c r="AC399" s="9"/>
      <c r="AD399" s="9"/>
    </row>
    <row r="400" ht="15.75" customHeight="1">
      <c r="A400" s="9"/>
      <c r="B400" s="9"/>
      <c r="C400" s="9"/>
      <c r="D400" s="9"/>
      <c r="E400" s="223"/>
      <c r="F400" s="9"/>
      <c r="G400" s="9"/>
      <c r="H400" s="9"/>
      <c r="I400" s="9"/>
      <c r="J400" s="9"/>
      <c r="K400" s="9"/>
      <c r="L400" s="9"/>
      <c r="M400" s="9"/>
      <c r="N400" s="9"/>
      <c r="O400" s="9"/>
      <c r="P400" s="9"/>
      <c r="Q400" s="9"/>
      <c r="R400" s="9"/>
      <c r="S400" s="9"/>
      <c r="T400" s="9"/>
      <c r="U400" s="9"/>
      <c r="V400" s="9"/>
      <c r="W400" s="9"/>
      <c r="X400" s="223"/>
      <c r="Y400" s="9"/>
      <c r="Z400" s="204"/>
      <c r="AA400" s="9"/>
      <c r="AB400" s="9"/>
      <c r="AC400" s="9"/>
      <c r="AD400" s="9"/>
    </row>
    <row r="401" ht="15.75" customHeight="1">
      <c r="A401" s="9"/>
      <c r="B401" s="9"/>
      <c r="C401" s="9"/>
      <c r="D401" s="9"/>
      <c r="E401" s="223"/>
      <c r="F401" s="9"/>
      <c r="G401" s="9"/>
      <c r="H401" s="9"/>
      <c r="I401" s="9"/>
      <c r="J401" s="9"/>
      <c r="K401" s="9"/>
      <c r="L401" s="9"/>
      <c r="M401" s="9"/>
      <c r="N401" s="9"/>
      <c r="O401" s="9"/>
      <c r="P401" s="9"/>
      <c r="Q401" s="9"/>
      <c r="R401" s="9"/>
      <c r="S401" s="9"/>
      <c r="T401" s="9"/>
      <c r="U401" s="9"/>
      <c r="V401" s="9"/>
      <c r="W401" s="9"/>
      <c r="X401" s="223"/>
      <c r="Y401" s="9"/>
      <c r="Z401" s="204"/>
      <c r="AA401" s="9"/>
      <c r="AB401" s="9"/>
      <c r="AC401" s="9"/>
      <c r="AD401" s="9"/>
    </row>
    <row r="402" ht="15.75" customHeight="1">
      <c r="A402" s="9"/>
      <c r="B402" s="9"/>
      <c r="C402" s="9"/>
      <c r="D402" s="9"/>
      <c r="E402" s="223"/>
      <c r="F402" s="9"/>
      <c r="G402" s="9"/>
      <c r="H402" s="9"/>
      <c r="I402" s="9"/>
      <c r="J402" s="9"/>
      <c r="K402" s="9"/>
      <c r="L402" s="9"/>
      <c r="M402" s="9"/>
      <c r="N402" s="9"/>
      <c r="O402" s="9"/>
      <c r="P402" s="9"/>
      <c r="Q402" s="9"/>
      <c r="R402" s="9"/>
      <c r="S402" s="9"/>
      <c r="T402" s="9"/>
      <c r="U402" s="9"/>
      <c r="V402" s="9"/>
      <c r="W402" s="9"/>
      <c r="X402" s="223"/>
      <c r="Y402" s="9"/>
      <c r="Z402" s="204"/>
      <c r="AA402" s="9"/>
      <c r="AB402" s="9"/>
      <c r="AC402" s="9"/>
      <c r="AD402" s="9"/>
    </row>
    <row r="403" ht="15.75" customHeight="1">
      <c r="A403" s="9"/>
      <c r="B403" s="9"/>
      <c r="C403" s="9"/>
      <c r="D403" s="9"/>
      <c r="E403" s="223"/>
      <c r="F403" s="9"/>
      <c r="G403" s="9"/>
      <c r="H403" s="9"/>
      <c r="I403" s="9"/>
      <c r="J403" s="9"/>
      <c r="K403" s="9"/>
      <c r="L403" s="9"/>
      <c r="M403" s="9"/>
      <c r="N403" s="9"/>
      <c r="O403" s="9"/>
      <c r="P403" s="9"/>
      <c r="Q403" s="9"/>
      <c r="R403" s="9"/>
      <c r="S403" s="9"/>
      <c r="T403" s="9"/>
      <c r="U403" s="9"/>
      <c r="V403" s="9"/>
      <c r="W403" s="9"/>
      <c r="X403" s="223"/>
      <c r="Y403" s="9"/>
      <c r="Z403" s="204"/>
      <c r="AA403" s="9"/>
      <c r="AB403" s="9"/>
      <c r="AC403" s="9"/>
      <c r="AD403" s="9"/>
    </row>
    <row r="404" ht="15.75" customHeight="1">
      <c r="A404" s="9"/>
      <c r="B404" s="9"/>
      <c r="C404" s="9"/>
      <c r="D404" s="9"/>
      <c r="E404" s="223"/>
      <c r="F404" s="9"/>
      <c r="G404" s="9"/>
      <c r="H404" s="9"/>
      <c r="I404" s="9"/>
      <c r="J404" s="9"/>
      <c r="K404" s="9"/>
      <c r="L404" s="9"/>
      <c r="M404" s="9"/>
      <c r="N404" s="9"/>
      <c r="O404" s="9"/>
      <c r="P404" s="9"/>
      <c r="Q404" s="9"/>
      <c r="R404" s="9"/>
      <c r="S404" s="9"/>
      <c r="T404" s="9"/>
      <c r="U404" s="9"/>
      <c r="V404" s="9"/>
      <c r="W404" s="9"/>
      <c r="X404" s="223"/>
      <c r="Y404" s="9"/>
      <c r="Z404" s="204"/>
      <c r="AA404" s="9"/>
      <c r="AB404" s="9"/>
      <c r="AC404" s="9"/>
      <c r="AD404" s="9"/>
    </row>
    <row r="405" ht="15.75" customHeight="1">
      <c r="A405" s="9"/>
      <c r="B405" s="9"/>
      <c r="C405" s="9"/>
      <c r="D405" s="9"/>
      <c r="E405" s="223"/>
      <c r="F405" s="9"/>
      <c r="G405" s="9"/>
      <c r="H405" s="9"/>
      <c r="I405" s="9"/>
      <c r="J405" s="9"/>
      <c r="K405" s="9"/>
      <c r="L405" s="9"/>
      <c r="M405" s="9"/>
      <c r="N405" s="9"/>
      <c r="O405" s="9"/>
      <c r="P405" s="9"/>
      <c r="Q405" s="9"/>
      <c r="R405" s="9"/>
      <c r="S405" s="9"/>
      <c r="T405" s="9"/>
      <c r="U405" s="9"/>
      <c r="V405" s="9"/>
      <c r="W405" s="9"/>
      <c r="X405" s="223"/>
      <c r="Y405" s="9"/>
      <c r="Z405" s="204"/>
      <c r="AA405" s="9"/>
      <c r="AB405" s="9"/>
      <c r="AC405" s="9"/>
      <c r="AD405" s="9"/>
    </row>
    <row r="406" ht="15.75" customHeight="1">
      <c r="A406" s="9"/>
      <c r="B406" s="9"/>
      <c r="C406" s="9"/>
      <c r="D406" s="9"/>
      <c r="E406" s="223"/>
      <c r="F406" s="9"/>
      <c r="G406" s="9"/>
      <c r="H406" s="9"/>
      <c r="I406" s="9"/>
      <c r="J406" s="9"/>
      <c r="K406" s="9"/>
      <c r="L406" s="9"/>
      <c r="M406" s="9"/>
      <c r="N406" s="9"/>
      <c r="O406" s="9"/>
      <c r="P406" s="9"/>
      <c r="Q406" s="9"/>
      <c r="R406" s="9"/>
      <c r="S406" s="9"/>
      <c r="T406" s="9"/>
      <c r="U406" s="9"/>
      <c r="V406" s="9"/>
      <c r="W406" s="9"/>
      <c r="X406" s="223"/>
      <c r="Y406" s="9"/>
      <c r="Z406" s="204"/>
      <c r="AA406" s="9"/>
      <c r="AB406" s="9"/>
      <c r="AC406" s="9"/>
      <c r="AD406" s="9"/>
    </row>
    <row r="407" ht="15.75" customHeight="1">
      <c r="A407" s="9"/>
      <c r="B407" s="9"/>
      <c r="C407" s="9"/>
      <c r="D407" s="9"/>
      <c r="E407" s="223"/>
      <c r="F407" s="9"/>
      <c r="G407" s="9"/>
      <c r="H407" s="9"/>
      <c r="I407" s="9"/>
      <c r="J407" s="9"/>
      <c r="K407" s="9"/>
      <c r="L407" s="9"/>
      <c r="M407" s="9"/>
      <c r="N407" s="9"/>
      <c r="O407" s="9"/>
      <c r="P407" s="9"/>
      <c r="Q407" s="9"/>
      <c r="R407" s="9"/>
      <c r="S407" s="9"/>
      <c r="T407" s="9"/>
      <c r="U407" s="9"/>
      <c r="V407" s="9"/>
      <c r="W407" s="9"/>
      <c r="X407" s="223"/>
      <c r="Y407" s="9"/>
      <c r="Z407" s="204"/>
      <c r="AA407" s="9"/>
      <c r="AB407" s="9"/>
      <c r="AC407" s="9"/>
      <c r="AD407" s="9"/>
    </row>
    <row r="408" ht="15.75" customHeight="1">
      <c r="A408" s="9"/>
      <c r="B408" s="9"/>
      <c r="C408" s="9"/>
      <c r="D408" s="9"/>
      <c r="E408" s="223"/>
      <c r="F408" s="9"/>
      <c r="G408" s="9"/>
      <c r="H408" s="9"/>
      <c r="I408" s="9"/>
      <c r="J408" s="9"/>
      <c r="K408" s="9"/>
      <c r="L408" s="9"/>
      <c r="M408" s="9"/>
      <c r="N408" s="9"/>
      <c r="O408" s="9"/>
      <c r="P408" s="9"/>
      <c r="Q408" s="9"/>
      <c r="R408" s="9"/>
      <c r="S408" s="9"/>
      <c r="T408" s="9"/>
      <c r="U408" s="9"/>
      <c r="V408" s="9"/>
      <c r="W408" s="9"/>
      <c r="X408" s="223"/>
      <c r="Y408" s="9"/>
      <c r="Z408" s="204"/>
      <c r="AA408" s="9"/>
      <c r="AB408" s="9"/>
      <c r="AC408" s="9"/>
      <c r="AD408" s="9"/>
    </row>
    <row r="409" ht="15.75" customHeight="1">
      <c r="A409" s="9"/>
      <c r="B409" s="9"/>
      <c r="C409" s="9"/>
      <c r="D409" s="9"/>
      <c r="E409" s="223"/>
      <c r="F409" s="9"/>
      <c r="G409" s="9"/>
      <c r="H409" s="9"/>
      <c r="I409" s="9"/>
      <c r="J409" s="9"/>
      <c r="K409" s="9"/>
      <c r="L409" s="9"/>
      <c r="M409" s="9"/>
      <c r="N409" s="9"/>
      <c r="O409" s="9"/>
      <c r="P409" s="9"/>
      <c r="Q409" s="9"/>
      <c r="R409" s="9"/>
      <c r="S409" s="9"/>
      <c r="T409" s="9"/>
      <c r="U409" s="9"/>
      <c r="V409" s="9"/>
      <c r="W409" s="9"/>
      <c r="X409" s="223"/>
      <c r="Y409" s="9"/>
      <c r="Z409" s="204"/>
      <c r="AA409" s="9"/>
      <c r="AB409" s="9"/>
      <c r="AC409" s="9"/>
      <c r="AD409" s="9"/>
    </row>
    <row r="410" ht="15.75" customHeight="1">
      <c r="A410" s="9"/>
      <c r="B410" s="9"/>
      <c r="C410" s="9"/>
      <c r="D410" s="9"/>
      <c r="E410" s="223"/>
      <c r="F410" s="9"/>
      <c r="G410" s="9"/>
      <c r="H410" s="9"/>
      <c r="I410" s="9"/>
      <c r="J410" s="9"/>
      <c r="K410" s="9"/>
      <c r="L410" s="9"/>
      <c r="M410" s="9"/>
      <c r="N410" s="9"/>
      <c r="O410" s="9"/>
      <c r="P410" s="9"/>
      <c r="Q410" s="9"/>
      <c r="R410" s="9"/>
      <c r="S410" s="9"/>
      <c r="T410" s="9"/>
      <c r="U410" s="9"/>
      <c r="V410" s="9"/>
      <c r="W410" s="9"/>
      <c r="X410" s="223"/>
      <c r="Y410" s="9"/>
      <c r="Z410" s="204"/>
      <c r="AA410" s="9"/>
      <c r="AB410" s="9"/>
      <c r="AC410" s="9"/>
      <c r="AD410" s="9"/>
    </row>
    <row r="411" ht="15.75" customHeight="1">
      <c r="A411" s="9"/>
      <c r="B411" s="9"/>
      <c r="C411" s="9"/>
      <c r="D411" s="9"/>
      <c r="E411" s="223"/>
      <c r="F411" s="9"/>
      <c r="G411" s="9"/>
      <c r="H411" s="9"/>
      <c r="I411" s="9"/>
      <c r="J411" s="9"/>
      <c r="K411" s="9"/>
      <c r="L411" s="9"/>
      <c r="M411" s="9"/>
      <c r="N411" s="9"/>
      <c r="O411" s="9"/>
      <c r="P411" s="9"/>
      <c r="Q411" s="9"/>
      <c r="R411" s="9"/>
      <c r="S411" s="9"/>
      <c r="T411" s="9"/>
      <c r="U411" s="9"/>
      <c r="V411" s="9"/>
      <c r="W411" s="9"/>
      <c r="X411" s="223"/>
      <c r="Y411" s="9"/>
      <c r="Z411" s="204"/>
      <c r="AA411" s="9"/>
      <c r="AB411" s="9"/>
      <c r="AC411" s="9"/>
      <c r="AD411" s="9"/>
    </row>
    <row r="412" ht="15.75" customHeight="1">
      <c r="A412" s="9"/>
      <c r="B412" s="9"/>
      <c r="C412" s="9"/>
      <c r="D412" s="9"/>
      <c r="E412" s="223"/>
      <c r="F412" s="9"/>
      <c r="G412" s="9"/>
      <c r="H412" s="9"/>
      <c r="I412" s="9"/>
      <c r="J412" s="9"/>
      <c r="K412" s="9"/>
      <c r="L412" s="9"/>
      <c r="M412" s="9"/>
      <c r="N412" s="9"/>
      <c r="O412" s="9"/>
      <c r="P412" s="9"/>
      <c r="Q412" s="9"/>
      <c r="R412" s="9"/>
      <c r="S412" s="9"/>
      <c r="T412" s="9"/>
      <c r="U412" s="9"/>
      <c r="V412" s="9"/>
      <c r="W412" s="9"/>
      <c r="X412" s="223"/>
      <c r="Y412" s="9"/>
      <c r="Z412" s="204"/>
      <c r="AA412" s="9"/>
      <c r="AB412" s="9"/>
      <c r="AC412" s="9"/>
      <c r="AD412" s="9"/>
    </row>
    <row r="413" ht="15.75" customHeight="1">
      <c r="A413" s="9"/>
      <c r="B413" s="9"/>
      <c r="C413" s="9"/>
      <c r="D413" s="9"/>
      <c r="E413" s="223"/>
      <c r="F413" s="9"/>
      <c r="G413" s="9"/>
      <c r="H413" s="9"/>
      <c r="I413" s="9"/>
      <c r="J413" s="9"/>
      <c r="K413" s="9"/>
      <c r="L413" s="9"/>
      <c r="M413" s="9"/>
      <c r="N413" s="9"/>
      <c r="O413" s="9"/>
      <c r="P413" s="9"/>
      <c r="Q413" s="9"/>
      <c r="R413" s="9"/>
      <c r="S413" s="9"/>
      <c r="T413" s="9"/>
      <c r="U413" s="9"/>
      <c r="V413" s="9"/>
      <c r="W413" s="9"/>
      <c r="X413" s="223"/>
      <c r="Y413" s="9"/>
      <c r="Z413" s="204"/>
      <c r="AA413" s="9"/>
      <c r="AB413" s="9"/>
      <c r="AC413" s="9"/>
      <c r="AD413" s="9"/>
    </row>
    <row r="414" ht="15.75" customHeight="1">
      <c r="A414" s="9"/>
      <c r="B414" s="9"/>
      <c r="C414" s="9"/>
      <c r="D414" s="9"/>
      <c r="E414" s="223"/>
      <c r="F414" s="9"/>
      <c r="G414" s="9"/>
      <c r="H414" s="9"/>
      <c r="I414" s="9"/>
      <c r="J414" s="9"/>
      <c r="K414" s="9"/>
      <c r="L414" s="9"/>
      <c r="M414" s="9"/>
      <c r="N414" s="9"/>
      <c r="O414" s="9"/>
      <c r="P414" s="9"/>
      <c r="Q414" s="9"/>
      <c r="R414" s="9"/>
      <c r="S414" s="9"/>
      <c r="T414" s="9"/>
      <c r="U414" s="9"/>
      <c r="V414" s="9"/>
      <c r="W414" s="9"/>
      <c r="X414" s="223"/>
      <c r="Y414" s="9"/>
      <c r="Z414" s="204"/>
      <c r="AA414" s="9"/>
      <c r="AB414" s="9"/>
      <c r="AC414" s="9"/>
      <c r="AD414" s="9"/>
    </row>
    <row r="415" ht="15.75" customHeight="1">
      <c r="A415" s="9"/>
      <c r="B415" s="9"/>
      <c r="C415" s="9"/>
      <c r="D415" s="9"/>
      <c r="E415" s="223"/>
      <c r="F415" s="9"/>
      <c r="G415" s="9"/>
      <c r="H415" s="9"/>
      <c r="I415" s="9"/>
      <c r="J415" s="9"/>
      <c r="K415" s="9"/>
      <c r="L415" s="9"/>
      <c r="M415" s="9"/>
      <c r="N415" s="9"/>
      <c r="O415" s="9"/>
      <c r="P415" s="9"/>
      <c r="Q415" s="9"/>
      <c r="R415" s="9"/>
      <c r="S415" s="9"/>
      <c r="T415" s="9"/>
      <c r="U415" s="9"/>
      <c r="V415" s="9"/>
      <c r="W415" s="9"/>
      <c r="X415" s="223"/>
      <c r="Y415" s="9"/>
      <c r="Z415" s="204"/>
      <c r="AA415" s="9"/>
      <c r="AB415" s="9"/>
      <c r="AC415" s="9"/>
      <c r="AD415" s="9"/>
    </row>
    <row r="416" ht="15.75" customHeight="1">
      <c r="A416" s="9"/>
      <c r="B416" s="9"/>
      <c r="C416" s="9"/>
      <c r="D416" s="9"/>
      <c r="E416" s="223"/>
      <c r="F416" s="9"/>
      <c r="G416" s="9"/>
      <c r="H416" s="9"/>
      <c r="I416" s="9"/>
      <c r="J416" s="9"/>
      <c r="K416" s="9"/>
      <c r="L416" s="9"/>
      <c r="M416" s="9"/>
      <c r="N416" s="9"/>
      <c r="O416" s="9"/>
      <c r="P416" s="9"/>
      <c r="Q416" s="9"/>
      <c r="R416" s="9"/>
      <c r="S416" s="9"/>
      <c r="T416" s="9"/>
      <c r="U416" s="9"/>
      <c r="V416" s="9"/>
      <c r="W416" s="9"/>
      <c r="X416" s="223"/>
      <c r="Y416" s="9"/>
      <c r="Z416" s="204"/>
      <c r="AA416" s="9"/>
      <c r="AB416" s="9"/>
      <c r="AC416" s="9"/>
      <c r="AD416" s="9"/>
    </row>
    <row r="417" ht="15.75" customHeight="1">
      <c r="A417" s="9"/>
      <c r="B417" s="9"/>
      <c r="C417" s="9"/>
      <c r="D417" s="9"/>
      <c r="E417" s="223"/>
      <c r="F417" s="9"/>
      <c r="G417" s="9"/>
      <c r="H417" s="9"/>
      <c r="I417" s="9"/>
      <c r="J417" s="9"/>
      <c r="K417" s="9"/>
      <c r="L417" s="9"/>
      <c r="M417" s="9"/>
      <c r="N417" s="9"/>
      <c r="O417" s="9"/>
      <c r="P417" s="9"/>
      <c r="Q417" s="9"/>
      <c r="R417" s="9"/>
      <c r="S417" s="9"/>
      <c r="T417" s="9"/>
      <c r="U417" s="9"/>
      <c r="V417" s="9"/>
      <c r="W417" s="9"/>
      <c r="X417" s="223"/>
      <c r="Y417" s="9"/>
      <c r="Z417" s="204"/>
      <c r="AA417" s="9"/>
      <c r="AB417" s="9"/>
      <c r="AC417" s="9"/>
      <c r="AD417" s="9"/>
    </row>
    <row r="418" ht="15.75" customHeight="1">
      <c r="A418" s="9"/>
      <c r="B418" s="9"/>
      <c r="C418" s="9"/>
      <c r="D418" s="9"/>
      <c r="E418" s="223"/>
      <c r="F418" s="9"/>
      <c r="G418" s="9"/>
      <c r="H418" s="9"/>
      <c r="I418" s="9"/>
      <c r="J418" s="9"/>
      <c r="K418" s="9"/>
      <c r="L418" s="9"/>
      <c r="M418" s="9"/>
      <c r="N418" s="9"/>
      <c r="O418" s="9"/>
      <c r="P418" s="9"/>
      <c r="Q418" s="9"/>
      <c r="R418" s="9"/>
      <c r="S418" s="9"/>
      <c r="T418" s="9"/>
      <c r="U418" s="9"/>
      <c r="V418" s="9"/>
      <c r="W418" s="9"/>
      <c r="X418" s="223"/>
      <c r="Y418" s="9"/>
      <c r="Z418" s="204"/>
      <c r="AA418" s="9"/>
      <c r="AB418" s="9"/>
      <c r="AC418" s="9"/>
      <c r="AD418" s="9"/>
    </row>
    <row r="419" ht="15.75" customHeight="1">
      <c r="A419" s="9"/>
      <c r="B419" s="9"/>
      <c r="C419" s="9"/>
      <c r="D419" s="9"/>
      <c r="E419" s="223"/>
      <c r="F419" s="9"/>
      <c r="G419" s="9"/>
      <c r="H419" s="9"/>
      <c r="I419" s="9"/>
      <c r="J419" s="9"/>
      <c r="K419" s="9"/>
      <c r="L419" s="9"/>
      <c r="M419" s="9"/>
      <c r="N419" s="9"/>
      <c r="O419" s="9"/>
      <c r="P419" s="9"/>
      <c r="Q419" s="9"/>
      <c r="R419" s="9"/>
      <c r="S419" s="9"/>
      <c r="T419" s="9"/>
      <c r="U419" s="9"/>
      <c r="V419" s="9"/>
      <c r="W419" s="9"/>
      <c r="X419" s="223"/>
      <c r="Y419" s="9"/>
      <c r="Z419" s="204"/>
      <c r="AA419" s="9"/>
      <c r="AB419" s="9"/>
      <c r="AC419" s="9"/>
      <c r="AD419" s="9"/>
    </row>
    <row r="420" ht="15.75" customHeight="1">
      <c r="A420" s="9"/>
      <c r="B420" s="9"/>
      <c r="C420" s="9"/>
      <c r="D420" s="9"/>
      <c r="E420" s="223"/>
      <c r="F420" s="9"/>
      <c r="G420" s="9"/>
      <c r="H420" s="9"/>
      <c r="I420" s="9"/>
      <c r="J420" s="9"/>
      <c r="K420" s="9"/>
      <c r="L420" s="9"/>
      <c r="M420" s="9"/>
      <c r="N420" s="9"/>
      <c r="O420" s="9"/>
      <c r="P420" s="9"/>
      <c r="Q420" s="9"/>
      <c r="R420" s="9"/>
      <c r="S420" s="9"/>
      <c r="T420" s="9"/>
      <c r="U420" s="9"/>
      <c r="V420" s="9"/>
      <c r="W420" s="9"/>
      <c r="X420" s="223"/>
      <c r="Y420" s="9"/>
      <c r="Z420" s="204"/>
      <c r="AA420" s="9"/>
      <c r="AB420" s="9"/>
      <c r="AC420" s="9"/>
      <c r="AD420" s="9"/>
    </row>
    <row r="421" ht="15.75" customHeight="1">
      <c r="A421" s="9"/>
      <c r="B421" s="9"/>
      <c r="C421" s="9"/>
      <c r="D421" s="9"/>
      <c r="E421" s="223"/>
      <c r="F421" s="9"/>
      <c r="G421" s="9"/>
      <c r="H421" s="9"/>
      <c r="I421" s="9"/>
      <c r="J421" s="9"/>
      <c r="K421" s="9"/>
      <c r="L421" s="9"/>
      <c r="M421" s="9"/>
      <c r="N421" s="9"/>
      <c r="O421" s="9"/>
      <c r="P421" s="9"/>
      <c r="Q421" s="9"/>
      <c r="R421" s="9"/>
      <c r="S421" s="9"/>
      <c r="T421" s="9"/>
      <c r="U421" s="9"/>
      <c r="V421" s="9"/>
      <c r="W421" s="9"/>
      <c r="X421" s="223"/>
      <c r="Y421" s="9"/>
      <c r="Z421" s="204"/>
      <c r="AA421" s="9"/>
      <c r="AB421" s="9"/>
      <c r="AC421" s="9"/>
      <c r="AD421" s="9"/>
    </row>
    <row r="422" ht="15.75" customHeight="1">
      <c r="A422" s="9"/>
      <c r="B422" s="9"/>
      <c r="C422" s="9"/>
      <c r="D422" s="9"/>
      <c r="E422" s="223"/>
      <c r="F422" s="9"/>
      <c r="G422" s="9"/>
      <c r="H422" s="9"/>
      <c r="I422" s="9"/>
      <c r="J422" s="9"/>
      <c r="K422" s="9"/>
      <c r="L422" s="9"/>
      <c r="M422" s="9"/>
      <c r="N422" s="9"/>
      <c r="O422" s="9"/>
      <c r="P422" s="9"/>
      <c r="Q422" s="9"/>
      <c r="R422" s="9"/>
      <c r="S422" s="9"/>
      <c r="T422" s="9"/>
      <c r="U422" s="9"/>
      <c r="V422" s="9"/>
      <c r="W422" s="9"/>
      <c r="X422" s="223"/>
      <c r="Y422" s="9"/>
      <c r="Z422" s="204"/>
      <c r="AA422" s="9"/>
      <c r="AB422" s="9"/>
      <c r="AC422" s="9"/>
      <c r="AD422" s="9"/>
    </row>
    <row r="423" ht="15.75" customHeight="1">
      <c r="A423" s="9"/>
      <c r="B423" s="9"/>
      <c r="C423" s="9"/>
      <c r="D423" s="9"/>
      <c r="E423" s="223"/>
      <c r="F423" s="9"/>
      <c r="G423" s="9"/>
      <c r="H423" s="9"/>
      <c r="I423" s="9"/>
      <c r="J423" s="9"/>
      <c r="K423" s="9"/>
      <c r="L423" s="9"/>
      <c r="M423" s="9"/>
      <c r="N423" s="9"/>
      <c r="O423" s="9"/>
      <c r="P423" s="9"/>
      <c r="Q423" s="9"/>
      <c r="R423" s="9"/>
      <c r="S423" s="9"/>
      <c r="T423" s="9"/>
      <c r="U423" s="9"/>
      <c r="V423" s="9"/>
      <c r="W423" s="9"/>
      <c r="X423" s="223"/>
      <c r="Y423" s="9"/>
      <c r="Z423" s="204"/>
      <c r="AA423" s="9"/>
      <c r="AB423" s="9"/>
      <c r="AC423" s="9"/>
      <c r="AD423" s="9"/>
    </row>
    <row r="424" ht="15.75" customHeight="1">
      <c r="A424" s="9"/>
      <c r="B424" s="9"/>
      <c r="C424" s="9"/>
      <c r="D424" s="9"/>
      <c r="E424" s="223"/>
      <c r="F424" s="9"/>
      <c r="G424" s="9"/>
      <c r="H424" s="9"/>
      <c r="I424" s="9"/>
      <c r="J424" s="9"/>
      <c r="K424" s="9"/>
      <c r="L424" s="9"/>
      <c r="M424" s="9"/>
      <c r="N424" s="9"/>
      <c r="O424" s="9"/>
      <c r="P424" s="9"/>
      <c r="Q424" s="9"/>
      <c r="R424" s="9"/>
      <c r="S424" s="9"/>
      <c r="T424" s="9"/>
      <c r="U424" s="9"/>
      <c r="V424" s="9"/>
      <c r="W424" s="9"/>
      <c r="X424" s="223"/>
      <c r="Y424" s="9"/>
      <c r="Z424" s="204"/>
      <c r="AA424" s="9"/>
      <c r="AB424" s="9"/>
      <c r="AC424" s="9"/>
      <c r="AD424" s="9"/>
    </row>
    <row r="425" ht="15.75" customHeight="1">
      <c r="A425" s="9"/>
      <c r="B425" s="9"/>
      <c r="C425" s="9"/>
      <c r="D425" s="9"/>
      <c r="E425" s="223"/>
      <c r="F425" s="9"/>
      <c r="G425" s="9"/>
      <c r="H425" s="9"/>
      <c r="I425" s="9"/>
      <c r="J425" s="9"/>
      <c r="K425" s="9"/>
      <c r="L425" s="9"/>
      <c r="M425" s="9"/>
      <c r="N425" s="9"/>
      <c r="O425" s="9"/>
      <c r="P425" s="9"/>
      <c r="Q425" s="9"/>
      <c r="R425" s="9"/>
      <c r="S425" s="9"/>
      <c r="T425" s="9"/>
      <c r="U425" s="9"/>
      <c r="V425" s="9"/>
      <c r="W425" s="9"/>
      <c r="X425" s="223"/>
      <c r="Y425" s="9"/>
      <c r="Z425" s="204"/>
      <c r="AA425" s="9"/>
      <c r="AB425" s="9"/>
      <c r="AC425" s="9"/>
      <c r="AD425" s="9"/>
    </row>
    <row r="426" ht="15.75" customHeight="1">
      <c r="A426" s="9"/>
      <c r="B426" s="9"/>
      <c r="C426" s="9"/>
      <c r="D426" s="9"/>
      <c r="E426" s="223"/>
      <c r="F426" s="9"/>
      <c r="G426" s="9"/>
      <c r="H426" s="9"/>
      <c r="I426" s="9"/>
      <c r="J426" s="9"/>
      <c r="K426" s="9"/>
      <c r="L426" s="9"/>
      <c r="M426" s="9"/>
      <c r="N426" s="9"/>
      <c r="O426" s="9"/>
      <c r="P426" s="9"/>
      <c r="Q426" s="9"/>
      <c r="R426" s="9"/>
      <c r="S426" s="9"/>
      <c r="T426" s="9"/>
      <c r="U426" s="9"/>
      <c r="V426" s="9"/>
      <c r="W426" s="9"/>
      <c r="X426" s="223"/>
      <c r="Y426" s="9"/>
      <c r="Z426" s="204"/>
      <c r="AA426" s="9"/>
      <c r="AB426" s="9"/>
      <c r="AC426" s="9"/>
      <c r="AD426" s="9"/>
    </row>
    <row r="427" ht="15.75" customHeight="1">
      <c r="A427" s="9"/>
      <c r="B427" s="9"/>
      <c r="C427" s="9"/>
      <c r="D427" s="9"/>
      <c r="E427" s="223"/>
      <c r="F427" s="9"/>
      <c r="G427" s="9"/>
      <c r="H427" s="9"/>
      <c r="I427" s="9"/>
      <c r="J427" s="9"/>
      <c r="K427" s="9"/>
      <c r="L427" s="9"/>
      <c r="M427" s="9"/>
      <c r="N427" s="9"/>
      <c r="O427" s="9"/>
      <c r="P427" s="9"/>
      <c r="Q427" s="9"/>
      <c r="R427" s="9"/>
      <c r="S427" s="9"/>
      <c r="T427" s="9"/>
      <c r="U427" s="9"/>
      <c r="V427" s="9"/>
      <c r="W427" s="9"/>
      <c r="X427" s="223"/>
      <c r="Y427" s="9"/>
      <c r="Z427" s="204"/>
      <c r="AA427" s="9"/>
      <c r="AB427" s="9"/>
      <c r="AC427" s="9"/>
      <c r="AD427" s="9"/>
    </row>
    <row r="428" ht="15.75" customHeight="1">
      <c r="A428" s="9"/>
      <c r="B428" s="9"/>
      <c r="C428" s="9"/>
      <c r="D428" s="9"/>
      <c r="E428" s="223"/>
      <c r="F428" s="9"/>
      <c r="G428" s="9"/>
      <c r="H428" s="9"/>
      <c r="I428" s="9"/>
      <c r="J428" s="9"/>
      <c r="K428" s="9"/>
      <c r="L428" s="9"/>
      <c r="M428" s="9"/>
      <c r="N428" s="9"/>
      <c r="O428" s="9"/>
      <c r="P428" s="9"/>
      <c r="Q428" s="9"/>
      <c r="R428" s="9"/>
      <c r="S428" s="9"/>
      <c r="T428" s="9"/>
      <c r="U428" s="9"/>
      <c r="V428" s="9"/>
      <c r="W428" s="9"/>
      <c r="X428" s="223"/>
      <c r="Y428" s="9"/>
      <c r="Z428" s="204"/>
      <c r="AA428" s="9"/>
      <c r="AB428" s="9"/>
      <c r="AC428" s="9"/>
      <c r="AD428" s="9"/>
    </row>
    <row r="429" ht="15.75" customHeight="1">
      <c r="A429" s="9"/>
      <c r="B429" s="9"/>
      <c r="C429" s="9"/>
      <c r="D429" s="9"/>
      <c r="E429" s="223"/>
      <c r="F429" s="9"/>
      <c r="G429" s="9"/>
      <c r="H429" s="9"/>
      <c r="I429" s="9"/>
      <c r="J429" s="9"/>
      <c r="K429" s="9"/>
      <c r="L429" s="9"/>
      <c r="M429" s="9"/>
      <c r="N429" s="9"/>
      <c r="O429" s="9"/>
      <c r="P429" s="9"/>
      <c r="Q429" s="9"/>
      <c r="R429" s="9"/>
      <c r="S429" s="9"/>
      <c r="T429" s="9"/>
      <c r="U429" s="9"/>
      <c r="V429" s="9"/>
      <c r="W429" s="9"/>
      <c r="X429" s="223"/>
      <c r="Y429" s="9"/>
      <c r="Z429" s="204"/>
      <c r="AA429" s="9"/>
      <c r="AB429" s="9"/>
      <c r="AC429" s="9"/>
      <c r="AD429" s="9"/>
    </row>
    <row r="430" ht="15.75" customHeight="1">
      <c r="A430" s="9"/>
      <c r="B430" s="9"/>
      <c r="C430" s="9"/>
      <c r="D430" s="9"/>
      <c r="E430" s="223"/>
      <c r="F430" s="9"/>
      <c r="G430" s="9"/>
      <c r="H430" s="9"/>
      <c r="I430" s="9"/>
      <c r="J430" s="9"/>
      <c r="K430" s="9"/>
      <c r="L430" s="9"/>
      <c r="M430" s="9"/>
      <c r="N430" s="9"/>
      <c r="O430" s="9"/>
      <c r="P430" s="9"/>
      <c r="Q430" s="9"/>
      <c r="R430" s="9"/>
      <c r="S430" s="9"/>
      <c r="T430" s="9"/>
      <c r="U430" s="9"/>
      <c r="V430" s="9"/>
      <c r="W430" s="9"/>
      <c r="X430" s="223"/>
      <c r="Y430" s="9"/>
      <c r="Z430" s="204"/>
      <c r="AA430" s="9"/>
      <c r="AB430" s="9"/>
      <c r="AC430" s="9"/>
      <c r="AD430" s="9"/>
    </row>
    <row r="431" ht="15.75" customHeight="1">
      <c r="A431" s="9"/>
      <c r="B431" s="9"/>
      <c r="C431" s="9"/>
      <c r="D431" s="9"/>
      <c r="E431" s="223"/>
      <c r="F431" s="9"/>
      <c r="G431" s="9"/>
      <c r="H431" s="9"/>
      <c r="I431" s="9"/>
      <c r="J431" s="9"/>
      <c r="K431" s="9"/>
      <c r="L431" s="9"/>
      <c r="M431" s="9"/>
      <c r="N431" s="9"/>
      <c r="O431" s="9"/>
      <c r="P431" s="9"/>
      <c r="Q431" s="9"/>
      <c r="R431" s="9"/>
      <c r="S431" s="9"/>
      <c r="T431" s="9"/>
      <c r="U431" s="9"/>
      <c r="V431" s="9"/>
      <c r="W431" s="9"/>
      <c r="X431" s="223"/>
      <c r="Y431" s="9"/>
      <c r="Z431" s="204"/>
      <c r="AA431" s="9"/>
      <c r="AB431" s="9"/>
      <c r="AC431" s="9"/>
      <c r="AD431" s="9"/>
    </row>
    <row r="432" ht="15.75" customHeight="1">
      <c r="A432" s="9"/>
      <c r="B432" s="9"/>
      <c r="C432" s="9"/>
      <c r="D432" s="9"/>
      <c r="E432" s="223"/>
      <c r="F432" s="9"/>
      <c r="G432" s="9"/>
      <c r="H432" s="9"/>
      <c r="I432" s="9"/>
      <c r="J432" s="9"/>
      <c r="K432" s="9"/>
      <c r="L432" s="9"/>
      <c r="M432" s="9"/>
      <c r="N432" s="9"/>
      <c r="O432" s="9"/>
      <c r="P432" s="9"/>
      <c r="Q432" s="9"/>
      <c r="R432" s="9"/>
      <c r="S432" s="9"/>
      <c r="T432" s="9"/>
      <c r="U432" s="9"/>
      <c r="V432" s="9"/>
      <c r="W432" s="9"/>
      <c r="X432" s="223"/>
      <c r="Y432" s="9"/>
      <c r="Z432" s="204"/>
      <c r="AA432" s="9"/>
      <c r="AB432" s="9"/>
      <c r="AC432" s="9"/>
      <c r="AD432" s="9"/>
    </row>
    <row r="433" ht="15.75" customHeight="1">
      <c r="A433" s="9"/>
      <c r="B433" s="9"/>
      <c r="C433" s="9"/>
      <c r="D433" s="9"/>
      <c r="E433" s="223"/>
      <c r="F433" s="9"/>
      <c r="G433" s="9"/>
      <c r="H433" s="9"/>
      <c r="I433" s="9"/>
      <c r="J433" s="9"/>
      <c r="K433" s="9"/>
      <c r="L433" s="9"/>
      <c r="M433" s="9"/>
      <c r="N433" s="9"/>
      <c r="O433" s="9"/>
      <c r="P433" s="9"/>
      <c r="Q433" s="9"/>
      <c r="R433" s="9"/>
      <c r="S433" s="9"/>
      <c r="T433" s="9"/>
      <c r="U433" s="9"/>
      <c r="V433" s="9"/>
      <c r="W433" s="9"/>
      <c r="X433" s="223"/>
      <c r="Y433" s="9"/>
      <c r="Z433" s="204"/>
      <c r="AA433" s="9"/>
      <c r="AB433" s="9"/>
      <c r="AC433" s="9"/>
      <c r="AD433" s="9"/>
    </row>
    <row r="434" ht="15.75" customHeight="1">
      <c r="A434" s="9"/>
      <c r="B434" s="9"/>
      <c r="C434" s="9"/>
      <c r="D434" s="9"/>
      <c r="E434" s="223"/>
      <c r="F434" s="9"/>
      <c r="G434" s="9"/>
      <c r="H434" s="9"/>
      <c r="I434" s="9"/>
      <c r="J434" s="9"/>
      <c r="K434" s="9"/>
      <c r="L434" s="9"/>
      <c r="M434" s="9"/>
      <c r="N434" s="9"/>
      <c r="O434" s="9"/>
      <c r="P434" s="9"/>
      <c r="Q434" s="9"/>
      <c r="R434" s="9"/>
      <c r="S434" s="9"/>
      <c r="T434" s="9"/>
      <c r="U434" s="9"/>
      <c r="V434" s="9"/>
      <c r="W434" s="9"/>
      <c r="X434" s="223"/>
      <c r="Y434" s="9"/>
      <c r="Z434" s="204"/>
      <c r="AA434" s="9"/>
      <c r="AB434" s="9"/>
      <c r="AC434" s="9"/>
      <c r="AD434" s="9"/>
    </row>
    <row r="435" ht="15.75" customHeight="1">
      <c r="A435" s="9"/>
      <c r="B435" s="9"/>
      <c r="C435" s="9"/>
      <c r="D435" s="9"/>
      <c r="E435" s="223"/>
      <c r="F435" s="9"/>
      <c r="G435" s="9"/>
      <c r="H435" s="9"/>
      <c r="I435" s="9"/>
      <c r="J435" s="9"/>
      <c r="K435" s="9"/>
      <c r="L435" s="9"/>
      <c r="M435" s="9"/>
      <c r="N435" s="9"/>
      <c r="O435" s="9"/>
      <c r="P435" s="9"/>
      <c r="Q435" s="9"/>
      <c r="R435" s="9"/>
      <c r="S435" s="9"/>
      <c r="T435" s="9"/>
      <c r="U435" s="9"/>
      <c r="V435" s="9"/>
      <c r="W435" s="9"/>
      <c r="X435" s="223"/>
      <c r="Y435" s="9"/>
      <c r="Z435" s="204"/>
      <c r="AA435" s="9"/>
      <c r="AB435" s="9"/>
      <c r="AC435" s="9"/>
      <c r="AD435" s="9"/>
    </row>
    <row r="436" ht="15.75" customHeight="1">
      <c r="A436" s="9"/>
      <c r="B436" s="9"/>
      <c r="C436" s="9"/>
      <c r="D436" s="9"/>
      <c r="E436" s="223"/>
      <c r="F436" s="9"/>
      <c r="G436" s="9"/>
      <c r="H436" s="9"/>
      <c r="I436" s="9"/>
      <c r="J436" s="9"/>
      <c r="K436" s="9"/>
      <c r="L436" s="9"/>
      <c r="M436" s="9"/>
      <c r="N436" s="9"/>
      <c r="O436" s="9"/>
      <c r="P436" s="9"/>
      <c r="Q436" s="9"/>
      <c r="R436" s="9"/>
      <c r="S436" s="9"/>
      <c r="T436" s="9"/>
      <c r="U436" s="9"/>
      <c r="V436" s="9"/>
      <c r="W436" s="9"/>
      <c r="X436" s="223"/>
      <c r="Y436" s="9"/>
      <c r="Z436" s="204"/>
      <c r="AA436" s="9"/>
      <c r="AB436" s="9"/>
      <c r="AC436" s="9"/>
      <c r="AD436" s="9"/>
    </row>
    <row r="437" ht="15.75" customHeight="1">
      <c r="A437" s="9"/>
      <c r="B437" s="9"/>
      <c r="C437" s="9"/>
      <c r="D437" s="9"/>
      <c r="E437" s="223"/>
      <c r="F437" s="9"/>
      <c r="G437" s="9"/>
      <c r="H437" s="9"/>
      <c r="I437" s="9"/>
      <c r="J437" s="9"/>
      <c r="K437" s="9"/>
      <c r="L437" s="9"/>
      <c r="M437" s="9"/>
      <c r="N437" s="9"/>
      <c r="O437" s="9"/>
      <c r="P437" s="9"/>
      <c r="Q437" s="9"/>
      <c r="R437" s="9"/>
      <c r="S437" s="9"/>
      <c r="T437" s="9"/>
      <c r="U437" s="9"/>
      <c r="V437" s="9"/>
      <c r="W437" s="9"/>
      <c r="X437" s="223"/>
      <c r="Y437" s="9"/>
      <c r="Z437" s="204"/>
      <c r="AA437" s="9"/>
      <c r="AB437" s="9"/>
      <c r="AC437" s="9"/>
      <c r="AD437" s="9"/>
    </row>
    <row r="438" ht="15.75" customHeight="1">
      <c r="A438" s="9"/>
      <c r="B438" s="9"/>
      <c r="C438" s="9"/>
      <c r="D438" s="9"/>
      <c r="E438" s="223"/>
      <c r="F438" s="9"/>
      <c r="G438" s="9"/>
      <c r="H438" s="9"/>
      <c r="I438" s="9"/>
      <c r="J438" s="9"/>
      <c r="K438" s="9"/>
      <c r="L438" s="9"/>
      <c r="M438" s="9"/>
      <c r="N438" s="9"/>
      <c r="O438" s="9"/>
      <c r="P438" s="9"/>
      <c r="Q438" s="9"/>
      <c r="R438" s="9"/>
      <c r="S438" s="9"/>
      <c r="T438" s="9"/>
      <c r="U438" s="9"/>
      <c r="V438" s="9"/>
      <c r="W438" s="9"/>
      <c r="X438" s="223"/>
      <c r="Y438" s="9"/>
      <c r="Z438" s="204"/>
      <c r="AA438" s="9"/>
      <c r="AB438" s="9"/>
      <c r="AC438" s="9"/>
      <c r="AD438" s="9"/>
    </row>
    <row r="439" ht="15.75" customHeight="1">
      <c r="A439" s="9"/>
      <c r="B439" s="9"/>
      <c r="C439" s="9"/>
      <c r="D439" s="9"/>
      <c r="E439" s="223"/>
      <c r="F439" s="9"/>
      <c r="G439" s="9"/>
      <c r="H439" s="9"/>
      <c r="I439" s="9"/>
      <c r="J439" s="9"/>
      <c r="K439" s="9"/>
      <c r="L439" s="9"/>
      <c r="M439" s="9"/>
      <c r="N439" s="9"/>
      <c r="O439" s="9"/>
      <c r="P439" s="9"/>
      <c r="Q439" s="9"/>
      <c r="R439" s="9"/>
      <c r="S439" s="9"/>
      <c r="T439" s="9"/>
      <c r="U439" s="9"/>
      <c r="V439" s="9"/>
      <c r="W439" s="9"/>
      <c r="X439" s="223"/>
      <c r="Y439" s="9"/>
      <c r="Z439" s="204"/>
      <c r="AA439" s="9"/>
      <c r="AB439" s="9"/>
      <c r="AC439" s="9"/>
      <c r="AD439" s="9"/>
    </row>
    <row r="440" ht="15.75" customHeight="1">
      <c r="A440" s="9"/>
      <c r="B440" s="9"/>
      <c r="C440" s="9"/>
      <c r="D440" s="9"/>
      <c r="E440" s="223"/>
      <c r="F440" s="9"/>
      <c r="G440" s="9"/>
      <c r="H440" s="9"/>
      <c r="I440" s="9"/>
      <c r="J440" s="9"/>
      <c r="K440" s="9"/>
      <c r="L440" s="9"/>
      <c r="M440" s="9"/>
      <c r="N440" s="9"/>
      <c r="O440" s="9"/>
      <c r="P440" s="9"/>
      <c r="Q440" s="9"/>
      <c r="R440" s="9"/>
      <c r="S440" s="9"/>
      <c r="T440" s="9"/>
      <c r="U440" s="9"/>
      <c r="V440" s="9"/>
      <c r="W440" s="9"/>
      <c r="X440" s="223"/>
      <c r="Y440" s="9"/>
      <c r="Z440" s="204"/>
      <c r="AA440" s="9"/>
      <c r="AB440" s="9"/>
      <c r="AC440" s="9"/>
      <c r="AD440" s="9"/>
    </row>
    <row r="441" ht="15.75" customHeight="1">
      <c r="A441" s="9"/>
      <c r="B441" s="9"/>
      <c r="C441" s="9"/>
      <c r="D441" s="9"/>
      <c r="E441" s="223"/>
      <c r="F441" s="9"/>
      <c r="G441" s="9"/>
      <c r="H441" s="9"/>
      <c r="I441" s="9"/>
      <c r="J441" s="9"/>
      <c r="K441" s="9"/>
      <c r="L441" s="9"/>
      <c r="M441" s="9"/>
      <c r="N441" s="9"/>
      <c r="O441" s="9"/>
      <c r="P441" s="9"/>
      <c r="Q441" s="9"/>
      <c r="R441" s="9"/>
      <c r="S441" s="9"/>
      <c r="T441" s="9"/>
      <c r="U441" s="9"/>
      <c r="V441" s="9"/>
      <c r="W441" s="9"/>
      <c r="X441" s="223"/>
      <c r="Y441" s="9"/>
      <c r="Z441" s="204"/>
      <c r="AA441" s="9"/>
      <c r="AB441" s="9"/>
      <c r="AC441" s="9"/>
      <c r="AD441" s="9"/>
    </row>
    <row r="442" ht="15.75" customHeight="1">
      <c r="A442" s="9"/>
      <c r="B442" s="9"/>
      <c r="C442" s="9"/>
      <c r="D442" s="9"/>
      <c r="E442" s="223"/>
      <c r="F442" s="9"/>
      <c r="G442" s="9"/>
      <c r="H442" s="9"/>
      <c r="I442" s="9"/>
      <c r="J442" s="9"/>
      <c r="K442" s="9"/>
      <c r="L442" s="9"/>
      <c r="M442" s="9"/>
      <c r="N442" s="9"/>
      <c r="O442" s="9"/>
      <c r="P442" s="9"/>
      <c r="Q442" s="9"/>
      <c r="R442" s="9"/>
      <c r="S442" s="9"/>
      <c r="T442" s="9"/>
      <c r="U442" s="9"/>
      <c r="V442" s="9"/>
      <c r="W442" s="9"/>
      <c r="X442" s="223"/>
      <c r="Y442" s="9"/>
      <c r="Z442" s="204"/>
      <c r="AA442" s="9"/>
      <c r="AB442" s="9"/>
      <c r="AC442" s="9"/>
      <c r="AD442" s="9"/>
    </row>
    <row r="443" ht="15.75" customHeight="1">
      <c r="A443" s="9"/>
      <c r="B443" s="9"/>
      <c r="C443" s="9"/>
      <c r="D443" s="9"/>
      <c r="E443" s="223"/>
      <c r="F443" s="9"/>
      <c r="G443" s="9"/>
      <c r="H443" s="9"/>
      <c r="I443" s="9"/>
      <c r="J443" s="9"/>
      <c r="K443" s="9"/>
      <c r="L443" s="9"/>
      <c r="M443" s="9"/>
      <c r="N443" s="9"/>
      <c r="O443" s="9"/>
      <c r="P443" s="9"/>
      <c r="Q443" s="9"/>
      <c r="R443" s="9"/>
      <c r="S443" s="9"/>
      <c r="T443" s="9"/>
      <c r="U443" s="9"/>
      <c r="V443" s="9"/>
      <c r="W443" s="9"/>
      <c r="X443" s="223"/>
      <c r="Y443" s="9"/>
      <c r="Z443" s="204"/>
      <c r="AA443" s="9"/>
      <c r="AB443" s="9"/>
      <c r="AC443" s="9"/>
      <c r="AD443" s="9"/>
    </row>
    <row r="444" ht="15.75" customHeight="1">
      <c r="A444" s="9"/>
      <c r="B444" s="9"/>
      <c r="C444" s="9"/>
      <c r="D444" s="9"/>
      <c r="E444" s="223"/>
      <c r="F444" s="9"/>
      <c r="G444" s="9"/>
      <c r="H444" s="9"/>
      <c r="I444" s="9"/>
      <c r="J444" s="9"/>
      <c r="K444" s="9"/>
      <c r="L444" s="9"/>
      <c r="M444" s="9"/>
      <c r="N444" s="9"/>
      <c r="O444" s="9"/>
      <c r="P444" s="9"/>
      <c r="Q444" s="9"/>
      <c r="R444" s="9"/>
      <c r="S444" s="9"/>
      <c r="T444" s="9"/>
      <c r="U444" s="9"/>
      <c r="V444" s="9"/>
      <c r="W444" s="9"/>
      <c r="X444" s="223"/>
      <c r="Y444" s="9"/>
      <c r="Z444" s="204"/>
      <c r="AA444" s="9"/>
      <c r="AB444" s="9"/>
      <c r="AC444" s="9"/>
      <c r="AD444" s="9"/>
    </row>
    <row r="445" ht="15.75" customHeight="1">
      <c r="A445" s="9"/>
      <c r="B445" s="9"/>
      <c r="C445" s="9"/>
      <c r="D445" s="9"/>
      <c r="E445" s="223"/>
      <c r="F445" s="9"/>
      <c r="G445" s="9"/>
      <c r="H445" s="9"/>
      <c r="I445" s="9"/>
      <c r="J445" s="9"/>
      <c r="K445" s="9"/>
      <c r="L445" s="9"/>
      <c r="M445" s="9"/>
      <c r="N445" s="9"/>
      <c r="O445" s="9"/>
      <c r="P445" s="9"/>
      <c r="Q445" s="9"/>
      <c r="R445" s="9"/>
      <c r="S445" s="9"/>
      <c r="T445" s="9"/>
      <c r="U445" s="9"/>
      <c r="V445" s="9"/>
      <c r="W445" s="9"/>
      <c r="X445" s="223"/>
      <c r="Y445" s="9"/>
      <c r="Z445" s="204"/>
      <c r="AA445" s="9"/>
      <c r="AB445" s="9"/>
      <c r="AC445" s="9"/>
      <c r="AD445" s="9"/>
    </row>
    <row r="446" ht="15.75" customHeight="1">
      <c r="A446" s="9"/>
      <c r="B446" s="9"/>
      <c r="C446" s="9"/>
      <c r="D446" s="9"/>
      <c r="E446" s="223"/>
      <c r="F446" s="9"/>
      <c r="G446" s="9"/>
      <c r="H446" s="9"/>
      <c r="I446" s="9"/>
      <c r="J446" s="9"/>
      <c r="K446" s="9"/>
      <c r="L446" s="9"/>
      <c r="M446" s="9"/>
      <c r="N446" s="9"/>
      <c r="O446" s="9"/>
      <c r="P446" s="9"/>
      <c r="Q446" s="9"/>
      <c r="R446" s="9"/>
      <c r="S446" s="9"/>
      <c r="T446" s="9"/>
      <c r="U446" s="9"/>
      <c r="V446" s="9"/>
      <c r="W446" s="9"/>
      <c r="X446" s="223"/>
      <c r="Y446" s="9"/>
      <c r="Z446" s="204"/>
      <c r="AA446" s="9"/>
      <c r="AB446" s="9"/>
      <c r="AC446" s="9"/>
      <c r="AD446" s="9"/>
    </row>
    <row r="447" ht="15.75" customHeight="1">
      <c r="A447" s="9"/>
      <c r="B447" s="9"/>
      <c r="C447" s="9"/>
      <c r="D447" s="9"/>
      <c r="E447" s="223"/>
      <c r="F447" s="9"/>
      <c r="G447" s="9"/>
      <c r="H447" s="9"/>
      <c r="I447" s="9"/>
      <c r="J447" s="9"/>
      <c r="K447" s="9"/>
      <c r="L447" s="9"/>
      <c r="M447" s="9"/>
      <c r="N447" s="9"/>
      <c r="O447" s="9"/>
      <c r="P447" s="9"/>
      <c r="Q447" s="9"/>
      <c r="R447" s="9"/>
      <c r="S447" s="9"/>
      <c r="T447" s="9"/>
      <c r="U447" s="9"/>
      <c r="V447" s="9"/>
      <c r="W447" s="9"/>
      <c r="X447" s="223"/>
      <c r="Y447" s="9"/>
      <c r="Z447" s="204"/>
      <c r="AA447" s="9"/>
      <c r="AB447" s="9"/>
      <c r="AC447" s="9"/>
      <c r="AD447" s="9"/>
    </row>
    <row r="448" ht="15.75" customHeight="1">
      <c r="A448" s="9"/>
      <c r="B448" s="9"/>
      <c r="C448" s="9"/>
      <c r="D448" s="9"/>
      <c r="E448" s="223"/>
      <c r="F448" s="9"/>
      <c r="G448" s="9"/>
      <c r="H448" s="9"/>
      <c r="I448" s="9"/>
      <c r="J448" s="9"/>
      <c r="K448" s="9"/>
      <c r="L448" s="9"/>
      <c r="M448" s="9"/>
      <c r="N448" s="9"/>
      <c r="O448" s="9"/>
      <c r="P448" s="9"/>
      <c r="Q448" s="9"/>
      <c r="R448" s="9"/>
      <c r="S448" s="9"/>
      <c r="T448" s="9"/>
      <c r="U448" s="9"/>
      <c r="V448" s="9"/>
      <c r="W448" s="9"/>
      <c r="X448" s="223"/>
      <c r="Y448" s="9"/>
      <c r="Z448" s="204"/>
      <c r="AA448" s="9"/>
      <c r="AB448" s="9"/>
      <c r="AC448" s="9"/>
      <c r="AD448" s="9"/>
    </row>
    <row r="449" ht="15.75" customHeight="1">
      <c r="A449" s="9"/>
      <c r="B449" s="9"/>
      <c r="C449" s="9"/>
      <c r="D449" s="9"/>
      <c r="E449" s="223"/>
      <c r="F449" s="9"/>
      <c r="G449" s="9"/>
      <c r="H449" s="9"/>
      <c r="I449" s="9"/>
      <c r="J449" s="9"/>
      <c r="K449" s="9"/>
      <c r="L449" s="9"/>
      <c r="M449" s="9"/>
      <c r="N449" s="9"/>
      <c r="O449" s="9"/>
      <c r="P449" s="9"/>
      <c r="Q449" s="9"/>
      <c r="R449" s="9"/>
      <c r="S449" s="9"/>
      <c r="T449" s="9"/>
      <c r="U449" s="9"/>
      <c r="V449" s="9"/>
      <c r="W449" s="9"/>
      <c r="X449" s="223"/>
      <c r="Y449" s="9"/>
      <c r="Z449" s="204"/>
      <c r="AA449" s="9"/>
      <c r="AB449" s="9"/>
      <c r="AC449" s="9"/>
      <c r="AD449" s="9"/>
    </row>
    <row r="450" ht="15.75" customHeight="1">
      <c r="A450" s="9"/>
      <c r="B450" s="9"/>
      <c r="C450" s="9"/>
      <c r="D450" s="9"/>
      <c r="E450" s="223"/>
      <c r="F450" s="9"/>
      <c r="G450" s="9"/>
      <c r="H450" s="9"/>
      <c r="I450" s="9"/>
      <c r="J450" s="9"/>
      <c r="K450" s="9"/>
      <c r="L450" s="9"/>
      <c r="M450" s="9"/>
      <c r="N450" s="9"/>
      <c r="O450" s="9"/>
      <c r="P450" s="9"/>
      <c r="Q450" s="9"/>
      <c r="R450" s="9"/>
      <c r="S450" s="9"/>
      <c r="T450" s="9"/>
      <c r="U450" s="9"/>
      <c r="V450" s="9"/>
      <c r="W450" s="9"/>
      <c r="X450" s="223"/>
      <c r="Y450" s="9"/>
      <c r="Z450" s="204"/>
      <c r="AA450" s="9"/>
      <c r="AB450" s="9"/>
      <c r="AC450" s="9"/>
      <c r="AD450" s="9"/>
    </row>
    <row r="451" ht="15.75" customHeight="1">
      <c r="A451" s="9"/>
      <c r="B451" s="9"/>
      <c r="C451" s="9"/>
      <c r="D451" s="9"/>
      <c r="E451" s="223"/>
      <c r="F451" s="9"/>
      <c r="G451" s="9"/>
      <c r="H451" s="9"/>
      <c r="I451" s="9"/>
      <c r="J451" s="9"/>
      <c r="K451" s="9"/>
      <c r="L451" s="9"/>
      <c r="M451" s="9"/>
      <c r="N451" s="9"/>
      <c r="O451" s="9"/>
      <c r="P451" s="9"/>
      <c r="Q451" s="9"/>
      <c r="R451" s="9"/>
      <c r="S451" s="9"/>
      <c r="T451" s="9"/>
      <c r="U451" s="9"/>
      <c r="V451" s="9"/>
      <c r="W451" s="9"/>
      <c r="X451" s="223"/>
      <c r="Y451" s="9"/>
      <c r="Z451" s="204"/>
      <c r="AA451" s="9"/>
      <c r="AB451" s="9"/>
      <c r="AC451" s="9"/>
      <c r="AD451" s="9"/>
    </row>
    <row r="452" ht="15.75" customHeight="1">
      <c r="A452" s="9"/>
      <c r="B452" s="9"/>
      <c r="C452" s="9"/>
      <c r="D452" s="9"/>
      <c r="E452" s="223"/>
      <c r="F452" s="9"/>
      <c r="G452" s="9"/>
      <c r="H452" s="9"/>
      <c r="I452" s="9"/>
      <c r="J452" s="9"/>
      <c r="K452" s="9"/>
      <c r="L452" s="9"/>
      <c r="M452" s="9"/>
      <c r="N452" s="9"/>
      <c r="O452" s="9"/>
      <c r="P452" s="9"/>
      <c r="Q452" s="9"/>
      <c r="R452" s="9"/>
      <c r="S452" s="9"/>
      <c r="T452" s="9"/>
      <c r="U452" s="9"/>
      <c r="V452" s="9"/>
      <c r="W452" s="9"/>
      <c r="X452" s="223"/>
      <c r="Y452" s="9"/>
      <c r="Z452" s="204"/>
      <c r="AA452" s="9"/>
      <c r="AB452" s="9"/>
      <c r="AC452" s="9"/>
      <c r="AD452" s="9"/>
    </row>
    <row r="453" ht="15.75" customHeight="1">
      <c r="A453" s="9"/>
      <c r="B453" s="9"/>
      <c r="C453" s="9"/>
      <c r="D453" s="9"/>
      <c r="E453" s="223"/>
      <c r="F453" s="9"/>
      <c r="G453" s="9"/>
      <c r="H453" s="9"/>
      <c r="I453" s="9"/>
      <c r="J453" s="9"/>
      <c r="K453" s="9"/>
      <c r="L453" s="9"/>
      <c r="M453" s="9"/>
      <c r="N453" s="9"/>
      <c r="O453" s="9"/>
      <c r="P453" s="9"/>
      <c r="Q453" s="9"/>
      <c r="R453" s="9"/>
      <c r="S453" s="9"/>
      <c r="T453" s="9"/>
      <c r="U453" s="9"/>
      <c r="V453" s="9"/>
      <c r="W453" s="9"/>
      <c r="X453" s="223"/>
      <c r="Y453" s="9"/>
      <c r="Z453" s="204"/>
      <c r="AA453" s="9"/>
      <c r="AB453" s="9"/>
      <c r="AC453" s="9"/>
      <c r="AD453" s="9"/>
    </row>
    <row r="454" ht="15.75" customHeight="1">
      <c r="A454" s="9"/>
      <c r="B454" s="9"/>
      <c r="C454" s="9"/>
      <c r="D454" s="9"/>
      <c r="E454" s="223"/>
      <c r="F454" s="9"/>
      <c r="G454" s="9"/>
      <c r="H454" s="9"/>
      <c r="I454" s="9"/>
      <c r="J454" s="9"/>
      <c r="K454" s="9"/>
      <c r="L454" s="9"/>
      <c r="M454" s="9"/>
      <c r="N454" s="9"/>
      <c r="O454" s="9"/>
      <c r="P454" s="9"/>
      <c r="Q454" s="9"/>
      <c r="R454" s="9"/>
      <c r="S454" s="9"/>
      <c r="T454" s="9"/>
      <c r="U454" s="9"/>
      <c r="V454" s="9"/>
      <c r="W454" s="9"/>
      <c r="X454" s="223"/>
      <c r="Y454" s="9"/>
      <c r="Z454" s="204"/>
      <c r="AA454" s="9"/>
      <c r="AB454" s="9"/>
      <c r="AC454" s="9"/>
      <c r="AD454" s="9"/>
    </row>
    <row r="455" ht="15.75" customHeight="1">
      <c r="A455" s="9"/>
      <c r="B455" s="9"/>
      <c r="C455" s="9"/>
      <c r="D455" s="9"/>
      <c r="E455" s="223"/>
      <c r="F455" s="9"/>
      <c r="G455" s="9"/>
      <c r="H455" s="9"/>
      <c r="I455" s="9"/>
      <c r="J455" s="9"/>
      <c r="K455" s="9"/>
      <c r="L455" s="9"/>
      <c r="M455" s="9"/>
      <c r="N455" s="9"/>
      <c r="O455" s="9"/>
      <c r="P455" s="9"/>
      <c r="Q455" s="9"/>
      <c r="R455" s="9"/>
      <c r="S455" s="9"/>
      <c r="T455" s="9"/>
      <c r="U455" s="9"/>
      <c r="V455" s="9"/>
      <c r="W455" s="9"/>
      <c r="X455" s="223"/>
      <c r="Y455" s="9"/>
      <c r="Z455" s="204"/>
      <c r="AA455" s="9"/>
      <c r="AB455" s="9"/>
      <c r="AC455" s="9"/>
      <c r="AD455" s="9"/>
    </row>
    <row r="456" ht="15.75" customHeight="1">
      <c r="A456" s="9"/>
      <c r="B456" s="9"/>
      <c r="C456" s="9"/>
      <c r="D456" s="9"/>
      <c r="E456" s="223"/>
      <c r="F456" s="9"/>
      <c r="G456" s="9"/>
      <c r="H456" s="9"/>
      <c r="I456" s="9"/>
      <c r="J456" s="9"/>
      <c r="K456" s="9"/>
      <c r="L456" s="9"/>
      <c r="M456" s="9"/>
      <c r="N456" s="9"/>
      <c r="O456" s="9"/>
      <c r="P456" s="9"/>
      <c r="Q456" s="9"/>
      <c r="R456" s="9"/>
      <c r="S456" s="9"/>
      <c r="T456" s="9"/>
      <c r="U456" s="9"/>
      <c r="V456" s="9"/>
      <c r="W456" s="9"/>
      <c r="X456" s="223"/>
      <c r="Y456" s="9"/>
      <c r="Z456" s="204"/>
      <c r="AA456" s="9"/>
      <c r="AB456" s="9"/>
      <c r="AC456" s="9"/>
      <c r="AD456" s="9"/>
    </row>
    <row r="457" ht="15.75" customHeight="1">
      <c r="A457" s="9"/>
      <c r="B457" s="9"/>
      <c r="C457" s="9"/>
      <c r="D457" s="9"/>
      <c r="E457" s="223"/>
      <c r="F457" s="9"/>
      <c r="G457" s="9"/>
      <c r="H457" s="9"/>
      <c r="I457" s="9"/>
      <c r="J457" s="9"/>
      <c r="K457" s="9"/>
      <c r="L457" s="9"/>
      <c r="M457" s="9"/>
      <c r="N457" s="9"/>
      <c r="O457" s="9"/>
      <c r="P457" s="9"/>
      <c r="Q457" s="9"/>
      <c r="R457" s="9"/>
      <c r="S457" s="9"/>
      <c r="T457" s="9"/>
      <c r="U457" s="9"/>
      <c r="V457" s="9"/>
      <c r="W457" s="9"/>
      <c r="X457" s="223"/>
      <c r="Y457" s="9"/>
      <c r="Z457" s="204"/>
      <c r="AA457" s="9"/>
      <c r="AB457" s="9"/>
      <c r="AC457" s="9"/>
      <c r="AD457" s="9"/>
    </row>
    <row r="458" ht="15.75" customHeight="1">
      <c r="A458" s="9"/>
      <c r="B458" s="9"/>
      <c r="C458" s="9"/>
      <c r="D458" s="9"/>
      <c r="E458" s="223"/>
      <c r="F458" s="9"/>
      <c r="G458" s="9"/>
      <c r="H458" s="9"/>
      <c r="I458" s="9"/>
      <c r="J458" s="9"/>
      <c r="K458" s="9"/>
      <c r="L458" s="9"/>
      <c r="M458" s="9"/>
      <c r="N458" s="9"/>
      <c r="O458" s="9"/>
      <c r="P458" s="9"/>
      <c r="Q458" s="9"/>
      <c r="R458" s="9"/>
      <c r="S458" s="9"/>
      <c r="T458" s="9"/>
      <c r="U458" s="9"/>
      <c r="V458" s="9"/>
      <c r="W458" s="9"/>
      <c r="X458" s="223"/>
      <c r="Y458" s="9"/>
      <c r="Z458" s="204"/>
      <c r="AA458" s="9"/>
      <c r="AB458" s="9"/>
      <c r="AC458" s="9"/>
      <c r="AD458" s="9"/>
    </row>
    <row r="459" ht="15.75" customHeight="1">
      <c r="A459" s="9"/>
      <c r="B459" s="9"/>
      <c r="C459" s="9"/>
      <c r="D459" s="9"/>
      <c r="E459" s="223"/>
      <c r="F459" s="9"/>
      <c r="G459" s="9"/>
      <c r="H459" s="9"/>
      <c r="I459" s="9"/>
      <c r="J459" s="9"/>
      <c r="K459" s="9"/>
      <c r="L459" s="9"/>
      <c r="M459" s="9"/>
      <c r="N459" s="9"/>
      <c r="O459" s="9"/>
      <c r="P459" s="9"/>
      <c r="Q459" s="9"/>
      <c r="R459" s="9"/>
      <c r="S459" s="9"/>
      <c r="T459" s="9"/>
      <c r="U459" s="9"/>
      <c r="V459" s="9"/>
      <c r="W459" s="9"/>
      <c r="X459" s="223"/>
      <c r="Y459" s="9"/>
      <c r="Z459" s="204"/>
      <c r="AA459" s="9"/>
      <c r="AB459" s="9"/>
      <c r="AC459" s="9"/>
      <c r="AD459" s="9"/>
    </row>
    <row r="460" ht="15.75" customHeight="1">
      <c r="A460" s="9"/>
      <c r="B460" s="9"/>
      <c r="C460" s="9"/>
      <c r="D460" s="9"/>
      <c r="E460" s="223"/>
      <c r="F460" s="9"/>
      <c r="G460" s="9"/>
      <c r="H460" s="9"/>
      <c r="I460" s="9"/>
      <c r="J460" s="9"/>
      <c r="K460" s="9"/>
      <c r="L460" s="9"/>
      <c r="M460" s="9"/>
      <c r="N460" s="9"/>
      <c r="O460" s="9"/>
      <c r="P460" s="9"/>
      <c r="Q460" s="9"/>
      <c r="R460" s="9"/>
      <c r="S460" s="9"/>
      <c r="T460" s="9"/>
      <c r="U460" s="9"/>
      <c r="V460" s="9"/>
      <c r="W460" s="9"/>
      <c r="X460" s="223"/>
      <c r="Y460" s="9"/>
      <c r="Z460" s="204"/>
      <c r="AA460" s="9"/>
      <c r="AB460" s="9"/>
      <c r="AC460" s="9"/>
      <c r="AD460" s="9"/>
    </row>
    <row r="461" ht="15.75" customHeight="1">
      <c r="A461" s="9"/>
      <c r="B461" s="9"/>
      <c r="C461" s="9"/>
      <c r="D461" s="9"/>
      <c r="E461" s="223"/>
      <c r="F461" s="9"/>
      <c r="G461" s="9"/>
      <c r="H461" s="9"/>
      <c r="I461" s="9"/>
      <c r="J461" s="9"/>
      <c r="K461" s="9"/>
      <c r="L461" s="9"/>
      <c r="M461" s="9"/>
      <c r="N461" s="9"/>
      <c r="O461" s="9"/>
      <c r="P461" s="9"/>
      <c r="Q461" s="9"/>
      <c r="R461" s="9"/>
      <c r="S461" s="9"/>
      <c r="T461" s="9"/>
      <c r="U461" s="9"/>
      <c r="V461" s="9"/>
      <c r="W461" s="9"/>
      <c r="X461" s="223"/>
      <c r="Y461" s="9"/>
      <c r="Z461" s="204"/>
      <c r="AA461" s="9"/>
      <c r="AB461" s="9"/>
      <c r="AC461" s="9"/>
      <c r="AD461" s="9"/>
    </row>
    <row r="462" ht="15.75" customHeight="1">
      <c r="A462" s="9"/>
      <c r="B462" s="9"/>
      <c r="C462" s="9"/>
      <c r="D462" s="9"/>
      <c r="E462" s="223"/>
      <c r="F462" s="9"/>
      <c r="G462" s="9"/>
      <c r="H462" s="9"/>
      <c r="I462" s="9"/>
      <c r="J462" s="9"/>
      <c r="K462" s="9"/>
      <c r="L462" s="9"/>
      <c r="M462" s="9"/>
      <c r="N462" s="9"/>
      <c r="O462" s="9"/>
      <c r="P462" s="9"/>
      <c r="Q462" s="9"/>
      <c r="R462" s="9"/>
      <c r="S462" s="9"/>
      <c r="T462" s="9"/>
      <c r="U462" s="9"/>
      <c r="V462" s="9"/>
      <c r="W462" s="9"/>
      <c r="X462" s="223"/>
      <c r="Y462" s="9"/>
      <c r="Z462" s="204"/>
      <c r="AA462" s="9"/>
      <c r="AB462" s="9"/>
      <c r="AC462" s="9"/>
      <c r="AD462" s="9"/>
    </row>
    <row r="463" ht="15.75" customHeight="1">
      <c r="A463" s="9"/>
      <c r="B463" s="9"/>
      <c r="C463" s="9"/>
      <c r="D463" s="9"/>
      <c r="E463" s="223"/>
      <c r="F463" s="9"/>
      <c r="G463" s="9"/>
      <c r="H463" s="9"/>
      <c r="I463" s="9"/>
      <c r="J463" s="9"/>
      <c r="K463" s="9"/>
      <c r="L463" s="9"/>
      <c r="M463" s="9"/>
      <c r="N463" s="9"/>
      <c r="O463" s="9"/>
      <c r="P463" s="9"/>
      <c r="Q463" s="9"/>
      <c r="R463" s="9"/>
      <c r="S463" s="9"/>
      <c r="T463" s="9"/>
      <c r="U463" s="9"/>
      <c r="V463" s="9"/>
      <c r="W463" s="9"/>
      <c r="X463" s="223"/>
      <c r="Y463" s="9"/>
      <c r="Z463" s="204"/>
      <c r="AA463" s="9"/>
      <c r="AB463" s="9"/>
      <c r="AC463" s="9"/>
      <c r="AD463" s="9"/>
    </row>
    <row r="464" ht="15.75" customHeight="1">
      <c r="A464" s="9"/>
      <c r="B464" s="9"/>
      <c r="C464" s="9"/>
      <c r="D464" s="9"/>
      <c r="E464" s="223"/>
      <c r="F464" s="9"/>
      <c r="G464" s="9"/>
      <c r="H464" s="9"/>
      <c r="I464" s="9"/>
      <c r="J464" s="9"/>
      <c r="K464" s="9"/>
      <c r="L464" s="9"/>
      <c r="M464" s="9"/>
      <c r="N464" s="9"/>
      <c r="O464" s="9"/>
      <c r="P464" s="9"/>
      <c r="Q464" s="9"/>
      <c r="R464" s="9"/>
      <c r="S464" s="9"/>
      <c r="T464" s="9"/>
      <c r="U464" s="9"/>
      <c r="V464" s="9"/>
      <c r="W464" s="9"/>
      <c r="X464" s="223"/>
      <c r="Y464" s="9"/>
      <c r="Z464" s="204"/>
      <c r="AA464" s="9"/>
      <c r="AB464" s="9"/>
      <c r="AC464" s="9"/>
      <c r="AD464" s="9"/>
    </row>
    <row r="465" ht="15.75" customHeight="1">
      <c r="A465" s="9"/>
      <c r="B465" s="9"/>
      <c r="C465" s="9"/>
      <c r="D465" s="9"/>
      <c r="E465" s="223"/>
      <c r="F465" s="9"/>
      <c r="G465" s="9"/>
      <c r="H465" s="9"/>
      <c r="I465" s="9"/>
      <c r="J465" s="9"/>
      <c r="K465" s="9"/>
      <c r="L465" s="9"/>
      <c r="M465" s="9"/>
      <c r="N465" s="9"/>
      <c r="O465" s="9"/>
      <c r="P465" s="9"/>
      <c r="Q465" s="9"/>
      <c r="R465" s="9"/>
      <c r="S465" s="9"/>
      <c r="T465" s="9"/>
      <c r="U465" s="9"/>
      <c r="V465" s="9"/>
      <c r="W465" s="9"/>
      <c r="X465" s="223"/>
      <c r="Y465" s="9"/>
      <c r="Z465" s="204"/>
      <c r="AA465" s="9"/>
      <c r="AB465" s="9"/>
      <c r="AC465" s="9"/>
      <c r="AD465" s="9"/>
    </row>
    <row r="466" ht="15.75" customHeight="1">
      <c r="A466" s="9"/>
      <c r="B466" s="9"/>
      <c r="C466" s="9"/>
      <c r="D466" s="9"/>
      <c r="E466" s="223"/>
      <c r="F466" s="9"/>
      <c r="G466" s="9"/>
      <c r="H466" s="9"/>
      <c r="I466" s="9"/>
      <c r="J466" s="9"/>
      <c r="K466" s="9"/>
      <c r="L466" s="9"/>
      <c r="M466" s="9"/>
      <c r="N466" s="9"/>
      <c r="O466" s="9"/>
      <c r="P466" s="9"/>
      <c r="Q466" s="9"/>
      <c r="R466" s="9"/>
      <c r="S466" s="9"/>
      <c r="T466" s="9"/>
      <c r="U466" s="9"/>
      <c r="V466" s="9"/>
      <c r="W466" s="9"/>
      <c r="X466" s="223"/>
      <c r="Y466" s="9"/>
      <c r="Z466" s="204"/>
      <c r="AA466" s="9"/>
      <c r="AB466" s="9"/>
      <c r="AC466" s="9"/>
      <c r="AD466" s="9"/>
    </row>
    <row r="467" ht="15.75" customHeight="1">
      <c r="A467" s="9"/>
      <c r="B467" s="9"/>
      <c r="C467" s="9"/>
      <c r="D467" s="9"/>
      <c r="E467" s="223"/>
      <c r="F467" s="9"/>
      <c r="G467" s="9"/>
      <c r="H467" s="9"/>
      <c r="I467" s="9"/>
      <c r="J467" s="9"/>
      <c r="K467" s="9"/>
      <c r="L467" s="9"/>
      <c r="M467" s="9"/>
      <c r="N467" s="9"/>
      <c r="O467" s="9"/>
      <c r="P467" s="9"/>
      <c r="Q467" s="9"/>
      <c r="R467" s="9"/>
      <c r="S467" s="9"/>
      <c r="T467" s="9"/>
      <c r="U467" s="9"/>
      <c r="V467" s="9"/>
      <c r="W467" s="9"/>
      <c r="X467" s="223"/>
      <c r="Y467" s="9"/>
      <c r="Z467" s="204"/>
      <c r="AA467" s="9"/>
      <c r="AB467" s="9"/>
      <c r="AC467" s="9"/>
      <c r="AD467" s="9"/>
    </row>
    <row r="468" ht="15.75" customHeight="1">
      <c r="A468" s="9"/>
      <c r="B468" s="9"/>
      <c r="C468" s="9"/>
      <c r="D468" s="9"/>
      <c r="E468" s="223"/>
      <c r="F468" s="9"/>
      <c r="G468" s="9"/>
      <c r="H468" s="9"/>
      <c r="I468" s="9"/>
      <c r="J468" s="9"/>
      <c r="K468" s="9"/>
      <c r="L468" s="9"/>
      <c r="M468" s="9"/>
      <c r="N468" s="9"/>
      <c r="O468" s="9"/>
      <c r="P468" s="9"/>
      <c r="Q468" s="9"/>
      <c r="R468" s="9"/>
      <c r="S468" s="9"/>
      <c r="T468" s="9"/>
      <c r="U468" s="9"/>
      <c r="V468" s="9"/>
      <c r="W468" s="9"/>
      <c r="X468" s="223"/>
      <c r="Y468" s="9"/>
      <c r="Z468" s="204"/>
      <c r="AA468" s="9"/>
      <c r="AB468" s="9"/>
      <c r="AC468" s="9"/>
      <c r="AD468" s="9"/>
    </row>
    <row r="469" ht="15.75" customHeight="1">
      <c r="A469" s="9"/>
      <c r="B469" s="9"/>
      <c r="C469" s="9"/>
      <c r="D469" s="9"/>
      <c r="E469" s="223"/>
      <c r="F469" s="9"/>
      <c r="G469" s="9"/>
      <c r="H469" s="9"/>
      <c r="I469" s="9"/>
      <c r="J469" s="9"/>
      <c r="K469" s="9"/>
      <c r="L469" s="9"/>
      <c r="M469" s="9"/>
      <c r="N469" s="9"/>
      <c r="O469" s="9"/>
      <c r="P469" s="9"/>
      <c r="Q469" s="9"/>
      <c r="R469" s="9"/>
      <c r="S469" s="9"/>
      <c r="T469" s="9"/>
      <c r="U469" s="9"/>
      <c r="V469" s="9"/>
      <c r="W469" s="9"/>
      <c r="X469" s="223"/>
      <c r="Y469" s="9"/>
      <c r="Z469" s="204"/>
      <c r="AA469" s="9"/>
      <c r="AB469" s="9"/>
      <c r="AC469" s="9"/>
      <c r="AD469" s="9"/>
    </row>
    <row r="470" ht="15.75" customHeight="1">
      <c r="A470" s="9"/>
      <c r="B470" s="9"/>
      <c r="C470" s="9"/>
      <c r="D470" s="9"/>
      <c r="E470" s="223"/>
      <c r="F470" s="9"/>
      <c r="G470" s="9"/>
      <c r="H470" s="9"/>
      <c r="I470" s="9"/>
      <c r="J470" s="9"/>
      <c r="K470" s="9"/>
      <c r="L470" s="9"/>
      <c r="M470" s="9"/>
      <c r="N470" s="9"/>
      <c r="O470" s="9"/>
      <c r="P470" s="9"/>
      <c r="Q470" s="9"/>
      <c r="R470" s="9"/>
      <c r="S470" s="9"/>
      <c r="T470" s="9"/>
      <c r="U470" s="9"/>
      <c r="V470" s="9"/>
      <c r="W470" s="9"/>
      <c r="X470" s="223"/>
      <c r="Y470" s="9"/>
      <c r="Z470" s="204"/>
      <c r="AA470" s="9"/>
      <c r="AB470" s="9"/>
      <c r="AC470" s="9"/>
      <c r="AD470" s="9"/>
    </row>
    <row r="471" ht="15.75" customHeight="1">
      <c r="A471" s="9"/>
      <c r="B471" s="9"/>
      <c r="C471" s="9"/>
      <c r="D471" s="9"/>
      <c r="E471" s="223"/>
      <c r="F471" s="9"/>
      <c r="G471" s="9"/>
      <c r="H471" s="9"/>
      <c r="I471" s="9"/>
      <c r="J471" s="9"/>
      <c r="K471" s="9"/>
      <c r="L471" s="9"/>
      <c r="M471" s="9"/>
      <c r="N471" s="9"/>
      <c r="O471" s="9"/>
      <c r="P471" s="9"/>
      <c r="Q471" s="9"/>
      <c r="R471" s="9"/>
      <c r="S471" s="9"/>
      <c r="T471" s="9"/>
      <c r="U471" s="9"/>
      <c r="V471" s="9"/>
      <c r="W471" s="9"/>
      <c r="X471" s="223"/>
      <c r="Y471" s="9"/>
      <c r="Z471" s="204"/>
      <c r="AA471" s="9"/>
      <c r="AB471" s="9"/>
      <c r="AC471" s="9"/>
      <c r="AD471" s="9"/>
    </row>
    <row r="472" ht="15.75" customHeight="1">
      <c r="A472" s="9"/>
      <c r="B472" s="9"/>
      <c r="C472" s="9"/>
      <c r="D472" s="9"/>
      <c r="E472" s="223"/>
      <c r="F472" s="9"/>
      <c r="G472" s="9"/>
      <c r="H472" s="9"/>
      <c r="I472" s="9"/>
      <c r="J472" s="9"/>
      <c r="K472" s="9"/>
      <c r="L472" s="9"/>
      <c r="M472" s="9"/>
      <c r="N472" s="9"/>
      <c r="O472" s="9"/>
      <c r="P472" s="9"/>
      <c r="Q472" s="9"/>
      <c r="R472" s="9"/>
      <c r="S472" s="9"/>
      <c r="T472" s="9"/>
      <c r="U472" s="9"/>
      <c r="V472" s="9"/>
      <c r="W472" s="9"/>
      <c r="X472" s="223"/>
      <c r="Y472" s="9"/>
      <c r="Z472" s="204"/>
      <c r="AA472" s="9"/>
      <c r="AB472" s="9"/>
      <c r="AC472" s="9"/>
      <c r="AD472" s="9"/>
    </row>
    <row r="473" ht="15.75" customHeight="1">
      <c r="A473" s="9"/>
      <c r="B473" s="9"/>
      <c r="C473" s="9"/>
      <c r="D473" s="9"/>
      <c r="E473" s="223"/>
      <c r="F473" s="9"/>
      <c r="G473" s="9"/>
      <c r="H473" s="9"/>
      <c r="I473" s="9"/>
      <c r="J473" s="9"/>
      <c r="K473" s="9"/>
      <c r="L473" s="9"/>
      <c r="M473" s="9"/>
      <c r="N473" s="9"/>
      <c r="O473" s="9"/>
      <c r="P473" s="9"/>
      <c r="Q473" s="9"/>
      <c r="R473" s="9"/>
      <c r="S473" s="9"/>
      <c r="T473" s="9"/>
      <c r="U473" s="9"/>
      <c r="V473" s="9"/>
      <c r="W473" s="9"/>
      <c r="X473" s="223"/>
      <c r="Y473" s="9"/>
      <c r="Z473" s="204"/>
      <c r="AA473" s="9"/>
      <c r="AB473" s="9"/>
      <c r="AC473" s="9"/>
      <c r="AD473" s="9"/>
    </row>
    <row r="474" ht="15.75" customHeight="1">
      <c r="A474" s="9"/>
      <c r="B474" s="9"/>
      <c r="C474" s="9"/>
      <c r="D474" s="9"/>
      <c r="E474" s="223"/>
      <c r="F474" s="9"/>
      <c r="G474" s="9"/>
      <c r="H474" s="9"/>
      <c r="I474" s="9"/>
      <c r="J474" s="9"/>
      <c r="K474" s="9"/>
      <c r="L474" s="9"/>
      <c r="M474" s="9"/>
      <c r="N474" s="9"/>
      <c r="O474" s="9"/>
      <c r="P474" s="9"/>
      <c r="Q474" s="9"/>
      <c r="R474" s="9"/>
      <c r="S474" s="9"/>
      <c r="T474" s="9"/>
      <c r="U474" s="9"/>
      <c r="V474" s="9"/>
      <c r="W474" s="9"/>
      <c r="X474" s="223"/>
      <c r="Y474" s="9"/>
      <c r="Z474" s="204"/>
      <c r="AA474" s="9"/>
      <c r="AB474" s="9"/>
      <c r="AC474" s="9"/>
      <c r="AD474" s="9"/>
    </row>
    <row r="475" ht="15.75" customHeight="1">
      <c r="A475" s="9"/>
      <c r="B475" s="9"/>
      <c r="C475" s="9"/>
      <c r="D475" s="9"/>
      <c r="E475" s="223"/>
      <c r="F475" s="9"/>
      <c r="G475" s="9"/>
      <c r="H475" s="9"/>
      <c r="I475" s="9"/>
      <c r="J475" s="9"/>
      <c r="K475" s="9"/>
      <c r="L475" s="9"/>
      <c r="M475" s="9"/>
      <c r="N475" s="9"/>
      <c r="O475" s="9"/>
      <c r="P475" s="9"/>
      <c r="Q475" s="9"/>
      <c r="R475" s="9"/>
      <c r="S475" s="9"/>
      <c r="T475" s="9"/>
      <c r="U475" s="9"/>
      <c r="V475" s="9"/>
      <c r="W475" s="9"/>
      <c r="X475" s="223"/>
      <c r="Y475" s="9"/>
      <c r="Z475" s="204"/>
      <c r="AA475" s="9"/>
      <c r="AB475" s="9"/>
      <c r="AC475" s="9"/>
      <c r="AD475" s="9"/>
    </row>
    <row r="476" ht="15.75" customHeight="1">
      <c r="A476" s="9"/>
      <c r="B476" s="9"/>
      <c r="C476" s="9"/>
      <c r="D476" s="9"/>
      <c r="E476" s="223"/>
      <c r="F476" s="9"/>
      <c r="G476" s="9"/>
      <c r="H476" s="9"/>
      <c r="I476" s="9"/>
      <c r="J476" s="9"/>
      <c r="K476" s="9"/>
      <c r="L476" s="9"/>
      <c r="M476" s="9"/>
      <c r="N476" s="9"/>
      <c r="O476" s="9"/>
      <c r="P476" s="9"/>
      <c r="Q476" s="9"/>
      <c r="R476" s="9"/>
      <c r="S476" s="9"/>
      <c r="T476" s="9"/>
      <c r="U476" s="9"/>
      <c r="V476" s="9"/>
      <c r="W476" s="9"/>
      <c r="X476" s="223"/>
      <c r="Y476" s="9"/>
      <c r="Z476" s="204"/>
      <c r="AA476" s="9"/>
      <c r="AB476" s="9"/>
      <c r="AC476" s="9"/>
      <c r="AD476" s="9"/>
    </row>
    <row r="477" ht="15.75" customHeight="1">
      <c r="A477" s="9"/>
      <c r="B477" s="9"/>
      <c r="C477" s="9"/>
      <c r="D477" s="9"/>
      <c r="E477" s="223"/>
      <c r="F477" s="9"/>
      <c r="G477" s="9"/>
      <c r="H477" s="9"/>
      <c r="I477" s="9"/>
      <c r="J477" s="9"/>
      <c r="K477" s="9"/>
      <c r="L477" s="9"/>
      <c r="M477" s="9"/>
      <c r="N477" s="9"/>
      <c r="O477" s="9"/>
      <c r="P477" s="9"/>
      <c r="Q477" s="9"/>
      <c r="R477" s="9"/>
      <c r="S477" s="9"/>
      <c r="T477" s="9"/>
      <c r="U477" s="9"/>
      <c r="V477" s="9"/>
      <c r="W477" s="9"/>
      <c r="X477" s="223"/>
      <c r="Y477" s="9"/>
      <c r="Z477" s="204"/>
      <c r="AA477" s="9"/>
      <c r="AB477" s="9"/>
      <c r="AC477" s="9"/>
      <c r="AD477" s="9"/>
    </row>
    <row r="478" ht="15.75" customHeight="1">
      <c r="A478" s="9"/>
      <c r="B478" s="9"/>
      <c r="C478" s="9"/>
      <c r="D478" s="9"/>
      <c r="E478" s="223"/>
      <c r="F478" s="9"/>
      <c r="G478" s="9"/>
      <c r="H478" s="9"/>
      <c r="I478" s="9"/>
      <c r="J478" s="9"/>
      <c r="K478" s="9"/>
      <c r="L478" s="9"/>
      <c r="M478" s="9"/>
      <c r="N478" s="9"/>
      <c r="O478" s="9"/>
      <c r="P478" s="9"/>
      <c r="Q478" s="9"/>
      <c r="R478" s="9"/>
      <c r="S478" s="9"/>
      <c r="T478" s="9"/>
      <c r="U478" s="9"/>
      <c r="V478" s="9"/>
      <c r="W478" s="9"/>
      <c r="X478" s="223"/>
      <c r="Y478" s="9"/>
      <c r="Z478" s="204"/>
      <c r="AA478" s="9"/>
      <c r="AB478" s="9"/>
      <c r="AC478" s="9"/>
      <c r="AD478" s="9"/>
    </row>
    <row r="479" ht="15.75" customHeight="1">
      <c r="A479" s="9"/>
      <c r="B479" s="9"/>
      <c r="C479" s="9"/>
      <c r="D479" s="9"/>
      <c r="E479" s="223"/>
      <c r="F479" s="9"/>
      <c r="G479" s="9"/>
      <c r="H479" s="9"/>
      <c r="I479" s="9"/>
      <c r="J479" s="9"/>
      <c r="K479" s="9"/>
      <c r="L479" s="9"/>
      <c r="M479" s="9"/>
      <c r="N479" s="9"/>
      <c r="O479" s="9"/>
      <c r="P479" s="9"/>
      <c r="Q479" s="9"/>
      <c r="R479" s="9"/>
      <c r="S479" s="9"/>
      <c r="T479" s="9"/>
      <c r="U479" s="9"/>
      <c r="V479" s="9"/>
      <c r="W479" s="9"/>
      <c r="X479" s="223"/>
      <c r="Y479" s="9"/>
      <c r="Z479" s="204"/>
      <c r="AA479" s="9"/>
      <c r="AB479" s="9"/>
      <c r="AC479" s="9"/>
      <c r="AD479" s="9"/>
    </row>
    <row r="480" ht="15.75" customHeight="1">
      <c r="A480" s="9"/>
      <c r="B480" s="9"/>
      <c r="C480" s="9"/>
      <c r="D480" s="9"/>
      <c r="E480" s="223"/>
      <c r="F480" s="9"/>
      <c r="G480" s="9"/>
      <c r="H480" s="9"/>
      <c r="I480" s="9"/>
      <c r="J480" s="9"/>
      <c r="K480" s="9"/>
      <c r="L480" s="9"/>
      <c r="M480" s="9"/>
      <c r="N480" s="9"/>
      <c r="O480" s="9"/>
      <c r="P480" s="9"/>
      <c r="Q480" s="9"/>
      <c r="R480" s="9"/>
      <c r="S480" s="9"/>
      <c r="T480" s="9"/>
      <c r="U480" s="9"/>
      <c r="V480" s="9"/>
      <c r="W480" s="9"/>
      <c r="X480" s="223"/>
      <c r="Y480" s="9"/>
      <c r="Z480" s="204"/>
      <c r="AA480" s="9"/>
      <c r="AB480" s="9"/>
      <c r="AC480" s="9"/>
      <c r="AD480" s="9"/>
    </row>
    <row r="481" ht="15.75" customHeight="1">
      <c r="A481" s="9"/>
      <c r="B481" s="9"/>
      <c r="C481" s="9"/>
      <c r="D481" s="9"/>
      <c r="E481" s="223"/>
      <c r="F481" s="9"/>
      <c r="G481" s="9"/>
      <c r="H481" s="9"/>
      <c r="I481" s="9"/>
      <c r="J481" s="9"/>
      <c r="K481" s="9"/>
      <c r="L481" s="9"/>
      <c r="M481" s="9"/>
      <c r="N481" s="9"/>
      <c r="O481" s="9"/>
      <c r="P481" s="9"/>
      <c r="Q481" s="9"/>
      <c r="R481" s="9"/>
      <c r="S481" s="9"/>
      <c r="T481" s="9"/>
      <c r="U481" s="9"/>
      <c r="V481" s="9"/>
      <c r="W481" s="9"/>
      <c r="X481" s="223"/>
      <c r="Y481" s="9"/>
      <c r="Z481" s="204"/>
      <c r="AA481" s="9"/>
      <c r="AB481" s="9"/>
      <c r="AC481" s="9"/>
      <c r="AD481" s="9"/>
    </row>
    <row r="482" ht="15.75" customHeight="1">
      <c r="A482" s="9"/>
      <c r="B482" s="9"/>
      <c r="C482" s="9"/>
      <c r="D482" s="9"/>
      <c r="E482" s="223"/>
      <c r="F482" s="9"/>
      <c r="G482" s="9"/>
      <c r="H482" s="9"/>
      <c r="I482" s="9"/>
      <c r="J482" s="9"/>
      <c r="K482" s="9"/>
      <c r="L482" s="9"/>
      <c r="M482" s="9"/>
      <c r="N482" s="9"/>
      <c r="O482" s="9"/>
      <c r="P482" s="9"/>
      <c r="Q482" s="9"/>
      <c r="R482" s="9"/>
      <c r="S482" s="9"/>
      <c r="T482" s="9"/>
      <c r="U482" s="9"/>
      <c r="V482" s="9"/>
      <c r="W482" s="9"/>
      <c r="X482" s="223"/>
      <c r="Y482" s="9"/>
      <c r="Z482" s="204"/>
      <c r="AA482" s="9"/>
      <c r="AB482" s="9"/>
      <c r="AC482" s="9"/>
      <c r="AD482" s="9"/>
    </row>
    <row r="483" ht="15.75" customHeight="1">
      <c r="A483" s="9"/>
      <c r="B483" s="9"/>
      <c r="C483" s="9"/>
      <c r="D483" s="9"/>
      <c r="E483" s="223"/>
      <c r="F483" s="9"/>
      <c r="G483" s="9"/>
      <c r="H483" s="9"/>
      <c r="I483" s="9"/>
      <c r="J483" s="9"/>
      <c r="K483" s="9"/>
      <c r="L483" s="9"/>
      <c r="M483" s="9"/>
      <c r="N483" s="9"/>
      <c r="O483" s="9"/>
      <c r="P483" s="9"/>
      <c r="Q483" s="9"/>
      <c r="R483" s="9"/>
      <c r="S483" s="9"/>
      <c r="T483" s="9"/>
      <c r="U483" s="9"/>
      <c r="V483" s="9"/>
      <c r="W483" s="9"/>
      <c r="X483" s="223"/>
      <c r="Y483" s="9"/>
      <c r="Z483" s="204"/>
      <c r="AA483" s="9"/>
      <c r="AB483" s="9"/>
      <c r="AC483" s="9"/>
      <c r="AD483" s="9"/>
    </row>
    <row r="484" ht="15.75" customHeight="1">
      <c r="A484" s="9"/>
      <c r="B484" s="9"/>
      <c r="C484" s="9"/>
      <c r="D484" s="9"/>
      <c r="E484" s="223"/>
      <c r="F484" s="9"/>
      <c r="G484" s="9"/>
      <c r="H484" s="9"/>
      <c r="I484" s="9"/>
      <c r="J484" s="9"/>
      <c r="K484" s="9"/>
      <c r="L484" s="9"/>
      <c r="M484" s="9"/>
      <c r="N484" s="9"/>
      <c r="O484" s="9"/>
      <c r="P484" s="9"/>
      <c r="Q484" s="9"/>
      <c r="R484" s="9"/>
      <c r="S484" s="9"/>
      <c r="T484" s="9"/>
      <c r="U484" s="9"/>
      <c r="V484" s="9"/>
      <c r="W484" s="9"/>
      <c r="X484" s="223"/>
      <c r="Y484" s="9"/>
      <c r="Z484" s="204"/>
      <c r="AA484" s="9"/>
      <c r="AB484" s="9"/>
      <c r="AC484" s="9"/>
      <c r="AD484" s="9"/>
    </row>
    <row r="485" ht="15.75" customHeight="1">
      <c r="A485" s="9"/>
      <c r="B485" s="9"/>
      <c r="C485" s="9"/>
      <c r="D485" s="9"/>
      <c r="E485" s="223"/>
      <c r="F485" s="9"/>
      <c r="G485" s="9"/>
      <c r="H485" s="9"/>
      <c r="I485" s="9"/>
      <c r="J485" s="9"/>
      <c r="K485" s="9"/>
      <c r="L485" s="9"/>
      <c r="M485" s="9"/>
      <c r="N485" s="9"/>
      <c r="O485" s="9"/>
      <c r="P485" s="9"/>
      <c r="Q485" s="9"/>
      <c r="R485" s="9"/>
      <c r="S485" s="9"/>
      <c r="T485" s="9"/>
      <c r="U485" s="9"/>
      <c r="V485" s="9"/>
      <c r="W485" s="9"/>
      <c r="X485" s="223"/>
      <c r="Y485" s="9"/>
      <c r="Z485" s="204"/>
      <c r="AA485" s="9"/>
      <c r="AB485" s="9"/>
      <c r="AC485" s="9"/>
      <c r="AD485" s="9"/>
    </row>
    <row r="486" ht="15.75" customHeight="1">
      <c r="A486" s="9"/>
      <c r="B486" s="9"/>
      <c r="C486" s="9"/>
      <c r="D486" s="9"/>
      <c r="E486" s="223"/>
      <c r="F486" s="9"/>
      <c r="G486" s="9"/>
      <c r="H486" s="9"/>
      <c r="I486" s="9"/>
      <c r="J486" s="9"/>
      <c r="K486" s="9"/>
      <c r="L486" s="9"/>
      <c r="M486" s="9"/>
      <c r="N486" s="9"/>
      <c r="O486" s="9"/>
      <c r="P486" s="9"/>
      <c r="Q486" s="9"/>
      <c r="R486" s="9"/>
      <c r="S486" s="9"/>
      <c r="T486" s="9"/>
      <c r="U486" s="9"/>
      <c r="V486" s="9"/>
      <c r="W486" s="9"/>
      <c r="X486" s="223"/>
      <c r="Y486" s="9"/>
      <c r="Z486" s="204"/>
      <c r="AA486" s="9"/>
      <c r="AB486" s="9"/>
      <c r="AC486" s="9"/>
      <c r="AD486" s="9"/>
    </row>
    <row r="487" ht="15.75" customHeight="1">
      <c r="A487" s="9"/>
      <c r="B487" s="9"/>
      <c r="C487" s="9"/>
      <c r="D487" s="9"/>
      <c r="E487" s="223"/>
      <c r="F487" s="9"/>
      <c r="G487" s="9"/>
      <c r="H487" s="9"/>
      <c r="I487" s="9"/>
      <c r="J487" s="9"/>
      <c r="K487" s="9"/>
      <c r="L487" s="9"/>
      <c r="M487" s="9"/>
      <c r="N487" s="9"/>
      <c r="O487" s="9"/>
      <c r="P487" s="9"/>
      <c r="Q487" s="9"/>
      <c r="R487" s="9"/>
      <c r="S487" s="9"/>
      <c r="T487" s="9"/>
      <c r="U487" s="9"/>
      <c r="V487" s="9"/>
      <c r="W487" s="9"/>
      <c r="X487" s="223"/>
      <c r="Y487" s="9"/>
      <c r="Z487" s="204"/>
      <c r="AA487" s="9"/>
      <c r="AB487" s="9"/>
      <c r="AC487" s="9"/>
      <c r="AD487" s="9"/>
    </row>
    <row r="488" ht="15.75" customHeight="1">
      <c r="A488" s="9"/>
      <c r="B488" s="9"/>
      <c r="C488" s="9"/>
      <c r="D488" s="9"/>
      <c r="E488" s="223"/>
      <c r="F488" s="9"/>
      <c r="G488" s="9"/>
      <c r="H488" s="9"/>
      <c r="I488" s="9"/>
      <c r="J488" s="9"/>
      <c r="K488" s="9"/>
      <c r="L488" s="9"/>
      <c r="M488" s="9"/>
      <c r="N488" s="9"/>
      <c r="O488" s="9"/>
      <c r="P488" s="9"/>
      <c r="Q488" s="9"/>
      <c r="R488" s="9"/>
      <c r="S488" s="9"/>
      <c r="T488" s="9"/>
      <c r="U488" s="9"/>
      <c r="V488" s="9"/>
      <c r="W488" s="9"/>
      <c r="X488" s="223"/>
      <c r="Y488" s="9"/>
      <c r="Z488" s="204"/>
      <c r="AA488" s="9"/>
      <c r="AB488" s="9"/>
      <c r="AC488" s="9"/>
      <c r="AD488" s="9"/>
    </row>
    <row r="489" ht="15.75" customHeight="1">
      <c r="A489" s="9"/>
      <c r="B489" s="9"/>
      <c r="C489" s="9"/>
      <c r="D489" s="9"/>
      <c r="E489" s="223"/>
      <c r="F489" s="9"/>
      <c r="G489" s="9"/>
      <c r="H489" s="9"/>
      <c r="I489" s="9"/>
      <c r="J489" s="9"/>
      <c r="K489" s="9"/>
      <c r="L489" s="9"/>
      <c r="M489" s="9"/>
      <c r="N489" s="9"/>
      <c r="O489" s="9"/>
      <c r="P489" s="9"/>
      <c r="Q489" s="9"/>
      <c r="R489" s="9"/>
      <c r="S489" s="9"/>
      <c r="T489" s="9"/>
      <c r="U489" s="9"/>
      <c r="V489" s="9"/>
      <c r="W489" s="9"/>
      <c r="X489" s="223"/>
      <c r="Y489" s="9"/>
      <c r="Z489" s="204"/>
      <c r="AA489" s="9"/>
      <c r="AB489" s="9"/>
      <c r="AC489" s="9"/>
      <c r="AD489" s="9"/>
    </row>
    <row r="490" ht="15.75" customHeight="1">
      <c r="A490" s="9"/>
      <c r="B490" s="9"/>
      <c r="C490" s="9"/>
      <c r="D490" s="9"/>
      <c r="E490" s="223"/>
      <c r="F490" s="9"/>
      <c r="G490" s="9"/>
      <c r="H490" s="9"/>
      <c r="I490" s="9"/>
      <c r="J490" s="9"/>
      <c r="K490" s="9"/>
      <c r="L490" s="9"/>
      <c r="M490" s="9"/>
      <c r="N490" s="9"/>
      <c r="O490" s="9"/>
      <c r="P490" s="9"/>
      <c r="Q490" s="9"/>
      <c r="R490" s="9"/>
      <c r="S490" s="9"/>
      <c r="T490" s="9"/>
      <c r="U490" s="9"/>
      <c r="V490" s="9"/>
      <c r="W490" s="9"/>
      <c r="X490" s="223"/>
      <c r="Y490" s="9"/>
      <c r="Z490" s="204"/>
      <c r="AA490" s="9"/>
      <c r="AB490" s="9"/>
      <c r="AC490" s="9"/>
      <c r="AD490" s="9"/>
    </row>
    <row r="491" ht="15.75" customHeight="1">
      <c r="A491" s="9"/>
      <c r="B491" s="9"/>
      <c r="C491" s="9"/>
      <c r="D491" s="9"/>
      <c r="E491" s="223"/>
      <c r="F491" s="9"/>
      <c r="G491" s="9"/>
      <c r="H491" s="9"/>
      <c r="I491" s="9"/>
      <c r="J491" s="9"/>
      <c r="K491" s="9"/>
      <c r="L491" s="9"/>
      <c r="M491" s="9"/>
      <c r="N491" s="9"/>
      <c r="O491" s="9"/>
      <c r="P491" s="9"/>
      <c r="Q491" s="9"/>
      <c r="R491" s="9"/>
      <c r="S491" s="9"/>
      <c r="T491" s="9"/>
      <c r="U491" s="9"/>
      <c r="V491" s="9"/>
      <c r="W491" s="9"/>
      <c r="X491" s="223"/>
      <c r="Y491" s="9"/>
      <c r="Z491" s="204"/>
      <c r="AA491" s="9"/>
      <c r="AB491" s="9"/>
      <c r="AC491" s="9"/>
      <c r="AD491" s="9"/>
    </row>
    <row r="492" ht="15.75" customHeight="1">
      <c r="A492" s="9"/>
      <c r="B492" s="9"/>
      <c r="C492" s="9"/>
      <c r="D492" s="9"/>
      <c r="E492" s="223"/>
      <c r="F492" s="9"/>
      <c r="G492" s="9"/>
      <c r="H492" s="9"/>
      <c r="I492" s="9"/>
      <c r="J492" s="9"/>
      <c r="K492" s="9"/>
      <c r="L492" s="9"/>
      <c r="M492" s="9"/>
      <c r="N492" s="9"/>
      <c r="O492" s="9"/>
      <c r="P492" s="9"/>
      <c r="Q492" s="9"/>
      <c r="R492" s="9"/>
      <c r="S492" s="9"/>
      <c r="T492" s="9"/>
      <c r="U492" s="9"/>
      <c r="V492" s="9"/>
      <c r="W492" s="9"/>
      <c r="X492" s="223"/>
      <c r="Y492" s="9"/>
      <c r="Z492" s="204"/>
      <c r="AA492" s="9"/>
      <c r="AB492" s="9"/>
      <c r="AC492" s="9"/>
      <c r="AD492" s="9"/>
    </row>
    <row r="493" ht="15.75" customHeight="1">
      <c r="A493" s="9"/>
      <c r="B493" s="9"/>
      <c r="C493" s="9"/>
      <c r="D493" s="9"/>
      <c r="E493" s="223"/>
      <c r="F493" s="9"/>
      <c r="G493" s="9"/>
      <c r="H493" s="9"/>
      <c r="I493" s="9"/>
      <c r="J493" s="9"/>
      <c r="K493" s="9"/>
      <c r="L493" s="9"/>
      <c r="M493" s="9"/>
      <c r="N493" s="9"/>
      <c r="O493" s="9"/>
      <c r="P493" s="9"/>
      <c r="Q493" s="9"/>
      <c r="R493" s="9"/>
      <c r="S493" s="9"/>
      <c r="T493" s="9"/>
      <c r="U493" s="9"/>
      <c r="V493" s="9"/>
      <c r="W493" s="9"/>
      <c r="X493" s="223"/>
      <c r="Y493" s="9"/>
      <c r="Z493" s="204"/>
      <c r="AA493" s="9"/>
      <c r="AB493" s="9"/>
      <c r="AC493" s="9"/>
      <c r="AD493" s="9"/>
    </row>
    <row r="494" ht="15.75" customHeight="1">
      <c r="A494" s="9"/>
      <c r="B494" s="9"/>
      <c r="C494" s="9"/>
      <c r="D494" s="9"/>
      <c r="E494" s="223"/>
      <c r="F494" s="9"/>
      <c r="G494" s="9"/>
      <c r="H494" s="9"/>
      <c r="I494" s="9"/>
      <c r="J494" s="9"/>
      <c r="K494" s="9"/>
      <c r="L494" s="9"/>
      <c r="M494" s="9"/>
      <c r="N494" s="9"/>
      <c r="O494" s="9"/>
      <c r="P494" s="9"/>
      <c r="Q494" s="9"/>
      <c r="R494" s="9"/>
      <c r="S494" s="9"/>
      <c r="T494" s="9"/>
      <c r="U494" s="9"/>
      <c r="V494" s="9"/>
      <c r="W494" s="9"/>
      <c r="X494" s="223"/>
      <c r="Y494" s="9"/>
      <c r="Z494" s="204"/>
      <c r="AA494" s="9"/>
      <c r="AB494" s="9"/>
      <c r="AC494" s="9"/>
      <c r="AD494" s="9"/>
    </row>
    <row r="495" ht="15.75" customHeight="1">
      <c r="A495" s="9"/>
      <c r="B495" s="9"/>
      <c r="C495" s="9"/>
      <c r="D495" s="9"/>
      <c r="E495" s="223"/>
      <c r="F495" s="9"/>
      <c r="G495" s="9"/>
      <c r="H495" s="9"/>
      <c r="I495" s="9"/>
      <c r="J495" s="9"/>
      <c r="K495" s="9"/>
      <c r="L495" s="9"/>
      <c r="M495" s="9"/>
      <c r="N495" s="9"/>
      <c r="O495" s="9"/>
      <c r="P495" s="9"/>
      <c r="Q495" s="9"/>
      <c r="R495" s="9"/>
      <c r="S495" s="9"/>
      <c r="T495" s="9"/>
      <c r="U495" s="9"/>
      <c r="V495" s="9"/>
      <c r="W495" s="9"/>
      <c r="X495" s="223"/>
      <c r="Y495" s="9"/>
      <c r="Z495" s="204"/>
      <c r="AA495" s="9"/>
      <c r="AB495" s="9"/>
      <c r="AC495" s="9"/>
      <c r="AD495" s="9"/>
    </row>
    <row r="496" ht="15.75" customHeight="1">
      <c r="A496" s="9"/>
      <c r="B496" s="9"/>
      <c r="C496" s="9"/>
      <c r="D496" s="9"/>
      <c r="E496" s="223"/>
      <c r="F496" s="9"/>
      <c r="G496" s="9"/>
      <c r="H496" s="9"/>
      <c r="I496" s="9"/>
      <c r="J496" s="9"/>
      <c r="K496" s="9"/>
      <c r="L496" s="9"/>
      <c r="M496" s="9"/>
      <c r="N496" s="9"/>
      <c r="O496" s="9"/>
      <c r="P496" s="9"/>
      <c r="Q496" s="9"/>
      <c r="R496" s="9"/>
      <c r="S496" s="9"/>
      <c r="T496" s="9"/>
      <c r="U496" s="9"/>
      <c r="V496" s="9"/>
      <c r="W496" s="9"/>
      <c r="X496" s="223"/>
      <c r="Y496" s="9"/>
      <c r="Z496" s="204"/>
      <c r="AA496" s="9"/>
      <c r="AB496" s="9"/>
      <c r="AC496" s="9"/>
      <c r="AD496" s="9"/>
    </row>
    <row r="497" ht="15.75" customHeight="1">
      <c r="A497" s="9"/>
      <c r="B497" s="9"/>
      <c r="C497" s="9"/>
      <c r="D497" s="9"/>
      <c r="E497" s="223"/>
      <c r="F497" s="9"/>
      <c r="G497" s="9"/>
      <c r="H497" s="9"/>
      <c r="I497" s="9"/>
      <c r="J497" s="9"/>
      <c r="K497" s="9"/>
      <c r="L497" s="9"/>
      <c r="M497" s="9"/>
      <c r="N497" s="9"/>
      <c r="O497" s="9"/>
      <c r="P497" s="9"/>
      <c r="Q497" s="9"/>
      <c r="R497" s="9"/>
      <c r="S497" s="9"/>
      <c r="T497" s="9"/>
      <c r="U497" s="9"/>
      <c r="V497" s="9"/>
      <c r="W497" s="9"/>
      <c r="X497" s="223"/>
      <c r="Y497" s="9"/>
      <c r="Z497" s="204"/>
      <c r="AA497" s="9"/>
      <c r="AB497" s="9"/>
      <c r="AC497" s="9"/>
      <c r="AD497" s="9"/>
    </row>
    <row r="498" ht="15.75" customHeight="1">
      <c r="A498" s="9"/>
      <c r="B498" s="9"/>
      <c r="C498" s="9"/>
      <c r="D498" s="9"/>
      <c r="E498" s="223"/>
      <c r="F498" s="9"/>
      <c r="G498" s="9"/>
      <c r="H498" s="9"/>
      <c r="I498" s="9"/>
      <c r="J498" s="9"/>
      <c r="K498" s="9"/>
      <c r="L498" s="9"/>
      <c r="M498" s="9"/>
      <c r="N498" s="9"/>
      <c r="O498" s="9"/>
      <c r="P498" s="9"/>
      <c r="Q498" s="9"/>
      <c r="R498" s="9"/>
      <c r="S498" s="9"/>
      <c r="T498" s="9"/>
      <c r="U498" s="9"/>
      <c r="V498" s="9"/>
      <c r="W498" s="9"/>
      <c r="X498" s="223"/>
      <c r="Y498" s="9"/>
      <c r="Z498" s="204"/>
      <c r="AA498" s="9"/>
      <c r="AB498" s="9"/>
      <c r="AC498" s="9"/>
      <c r="AD498" s="9"/>
    </row>
    <row r="499" ht="15.75" customHeight="1">
      <c r="A499" s="9"/>
      <c r="B499" s="9"/>
      <c r="C499" s="9"/>
      <c r="D499" s="9"/>
      <c r="E499" s="223"/>
      <c r="F499" s="9"/>
      <c r="G499" s="9"/>
      <c r="H499" s="9"/>
      <c r="I499" s="9"/>
      <c r="J499" s="9"/>
      <c r="K499" s="9"/>
      <c r="L499" s="9"/>
      <c r="M499" s="9"/>
      <c r="N499" s="9"/>
      <c r="O499" s="9"/>
      <c r="P499" s="9"/>
      <c r="Q499" s="9"/>
      <c r="R499" s="9"/>
      <c r="S499" s="9"/>
      <c r="T499" s="9"/>
      <c r="U499" s="9"/>
      <c r="V499" s="9"/>
      <c r="W499" s="9"/>
      <c r="X499" s="223"/>
      <c r="Y499" s="9"/>
      <c r="Z499" s="204"/>
      <c r="AA499" s="9"/>
      <c r="AB499" s="9"/>
      <c r="AC499" s="9"/>
      <c r="AD499" s="9"/>
    </row>
    <row r="500" ht="15.75" customHeight="1">
      <c r="A500" s="9"/>
      <c r="B500" s="9"/>
      <c r="C500" s="9"/>
      <c r="D500" s="9"/>
      <c r="E500" s="223"/>
      <c r="F500" s="9"/>
      <c r="G500" s="9"/>
      <c r="H500" s="9"/>
      <c r="I500" s="9"/>
      <c r="J500" s="9"/>
      <c r="K500" s="9"/>
      <c r="L500" s="9"/>
      <c r="M500" s="9"/>
      <c r="N500" s="9"/>
      <c r="O500" s="9"/>
      <c r="P500" s="9"/>
      <c r="Q500" s="9"/>
      <c r="R500" s="9"/>
      <c r="S500" s="9"/>
      <c r="T500" s="9"/>
      <c r="U500" s="9"/>
      <c r="V500" s="9"/>
      <c r="W500" s="9"/>
      <c r="X500" s="223"/>
      <c r="Y500" s="9"/>
      <c r="Z500" s="204"/>
      <c r="AA500" s="9"/>
      <c r="AB500" s="9"/>
      <c r="AC500" s="9"/>
      <c r="AD500" s="9"/>
    </row>
    <row r="501" ht="15.75" customHeight="1">
      <c r="A501" s="9"/>
      <c r="B501" s="9"/>
      <c r="C501" s="9"/>
      <c r="D501" s="9"/>
      <c r="E501" s="223"/>
      <c r="F501" s="9"/>
      <c r="G501" s="9"/>
      <c r="H501" s="9"/>
      <c r="I501" s="9"/>
      <c r="J501" s="9"/>
      <c r="K501" s="9"/>
      <c r="L501" s="9"/>
      <c r="M501" s="9"/>
      <c r="N501" s="9"/>
      <c r="O501" s="9"/>
      <c r="P501" s="9"/>
      <c r="Q501" s="9"/>
      <c r="R501" s="9"/>
      <c r="S501" s="9"/>
      <c r="T501" s="9"/>
      <c r="U501" s="9"/>
      <c r="V501" s="9"/>
      <c r="W501" s="9"/>
      <c r="X501" s="223"/>
      <c r="Y501" s="9"/>
      <c r="Z501" s="204"/>
      <c r="AA501" s="9"/>
      <c r="AB501" s="9"/>
      <c r="AC501" s="9"/>
      <c r="AD501" s="9"/>
    </row>
    <row r="502" ht="15.75" customHeight="1">
      <c r="A502" s="9"/>
      <c r="B502" s="9"/>
      <c r="C502" s="9"/>
      <c r="D502" s="9"/>
      <c r="E502" s="223"/>
      <c r="F502" s="9"/>
      <c r="G502" s="9"/>
      <c r="H502" s="9"/>
      <c r="I502" s="9"/>
      <c r="J502" s="9"/>
      <c r="K502" s="9"/>
      <c r="L502" s="9"/>
      <c r="M502" s="9"/>
      <c r="N502" s="9"/>
      <c r="O502" s="9"/>
      <c r="P502" s="9"/>
      <c r="Q502" s="9"/>
      <c r="R502" s="9"/>
      <c r="S502" s="9"/>
      <c r="T502" s="9"/>
      <c r="U502" s="9"/>
      <c r="V502" s="9"/>
      <c r="W502" s="9"/>
      <c r="X502" s="223"/>
      <c r="Y502" s="9"/>
      <c r="Z502" s="204"/>
      <c r="AA502" s="9"/>
      <c r="AB502" s="9"/>
      <c r="AC502" s="9"/>
      <c r="AD502" s="9"/>
    </row>
    <row r="503" ht="15.75" customHeight="1">
      <c r="A503" s="9"/>
      <c r="B503" s="9"/>
      <c r="C503" s="9"/>
      <c r="D503" s="9"/>
      <c r="E503" s="223"/>
      <c r="F503" s="9"/>
      <c r="G503" s="9"/>
      <c r="H503" s="9"/>
      <c r="I503" s="9"/>
      <c r="J503" s="9"/>
      <c r="K503" s="9"/>
      <c r="L503" s="9"/>
      <c r="M503" s="9"/>
      <c r="N503" s="9"/>
      <c r="O503" s="9"/>
      <c r="P503" s="9"/>
      <c r="Q503" s="9"/>
      <c r="R503" s="9"/>
      <c r="S503" s="9"/>
      <c r="T503" s="9"/>
      <c r="U503" s="9"/>
      <c r="V503" s="9"/>
      <c r="W503" s="9"/>
      <c r="X503" s="223"/>
      <c r="Y503" s="9"/>
      <c r="Z503" s="204"/>
      <c r="AA503" s="9"/>
      <c r="AB503" s="9"/>
      <c r="AC503" s="9"/>
      <c r="AD503" s="9"/>
    </row>
    <row r="504" ht="15.75" customHeight="1">
      <c r="A504" s="9"/>
      <c r="B504" s="9"/>
      <c r="C504" s="9"/>
      <c r="D504" s="9"/>
      <c r="E504" s="223"/>
      <c r="F504" s="9"/>
      <c r="G504" s="9"/>
      <c r="H504" s="9"/>
      <c r="I504" s="9"/>
      <c r="J504" s="9"/>
      <c r="K504" s="9"/>
      <c r="L504" s="9"/>
      <c r="M504" s="9"/>
      <c r="N504" s="9"/>
      <c r="O504" s="9"/>
      <c r="P504" s="9"/>
      <c r="Q504" s="9"/>
      <c r="R504" s="9"/>
      <c r="S504" s="9"/>
      <c r="T504" s="9"/>
      <c r="U504" s="9"/>
      <c r="V504" s="9"/>
      <c r="W504" s="9"/>
      <c r="X504" s="223"/>
      <c r="Y504" s="9"/>
      <c r="Z504" s="204"/>
      <c r="AA504" s="9"/>
      <c r="AB504" s="9"/>
      <c r="AC504" s="9"/>
      <c r="AD504" s="9"/>
    </row>
    <row r="505" ht="15.75" customHeight="1">
      <c r="A505" s="9"/>
      <c r="B505" s="9"/>
      <c r="C505" s="9"/>
      <c r="D505" s="9"/>
      <c r="E505" s="223"/>
      <c r="F505" s="9"/>
      <c r="G505" s="9"/>
      <c r="H505" s="9"/>
      <c r="I505" s="9"/>
      <c r="J505" s="9"/>
      <c r="K505" s="9"/>
      <c r="L505" s="9"/>
      <c r="M505" s="9"/>
      <c r="N505" s="9"/>
      <c r="O505" s="9"/>
      <c r="P505" s="9"/>
      <c r="Q505" s="9"/>
      <c r="R505" s="9"/>
      <c r="S505" s="9"/>
      <c r="T505" s="9"/>
      <c r="U505" s="9"/>
      <c r="V505" s="9"/>
      <c r="W505" s="9"/>
      <c r="X505" s="223"/>
      <c r="Y505" s="9"/>
      <c r="Z505" s="204"/>
      <c r="AA505" s="9"/>
      <c r="AB505" s="9"/>
      <c r="AC505" s="9"/>
      <c r="AD505" s="9"/>
    </row>
    <row r="506" ht="15.75" customHeight="1">
      <c r="A506" s="9"/>
      <c r="B506" s="9"/>
      <c r="C506" s="9"/>
      <c r="D506" s="9"/>
      <c r="E506" s="223"/>
      <c r="F506" s="9"/>
      <c r="G506" s="9"/>
      <c r="H506" s="9"/>
      <c r="I506" s="9"/>
      <c r="J506" s="9"/>
      <c r="K506" s="9"/>
      <c r="L506" s="9"/>
      <c r="M506" s="9"/>
      <c r="N506" s="9"/>
      <c r="O506" s="9"/>
      <c r="P506" s="9"/>
      <c r="Q506" s="9"/>
      <c r="R506" s="9"/>
      <c r="S506" s="9"/>
      <c r="T506" s="9"/>
      <c r="U506" s="9"/>
      <c r="V506" s="9"/>
      <c r="W506" s="9"/>
      <c r="X506" s="223"/>
      <c r="Y506" s="9"/>
      <c r="Z506" s="204"/>
      <c r="AA506" s="9"/>
      <c r="AB506" s="9"/>
      <c r="AC506" s="9"/>
      <c r="AD506" s="9"/>
    </row>
    <row r="507" ht="15.75" customHeight="1">
      <c r="A507" s="9"/>
      <c r="B507" s="9"/>
      <c r="C507" s="9"/>
      <c r="D507" s="9"/>
      <c r="E507" s="223"/>
      <c r="F507" s="9"/>
      <c r="G507" s="9"/>
      <c r="H507" s="9"/>
      <c r="I507" s="9"/>
      <c r="J507" s="9"/>
      <c r="K507" s="9"/>
      <c r="L507" s="9"/>
      <c r="M507" s="9"/>
      <c r="N507" s="9"/>
      <c r="O507" s="9"/>
      <c r="P507" s="9"/>
      <c r="Q507" s="9"/>
      <c r="R507" s="9"/>
      <c r="S507" s="9"/>
      <c r="T507" s="9"/>
      <c r="U507" s="9"/>
      <c r="V507" s="9"/>
      <c r="W507" s="9"/>
      <c r="X507" s="223"/>
      <c r="Y507" s="9"/>
      <c r="Z507" s="204"/>
      <c r="AA507" s="9"/>
      <c r="AB507" s="9"/>
      <c r="AC507" s="9"/>
      <c r="AD507" s="9"/>
    </row>
    <row r="508" ht="15.75" customHeight="1">
      <c r="A508" s="9"/>
      <c r="B508" s="9"/>
      <c r="C508" s="9"/>
      <c r="D508" s="9"/>
      <c r="E508" s="223"/>
      <c r="F508" s="9"/>
      <c r="G508" s="9"/>
      <c r="H508" s="9"/>
      <c r="I508" s="9"/>
      <c r="J508" s="9"/>
      <c r="K508" s="9"/>
      <c r="L508" s="9"/>
      <c r="M508" s="9"/>
      <c r="N508" s="9"/>
      <c r="O508" s="9"/>
      <c r="P508" s="9"/>
      <c r="Q508" s="9"/>
      <c r="R508" s="9"/>
      <c r="S508" s="9"/>
      <c r="T508" s="9"/>
      <c r="U508" s="9"/>
      <c r="V508" s="9"/>
      <c r="W508" s="9"/>
      <c r="X508" s="223"/>
      <c r="Y508" s="9"/>
      <c r="Z508" s="204"/>
      <c r="AA508" s="9"/>
      <c r="AB508" s="9"/>
      <c r="AC508" s="9"/>
      <c r="AD508" s="9"/>
    </row>
    <row r="509" ht="15.75" customHeight="1">
      <c r="A509" s="9"/>
      <c r="B509" s="9"/>
      <c r="C509" s="9"/>
      <c r="D509" s="9"/>
      <c r="E509" s="223"/>
      <c r="F509" s="9"/>
      <c r="G509" s="9"/>
      <c r="H509" s="9"/>
      <c r="I509" s="9"/>
      <c r="J509" s="9"/>
      <c r="K509" s="9"/>
      <c r="L509" s="9"/>
      <c r="M509" s="9"/>
      <c r="N509" s="9"/>
      <c r="O509" s="9"/>
      <c r="P509" s="9"/>
      <c r="Q509" s="9"/>
      <c r="R509" s="9"/>
      <c r="S509" s="9"/>
      <c r="T509" s="9"/>
      <c r="U509" s="9"/>
      <c r="V509" s="9"/>
      <c r="W509" s="9"/>
      <c r="X509" s="223"/>
      <c r="Y509" s="9"/>
      <c r="Z509" s="204"/>
      <c r="AA509" s="9"/>
      <c r="AB509" s="9"/>
      <c r="AC509" s="9"/>
      <c r="AD509" s="9"/>
    </row>
    <row r="510" ht="15.75" customHeight="1">
      <c r="A510" s="9"/>
      <c r="B510" s="9"/>
      <c r="C510" s="9"/>
      <c r="D510" s="9"/>
      <c r="E510" s="223"/>
      <c r="F510" s="9"/>
      <c r="G510" s="9"/>
      <c r="H510" s="9"/>
      <c r="I510" s="9"/>
      <c r="J510" s="9"/>
      <c r="K510" s="9"/>
      <c r="L510" s="9"/>
      <c r="M510" s="9"/>
      <c r="N510" s="9"/>
      <c r="O510" s="9"/>
      <c r="P510" s="9"/>
      <c r="Q510" s="9"/>
      <c r="R510" s="9"/>
      <c r="S510" s="9"/>
      <c r="T510" s="9"/>
      <c r="U510" s="9"/>
      <c r="V510" s="9"/>
      <c r="W510" s="9"/>
      <c r="X510" s="223"/>
      <c r="Y510" s="9"/>
      <c r="Z510" s="204"/>
      <c r="AA510" s="9"/>
      <c r="AB510" s="9"/>
      <c r="AC510" s="9"/>
      <c r="AD510" s="9"/>
    </row>
    <row r="511" ht="15.75" customHeight="1">
      <c r="A511" s="9"/>
      <c r="B511" s="9"/>
      <c r="C511" s="9"/>
      <c r="D511" s="9"/>
      <c r="E511" s="223"/>
      <c r="F511" s="9"/>
      <c r="G511" s="9"/>
      <c r="H511" s="9"/>
      <c r="I511" s="9"/>
      <c r="J511" s="9"/>
      <c r="K511" s="9"/>
      <c r="L511" s="9"/>
      <c r="M511" s="9"/>
      <c r="N511" s="9"/>
      <c r="O511" s="9"/>
      <c r="P511" s="9"/>
      <c r="Q511" s="9"/>
      <c r="R511" s="9"/>
      <c r="S511" s="9"/>
      <c r="T511" s="9"/>
      <c r="U511" s="9"/>
      <c r="V511" s="9"/>
      <c r="W511" s="9"/>
      <c r="X511" s="223"/>
      <c r="Y511" s="9"/>
      <c r="Z511" s="204"/>
      <c r="AA511" s="9"/>
      <c r="AB511" s="9"/>
      <c r="AC511" s="9"/>
      <c r="AD511" s="9"/>
    </row>
    <row r="512" ht="15.75" customHeight="1">
      <c r="A512" s="9"/>
      <c r="B512" s="9"/>
      <c r="C512" s="9"/>
      <c r="D512" s="9"/>
      <c r="E512" s="223"/>
      <c r="F512" s="9"/>
      <c r="G512" s="9"/>
      <c r="H512" s="9"/>
      <c r="I512" s="9"/>
      <c r="J512" s="9"/>
      <c r="K512" s="9"/>
      <c r="L512" s="9"/>
      <c r="M512" s="9"/>
      <c r="N512" s="9"/>
      <c r="O512" s="9"/>
      <c r="P512" s="9"/>
      <c r="Q512" s="9"/>
      <c r="R512" s="9"/>
      <c r="S512" s="9"/>
      <c r="T512" s="9"/>
      <c r="U512" s="9"/>
      <c r="V512" s="9"/>
      <c r="W512" s="9"/>
      <c r="X512" s="223"/>
      <c r="Y512" s="9"/>
      <c r="Z512" s="204"/>
      <c r="AA512" s="9"/>
      <c r="AB512" s="9"/>
      <c r="AC512" s="9"/>
      <c r="AD512" s="9"/>
    </row>
    <row r="513" ht="15.75" customHeight="1">
      <c r="A513" s="9"/>
      <c r="B513" s="9"/>
      <c r="C513" s="9"/>
      <c r="D513" s="9"/>
      <c r="E513" s="223"/>
      <c r="F513" s="9"/>
      <c r="G513" s="9"/>
      <c r="H513" s="9"/>
      <c r="I513" s="9"/>
      <c r="J513" s="9"/>
      <c r="K513" s="9"/>
      <c r="L513" s="9"/>
      <c r="M513" s="9"/>
      <c r="N513" s="9"/>
      <c r="O513" s="9"/>
      <c r="P513" s="9"/>
      <c r="Q513" s="9"/>
      <c r="R513" s="9"/>
      <c r="S513" s="9"/>
      <c r="T513" s="9"/>
      <c r="U513" s="9"/>
      <c r="V513" s="9"/>
      <c r="W513" s="9"/>
      <c r="X513" s="223"/>
      <c r="Y513" s="9"/>
      <c r="Z513" s="204"/>
      <c r="AA513" s="9"/>
      <c r="AB513" s="9"/>
      <c r="AC513" s="9"/>
      <c r="AD513" s="9"/>
    </row>
    <row r="514" ht="15.75" customHeight="1">
      <c r="A514" s="9"/>
      <c r="B514" s="9"/>
      <c r="C514" s="9"/>
      <c r="D514" s="9"/>
      <c r="E514" s="223"/>
      <c r="F514" s="9"/>
      <c r="G514" s="9"/>
      <c r="H514" s="9"/>
      <c r="I514" s="9"/>
      <c r="J514" s="9"/>
      <c r="K514" s="9"/>
      <c r="L514" s="9"/>
      <c r="M514" s="9"/>
      <c r="N514" s="9"/>
      <c r="O514" s="9"/>
      <c r="P514" s="9"/>
      <c r="Q514" s="9"/>
      <c r="R514" s="9"/>
      <c r="S514" s="9"/>
      <c r="T514" s="9"/>
      <c r="U514" s="9"/>
      <c r="V514" s="9"/>
      <c r="W514" s="9"/>
      <c r="X514" s="223"/>
      <c r="Y514" s="9"/>
      <c r="Z514" s="204"/>
      <c r="AA514" s="9"/>
      <c r="AB514" s="9"/>
      <c r="AC514" s="9"/>
      <c r="AD514" s="9"/>
    </row>
    <row r="515" ht="15.75" customHeight="1">
      <c r="A515" s="9"/>
      <c r="B515" s="9"/>
      <c r="C515" s="9"/>
      <c r="D515" s="9"/>
      <c r="E515" s="223"/>
      <c r="F515" s="9"/>
      <c r="G515" s="9"/>
      <c r="H515" s="9"/>
      <c r="I515" s="9"/>
      <c r="J515" s="9"/>
      <c r="K515" s="9"/>
      <c r="L515" s="9"/>
      <c r="M515" s="9"/>
      <c r="N515" s="9"/>
      <c r="O515" s="9"/>
      <c r="P515" s="9"/>
      <c r="Q515" s="9"/>
      <c r="R515" s="9"/>
      <c r="S515" s="9"/>
      <c r="T515" s="9"/>
      <c r="U515" s="9"/>
      <c r="V515" s="9"/>
      <c r="W515" s="9"/>
      <c r="X515" s="223"/>
      <c r="Y515" s="9"/>
      <c r="Z515" s="204"/>
      <c r="AA515" s="9"/>
      <c r="AB515" s="9"/>
      <c r="AC515" s="9"/>
      <c r="AD515" s="9"/>
    </row>
    <row r="516" ht="15.75" customHeight="1">
      <c r="A516" s="9"/>
      <c r="B516" s="9"/>
      <c r="C516" s="9"/>
      <c r="D516" s="9"/>
      <c r="E516" s="223"/>
      <c r="F516" s="9"/>
      <c r="G516" s="9"/>
      <c r="H516" s="9"/>
      <c r="I516" s="9"/>
      <c r="J516" s="9"/>
      <c r="K516" s="9"/>
      <c r="L516" s="9"/>
      <c r="M516" s="9"/>
      <c r="N516" s="9"/>
      <c r="O516" s="9"/>
      <c r="P516" s="9"/>
      <c r="Q516" s="9"/>
      <c r="R516" s="9"/>
      <c r="S516" s="9"/>
      <c r="T516" s="9"/>
      <c r="U516" s="9"/>
      <c r="V516" s="9"/>
      <c r="W516" s="9"/>
      <c r="X516" s="223"/>
      <c r="Y516" s="9"/>
      <c r="Z516" s="204"/>
      <c r="AA516" s="9"/>
      <c r="AB516" s="9"/>
      <c r="AC516" s="9"/>
      <c r="AD516" s="9"/>
    </row>
    <row r="517" ht="15.75" customHeight="1">
      <c r="A517" s="9"/>
      <c r="B517" s="9"/>
      <c r="C517" s="9"/>
      <c r="D517" s="9"/>
      <c r="E517" s="223"/>
      <c r="F517" s="9"/>
      <c r="G517" s="9"/>
      <c r="H517" s="9"/>
      <c r="I517" s="9"/>
      <c r="J517" s="9"/>
      <c r="K517" s="9"/>
      <c r="L517" s="9"/>
      <c r="M517" s="9"/>
      <c r="N517" s="9"/>
      <c r="O517" s="9"/>
      <c r="P517" s="9"/>
      <c r="Q517" s="9"/>
      <c r="R517" s="9"/>
      <c r="S517" s="9"/>
      <c r="T517" s="9"/>
      <c r="U517" s="9"/>
      <c r="V517" s="9"/>
      <c r="W517" s="9"/>
      <c r="X517" s="223"/>
      <c r="Y517" s="9"/>
      <c r="Z517" s="204"/>
      <c r="AA517" s="9"/>
      <c r="AB517" s="9"/>
      <c r="AC517" s="9"/>
      <c r="AD517" s="9"/>
    </row>
    <row r="518" ht="15.75" customHeight="1">
      <c r="A518" s="9"/>
      <c r="B518" s="9"/>
      <c r="C518" s="9"/>
      <c r="D518" s="9"/>
      <c r="E518" s="223"/>
      <c r="F518" s="9"/>
      <c r="G518" s="9"/>
      <c r="H518" s="9"/>
      <c r="I518" s="9"/>
      <c r="J518" s="9"/>
      <c r="K518" s="9"/>
      <c r="L518" s="9"/>
      <c r="M518" s="9"/>
      <c r="N518" s="9"/>
      <c r="O518" s="9"/>
      <c r="P518" s="9"/>
      <c r="Q518" s="9"/>
      <c r="R518" s="9"/>
      <c r="S518" s="9"/>
      <c r="T518" s="9"/>
      <c r="U518" s="9"/>
      <c r="V518" s="9"/>
      <c r="W518" s="9"/>
      <c r="X518" s="223"/>
      <c r="Y518" s="9"/>
      <c r="Z518" s="204"/>
      <c r="AA518" s="9"/>
      <c r="AB518" s="9"/>
      <c r="AC518" s="9"/>
      <c r="AD518" s="9"/>
    </row>
    <row r="519" ht="15.75" customHeight="1">
      <c r="A519" s="9"/>
      <c r="B519" s="9"/>
      <c r="C519" s="9"/>
      <c r="D519" s="9"/>
      <c r="E519" s="223"/>
      <c r="F519" s="9"/>
      <c r="G519" s="9"/>
      <c r="H519" s="9"/>
      <c r="I519" s="9"/>
      <c r="J519" s="9"/>
      <c r="K519" s="9"/>
      <c r="L519" s="9"/>
      <c r="M519" s="9"/>
      <c r="N519" s="9"/>
      <c r="O519" s="9"/>
      <c r="P519" s="9"/>
      <c r="Q519" s="9"/>
      <c r="R519" s="9"/>
      <c r="S519" s="9"/>
      <c r="T519" s="9"/>
      <c r="U519" s="9"/>
      <c r="V519" s="9"/>
      <c r="W519" s="9"/>
      <c r="X519" s="223"/>
      <c r="Y519" s="9"/>
      <c r="Z519" s="204"/>
      <c r="AA519" s="9"/>
      <c r="AB519" s="9"/>
      <c r="AC519" s="9"/>
      <c r="AD519" s="9"/>
    </row>
    <row r="520" ht="15.75" customHeight="1">
      <c r="A520" s="9"/>
      <c r="B520" s="9"/>
      <c r="C520" s="9"/>
      <c r="D520" s="9"/>
      <c r="E520" s="223"/>
      <c r="F520" s="9"/>
      <c r="G520" s="9"/>
      <c r="H520" s="9"/>
      <c r="I520" s="9"/>
      <c r="J520" s="9"/>
      <c r="K520" s="9"/>
      <c r="L520" s="9"/>
      <c r="M520" s="9"/>
      <c r="N520" s="9"/>
      <c r="O520" s="9"/>
      <c r="P520" s="9"/>
      <c r="Q520" s="9"/>
      <c r="R520" s="9"/>
      <c r="S520" s="9"/>
      <c r="T520" s="9"/>
      <c r="U520" s="9"/>
      <c r="V520" s="9"/>
      <c r="W520" s="9"/>
      <c r="X520" s="223"/>
      <c r="Y520" s="9"/>
      <c r="Z520" s="204"/>
      <c r="AA520" s="9"/>
      <c r="AB520" s="9"/>
      <c r="AC520" s="9"/>
      <c r="AD520" s="9"/>
    </row>
    <row r="521" ht="15.75" customHeight="1">
      <c r="A521" s="9"/>
      <c r="B521" s="9"/>
      <c r="C521" s="9"/>
      <c r="D521" s="9"/>
      <c r="E521" s="223"/>
      <c r="F521" s="9"/>
      <c r="G521" s="9"/>
      <c r="H521" s="9"/>
      <c r="I521" s="9"/>
      <c r="J521" s="9"/>
      <c r="K521" s="9"/>
      <c r="L521" s="9"/>
      <c r="M521" s="9"/>
      <c r="N521" s="9"/>
      <c r="O521" s="9"/>
      <c r="P521" s="9"/>
      <c r="Q521" s="9"/>
      <c r="R521" s="9"/>
      <c r="S521" s="9"/>
      <c r="T521" s="9"/>
      <c r="U521" s="9"/>
      <c r="V521" s="9"/>
      <c r="W521" s="9"/>
      <c r="X521" s="223"/>
      <c r="Y521" s="9"/>
      <c r="Z521" s="204"/>
      <c r="AA521" s="9"/>
      <c r="AB521" s="9"/>
      <c r="AC521" s="9"/>
      <c r="AD521" s="9"/>
    </row>
    <row r="522" ht="15.75" customHeight="1">
      <c r="A522" s="9"/>
      <c r="B522" s="9"/>
      <c r="C522" s="9"/>
      <c r="D522" s="9"/>
      <c r="E522" s="223"/>
      <c r="F522" s="9"/>
      <c r="G522" s="9"/>
      <c r="H522" s="9"/>
      <c r="I522" s="9"/>
      <c r="J522" s="9"/>
      <c r="K522" s="9"/>
      <c r="L522" s="9"/>
      <c r="M522" s="9"/>
      <c r="N522" s="9"/>
      <c r="O522" s="9"/>
      <c r="P522" s="9"/>
      <c r="Q522" s="9"/>
      <c r="R522" s="9"/>
      <c r="S522" s="9"/>
      <c r="T522" s="9"/>
      <c r="U522" s="9"/>
      <c r="V522" s="9"/>
      <c r="W522" s="9"/>
      <c r="X522" s="223"/>
      <c r="Y522" s="9"/>
      <c r="Z522" s="204"/>
      <c r="AA522" s="9"/>
      <c r="AB522" s="9"/>
      <c r="AC522" s="9"/>
      <c r="AD522" s="9"/>
    </row>
    <row r="523" ht="15.75" customHeight="1">
      <c r="A523" s="9"/>
      <c r="B523" s="9"/>
      <c r="C523" s="9"/>
      <c r="D523" s="9"/>
      <c r="E523" s="223"/>
      <c r="F523" s="9"/>
      <c r="G523" s="9"/>
      <c r="H523" s="9"/>
      <c r="I523" s="9"/>
      <c r="J523" s="9"/>
      <c r="K523" s="9"/>
      <c r="L523" s="9"/>
      <c r="M523" s="9"/>
      <c r="N523" s="9"/>
      <c r="O523" s="9"/>
      <c r="P523" s="9"/>
      <c r="Q523" s="9"/>
      <c r="R523" s="9"/>
      <c r="S523" s="9"/>
      <c r="T523" s="9"/>
      <c r="U523" s="9"/>
      <c r="V523" s="9"/>
      <c r="W523" s="9"/>
      <c r="X523" s="223"/>
      <c r="Y523" s="9"/>
      <c r="Z523" s="204"/>
      <c r="AA523" s="9"/>
      <c r="AB523" s="9"/>
      <c r="AC523" s="9"/>
      <c r="AD523" s="9"/>
    </row>
    <row r="524" ht="15.75" customHeight="1">
      <c r="A524" s="9"/>
      <c r="B524" s="9"/>
      <c r="C524" s="9"/>
      <c r="D524" s="9"/>
      <c r="E524" s="223"/>
      <c r="F524" s="9"/>
      <c r="G524" s="9"/>
      <c r="H524" s="9"/>
      <c r="I524" s="9"/>
      <c r="J524" s="9"/>
      <c r="K524" s="9"/>
      <c r="L524" s="9"/>
      <c r="M524" s="9"/>
      <c r="N524" s="9"/>
      <c r="O524" s="9"/>
      <c r="P524" s="9"/>
      <c r="Q524" s="9"/>
      <c r="R524" s="9"/>
      <c r="S524" s="9"/>
      <c r="T524" s="9"/>
      <c r="U524" s="9"/>
      <c r="V524" s="9"/>
      <c r="W524" s="9"/>
      <c r="X524" s="223"/>
      <c r="Y524" s="9"/>
      <c r="Z524" s="204"/>
      <c r="AA524" s="9"/>
      <c r="AB524" s="9"/>
      <c r="AC524" s="9"/>
      <c r="AD524" s="9"/>
    </row>
    <row r="525" ht="15.75" customHeight="1">
      <c r="A525" s="9"/>
      <c r="B525" s="9"/>
      <c r="C525" s="9"/>
      <c r="D525" s="9"/>
      <c r="E525" s="223"/>
      <c r="F525" s="9"/>
      <c r="G525" s="9"/>
      <c r="H525" s="9"/>
      <c r="I525" s="9"/>
      <c r="J525" s="9"/>
      <c r="K525" s="9"/>
      <c r="L525" s="9"/>
      <c r="M525" s="9"/>
      <c r="N525" s="9"/>
      <c r="O525" s="9"/>
      <c r="P525" s="9"/>
      <c r="Q525" s="9"/>
      <c r="R525" s="9"/>
      <c r="S525" s="9"/>
      <c r="T525" s="9"/>
      <c r="U525" s="9"/>
      <c r="V525" s="9"/>
      <c r="W525" s="9"/>
      <c r="X525" s="223"/>
      <c r="Y525" s="9"/>
      <c r="Z525" s="204"/>
      <c r="AA525" s="9"/>
      <c r="AB525" s="9"/>
      <c r="AC525" s="9"/>
      <c r="AD525" s="9"/>
    </row>
    <row r="526" ht="15.75" customHeight="1">
      <c r="A526" s="9"/>
      <c r="B526" s="9"/>
      <c r="C526" s="9"/>
      <c r="D526" s="9"/>
      <c r="E526" s="223"/>
      <c r="F526" s="9"/>
      <c r="G526" s="9"/>
      <c r="H526" s="9"/>
      <c r="I526" s="9"/>
      <c r="J526" s="9"/>
      <c r="K526" s="9"/>
      <c r="L526" s="9"/>
      <c r="M526" s="9"/>
      <c r="N526" s="9"/>
      <c r="O526" s="9"/>
      <c r="P526" s="9"/>
      <c r="Q526" s="9"/>
      <c r="R526" s="9"/>
      <c r="S526" s="9"/>
      <c r="T526" s="9"/>
      <c r="U526" s="9"/>
      <c r="V526" s="9"/>
      <c r="W526" s="9"/>
      <c r="X526" s="223"/>
      <c r="Y526" s="9"/>
      <c r="Z526" s="204"/>
      <c r="AA526" s="9"/>
      <c r="AB526" s="9"/>
      <c r="AC526" s="9"/>
      <c r="AD526" s="9"/>
    </row>
    <row r="527" ht="15.75" customHeight="1">
      <c r="A527" s="9"/>
      <c r="B527" s="9"/>
      <c r="C527" s="9"/>
      <c r="D527" s="9"/>
      <c r="E527" s="223"/>
      <c r="F527" s="9"/>
      <c r="G527" s="9"/>
      <c r="H527" s="9"/>
      <c r="I527" s="9"/>
      <c r="J527" s="9"/>
      <c r="K527" s="9"/>
      <c r="L527" s="9"/>
      <c r="M527" s="9"/>
      <c r="N527" s="9"/>
      <c r="O527" s="9"/>
      <c r="P527" s="9"/>
      <c r="Q527" s="9"/>
      <c r="R527" s="9"/>
      <c r="S527" s="9"/>
      <c r="T527" s="9"/>
      <c r="U527" s="9"/>
      <c r="V527" s="9"/>
      <c r="W527" s="9"/>
      <c r="X527" s="223"/>
      <c r="Y527" s="9"/>
      <c r="Z527" s="204"/>
      <c r="AA527" s="9"/>
      <c r="AB527" s="9"/>
      <c r="AC527" s="9"/>
      <c r="AD527" s="9"/>
    </row>
    <row r="528" ht="15.75" customHeight="1">
      <c r="A528" s="9"/>
      <c r="B528" s="9"/>
      <c r="C528" s="9"/>
      <c r="D528" s="9"/>
      <c r="E528" s="223"/>
      <c r="F528" s="9"/>
      <c r="G528" s="9"/>
      <c r="H528" s="9"/>
      <c r="I528" s="9"/>
      <c r="J528" s="9"/>
      <c r="K528" s="9"/>
      <c r="L528" s="9"/>
      <c r="M528" s="9"/>
      <c r="N528" s="9"/>
      <c r="O528" s="9"/>
      <c r="P528" s="9"/>
      <c r="Q528" s="9"/>
      <c r="R528" s="9"/>
      <c r="S528" s="9"/>
      <c r="T528" s="9"/>
      <c r="U528" s="9"/>
      <c r="V528" s="9"/>
      <c r="W528" s="9"/>
      <c r="X528" s="223"/>
      <c r="Y528" s="9"/>
      <c r="Z528" s="204"/>
      <c r="AA528" s="9"/>
      <c r="AB528" s="9"/>
      <c r="AC528" s="9"/>
      <c r="AD528" s="9"/>
    </row>
    <row r="529" ht="15.75" customHeight="1">
      <c r="A529" s="9"/>
      <c r="B529" s="9"/>
      <c r="C529" s="9"/>
      <c r="D529" s="9"/>
      <c r="E529" s="223"/>
      <c r="F529" s="9"/>
      <c r="G529" s="9"/>
      <c r="H529" s="9"/>
      <c r="I529" s="9"/>
      <c r="J529" s="9"/>
      <c r="K529" s="9"/>
      <c r="L529" s="9"/>
      <c r="M529" s="9"/>
      <c r="N529" s="9"/>
      <c r="O529" s="9"/>
      <c r="P529" s="9"/>
      <c r="Q529" s="9"/>
      <c r="R529" s="9"/>
      <c r="S529" s="9"/>
      <c r="T529" s="9"/>
      <c r="U529" s="9"/>
      <c r="V529" s="9"/>
      <c r="W529" s="9"/>
      <c r="X529" s="223"/>
      <c r="Y529" s="9"/>
      <c r="Z529" s="204"/>
      <c r="AA529" s="9"/>
      <c r="AB529" s="9"/>
      <c r="AC529" s="9"/>
      <c r="AD529" s="9"/>
    </row>
    <row r="530" ht="15.75" customHeight="1">
      <c r="A530" s="9"/>
      <c r="B530" s="9"/>
      <c r="C530" s="9"/>
      <c r="D530" s="9"/>
      <c r="E530" s="223"/>
      <c r="F530" s="9"/>
      <c r="G530" s="9"/>
      <c r="H530" s="9"/>
      <c r="I530" s="9"/>
      <c r="J530" s="9"/>
      <c r="K530" s="9"/>
      <c r="L530" s="9"/>
      <c r="M530" s="9"/>
      <c r="N530" s="9"/>
      <c r="O530" s="9"/>
      <c r="P530" s="9"/>
      <c r="Q530" s="9"/>
      <c r="R530" s="9"/>
      <c r="S530" s="9"/>
      <c r="T530" s="9"/>
      <c r="U530" s="9"/>
      <c r="V530" s="9"/>
      <c r="W530" s="9"/>
      <c r="X530" s="223"/>
      <c r="Y530" s="9"/>
      <c r="Z530" s="204"/>
      <c r="AA530" s="9"/>
      <c r="AB530" s="9"/>
      <c r="AC530" s="9"/>
      <c r="AD530" s="9"/>
    </row>
    <row r="531" ht="15.75" customHeight="1">
      <c r="A531" s="9"/>
      <c r="B531" s="9"/>
      <c r="C531" s="9"/>
      <c r="D531" s="9"/>
      <c r="E531" s="223"/>
      <c r="F531" s="9"/>
      <c r="G531" s="9"/>
      <c r="H531" s="9"/>
      <c r="I531" s="9"/>
      <c r="J531" s="9"/>
      <c r="K531" s="9"/>
      <c r="L531" s="9"/>
      <c r="M531" s="9"/>
      <c r="N531" s="9"/>
      <c r="O531" s="9"/>
      <c r="P531" s="9"/>
      <c r="Q531" s="9"/>
      <c r="R531" s="9"/>
      <c r="S531" s="9"/>
      <c r="T531" s="9"/>
      <c r="U531" s="9"/>
      <c r="V531" s="9"/>
      <c r="W531" s="9"/>
      <c r="X531" s="223"/>
      <c r="Y531" s="9"/>
      <c r="Z531" s="204"/>
      <c r="AA531" s="9"/>
      <c r="AB531" s="9"/>
      <c r="AC531" s="9"/>
      <c r="AD531" s="9"/>
    </row>
    <row r="532" ht="15.75" customHeight="1">
      <c r="A532" s="9"/>
      <c r="B532" s="9"/>
      <c r="C532" s="9"/>
      <c r="D532" s="9"/>
      <c r="E532" s="223"/>
      <c r="F532" s="9"/>
      <c r="G532" s="9"/>
      <c r="H532" s="9"/>
      <c r="I532" s="9"/>
      <c r="J532" s="9"/>
      <c r="K532" s="9"/>
      <c r="L532" s="9"/>
      <c r="M532" s="9"/>
      <c r="N532" s="9"/>
      <c r="O532" s="9"/>
      <c r="P532" s="9"/>
      <c r="Q532" s="9"/>
      <c r="R532" s="9"/>
      <c r="S532" s="9"/>
      <c r="T532" s="9"/>
      <c r="U532" s="9"/>
      <c r="V532" s="9"/>
      <c r="W532" s="9"/>
      <c r="X532" s="223"/>
      <c r="Y532" s="9"/>
      <c r="Z532" s="204"/>
      <c r="AA532" s="9"/>
      <c r="AB532" s="9"/>
      <c r="AC532" s="9"/>
      <c r="AD532" s="9"/>
    </row>
    <row r="533" ht="15.75" customHeight="1">
      <c r="A533" s="9"/>
      <c r="B533" s="9"/>
      <c r="C533" s="9"/>
      <c r="D533" s="9"/>
      <c r="E533" s="223"/>
      <c r="F533" s="9"/>
      <c r="G533" s="9"/>
      <c r="H533" s="9"/>
      <c r="I533" s="9"/>
      <c r="J533" s="9"/>
      <c r="K533" s="9"/>
      <c r="L533" s="9"/>
      <c r="M533" s="9"/>
      <c r="N533" s="9"/>
      <c r="O533" s="9"/>
      <c r="P533" s="9"/>
      <c r="Q533" s="9"/>
      <c r="R533" s="9"/>
      <c r="S533" s="9"/>
      <c r="T533" s="9"/>
      <c r="U533" s="9"/>
      <c r="V533" s="9"/>
      <c r="W533" s="9"/>
      <c r="X533" s="223"/>
      <c r="Y533" s="9"/>
      <c r="Z533" s="204"/>
      <c r="AA533" s="9"/>
      <c r="AB533" s="9"/>
      <c r="AC533" s="9"/>
      <c r="AD533" s="9"/>
    </row>
    <row r="534" ht="15.75" customHeight="1">
      <c r="A534" s="9"/>
      <c r="B534" s="9"/>
      <c r="C534" s="9"/>
      <c r="D534" s="9"/>
      <c r="E534" s="223"/>
      <c r="F534" s="9"/>
      <c r="G534" s="9"/>
      <c r="H534" s="9"/>
      <c r="I534" s="9"/>
      <c r="J534" s="9"/>
      <c r="K534" s="9"/>
      <c r="L534" s="9"/>
      <c r="M534" s="9"/>
      <c r="N534" s="9"/>
      <c r="O534" s="9"/>
      <c r="P534" s="9"/>
      <c r="Q534" s="9"/>
      <c r="R534" s="9"/>
      <c r="S534" s="9"/>
      <c r="T534" s="9"/>
      <c r="U534" s="9"/>
      <c r="V534" s="9"/>
      <c r="W534" s="9"/>
      <c r="X534" s="223"/>
      <c r="Y534" s="9"/>
      <c r="Z534" s="204"/>
      <c r="AA534" s="9"/>
      <c r="AB534" s="9"/>
      <c r="AC534" s="9"/>
      <c r="AD534" s="9"/>
    </row>
    <row r="535" ht="15.75" customHeight="1">
      <c r="A535" s="9"/>
      <c r="B535" s="9"/>
      <c r="C535" s="9"/>
      <c r="D535" s="9"/>
      <c r="E535" s="223"/>
      <c r="F535" s="9"/>
      <c r="G535" s="9"/>
      <c r="H535" s="9"/>
      <c r="I535" s="9"/>
      <c r="J535" s="9"/>
      <c r="K535" s="9"/>
      <c r="L535" s="9"/>
      <c r="M535" s="9"/>
      <c r="N535" s="9"/>
      <c r="O535" s="9"/>
      <c r="P535" s="9"/>
      <c r="Q535" s="9"/>
      <c r="R535" s="9"/>
      <c r="S535" s="9"/>
      <c r="T535" s="9"/>
      <c r="U535" s="9"/>
      <c r="V535" s="9"/>
      <c r="W535" s="9"/>
      <c r="X535" s="223"/>
      <c r="Y535" s="9"/>
      <c r="Z535" s="204"/>
      <c r="AA535" s="9"/>
      <c r="AB535" s="9"/>
      <c r="AC535" s="9"/>
      <c r="AD535" s="9"/>
    </row>
    <row r="536" ht="15.75" customHeight="1">
      <c r="A536" s="9"/>
      <c r="B536" s="9"/>
      <c r="C536" s="9"/>
      <c r="D536" s="9"/>
      <c r="E536" s="223"/>
      <c r="F536" s="9"/>
      <c r="G536" s="9"/>
      <c r="H536" s="9"/>
      <c r="I536" s="9"/>
      <c r="J536" s="9"/>
      <c r="K536" s="9"/>
      <c r="L536" s="9"/>
      <c r="M536" s="9"/>
      <c r="N536" s="9"/>
      <c r="O536" s="9"/>
      <c r="P536" s="9"/>
      <c r="Q536" s="9"/>
      <c r="R536" s="9"/>
      <c r="S536" s="9"/>
      <c r="T536" s="9"/>
      <c r="U536" s="9"/>
      <c r="V536" s="9"/>
      <c r="W536" s="9"/>
      <c r="X536" s="223"/>
      <c r="Y536" s="9"/>
      <c r="Z536" s="204"/>
      <c r="AA536" s="9"/>
      <c r="AB536" s="9"/>
      <c r="AC536" s="9"/>
      <c r="AD536" s="9"/>
    </row>
    <row r="537" ht="15.75" customHeight="1">
      <c r="A537" s="9"/>
      <c r="B537" s="9"/>
      <c r="C537" s="9"/>
      <c r="D537" s="9"/>
      <c r="E537" s="223"/>
      <c r="F537" s="9"/>
      <c r="G537" s="9"/>
      <c r="H537" s="9"/>
      <c r="I537" s="9"/>
      <c r="J537" s="9"/>
      <c r="K537" s="9"/>
      <c r="L537" s="9"/>
      <c r="M537" s="9"/>
      <c r="N537" s="9"/>
      <c r="O537" s="9"/>
      <c r="P537" s="9"/>
      <c r="Q537" s="9"/>
      <c r="R537" s="9"/>
      <c r="S537" s="9"/>
      <c r="T537" s="9"/>
      <c r="U537" s="9"/>
      <c r="V537" s="9"/>
      <c r="W537" s="9"/>
      <c r="X537" s="223"/>
      <c r="Y537" s="9"/>
      <c r="Z537" s="204"/>
      <c r="AA537" s="9"/>
      <c r="AB537" s="9"/>
      <c r="AC537" s="9"/>
      <c r="AD537" s="9"/>
    </row>
    <row r="538" ht="15.75" customHeight="1">
      <c r="A538" s="9"/>
      <c r="B538" s="9"/>
      <c r="C538" s="9"/>
      <c r="D538" s="9"/>
      <c r="E538" s="223"/>
      <c r="F538" s="9"/>
      <c r="G538" s="9"/>
      <c r="H538" s="9"/>
      <c r="I538" s="9"/>
      <c r="J538" s="9"/>
      <c r="K538" s="9"/>
      <c r="L538" s="9"/>
      <c r="M538" s="9"/>
      <c r="N538" s="9"/>
      <c r="O538" s="9"/>
      <c r="P538" s="9"/>
      <c r="Q538" s="9"/>
      <c r="R538" s="9"/>
      <c r="S538" s="9"/>
      <c r="T538" s="9"/>
      <c r="U538" s="9"/>
      <c r="V538" s="9"/>
      <c r="W538" s="9"/>
      <c r="X538" s="223"/>
      <c r="Y538" s="9"/>
      <c r="Z538" s="204"/>
      <c r="AA538" s="9"/>
      <c r="AB538" s="9"/>
      <c r="AC538" s="9"/>
      <c r="AD538" s="9"/>
    </row>
    <row r="539" ht="15.75" customHeight="1">
      <c r="A539" s="9"/>
      <c r="B539" s="9"/>
      <c r="C539" s="9"/>
      <c r="D539" s="9"/>
      <c r="E539" s="223"/>
      <c r="F539" s="9"/>
      <c r="G539" s="9"/>
      <c r="H539" s="9"/>
      <c r="I539" s="9"/>
      <c r="J539" s="9"/>
      <c r="K539" s="9"/>
      <c r="L539" s="9"/>
      <c r="M539" s="9"/>
      <c r="N539" s="9"/>
      <c r="O539" s="9"/>
      <c r="P539" s="9"/>
      <c r="Q539" s="9"/>
      <c r="R539" s="9"/>
      <c r="S539" s="9"/>
      <c r="T539" s="9"/>
      <c r="U539" s="9"/>
      <c r="V539" s="9"/>
      <c r="W539" s="9"/>
      <c r="X539" s="223"/>
      <c r="Y539" s="9"/>
      <c r="Z539" s="204"/>
      <c r="AA539" s="9"/>
      <c r="AB539" s="9"/>
      <c r="AC539" s="9"/>
      <c r="AD539" s="9"/>
    </row>
    <row r="540" ht="15.75" customHeight="1">
      <c r="A540" s="9"/>
      <c r="B540" s="9"/>
      <c r="C540" s="9"/>
      <c r="D540" s="9"/>
      <c r="E540" s="223"/>
      <c r="F540" s="9"/>
      <c r="G540" s="9"/>
      <c r="H540" s="9"/>
      <c r="I540" s="9"/>
      <c r="J540" s="9"/>
      <c r="K540" s="9"/>
      <c r="L540" s="9"/>
      <c r="M540" s="9"/>
      <c r="N540" s="9"/>
      <c r="O540" s="9"/>
      <c r="P540" s="9"/>
      <c r="Q540" s="9"/>
      <c r="R540" s="9"/>
      <c r="S540" s="9"/>
      <c r="T540" s="9"/>
      <c r="U540" s="9"/>
      <c r="V540" s="9"/>
      <c r="W540" s="9"/>
      <c r="X540" s="223"/>
      <c r="Y540" s="9"/>
      <c r="Z540" s="204"/>
      <c r="AA540" s="9"/>
      <c r="AB540" s="9"/>
      <c r="AC540" s="9"/>
      <c r="AD540" s="9"/>
    </row>
    <row r="541" ht="15.75" customHeight="1">
      <c r="A541" s="9"/>
      <c r="B541" s="9"/>
      <c r="C541" s="9"/>
      <c r="D541" s="9"/>
      <c r="E541" s="223"/>
      <c r="F541" s="9"/>
      <c r="G541" s="9"/>
      <c r="H541" s="9"/>
      <c r="I541" s="9"/>
      <c r="J541" s="9"/>
      <c r="K541" s="9"/>
      <c r="L541" s="9"/>
      <c r="M541" s="9"/>
      <c r="N541" s="9"/>
      <c r="O541" s="9"/>
      <c r="P541" s="9"/>
      <c r="Q541" s="9"/>
      <c r="R541" s="9"/>
      <c r="S541" s="9"/>
      <c r="T541" s="9"/>
      <c r="U541" s="9"/>
      <c r="V541" s="9"/>
      <c r="W541" s="9"/>
      <c r="X541" s="223"/>
      <c r="Y541" s="9"/>
      <c r="Z541" s="204"/>
      <c r="AA541" s="9"/>
      <c r="AB541" s="9"/>
      <c r="AC541" s="9"/>
      <c r="AD541" s="9"/>
    </row>
    <row r="542" ht="15.75" customHeight="1">
      <c r="A542" s="9"/>
      <c r="B542" s="9"/>
      <c r="C542" s="9"/>
      <c r="D542" s="9"/>
      <c r="E542" s="223"/>
      <c r="F542" s="9"/>
      <c r="G542" s="9"/>
      <c r="H542" s="9"/>
      <c r="I542" s="9"/>
      <c r="J542" s="9"/>
      <c r="K542" s="9"/>
      <c r="L542" s="9"/>
      <c r="M542" s="9"/>
      <c r="N542" s="9"/>
      <c r="O542" s="9"/>
      <c r="P542" s="9"/>
      <c r="Q542" s="9"/>
      <c r="R542" s="9"/>
      <c r="S542" s="9"/>
      <c r="T542" s="9"/>
      <c r="U542" s="9"/>
      <c r="V542" s="9"/>
      <c r="W542" s="9"/>
      <c r="X542" s="223"/>
      <c r="Y542" s="9"/>
      <c r="Z542" s="204"/>
      <c r="AA542" s="9"/>
      <c r="AB542" s="9"/>
      <c r="AC542" s="9"/>
      <c r="AD542" s="9"/>
    </row>
    <row r="543" ht="15.75" customHeight="1">
      <c r="A543" s="9"/>
      <c r="B543" s="9"/>
      <c r="C543" s="9"/>
      <c r="D543" s="9"/>
      <c r="E543" s="223"/>
      <c r="F543" s="9"/>
      <c r="G543" s="9"/>
      <c r="H543" s="9"/>
      <c r="I543" s="9"/>
      <c r="J543" s="9"/>
      <c r="K543" s="9"/>
      <c r="L543" s="9"/>
      <c r="M543" s="9"/>
      <c r="N543" s="9"/>
      <c r="O543" s="9"/>
      <c r="P543" s="9"/>
      <c r="Q543" s="9"/>
      <c r="R543" s="9"/>
      <c r="S543" s="9"/>
      <c r="T543" s="9"/>
      <c r="U543" s="9"/>
      <c r="V543" s="9"/>
      <c r="W543" s="9"/>
      <c r="X543" s="223"/>
      <c r="Y543" s="9"/>
      <c r="Z543" s="204"/>
      <c r="AA543" s="9"/>
      <c r="AB543" s="9"/>
      <c r="AC543" s="9"/>
      <c r="AD543" s="9"/>
    </row>
    <row r="544" ht="15.75" customHeight="1">
      <c r="A544" s="9"/>
      <c r="B544" s="9"/>
      <c r="C544" s="9"/>
      <c r="D544" s="9"/>
      <c r="E544" s="223"/>
      <c r="F544" s="9"/>
      <c r="G544" s="9"/>
      <c r="H544" s="9"/>
      <c r="I544" s="9"/>
      <c r="J544" s="9"/>
      <c r="K544" s="9"/>
      <c r="L544" s="9"/>
      <c r="M544" s="9"/>
      <c r="N544" s="9"/>
      <c r="O544" s="9"/>
      <c r="P544" s="9"/>
      <c r="Q544" s="9"/>
      <c r="R544" s="9"/>
      <c r="S544" s="9"/>
      <c r="T544" s="9"/>
      <c r="U544" s="9"/>
      <c r="V544" s="9"/>
      <c r="W544" s="9"/>
      <c r="X544" s="223"/>
      <c r="Y544" s="9"/>
      <c r="Z544" s="204"/>
      <c r="AA544" s="9"/>
      <c r="AB544" s="9"/>
      <c r="AC544" s="9"/>
      <c r="AD544" s="9"/>
    </row>
    <row r="545" ht="15.75" customHeight="1">
      <c r="A545" s="9"/>
      <c r="B545" s="9"/>
      <c r="C545" s="9"/>
      <c r="D545" s="9"/>
      <c r="E545" s="223"/>
      <c r="F545" s="9"/>
      <c r="G545" s="9"/>
      <c r="H545" s="9"/>
      <c r="I545" s="9"/>
      <c r="J545" s="9"/>
      <c r="K545" s="9"/>
      <c r="L545" s="9"/>
      <c r="M545" s="9"/>
      <c r="N545" s="9"/>
      <c r="O545" s="9"/>
      <c r="P545" s="9"/>
      <c r="Q545" s="9"/>
      <c r="R545" s="9"/>
      <c r="S545" s="9"/>
      <c r="T545" s="9"/>
      <c r="U545" s="9"/>
      <c r="V545" s="9"/>
      <c r="W545" s="9"/>
      <c r="X545" s="223"/>
      <c r="Y545" s="9"/>
      <c r="Z545" s="204"/>
      <c r="AA545" s="9"/>
      <c r="AB545" s="9"/>
      <c r="AC545" s="9"/>
      <c r="AD545" s="9"/>
    </row>
    <row r="546" ht="15.75" customHeight="1">
      <c r="A546" s="9"/>
      <c r="B546" s="9"/>
      <c r="C546" s="9"/>
      <c r="D546" s="9"/>
      <c r="E546" s="223"/>
      <c r="F546" s="9"/>
      <c r="G546" s="9"/>
      <c r="H546" s="9"/>
      <c r="I546" s="9"/>
      <c r="J546" s="9"/>
      <c r="K546" s="9"/>
      <c r="L546" s="9"/>
      <c r="M546" s="9"/>
      <c r="N546" s="9"/>
      <c r="O546" s="9"/>
      <c r="P546" s="9"/>
      <c r="Q546" s="9"/>
      <c r="R546" s="9"/>
      <c r="S546" s="9"/>
      <c r="T546" s="9"/>
      <c r="U546" s="9"/>
      <c r="V546" s="9"/>
      <c r="W546" s="9"/>
      <c r="X546" s="223"/>
      <c r="Y546" s="9"/>
      <c r="Z546" s="204"/>
      <c r="AA546" s="9"/>
      <c r="AB546" s="9"/>
      <c r="AC546" s="9"/>
      <c r="AD546" s="9"/>
    </row>
    <row r="547" ht="15.75" customHeight="1">
      <c r="A547" s="9"/>
      <c r="B547" s="9"/>
      <c r="C547" s="9"/>
      <c r="D547" s="9"/>
      <c r="E547" s="223"/>
      <c r="F547" s="9"/>
      <c r="G547" s="9"/>
      <c r="H547" s="9"/>
      <c r="I547" s="9"/>
      <c r="J547" s="9"/>
      <c r="K547" s="9"/>
      <c r="L547" s="9"/>
      <c r="M547" s="9"/>
      <c r="N547" s="9"/>
      <c r="O547" s="9"/>
      <c r="P547" s="9"/>
      <c r="Q547" s="9"/>
      <c r="R547" s="9"/>
      <c r="S547" s="9"/>
      <c r="T547" s="9"/>
      <c r="U547" s="9"/>
      <c r="V547" s="9"/>
      <c r="W547" s="9"/>
      <c r="X547" s="223"/>
      <c r="Y547" s="9"/>
      <c r="Z547" s="204"/>
      <c r="AA547" s="9"/>
      <c r="AB547" s="9"/>
      <c r="AC547" s="9"/>
      <c r="AD547" s="9"/>
    </row>
    <row r="548" ht="15.75" customHeight="1">
      <c r="A548" s="9"/>
      <c r="B548" s="9"/>
      <c r="C548" s="9"/>
      <c r="D548" s="9"/>
      <c r="E548" s="223"/>
      <c r="F548" s="9"/>
      <c r="G548" s="9"/>
      <c r="H548" s="9"/>
      <c r="I548" s="9"/>
      <c r="J548" s="9"/>
      <c r="K548" s="9"/>
      <c r="L548" s="9"/>
      <c r="M548" s="9"/>
      <c r="N548" s="9"/>
      <c r="O548" s="9"/>
      <c r="P548" s="9"/>
      <c r="Q548" s="9"/>
      <c r="R548" s="9"/>
      <c r="S548" s="9"/>
      <c r="T548" s="9"/>
      <c r="U548" s="9"/>
      <c r="V548" s="9"/>
      <c r="W548" s="9"/>
      <c r="X548" s="223"/>
      <c r="Y548" s="9"/>
      <c r="Z548" s="204"/>
      <c r="AA548" s="9"/>
      <c r="AB548" s="9"/>
      <c r="AC548" s="9"/>
      <c r="AD548" s="9"/>
    </row>
    <row r="549" ht="15.75" customHeight="1">
      <c r="A549" s="9"/>
      <c r="B549" s="9"/>
      <c r="C549" s="9"/>
      <c r="D549" s="9"/>
      <c r="E549" s="223"/>
      <c r="F549" s="9"/>
      <c r="G549" s="9"/>
      <c r="H549" s="9"/>
      <c r="I549" s="9"/>
      <c r="J549" s="9"/>
      <c r="K549" s="9"/>
      <c r="L549" s="9"/>
      <c r="M549" s="9"/>
      <c r="N549" s="9"/>
      <c r="O549" s="9"/>
      <c r="P549" s="9"/>
      <c r="Q549" s="9"/>
      <c r="R549" s="9"/>
      <c r="S549" s="9"/>
      <c r="T549" s="9"/>
      <c r="U549" s="9"/>
      <c r="V549" s="9"/>
      <c r="W549" s="9"/>
      <c r="X549" s="223"/>
      <c r="Y549" s="9"/>
      <c r="Z549" s="204"/>
      <c r="AA549" s="9"/>
      <c r="AB549" s="9"/>
      <c r="AC549" s="9"/>
      <c r="AD549" s="9"/>
    </row>
    <row r="550" ht="15.75" customHeight="1">
      <c r="A550" s="9"/>
      <c r="B550" s="9"/>
      <c r="C550" s="9"/>
      <c r="D550" s="9"/>
      <c r="E550" s="223"/>
      <c r="F550" s="9"/>
      <c r="G550" s="9"/>
      <c r="H550" s="9"/>
      <c r="I550" s="9"/>
      <c r="J550" s="9"/>
      <c r="K550" s="9"/>
      <c r="L550" s="9"/>
      <c r="M550" s="9"/>
      <c r="N550" s="9"/>
      <c r="O550" s="9"/>
      <c r="P550" s="9"/>
      <c r="Q550" s="9"/>
      <c r="R550" s="9"/>
      <c r="S550" s="9"/>
      <c r="T550" s="9"/>
      <c r="U550" s="9"/>
      <c r="V550" s="9"/>
      <c r="W550" s="9"/>
      <c r="X550" s="223"/>
      <c r="Y550" s="9"/>
      <c r="Z550" s="204"/>
      <c r="AA550" s="9"/>
      <c r="AB550" s="9"/>
      <c r="AC550" s="9"/>
      <c r="AD550" s="9"/>
    </row>
    <row r="551" ht="15.75" customHeight="1">
      <c r="A551" s="9"/>
      <c r="B551" s="9"/>
      <c r="C551" s="9"/>
      <c r="D551" s="9"/>
      <c r="E551" s="223"/>
      <c r="F551" s="9"/>
      <c r="G551" s="9"/>
      <c r="H551" s="9"/>
      <c r="I551" s="9"/>
      <c r="J551" s="9"/>
      <c r="K551" s="9"/>
      <c r="L551" s="9"/>
      <c r="M551" s="9"/>
      <c r="N551" s="9"/>
      <c r="O551" s="9"/>
      <c r="P551" s="9"/>
      <c r="Q551" s="9"/>
      <c r="R551" s="9"/>
      <c r="S551" s="9"/>
      <c r="T551" s="9"/>
      <c r="U551" s="9"/>
      <c r="V551" s="9"/>
      <c r="W551" s="9"/>
      <c r="X551" s="223"/>
      <c r="Y551" s="9"/>
      <c r="Z551" s="204"/>
      <c r="AA551" s="9"/>
      <c r="AB551" s="9"/>
      <c r="AC551" s="9"/>
      <c r="AD551" s="9"/>
    </row>
    <row r="552" ht="15.75" customHeight="1">
      <c r="A552" s="9"/>
      <c r="B552" s="9"/>
      <c r="C552" s="9"/>
      <c r="D552" s="9"/>
      <c r="E552" s="223"/>
      <c r="F552" s="9"/>
      <c r="G552" s="9"/>
      <c r="H552" s="9"/>
      <c r="I552" s="9"/>
      <c r="J552" s="9"/>
      <c r="K552" s="9"/>
      <c r="L552" s="9"/>
      <c r="M552" s="9"/>
      <c r="N552" s="9"/>
      <c r="O552" s="9"/>
      <c r="P552" s="9"/>
      <c r="Q552" s="9"/>
      <c r="R552" s="9"/>
      <c r="S552" s="9"/>
      <c r="T552" s="9"/>
      <c r="U552" s="9"/>
      <c r="V552" s="9"/>
      <c r="W552" s="9"/>
      <c r="X552" s="223"/>
      <c r="Y552" s="9"/>
      <c r="Z552" s="204"/>
      <c r="AA552" s="9"/>
      <c r="AB552" s="9"/>
      <c r="AC552" s="9"/>
      <c r="AD552" s="9"/>
    </row>
    <row r="553" ht="15.75" customHeight="1">
      <c r="A553" s="9"/>
      <c r="B553" s="9"/>
      <c r="C553" s="9"/>
      <c r="D553" s="9"/>
      <c r="E553" s="223"/>
      <c r="F553" s="9"/>
      <c r="G553" s="9"/>
      <c r="H553" s="9"/>
      <c r="I553" s="9"/>
      <c r="J553" s="9"/>
      <c r="K553" s="9"/>
      <c r="L553" s="9"/>
      <c r="M553" s="9"/>
      <c r="N553" s="9"/>
      <c r="O553" s="9"/>
      <c r="P553" s="9"/>
      <c r="Q553" s="9"/>
      <c r="R553" s="9"/>
      <c r="S553" s="9"/>
      <c r="T553" s="9"/>
      <c r="U553" s="9"/>
      <c r="V553" s="9"/>
      <c r="W553" s="9"/>
      <c r="X553" s="223"/>
      <c r="Y553" s="9"/>
      <c r="Z553" s="204"/>
      <c r="AA553" s="9"/>
      <c r="AB553" s="9"/>
      <c r="AC553" s="9"/>
      <c r="AD553" s="9"/>
    </row>
    <row r="554" ht="15.75" customHeight="1">
      <c r="A554" s="9"/>
      <c r="B554" s="9"/>
      <c r="C554" s="9"/>
      <c r="D554" s="9"/>
      <c r="E554" s="223"/>
      <c r="F554" s="9"/>
      <c r="G554" s="9"/>
      <c r="H554" s="9"/>
      <c r="I554" s="9"/>
      <c r="J554" s="9"/>
      <c r="K554" s="9"/>
      <c r="L554" s="9"/>
      <c r="M554" s="9"/>
      <c r="N554" s="9"/>
      <c r="O554" s="9"/>
      <c r="P554" s="9"/>
      <c r="Q554" s="9"/>
      <c r="R554" s="9"/>
      <c r="S554" s="9"/>
      <c r="T554" s="9"/>
      <c r="U554" s="9"/>
      <c r="V554" s="9"/>
      <c r="W554" s="9"/>
      <c r="X554" s="223"/>
      <c r="Y554" s="9"/>
      <c r="Z554" s="204"/>
      <c r="AA554" s="9"/>
      <c r="AB554" s="9"/>
      <c r="AC554" s="9"/>
      <c r="AD554" s="9"/>
    </row>
    <row r="555" ht="15.75" customHeight="1">
      <c r="A555" s="9"/>
      <c r="B555" s="9"/>
      <c r="C555" s="9"/>
      <c r="D555" s="9"/>
      <c r="E555" s="223"/>
      <c r="F555" s="9"/>
      <c r="G555" s="9"/>
      <c r="H555" s="9"/>
      <c r="I555" s="9"/>
      <c r="J555" s="9"/>
      <c r="K555" s="9"/>
      <c r="L555" s="9"/>
      <c r="M555" s="9"/>
      <c r="N555" s="9"/>
      <c r="O555" s="9"/>
      <c r="P555" s="9"/>
      <c r="Q555" s="9"/>
      <c r="R555" s="9"/>
      <c r="S555" s="9"/>
      <c r="T555" s="9"/>
      <c r="U555" s="9"/>
      <c r="V555" s="9"/>
      <c r="W555" s="9"/>
      <c r="X555" s="223"/>
      <c r="Y555" s="9"/>
      <c r="Z555" s="204"/>
      <c r="AA555" s="9"/>
      <c r="AB555" s="9"/>
      <c r="AC555" s="9"/>
      <c r="AD555" s="9"/>
    </row>
    <row r="556" ht="15.75" customHeight="1">
      <c r="A556" s="9"/>
      <c r="B556" s="9"/>
      <c r="C556" s="9"/>
      <c r="D556" s="9"/>
      <c r="E556" s="223"/>
      <c r="F556" s="9"/>
      <c r="G556" s="9"/>
      <c r="H556" s="9"/>
      <c r="I556" s="9"/>
      <c r="J556" s="9"/>
      <c r="K556" s="9"/>
      <c r="L556" s="9"/>
      <c r="M556" s="9"/>
      <c r="N556" s="9"/>
      <c r="O556" s="9"/>
      <c r="P556" s="9"/>
      <c r="Q556" s="9"/>
      <c r="R556" s="9"/>
      <c r="S556" s="9"/>
      <c r="T556" s="9"/>
      <c r="U556" s="9"/>
      <c r="V556" s="9"/>
      <c r="W556" s="9"/>
      <c r="X556" s="223"/>
      <c r="Y556" s="9"/>
      <c r="Z556" s="204"/>
      <c r="AA556" s="9"/>
      <c r="AB556" s="9"/>
      <c r="AC556" s="9"/>
      <c r="AD556" s="9"/>
    </row>
    <row r="557" ht="15.75" customHeight="1">
      <c r="A557" s="9"/>
      <c r="B557" s="9"/>
      <c r="C557" s="9"/>
      <c r="D557" s="9"/>
      <c r="E557" s="223"/>
      <c r="F557" s="9"/>
      <c r="G557" s="9"/>
      <c r="H557" s="9"/>
      <c r="I557" s="9"/>
      <c r="J557" s="9"/>
      <c r="K557" s="9"/>
      <c r="L557" s="9"/>
      <c r="M557" s="9"/>
      <c r="N557" s="9"/>
      <c r="O557" s="9"/>
      <c r="P557" s="9"/>
      <c r="Q557" s="9"/>
      <c r="R557" s="9"/>
      <c r="S557" s="9"/>
      <c r="T557" s="9"/>
      <c r="U557" s="9"/>
      <c r="V557" s="9"/>
      <c r="W557" s="9"/>
      <c r="X557" s="223"/>
      <c r="Y557" s="9"/>
      <c r="Z557" s="204"/>
      <c r="AA557" s="9"/>
      <c r="AB557" s="9"/>
      <c r="AC557" s="9"/>
      <c r="AD557" s="9"/>
    </row>
    <row r="558" ht="15.75" customHeight="1">
      <c r="A558" s="9"/>
      <c r="B558" s="9"/>
      <c r="C558" s="9"/>
      <c r="D558" s="9"/>
      <c r="E558" s="223"/>
      <c r="F558" s="9"/>
      <c r="G558" s="9"/>
      <c r="H558" s="9"/>
      <c r="I558" s="9"/>
      <c r="J558" s="9"/>
      <c r="K558" s="9"/>
      <c r="L558" s="9"/>
      <c r="M558" s="9"/>
      <c r="N558" s="9"/>
      <c r="O558" s="9"/>
      <c r="P558" s="9"/>
      <c r="Q558" s="9"/>
      <c r="R558" s="9"/>
      <c r="S558" s="9"/>
      <c r="T558" s="9"/>
      <c r="U558" s="9"/>
      <c r="V558" s="9"/>
      <c r="W558" s="9"/>
      <c r="X558" s="223"/>
      <c r="Y558" s="9"/>
      <c r="Z558" s="204"/>
      <c r="AA558" s="9"/>
      <c r="AB558" s="9"/>
      <c r="AC558" s="9"/>
      <c r="AD558" s="9"/>
    </row>
    <row r="559" ht="15.75" customHeight="1">
      <c r="A559" s="9"/>
      <c r="B559" s="9"/>
      <c r="C559" s="9"/>
      <c r="D559" s="9"/>
      <c r="E559" s="223"/>
      <c r="F559" s="9"/>
      <c r="G559" s="9"/>
      <c r="H559" s="9"/>
      <c r="I559" s="9"/>
      <c r="J559" s="9"/>
      <c r="K559" s="9"/>
      <c r="L559" s="9"/>
      <c r="M559" s="9"/>
      <c r="N559" s="9"/>
      <c r="O559" s="9"/>
      <c r="P559" s="9"/>
      <c r="Q559" s="9"/>
      <c r="R559" s="9"/>
      <c r="S559" s="9"/>
      <c r="T559" s="9"/>
      <c r="U559" s="9"/>
      <c r="V559" s="9"/>
      <c r="W559" s="9"/>
      <c r="X559" s="223"/>
      <c r="Y559" s="9"/>
      <c r="Z559" s="204"/>
      <c r="AA559" s="9"/>
      <c r="AB559" s="9"/>
      <c r="AC559" s="9"/>
      <c r="AD559" s="9"/>
    </row>
    <row r="560" ht="15.75" customHeight="1">
      <c r="A560" s="9"/>
      <c r="B560" s="9"/>
      <c r="C560" s="9"/>
      <c r="D560" s="9"/>
      <c r="E560" s="223"/>
      <c r="F560" s="9"/>
      <c r="G560" s="9"/>
      <c r="H560" s="9"/>
      <c r="I560" s="9"/>
      <c r="J560" s="9"/>
      <c r="K560" s="9"/>
      <c r="L560" s="9"/>
      <c r="M560" s="9"/>
      <c r="N560" s="9"/>
      <c r="O560" s="9"/>
      <c r="P560" s="9"/>
      <c r="Q560" s="9"/>
      <c r="R560" s="9"/>
      <c r="S560" s="9"/>
      <c r="T560" s="9"/>
      <c r="U560" s="9"/>
      <c r="V560" s="9"/>
      <c r="W560" s="9"/>
      <c r="X560" s="223"/>
      <c r="Y560" s="9"/>
      <c r="Z560" s="204"/>
      <c r="AA560" s="9"/>
      <c r="AB560" s="9"/>
      <c r="AC560" s="9"/>
      <c r="AD560" s="9"/>
    </row>
    <row r="561" ht="15.75" customHeight="1">
      <c r="A561" s="9"/>
      <c r="B561" s="9"/>
      <c r="C561" s="9"/>
      <c r="D561" s="9"/>
      <c r="E561" s="223"/>
      <c r="F561" s="9"/>
      <c r="G561" s="9"/>
      <c r="H561" s="9"/>
      <c r="I561" s="9"/>
      <c r="J561" s="9"/>
      <c r="K561" s="9"/>
      <c r="L561" s="9"/>
      <c r="M561" s="9"/>
      <c r="N561" s="9"/>
      <c r="O561" s="9"/>
      <c r="P561" s="9"/>
      <c r="Q561" s="9"/>
      <c r="R561" s="9"/>
      <c r="S561" s="9"/>
      <c r="T561" s="9"/>
      <c r="U561" s="9"/>
      <c r="V561" s="9"/>
      <c r="W561" s="9"/>
      <c r="X561" s="223"/>
      <c r="Y561" s="9"/>
      <c r="Z561" s="204"/>
      <c r="AA561" s="9"/>
      <c r="AB561" s="9"/>
      <c r="AC561" s="9"/>
      <c r="AD561" s="9"/>
    </row>
    <row r="562" ht="15.75" customHeight="1">
      <c r="A562" s="9"/>
      <c r="B562" s="9"/>
      <c r="C562" s="9"/>
      <c r="D562" s="9"/>
      <c r="E562" s="223"/>
      <c r="F562" s="9"/>
      <c r="G562" s="9"/>
      <c r="H562" s="9"/>
      <c r="I562" s="9"/>
      <c r="J562" s="9"/>
      <c r="K562" s="9"/>
      <c r="L562" s="9"/>
      <c r="M562" s="9"/>
      <c r="N562" s="9"/>
      <c r="O562" s="9"/>
      <c r="P562" s="9"/>
      <c r="Q562" s="9"/>
      <c r="R562" s="9"/>
      <c r="S562" s="9"/>
      <c r="T562" s="9"/>
      <c r="U562" s="9"/>
      <c r="V562" s="9"/>
      <c r="W562" s="9"/>
      <c r="X562" s="223"/>
      <c r="Y562" s="9"/>
      <c r="Z562" s="204"/>
      <c r="AA562" s="9"/>
      <c r="AB562" s="9"/>
      <c r="AC562" s="9"/>
      <c r="AD562" s="9"/>
    </row>
    <row r="563" ht="15.75" customHeight="1">
      <c r="A563" s="9"/>
      <c r="B563" s="9"/>
      <c r="C563" s="9"/>
      <c r="D563" s="9"/>
      <c r="E563" s="223"/>
      <c r="F563" s="9"/>
      <c r="G563" s="9"/>
      <c r="H563" s="9"/>
      <c r="I563" s="9"/>
      <c r="J563" s="9"/>
      <c r="K563" s="9"/>
      <c r="L563" s="9"/>
      <c r="M563" s="9"/>
      <c r="N563" s="9"/>
      <c r="O563" s="9"/>
      <c r="P563" s="9"/>
      <c r="Q563" s="9"/>
      <c r="R563" s="9"/>
      <c r="S563" s="9"/>
      <c r="T563" s="9"/>
      <c r="U563" s="9"/>
      <c r="V563" s="9"/>
      <c r="W563" s="9"/>
      <c r="X563" s="223"/>
      <c r="Y563" s="9"/>
      <c r="Z563" s="204"/>
      <c r="AA563" s="9"/>
      <c r="AB563" s="9"/>
      <c r="AC563" s="9"/>
      <c r="AD563" s="9"/>
    </row>
    <row r="564" ht="15.75" customHeight="1">
      <c r="A564" s="9"/>
      <c r="B564" s="9"/>
      <c r="C564" s="9"/>
      <c r="D564" s="9"/>
      <c r="E564" s="223"/>
      <c r="F564" s="9"/>
      <c r="G564" s="9"/>
      <c r="H564" s="9"/>
      <c r="I564" s="9"/>
      <c r="J564" s="9"/>
      <c r="K564" s="9"/>
      <c r="L564" s="9"/>
      <c r="M564" s="9"/>
      <c r="N564" s="9"/>
      <c r="O564" s="9"/>
      <c r="P564" s="9"/>
      <c r="Q564" s="9"/>
      <c r="R564" s="9"/>
      <c r="S564" s="9"/>
      <c r="T564" s="9"/>
      <c r="U564" s="9"/>
      <c r="V564" s="9"/>
      <c r="W564" s="9"/>
      <c r="X564" s="223"/>
      <c r="Y564" s="9"/>
      <c r="Z564" s="204"/>
      <c r="AA564" s="9"/>
      <c r="AB564" s="9"/>
      <c r="AC564" s="9"/>
      <c r="AD564" s="9"/>
    </row>
    <row r="565" ht="15.75" customHeight="1">
      <c r="A565" s="9"/>
      <c r="B565" s="9"/>
      <c r="C565" s="9"/>
      <c r="D565" s="9"/>
      <c r="E565" s="223"/>
      <c r="F565" s="9"/>
      <c r="G565" s="9"/>
      <c r="H565" s="9"/>
      <c r="I565" s="9"/>
      <c r="J565" s="9"/>
      <c r="K565" s="9"/>
      <c r="L565" s="9"/>
      <c r="M565" s="9"/>
      <c r="N565" s="9"/>
      <c r="O565" s="9"/>
      <c r="P565" s="9"/>
      <c r="Q565" s="9"/>
      <c r="R565" s="9"/>
      <c r="S565" s="9"/>
      <c r="T565" s="9"/>
      <c r="U565" s="9"/>
      <c r="V565" s="9"/>
      <c r="W565" s="9"/>
      <c r="X565" s="223"/>
      <c r="Y565" s="9"/>
      <c r="Z565" s="204"/>
      <c r="AA565" s="9"/>
      <c r="AB565" s="9"/>
      <c r="AC565" s="9"/>
      <c r="AD565" s="9"/>
    </row>
    <row r="566" ht="15.75" customHeight="1">
      <c r="A566" s="9"/>
      <c r="B566" s="9"/>
      <c r="C566" s="9"/>
      <c r="D566" s="9"/>
      <c r="E566" s="223"/>
      <c r="F566" s="9"/>
      <c r="G566" s="9"/>
      <c r="H566" s="9"/>
      <c r="I566" s="9"/>
      <c r="J566" s="9"/>
      <c r="K566" s="9"/>
      <c r="L566" s="9"/>
      <c r="M566" s="9"/>
      <c r="N566" s="9"/>
      <c r="O566" s="9"/>
      <c r="P566" s="9"/>
      <c r="Q566" s="9"/>
      <c r="R566" s="9"/>
      <c r="S566" s="9"/>
      <c r="T566" s="9"/>
      <c r="U566" s="9"/>
      <c r="V566" s="9"/>
      <c r="W566" s="9"/>
      <c r="X566" s="223"/>
      <c r="Y566" s="9"/>
      <c r="Z566" s="204"/>
      <c r="AA566" s="9"/>
      <c r="AB566" s="9"/>
      <c r="AC566" s="9"/>
      <c r="AD566" s="9"/>
    </row>
    <row r="567" ht="15.75" customHeight="1">
      <c r="A567" s="9"/>
      <c r="B567" s="9"/>
      <c r="C567" s="9"/>
      <c r="D567" s="9"/>
      <c r="E567" s="223"/>
      <c r="F567" s="9"/>
      <c r="G567" s="9"/>
      <c r="H567" s="9"/>
      <c r="I567" s="9"/>
      <c r="J567" s="9"/>
      <c r="K567" s="9"/>
      <c r="L567" s="9"/>
      <c r="M567" s="9"/>
      <c r="N567" s="9"/>
      <c r="O567" s="9"/>
      <c r="P567" s="9"/>
      <c r="Q567" s="9"/>
      <c r="R567" s="9"/>
      <c r="S567" s="9"/>
      <c r="T567" s="9"/>
      <c r="U567" s="9"/>
      <c r="V567" s="9"/>
      <c r="W567" s="9"/>
      <c r="X567" s="223"/>
      <c r="Y567" s="9"/>
      <c r="Z567" s="204"/>
      <c r="AA567" s="9"/>
      <c r="AB567" s="9"/>
      <c r="AC567" s="9"/>
      <c r="AD567" s="9"/>
    </row>
    <row r="568" ht="15.75" customHeight="1">
      <c r="A568" s="9"/>
      <c r="B568" s="9"/>
      <c r="C568" s="9"/>
      <c r="D568" s="9"/>
      <c r="E568" s="223"/>
      <c r="F568" s="9"/>
      <c r="G568" s="9"/>
      <c r="H568" s="9"/>
      <c r="I568" s="9"/>
      <c r="J568" s="9"/>
      <c r="K568" s="9"/>
      <c r="L568" s="9"/>
      <c r="M568" s="9"/>
      <c r="N568" s="9"/>
      <c r="O568" s="9"/>
      <c r="P568" s="9"/>
      <c r="Q568" s="9"/>
      <c r="R568" s="9"/>
      <c r="S568" s="9"/>
      <c r="T568" s="9"/>
      <c r="U568" s="9"/>
      <c r="V568" s="9"/>
      <c r="W568" s="9"/>
      <c r="X568" s="223"/>
      <c r="Y568" s="9"/>
      <c r="Z568" s="204"/>
      <c r="AA568" s="9"/>
      <c r="AB568" s="9"/>
      <c r="AC568" s="9"/>
      <c r="AD568" s="9"/>
    </row>
    <row r="569" ht="15.75" customHeight="1">
      <c r="A569" s="9"/>
      <c r="B569" s="9"/>
      <c r="C569" s="9"/>
      <c r="D569" s="9"/>
      <c r="E569" s="223"/>
      <c r="F569" s="9"/>
      <c r="G569" s="9"/>
      <c r="H569" s="9"/>
      <c r="I569" s="9"/>
      <c r="J569" s="9"/>
      <c r="K569" s="9"/>
      <c r="L569" s="9"/>
      <c r="M569" s="9"/>
      <c r="N569" s="9"/>
      <c r="O569" s="9"/>
      <c r="P569" s="9"/>
      <c r="Q569" s="9"/>
      <c r="R569" s="9"/>
      <c r="S569" s="9"/>
      <c r="T569" s="9"/>
      <c r="U569" s="9"/>
      <c r="V569" s="9"/>
      <c r="W569" s="9"/>
      <c r="X569" s="223"/>
      <c r="Y569" s="9"/>
      <c r="Z569" s="204"/>
      <c r="AA569" s="9"/>
      <c r="AB569" s="9"/>
      <c r="AC569" s="9"/>
      <c r="AD569" s="9"/>
    </row>
    <row r="570" ht="15.75" customHeight="1">
      <c r="A570" s="9"/>
      <c r="B570" s="9"/>
      <c r="C570" s="9"/>
      <c r="D570" s="9"/>
      <c r="E570" s="223"/>
      <c r="F570" s="9"/>
      <c r="G570" s="9"/>
      <c r="H570" s="9"/>
      <c r="I570" s="9"/>
      <c r="J570" s="9"/>
      <c r="K570" s="9"/>
      <c r="L570" s="9"/>
      <c r="M570" s="9"/>
      <c r="N570" s="9"/>
      <c r="O570" s="9"/>
      <c r="P570" s="9"/>
      <c r="Q570" s="9"/>
      <c r="R570" s="9"/>
      <c r="S570" s="9"/>
      <c r="T570" s="9"/>
      <c r="U570" s="9"/>
      <c r="V570" s="9"/>
      <c r="W570" s="9"/>
      <c r="X570" s="223"/>
      <c r="Y570" s="9"/>
      <c r="Z570" s="204"/>
      <c r="AA570" s="9"/>
      <c r="AB570" s="9"/>
      <c r="AC570" s="9"/>
      <c r="AD570" s="9"/>
    </row>
    <row r="571" ht="15.75" customHeight="1">
      <c r="A571" s="9"/>
      <c r="B571" s="9"/>
      <c r="C571" s="9"/>
      <c r="D571" s="9"/>
      <c r="E571" s="223"/>
      <c r="F571" s="9"/>
      <c r="G571" s="9"/>
      <c r="H571" s="9"/>
      <c r="I571" s="9"/>
      <c r="J571" s="9"/>
      <c r="K571" s="9"/>
      <c r="L571" s="9"/>
      <c r="M571" s="9"/>
      <c r="N571" s="9"/>
      <c r="O571" s="9"/>
      <c r="P571" s="9"/>
      <c r="Q571" s="9"/>
      <c r="R571" s="9"/>
      <c r="S571" s="9"/>
      <c r="T571" s="9"/>
      <c r="U571" s="9"/>
      <c r="V571" s="9"/>
      <c r="W571" s="9"/>
      <c r="X571" s="223"/>
      <c r="Y571" s="9"/>
      <c r="Z571" s="204"/>
      <c r="AA571" s="9"/>
      <c r="AB571" s="9"/>
      <c r="AC571" s="9"/>
      <c r="AD571" s="9"/>
    </row>
    <row r="572" ht="15.75" customHeight="1">
      <c r="A572" s="9"/>
      <c r="B572" s="9"/>
      <c r="C572" s="9"/>
      <c r="D572" s="9"/>
      <c r="E572" s="223"/>
      <c r="F572" s="9"/>
      <c r="G572" s="9"/>
      <c r="H572" s="9"/>
      <c r="I572" s="9"/>
      <c r="J572" s="9"/>
      <c r="K572" s="9"/>
      <c r="L572" s="9"/>
      <c r="M572" s="9"/>
      <c r="N572" s="9"/>
      <c r="O572" s="9"/>
      <c r="P572" s="9"/>
      <c r="Q572" s="9"/>
      <c r="R572" s="9"/>
      <c r="S572" s="9"/>
      <c r="T572" s="9"/>
      <c r="U572" s="9"/>
      <c r="V572" s="9"/>
      <c r="W572" s="9"/>
      <c r="X572" s="223"/>
      <c r="Y572" s="9"/>
      <c r="Z572" s="204"/>
      <c r="AA572" s="9"/>
      <c r="AB572" s="9"/>
      <c r="AC572" s="9"/>
      <c r="AD572" s="9"/>
    </row>
    <row r="573" ht="15.75" customHeight="1">
      <c r="A573" s="9"/>
      <c r="B573" s="9"/>
      <c r="C573" s="9"/>
      <c r="D573" s="9"/>
      <c r="E573" s="223"/>
      <c r="F573" s="9"/>
      <c r="G573" s="9"/>
      <c r="H573" s="9"/>
      <c r="I573" s="9"/>
      <c r="J573" s="9"/>
      <c r="K573" s="9"/>
      <c r="L573" s="9"/>
      <c r="M573" s="9"/>
      <c r="N573" s="9"/>
      <c r="O573" s="9"/>
      <c r="P573" s="9"/>
      <c r="Q573" s="9"/>
      <c r="R573" s="9"/>
      <c r="S573" s="9"/>
      <c r="T573" s="9"/>
      <c r="U573" s="9"/>
      <c r="V573" s="9"/>
      <c r="W573" s="9"/>
      <c r="X573" s="223"/>
      <c r="Y573" s="9"/>
      <c r="Z573" s="204"/>
      <c r="AA573" s="9"/>
      <c r="AB573" s="9"/>
      <c r="AC573" s="9"/>
      <c r="AD573" s="9"/>
    </row>
    <row r="574" ht="15.75" customHeight="1">
      <c r="A574" s="9"/>
      <c r="B574" s="9"/>
      <c r="C574" s="9"/>
      <c r="D574" s="9"/>
      <c r="E574" s="223"/>
      <c r="F574" s="9"/>
      <c r="G574" s="9"/>
      <c r="H574" s="9"/>
      <c r="I574" s="9"/>
      <c r="J574" s="9"/>
      <c r="K574" s="9"/>
      <c r="L574" s="9"/>
      <c r="M574" s="9"/>
      <c r="N574" s="9"/>
      <c r="O574" s="9"/>
      <c r="P574" s="9"/>
      <c r="Q574" s="9"/>
      <c r="R574" s="9"/>
      <c r="S574" s="9"/>
      <c r="T574" s="9"/>
      <c r="U574" s="9"/>
      <c r="V574" s="9"/>
      <c r="W574" s="9"/>
      <c r="X574" s="223"/>
      <c r="Y574" s="9"/>
      <c r="Z574" s="204"/>
      <c r="AA574" s="9"/>
      <c r="AB574" s="9"/>
      <c r="AC574" s="9"/>
      <c r="AD574" s="9"/>
    </row>
    <row r="575" ht="15.75" customHeight="1">
      <c r="A575" s="9"/>
      <c r="B575" s="9"/>
      <c r="C575" s="9"/>
      <c r="D575" s="9"/>
      <c r="E575" s="223"/>
      <c r="F575" s="9"/>
      <c r="G575" s="9"/>
      <c r="H575" s="9"/>
      <c r="I575" s="9"/>
      <c r="J575" s="9"/>
      <c r="K575" s="9"/>
      <c r="L575" s="9"/>
      <c r="M575" s="9"/>
      <c r="N575" s="9"/>
      <c r="O575" s="9"/>
      <c r="P575" s="9"/>
      <c r="Q575" s="9"/>
      <c r="R575" s="9"/>
      <c r="S575" s="9"/>
      <c r="T575" s="9"/>
      <c r="U575" s="9"/>
      <c r="V575" s="9"/>
      <c r="W575" s="9"/>
      <c r="X575" s="223"/>
      <c r="Y575" s="9"/>
      <c r="Z575" s="204"/>
      <c r="AA575" s="9"/>
      <c r="AB575" s="9"/>
      <c r="AC575" s="9"/>
      <c r="AD575" s="9"/>
    </row>
    <row r="576" ht="15.75" customHeight="1">
      <c r="A576" s="9"/>
      <c r="B576" s="9"/>
      <c r="C576" s="9"/>
      <c r="D576" s="9"/>
      <c r="E576" s="223"/>
      <c r="F576" s="9"/>
      <c r="G576" s="9"/>
      <c r="H576" s="9"/>
      <c r="I576" s="9"/>
      <c r="J576" s="9"/>
      <c r="K576" s="9"/>
      <c r="L576" s="9"/>
      <c r="M576" s="9"/>
      <c r="N576" s="9"/>
      <c r="O576" s="9"/>
      <c r="P576" s="9"/>
      <c r="Q576" s="9"/>
      <c r="R576" s="9"/>
      <c r="S576" s="9"/>
      <c r="T576" s="9"/>
      <c r="U576" s="9"/>
      <c r="V576" s="9"/>
      <c r="W576" s="9"/>
      <c r="X576" s="223"/>
      <c r="Y576" s="9"/>
      <c r="Z576" s="204"/>
      <c r="AA576" s="9"/>
      <c r="AB576" s="9"/>
      <c r="AC576" s="9"/>
      <c r="AD576" s="9"/>
    </row>
    <row r="577" ht="15.75" customHeight="1">
      <c r="A577" s="9"/>
      <c r="B577" s="9"/>
      <c r="C577" s="9"/>
      <c r="D577" s="9"/>
      <c r="E577" s="223"/>
      <c r="F577" s="9"/>
      <c r="G577" s="9"/>
      <c r="H577" s="9"/>
      <c r="I577" s="9"/>
      <c r="J577" s="9"/>
      <c r="K577" s="9"/>
      <c r="L577" s="9"/>
      <c r="M577" s="9"/>
      <c r="N577" s="9"/>
      <c r="O577" s="9"/>
      <c r="P577" s="9"/>
      <c r="Q577" s="9"/>
      <c r="R577" s="9"/>
      <c r="S577" s="9"/>
      <c r="T577" s="9"/>
      <c r="U577" s="9"/>
      <c r="V577" s="9"/>
      <c r="W577" s="9"/>
      <c r="X577" s="223"/>
      <c r="Y577" s="9"/>
      <c r="Z577" s="204"/>
      <c r="AA577" s="9"/>
      <c r="AB577" s="9"/>
      <c r="AC577" s="9"/>
      <c r="AD577" s="9"/>
    </row>
    <row r="578" ht="15.75" customHeight="1">
      <c r="A578" s="9"/>
      <c r="B578" s="9"/>
      <c r="C578" s="9"/>
      <c r="D578" s="9"/>
      <c r="E578" s="223"/>
      <c r="F578" s="9"/>
      <c r="G578" s="9"/>
      <c r="H578" s="9"/>
      <c r="I578" s="9"/>
      <c r="J578" s="9"/>
      <c r="K578" s="9"/>
      <c r="L578" s="9"/>
      <c r="M578" s="9"/>
      <c r="N578" s="9"/>
      <c r="O578" s="9"/>
      <c r="P578" s="9"/>
      <c r="Q578" s="9"/>
      <c r="R578" s="9"/>
      <c r="S578" s="9"/>
      <c r="T578" s="9"/>
      <c r="U578" s="9"/>
      <c r="V578" s="9"/>
      <c r="W578" s="9"/>
      <c r="X578" s="223"/>
      <c r="Y578" s="9"/>
      <c r="Z578" s="204"/>
      <c r="AA578" s="9"/>
      <c r="AB578" s="9"/>
      <c r="AC578" s="9"/>
      <c r="AD578" s="9"/>
    </row>
    <row r="579" ht="15.75" customHeight="1">
      <c r="A579" s="9"/>
      <c r="B579" s="9"/>
      <c r="C579" s="9"/>
      <c r="D579" s="9"/>
      <c r="E579" s="223"/>
      <c r="F579" s="9"/>
      <c r="G579" s="9"/>
      <c r="H579" s="9"/>
      <c r="I579" s="9"/>
      <c r="J579" s="9"/>
      <c r="K579" s="9"/>
      <c r="L579" s="9"/>
      <c r="M579" s="9"/>
      <c r="N579" s="9"/>
      <c r="O579" s="9"/>
      <c r="P579" s="9"/>
      <c r="Q579" s="9"/>
      <c r="R579" s="9"/>
      <c r="S579" s="9"/>
      <c r="T579" s="9"/>
      <c r="U579" s="9"/>
      <c r="V579" s="9"/>
      <c r="W579" s="9"/>
      <c r="X579" s="223"/>
      <c r="Y579" s="9"/>
      <c r="Z579" s="204"/>
      <c r="AA579" s="9"/>
      <c r="AB579" s="9"/>
      <c r="AC579" s="9"/>
      <c r="AD579" s="9"/>
    </row>
    <row r="580" ht="15.75" customHeight="1">
      <c r="A580" s="9"/>
      <c r="B580" s="9"/>
      <c r="C580" s="9"/>
      <c r="D580" s="9"/>
      <c r="E580" s="223"/>
      <c r="F580" s="9"/>
      <c r="G580" s="9"/>
      <c r="H580" s="9"/>
      <c r="I580" s="9"/>
      <c r="J580" s="9"/>
      <c r="K580" s="9"/>
      <c r="L580" s="9"/>
      <c r="M580" s="9"/>
      <c r="N580" s="9"/>
      <c r="O580" s="9"/>
      <c r="P580" s="9"/>
      <c r="Q580" s="9"/>
      <c r="R580" s="9"/>
      <c r="S580" s="9"/>
      <c r="T580" s="9"/>
      <c r="U580" s="9"/>
      <c r="V580" s="9"/>
      <c r="W580" s="9"/>
      <c r="X580" s="223"/>
      <c r="Y580" s="9"/>
      <c r="Z580" s="204"/>
      <c r="AA580" s="9"/>
      <c r="AB580" s="9"/>
      <c r="AC580" s="9"/>
      <c r="AD580" s="9"/>
    </row>
    <row r="581" ht="15.75" customHeight="1">
      <c r="A581" s="9"/>
      <c r="B581" s="9"/>
      <c r="C581" s="9"/>
      <c r="D581" s="9"/>
      <c r="E581" s="223"/>
      <c r="F581" s="9"/>
      <c r="G581" s="9"/>
      <c r="H581" s="9"/>
      <c r="I581" s="9"/>
      <c r="J581" s="9"/>
      <c r="K581" s="9"/>
      <c r="L581" s="9"/>
      <c r="M581" s="9"/>
      <c r="N581" s="9"/>
      <c r="O581" s="9"/>
      <c r="P581" s="9"/>
      <c r="Q581" s="9"/>
      <c r="R581" s="9"/>
      <c r="S581" s="9"/>
      <c r="T581" s="9"/>
      <c r="U581" s="9"/>
      <c r="V581" s="9"/>
      <c r="W581" s="9"/>
      <c r="X581" s="223"/>
      <c r="Y581" s="9"/>
      <c r="Z581" s="204"/>
      <c r="AA581" s="9"/>
      <c r="AB581" s="9"/>
      <c r="AC581" s="9"/>
      <c r="AD581" s="9"/>
    </row>
    <row r="582" ht="15.75" customHeight="1">
      <c r="A582" s="9"/>
      <c r="B582" s="9"/>
      <c r="C582" s="9"/>
      <c r="D582" s="9"/>
      <c r="E582" s="223"/>
      <c r="F582" s="9"/>
      <c r="G582" s="9"/>
      <c r="H582" s="9"/>
      <c r="I582" s="9"/>
      <c r="J582" s="9"/>
      <c r="K582" s="9"/>
      <c r="L582" s="9"/>
      <c r="M582" s="9"/>
      <c r="N582" s="9"/>
      <c r="O582" s="9"/>
      <c r="P582" s="9"/>
      <c r="Q582" s="9"/>
      <c r="R582" s="9"/>
      <c r="S582" s="9"/>
      <c r="T582" s="9"/>
      <c r="U582" s="9"/>
      <c r="V582" s="9"/>
      <c r="W582" s="9"/>
      <c r="X582" s="223"/>
      <c r="Y582" s="9"/>
      <c r="Z582" s="204"/>
      <c r="AA582" s="9"/>
      <c r="AB582" s="9"/>
      <c r="AC582" s="9"/>
      <c r="AD582" s="9"/>
    </row>
    <row r="583" ht="15.75" customHeight="1">
      <c r="A583" s="9"/>
      <c r="B583" s="9"/>
      <c r="C583" s="9"/>
      <c r="D583" s="9"/>
      <c r="E583" s="223"/>
      <c r="F583" s="9"/>
      <c r="G583" s="9"/>
      <c r="H583" s="9"/>
      <c r="I583" s="9"/>
      <c r="J583" s="9"/>
      <c r="K583" s="9"/>
      <c r="L583" s="9"/>
      <c r="M583" s="9"/>
      <c r="N583" s="9"/>
      <c r="O583" s="9"/>
      <c r="P583" s="9"/>
      <c r="Q583" s="9"/>
      <c r="R583" s="9"/>
      <c r="S583" s="9"/>
      <c r="T583" s="9"/>
      <c r="U583" s="9"/>
      <c r="V583" s="9"/>
      <c r="W583" s="9"/>
      <c r="X583" s="223"/>
      <c r="Y583" s="9"/>
      <c r="Z583" s="204"/>
      <c r="AA583" s="9"/>
      <c r="AB583" s="9"/>
      <c r="AC583" s="9"/>
      <c r="AD583" s="9"/>
    </row>
    <row r="584" ht="15.75" customHeight="1">
      <c r="A584" s="9"/>
      <c r="B584" s="9"/>
      <c r="C584" s="9"/>
      <c r="D584" s="9"/>
      <c r="E584" s="223"/>
      <c r="F584" s="9"/>
      <c r="G584" s="9"/>
      <c r="H584" s="9"/>
      <c r="I584" s="9"/>
      <c r="J584" s="9"/>
      <c r="K584" s="9"/>
      <c r="L584" s="9"/>
      <c r="M584" s="9"/>
      <c r="N584" s="9"/>
      <c r="O584" s="9"/>
      <c r="P584" s="9"/>
      <c r="Q584" s="9"/>
      <c r="R584" s="9"/>
      <c r="S584" s="9"/>
      <c r="T584" s="9"/>
      <c r="U584" s="9"/>
      <c r="V584" s="9"/>
      <c r="W584" s="9"/>
      <c r="X584" s="223"/>
      <c r="Y584" s="9"/>
      <c r="Z584" s="204"/>
      <c r="AA584" s="9"/>
      <c r="AB584" s="9"/>
      <c r="AC584" s="9"/>
      <c r="AD584" s="9"/>
    </row>
    <row r="585" ht="15.75" customHeight="1">
      <c r="A585" s="9"/>
      <c r="B585" s="9"/>
      <c r="C585" s="9"/>
      <c r="D585" s="9"/>
      <c r="E585" s="223"/>
      <c r="F585" s="9"/>
      <c r="G585" s="9"/>
      <c r="H585" s="9"/>
      <c r="I585" s="9"/>
      <c r="J585" s="9"/>
      <c r="K585" s="9"/>
      <c r="L585" s="9"/>
      <c r="M585" s="9"/>
      <c r="N585" s="9"/>
      <c r="O585" s="9"/>
      <c r="P585" s="9"/>
      <c r="Q585" s="9"/>
      <c r="R585" s="9"/>
      <c r="S585" s="9"/>
      <c r="T585" s="9"/>
      <c r="U585" s="9"/>
      <c r="V585" s="9"/>
      <c r="W585" s="9"/>
      <c r="X585" s="223"/>
      <c r="Y585" s="9"/>
      <c r="Z585" s="204"/>
      <c r="AA585" s="9"/>
      <c r="AB585" s="9"/>
      <c r="AC585" s="9"/>
      <c r="AD585" s="9"/>
    </row>
    <row r="586" ht="15.75" customHeight="1">
      <c r="A586" s="9"/>
      <c r="B586" s="9"/>
      <c r="C586" s="9"/>
      <c r="D586" s="9"/>
      <c r="E586" s="223"/>
      <c r="F586" s="9"/>
      <c r="G586" s="9"/>
      <c r="H586" s="9"/>
      <c r="I586" s="9"/>
      <c r="J586" s="9"/>
      <c r="K586" s="9"/>
      <c r="L586" s="9"/>
      <c r="M586" s="9"/>
      <c r="N586" s="9"/>
      <c r="O586" s="9"/>
      <c r="P586" s="9"/>
      <c r="Q586" s="9"/>
      <c r="R586" s="9"/>
      <c r="S586" s="9"/>
      <c r="T586" s="9"/>
      <c r="U586" s="9"/>
      <c r="V586" s="9"/>
      <c r="W586" s="9"/>
      <c r="X586" s="223"/>
      <c r="Y586" s="9"/>
      <c r="Z586" s="204"/>
      <c r="AA586" s="9"/>
      <c r="AB586" s="9"/>
      <c r="AC586" s="9"/>
      <c r="AD586" s="9"/>
    </row>
    <row r="587" ht="15.75" customHeight="1">
      <c r="A587" s="9"/>
      <c r="B587" s="9"/>
      <c r="C587" s="9"/>
      <c r="D587" s="9"/>
      <c r="E587" s="223"/>
      <c r="F587" s="9"/>
      <c r="G587" s="9"/>
      <c r="H587" s="9"/>
      <c r="I587" s="9"/>
      <c r="J587" s="9"/>
      <c r="K587" s="9"/>
      <c r="L587" s="9"/>
      <c r="M587" s="9"/>
      <c r="N587" s="9"/>
      <c r="O587" s="9"/>
      <c r="P587" s="9"/>
      <c r="Q587" s="9"/>
      <c r="R587" s="9"/>
      <c r="S587" s="9"/>
      <c r="T587" s="9"/>
      <c r="U587" s="9"/>
      <c r="V587" s="9"/>
      <c r="W587" s="9"/>
      <c r="X587" s="223"/>
      <c r="Y587" s="9"/>
      <c r="Z587" s="204"/>
      <c r="AA587" s="9"/>
      <c r="AB587" s="9"/>
      <c r="AC587" s="9"/>
      <c r="AD587" s="9"/>
    </row>
    <row r="588" ht="15.75" customHeight="1">
      <c r="A588" s="9"/>
      <c r="B588" s="9"/>
      <c r="C588" s="9"/>
      <c r="D588" s="9"/>
      <c r="E588" s="223"/>
      <c r="F588" s="9"/>
      <c r="G588" s="9"/>
      <c r="H588" s="9"/>
      <c r="I588" s="9"/>
      <c r="J588" s="9"/>
      <c r="K588" s="9"/>
      <c r="L588" s="9"/>
      <c r="M588" s="9"/>
      <c r="N588" s="9"/>
      <c r="O588" s="9"/>
      <c r="P588" s="9"/>
      <c r="Q588" s="9"/>
      <c r="R588" s="9"/>
      <c r="S588" s="9"/>
      <c r="T588" s="9"/>
      <c r="U588" s="9"/>
      <c r="V588" s="9"/>
      <c r="W588" s="9"/>
      <c r="X588" s="223"/>
      <c r="Y588" s="9"/>
      <c r="Z588" s="204"/>
      <c r="AA588" s="9"/>
      <c r="AB588" s="9"/>
      <c r="AC588" s="9"/>
      <c r="AD588" s="9"/>
    </row>
    <row r="589" ht="15.75" customHeight="1">
      <c r="A589" s="9"/>
      <c r="B589" s="9"/>
      <c r="C589" s="9"/>
      <c r="D589" s="9"/>
      <c r="E589" s="223"/>
      <c r="F589" s="9"/>
      <c r="G589" s="9"/>
      <c r="H589" s="9"/>
      <c r="I589" s="9"/>
      <c r="J589" s="9"/>
      <c r="K589" s="9"/>
      <c r="L589" s="9"/>
      <c r="M589" s="9"/>
      <c r="N589" s="9"/>
      <c r="O589" s="9"/>
      <c r="P589" s="9"/>
      <c r="Q589" s="9"/>
      <c r="R589" s="9"/>
      <c r="S589" s="9"/>
      <c r="T589" s="9"/>
      <c r="U589" s="9"/>
      <c r="V589" s="9"/>
      <c r="W589" s="9"/>
      <c r="X589" s="223"/>
      <c r="Y589" s="9"/>
      <c r="Z589" s="204"/>
      <c r="AA589" s="9"/>
      <c r="AB589" s="9"/>
      <c r="AC589" s="9"/>
      <c r="AD589" s="9"/>
    </row>
    <row r="590" ht="15.75" customHeight="1">
      <c r="A590" s="9"/>
      <c r="B590" s="9"/>
      <c r="C590" s="9"/>
      <c r="D590" s="9"/>
      <c r="E590" s="223"/>
      <c r="F590" s="9"/>
      <c r="G590" s="9"/>
      <c r="H590" s="9"/>
      <c r="I590" s="9"/>
      <c r="J590" s="9"/>
      <c r="K590" s="9"/>
      <c r="L590" s="9"/>
      <c r="M590" s="9"/>
      <c r="N590" s="9"/>
      <c r="O590" s="9"/>
      <c r="P590" s="9"/>
      <c r="Q590" s="9"/>
      <c r="R590" s="9"/>
      <c r="S590" s="9"/>
      <c r="T590" s="9"/>
      <c r="U590" s="9"/>
      <c r="V590" s="9"/>
      <c r="W590" s="9"/>
      <c r="X590" s="223"/>
      <c r="Y590" s="9"/>
      <c r="Z590" s="204"/>
      <c r="AA590" s="9"/>
      <c r="AB590" s="9"/>
      <c r="AC590" s="9"/>
      <c r="AD590" s="9"/>
    </row>
    <row r="591" ht="15.75" customHeight="1">
      <c r="A591" s="9"/>
      <c r="B591" s="9"/>
      <c r="C591" s="9"/>
      <c r="D591" s="9"/>
      <c r="E591" s="223"/>
      <c r="F591" s="9"/>
      <c r="G591" s="9"/>
      <c r="H591" s="9"/>
      <c r="I591" s="9"/>
      <c r="J591" s="9"/>
      <c r="K591" s="9"/>
      <c r="L591" s="9"/>
      <c r="M591" s="9"/>
      <c r="N591" s="9"/>
      <c r="O591" s="9"/>
      <c r="P591" s="9"/>
      <c r="Q591" s="9"/>
      <c r="R591" s="9"/>
      <c r="S591" s="9"/>
      <c r="T591" s="9"/>
      <c r="U591" s="9"/>
      <c r="V591" s="9"/>
      <c r="W591" s="9"/>
      <c r="X591" s="223"/>
      <c r="Y591" s="9"/>
      <c r="Z591" s="204"/>
      <c r="AA591" s="9"/>
      <c r="AB591" s="9"/>
      <c r="AC591" s="9"/>
      <c r="AD591" s="9"/>
    </row>
    <row r="592" ht="15.75" customHeight="1">
      <c r="A592" s="9"/>
      <c r="B592" s="9"/>
      <c r="C592" s="9"/>
      <c r="D592" s="9"/>
      <c r="E592" s="223"/>
      <c r="F592" s="9"/>
      <c r="G592" s="9"/>
      <c r="H592" s="9"/>
      <c r="I592" s="9"/>
      <c r="J592" s="9"/>
      <c r="K592" s="9"/>
      <c r="L592" s="9"/>
      <c r="M592" s="9"/>
      <c r="N592" s="9"/>
      <c r="O592" s="9"/>
      <c r="P592" s="9"/>
      <c r="Q592" s="9"/>
      <c r="R592" s="9"/>
      <c r="S592" s="9"/>
      <c r="T592" s="9"/>
      <c r="U592" s="9"/>
      <c r="V592" s="9"/>
      <c r="W592" s="9"/>
      <c r="X592" s="223"/>
      <c r="Y592" s="9"/>
      <c r="Z592" s="204"/>
      <c r="AA592" s="9"/>
      <c r="AB592" s="9"/>
      <c r="AC592" s="9"/>
      <c r="AD592" s="9"/>
    </row>
    <row r="593" ht="15.75" customHeight="1">
      <c r="A593" s="9"/>
      <c r="B593" s="9"/>
      <c r="C593" s="9"/>
      <c r="D593" s="9"/>
      <c r="E593" s="223"/>
      <c r="F593" s="9"/>
      <c r="G593" s="9"/>
      <c r="H593" s="9"/>
      <c r="I593" s="9"/>
      <c r="J593" s="9"/>
      <c r="K593" s="9"/>
      <c r="L593" s="9"/>
      <c r="M593" s="9"/>
      <c r="N593" s="9"/>
      <c r="O593" s="9"/>
      <c r="P593" s="9"/>
      <c r="Q593" s="9"/>
      <c r="R593" s="9"/>
      <c r="S593" s="9"/>
      <c r="T593" s="9"/>
      <c r="U593" s="9"/>
      <c r="V593" s="9"/>
      <c r="W593" s="9"/>
      <c r="X593" s="223"/>
      <c r="Y593" s="9"/>
      <c r="Z593" s="204"/>
      <c r="AA593" s="9"/>
      <c r="AB593" s="9"/>
      <c r="AC593" s="9"/>
      <c r="AD593" s="9"/>
    </row>
    <row r="594" ht="15.75" customHeight="1">
      <c r="A594" s="9"/>
      <c r="B594" s="9"/>
      <c r="C594" s="9"/>
      <c r="D594" s="9"/>
      <c r="E594" s="223"/>
      <c r="F594" s="9"/>
      <c r="G594" s="9"/>
      <c r="H594" s="9"/>
      <c r="I594" s="9"/>
      <c r="J594" s="9"/>
      <c r="K594" s="9"/>
      <c r="L594" s="9"/>
      <c r="M594" s="9"/>
      <c r="N594" s="9"/>
      <c r="O594" s="9"/>
      <c r="P594" s="9"/>
      <c r="Q594" s="9"/>
      <c r="R594" s="9"/>
      <c r="S594" s="9"/>
      <c r="T594" s="9"/>
      <c r="U594" s="9"/>
      <c r="V594" s="9"/>
      <c r="W594" s="9"/>
      <c r="X594" s="223"/>
      <c r="Y594" s="9"/>
      <c r="Z594" s="204"/>
      <c r="AA594" s="9"/>
      <c r="AB594" s="9"/>
      <c r="AC594" s="9"/>
      <c r="AD594" s="9"/>
    </row>
    <row r="595" ht="15.75" customHeight="1">
      <c r="A595" s="9"/>
      <c r="B595" s="9"/>
      <c r="C595" s="9"/>
      <c r="D595" s="9"/>
      <c r="E595" s="223"/>
      <c r="F595" s="9"/>
      <c r="G595" s="9"/>
      <c r="H595" s="9"/>
      <c r="I595" s="9"/>
      <c r="J595" s="9"/>
      <c r="K595" s="9"/>
      <c r="L595" s="9"/>
      <c r="M595" s="9"/>
      <c r="N595" s="9"/>
      <c r="O595" s="9"/>
      <c r="P595" s="9"/>
      <c r="Q595" s="9"/>
      <c r="R595" s="9"/>
      <c r="S595" s="9"/>
      <c r="T595" s="9"/>
      <c r="U595" s="9"/>
      <c r="V595" s="9"/>
      <c r="W595" s="9"/>
      <c r="X595" s="223"/>
      <c r="Y595" s="9"/>
      <c r="Z595" s="204"/>
      <c r="AA595" s="9"/>
      <c r="AB595" s="9"/>
      <c r="AC595" s="9"/>
      <c r="AD595" s="9"/>
    </row>
    <row r="596" ht="15.75" customHeight="1">
      <c r="A596" s="9"/>
      <c r="B596" s="9"/>
      <c r="C596" s="9"/>
      <c r="D596" s="9"/>
      <c r="E596" s="223"/>
      <c r="F596" s="9"/>
      <c r="G596" s="9"/>
      <c r="H596" s="9"/>
      <c r="I596" s="9"/>
      <c r="J596" s="9"/>
      <c r="K596" s="9"/>
      <c r="L596" s="9"/>
      <c r="M596" s="9"/>
      <c r="N596" s="9"/>
      <c r="O596" s="9"/>
      <c r="P596" s="9"/>
      <c r="Q596" s="9"/>
      <c r="R596" s="9"/>
      <c r="S596" s="9"/>
      <c r="T596" s="9"/>
      <c r="U596" s="9"/>
      <c r="V596" s="9"/>
      <c r="W596" s="9"/>
      <c r="X596" s="223"/>
      <c r="Y596" s="9"/>
      <c r="Z596" s="204"/>
      <c r="AA596" s="9"/>
      <c r="AB596" s="9"/>
      <c r="AC596" s="9"/>
      <c r="AD596" s="9"/>
    </row>
    <row r="597" ht="15.75" customHeight="1">
      <c r="A597" s="9"/>
      <c r="B597" s="9"/>
      <c r="C597" s="9"/>
      <c r="D597" s="9"/>
      <c r="E597" s="223"/>
      <c r="F597" s="9"/>
      <c r="G597" s="9"/>
      <c r="H597" s="9"/>
      <c r="I597" s="9"/>
      <c r="J597" s="9"/>
      <c r="K597" s="9"/>
      <c r="L597" s="9"/>
      <c r="M597" s="9"/>
      <c r="N597" s="9"/>
      <c r="O597" s="9"/>
      <c r="P597" s="9"/>
      <c r="Q597" s="9"/>
      <c r="R597" s="9"/>
      <c r="S597" s="9"/>
      <c r="T597" s="9"/>
      <c r="U597" s="9"/>
      <c r="V597" s="9"/>
      <c r="W597" s="9"/>
      <c r="X597" s="223"/>
      <c r="Y597" s="9"/>
      <c r="Z597" s="204"/>
      <c r="AA597" s="9"/>
      <c r="AB597" s="9"/>
      <c r="AC597" s="9"/>
      <c r="AD597" s="9"/>
    </row>
    <row r="598" ht="15.75" customHeight="1">
      <c r="A598" s="9"/>
      <c r="B598" s="9"/>
      <c r="C598" s="9"/>
      <c r="D598" s="9"/>
      <c r="E598" s="223"/>
      <c r="F598" s="9"/>
      <c r="G598" s="9"/>
      <c r="H598" s="9"/>
      <c r="I598" s="9"/>
      <c r="J598" s="9"/>
      <c r="K598" s="9"/>
      <c r="L598" s="9"/>
      <c r="M598" s="9"/>
      <c r="N598" s="9"/>
      <c r="O598" s="9"/>
      <c r="P598" s="9"/>
      <c r="Q598" s="9"/>
      <c r="R598" s="9"/>
      <c r="S598" s="9"/>
      <c r="T598" s="9"/>
      <c r="U598" s="9"/>
      <c r="V598" s="9"/>
      <c r="W598" s="9"/>
      <c r="X598" s="223"/>
      <c r="Y598" s="9"/>
      <c r="Z598" s="204"/>
      <c r="AA598" s="9"/>
      <c r="AB598" s="9"/>
      <c r="AC598" s="9"/>
      <c r="AD598" s="9"/>
    </row>
    <row r="599" ht="15.75" customHeight="1">
      <c r="A599" s="9"/>
      <c r="B599" s="9"/>
      <c r="C599" s="9"/>
      <c r="D599" s="9"/>
      <c r="E599" s="223"/>
      <c r="F599" s="9"/>
      <c r="G599" s="9"/>
      <c r="H599" s="9"/>
      <c r="I599" s="9"/>
      <c r="J599" s="9"/>
      <c r="K599" s="9"/>
      <c r="L599" s="9"/>
      <c r="M599" s="9"/>
      <c r="N599" s="9"/>
      <c r="O599" s="9"/>
      <c r="P599" s="9"/>
      <c r="Q599" s="9"/>
      <c r="R599" s="9"/>
      <c r="S599" s="9"/>
      <c r="T599" s="9"/>
      <c r="U599" s="9"/>
      <c r="V599" s="9"/>
      <c r="W599" s="9"/>
      <c r="X599" s="223"/>
      <c r="Y599" s="9"/>
      <c r="Z599" s="204"/>
      <c r="AA599" s="9"/>
      <c r="AB599" s="9"/>
      <c r="AC599" s="9"/>
      <c r="AD599" s="9"/>
    </row>
    <row r="600" ht="15.75" customHeight="1">
      <c r="A600" s="9"/>
      <c r="B600" s="9"/>
      <c r="C600" s="9"/>
      <c r="D600" s="9"/>
      <c r="E600" s="223"/>
      <c r="F600" s="9"/>
      <c r="G600" s="9"/>
      <c r="H600" s="9"/>
      <c r="I600" s="9"/>
      <c r="J600" s="9"/>
      <c r="K600" s="9"/>
      <c r="L600" s="9"/>
      <c r="M600" s="9"/>
      <c r="N600" s="9"/>
      <c r="O600" s="9"/>
      <c r="P600" s="9"/>
      <c r="Q600" s="9"/>
      <c r="R600" s="9"/>
      <c r="S600" s="9"/>
      <c r="T600" s="9"/>
      <c r="U600" s="9"/>
      <c r="V600" s="9"/>
      <c r="W600" s="9"/>
      <c r="X600" s="223"/>
      <c r="Y600" s="9"/>
      <c r="Z600" s="204"/>
      <c r="AA600" s="9"/>
      <c r="AB600" s="9"/>
      <c r="AC600" s="9"/>
      <c r="AD600" s="9"/>
    </row>
    <row r="601" ht="15.75" customHeight="1">
      <c r="A601" s="9"/>
      <c r="B601" s="9"/>
      <c r="C601" s="9"/>
      <c r="D601" s="9"/>
      <c r="E601" s="223"/>
      <c r="F601" s="9"/>
      <c r="G601" s="9"/>
      <c r="H601" s="9"/>
      <c r="I601" s="9"/>
      <c r="J601" s="9"/>
      <c r="K601" s="9"/>
      <c r="L601" s="9"/>
      <c r="M601" s="9"/>
      <c r="N601" s="9"/>
      <c r="O601" s="9"/>
      <c r="P601" s="9"/>
      <c r="Q601" s="9"/>
      <c r="R601" s="9"/>
      <c r="S601" s="9"/>
      <c r="T601" s="9"/>
      <c r="U601" s="9"/>
      <c r="V601" s="9"/>
      <c r="W601" s="9"/>
      <c r="X601" s="223"/>
      <c r="Y601" s="9"/>
      <c r="Z601" s="204"/>
      <c r="AA601" s="9"/>
      <c r="AB601" s="9"/>
      <c r="AC601" s="9"/>
      <c r="AD601" s="9"/>
    </row>
    <row r="602" ht="15.75" customHeight="1">
      <c r="A602" s="9"/>
      <c r="B602" s="9"/>
      <c r="C602" s="9"/>
      <c r="D602" s="9"/>
      <c r="E602" s="223"/>
      <c r="F602" s="9"/>
      <c r="G602" s="9"/>
      <c r="H602" s="9"/>
      <c r="I602" s="9"/>
      <c r="J602" s="9"/>
      <c r="K602" s="9"/>
      <c r="L602" s="9"/>
      <c r="M602" s="9"/>
      <c r="N602" s="9"/>
      <c r="O602" s="9"/>
      <c r="P602" s="9"/>
      <c r="Q602" s="9"/>
      <c r="R602" s="9"/>
      <c r="S602" s="9"/>
      <c r="T602" s="9"/>
      <c r="U602" s="9"/>
      <c r="V602" s="9"/>
      <c r="W602" s="9"/>
      <c r="X602" s="223"/>
      <c r="Y602" s="9"/>
      <c r="Z602" s="204"/>
      <c r="AA602" s="9"/>
      <c r="AB602" s="9"/>
      <c r="AC602" s="9"/>
      <c r="AD602" s="9"/>
    </row>
    <row r="603" ht="15.75" customHeight="1">
      <c r="A603" s="9"/>
      <c r="B603" s="9"/>
      <c r="C603" s="9"/>
      <c r="D603" s="9"/>
      <c r="E603" s="223"/>
      <c r="F603" s="9"/>
      <c r="G603" s="9"/>
      <c r="H603" s="9"/>
      <c r="I603" s="9"/>
      <c r="J603" s="9"/>
      <c r="K603" s="9"/>
      <c r="L603" s="9"/>
      <c r="M603" s="9"/>
      <c r="N603" s="9"/>
      <c r="O603" s="9"/>
      <c r="P603" s="9"/>
      <c r="Q603" s="9"/>
      <c r="R603" s="9"/>
      <c r="S603" s="9"/>
      <c r="T603" s="9"/>
      <c r="U603" s="9"/>
      <c r="V603" s="9"/>
      <c r="W603" s="9"/>
      <c r="X603" s="223"/>
      <c r="Y603" s="9"/>
      <c r="Z603" s="204"/>
      <c r="AA603" s="9"/>
      <c r="AB603" s="9"/>
      <c r="AC603" s="9"/>
      <c r="AD603" s="9"/>
    </row>
    <row r="604" ht="15.75" customHeight="1">
      <c r="A604" s="9"/>
      <c r="B604" s="9"/>
      <c r="C604" s="9"/>
      <c r="D604" s="9"/>
      <c r="E604" s="223"/>
      <c r="F604" s="9"/>
      <c r="G604" s="9"/>
      <c r="H604" s="9"/>
      <c r="I604" s="9"/>
      <c r="J604" s="9"/>
      <c r="K604" s="9"/>
      <c r="L604" s="9"/>
      <c r="M604" s="9"/>
      <c r="N604" s="9"/>
      <c r="O604" s="9"/>
      <c r="P604" s="9"/>
      <c r="Q604" s="9"/>
      <c r="R604" s="9"/>
      <c r="S604" s="9"/>
      <c r="T604" s="9"/>
      <c r="U604" s="9"/>
      <c r="V604" s="9"/>
      <c r="W604" s="9"/>
      <c r="X604" s="223"/>
      <c r="Y604" s="9"/>
      <c r="Z604" s="204"/>
      <c r="AA604" s="9"/>
      <c r="AB604" s="9"/>
      <c r="AC604" s="9"/>
      <c r="AD604" s="9"/>
    </row>
    <row r="605" ht="15.75" customHeight="1">
      <c r="A605" s="9"/>
      <c r="B605" s="9"/>
      <c r="C605" s="9"/>
      <c r="D605" s="9"/>
      <c r="E605" s="223"/>
      <c r="F605" s="9"/>
      <c r="G605" s="9"/>
      <c r="H605" s="9"/>
      <c r="I605" s="9"/>
      <c r="J605" s="9"/>
      <c r="K605" s="9"/>
      <c r="L605" s="9"/>
      <c r="M605" s="9"/>
      <c r="N605" s="9"/>
      <c r="O605" s="9"/>
      <c r="P605" s="9"/>
      <c r="Q605" s="9"/>
      <c r="R605" s="9"/>
      <c r="S605" s="9"/>
      <c r="T605" s="9"/>
      <c r="U605" s="9"/>
      <c r="V605" s="9"/>
      <c r="W605" s="9"/>
      <c r="X605" s="223"/>
      <c r="Y605" s="9"/>
      <c r="Z605" s="204"/>
      <c r="AA605" s="9"/>
      <c r="AB605" s="9"/>
      <c r="AC605" s="9"/>
      <c r="AD605" s="9"/>
    </row>
    <row r="606" ht="15.75" customHeight="1">
      <c r="A606" s="9"/>
      <c r="B606" s="9"/>
      <c r="C606" s="9"/>
      <c r="D606" s="9"/>
      <c r="E606" s="223"/>
      <c r="F606" s="9"/>
      <c r="G606" s="9"/>
      <c r="H606" s="9"/>
      <c r="I606" s="9"/>
      <c r="J606" s="9"/>
      <c r="K606" s="9"/>
      <c r="L606" s="9"/>
      <c r="M606" s="9"/>
      <c r="N606" s="9"/>
      <c r="O606" s="9"/>
      <c r="P606" s="9"/>
      <c r="Q606" s="9"/>
      <c r="R606" s="9"/>
      <c r="S606" s="9"/>
      <c r="T606" s="9"/>
      <c r="U606" s="9"/>
      <c r="V606" s="9"/>
      <c r="W606" s="9"/>
      <c r="X606" s="223"/>
      <c r="Y606" s="9"/>
      <c r="Z606" s="204"/>
      <c r="AA606" s="9"/>
      <c r="AB606" s="9"/>
      <c r="AC606" s="9"/>
      <c r="AD606" s="9"/>
    </row>
    <row r="607" ht="15.75" customHeight="1">
      <c r="A607" s="9"/>
      <c r="B607" s="9"/>
      <c r="C607" s="9"/>
      <c r="D607" s="9"/>
      <c r="E607" s="223"/>
      <c r="F607" s="9"/>
      <c r="G607" s="9"/>
      <c r="H607" s="9"/>
      <c r="I607" s="9"/>
      <c r="J607" s="9"/>
      <c r="K607" s="9"/>
      <c r="L607" s="9"/>
      <c r="M607" s="9"/>
      <c r="N607" s="9"/>
      <c r="O607" s="9"/>
      <c r="P607" s="9"/>
      <c r="Q607" s="9"/>
      <c r="R607" s="9"/>
      <c r="S607" s="9"/>
      <c r="T607" s="9"/>
      <c r="U607" s="9"/>
      <c r="V607" s="9"/>
      <c r="W607" s="9"/>
      <c r="X607" s="223"/>
      <c r="Y607" s="9"/>
      <c r="Z607" s="204"/>
      <c r="AA607" s="9"/>
      <c r="AB607" s="9"/>
      <c r="AC607" s="9"/>
      <c r="AD607" s="9"/>
    </row>
    <row r="608" ht="15.75" customHeight="1">
      <c r="A608" s="9"/>
      <c r="B608" s="9"/>
      <c r="C608" s="9"/>
      <c r="D608" s="9"/>
      <c r="E608" s="223"/>
      <c r="F608" s="9"/>
      <c r="G608" s="9"/>
      <c r="H608" s="9"/>
      <c r="I608" s="9"/>
      <c r="J608" s="9"/>
      <c r="K608" s="9"/>
      <c r="L608" s="9"/>
      <c r="M608" s="9"/>
      <c r="N608" s="9"/>
      <c r="O608" s="9"/>
      <c r="P608" s="9"/>
      <c r="Q608" s="9"/>
      <c r="R608" s="9"/>
      <c r="S608" s="9"/>
      <c r="T608" s="9"/>
      <c r="U608" s="9"/>
      <c r="V608" s="9"/>
      <c r="W608" s="9"/>
      <c r="X608" s="223"/>
      <c r="Y608" s="9"/>
      <c r="Z608" s="204"/>
      <c r="AA608" s="9"/>
      <c r="AB608" s="9"/>
      <c r="AC608" s="9"/>
      <c r="AD608" s="9"/>
    </row>
    <row r="609" ht="15.75" customHeight="1">
      <c r="A609" s="9"/>
      <c r="B609" s="9"/>
      <c r="C609" s="9"/>
      <c r="D609" s="9"/>
      <c r="E609" s="223"/>
      <c r="F609" s="9"/>
      <c r="G609" s="9"/>
      <c r="H609" s="9"/>
      <c r="I609" s="9"/>
      <c r="J609" s="9"/>
      <c r="K609" s="9"/>
      <c r="L609" s="9"/>
      <c r="M609" s="9"/>
      <c r="N609" s="9"/>
      <c r="O609" s="9"/>
      <c r="P609" s="9"/>
      <c r="Q609" s="9"/>
      <c r="R609" s="9"/>
      <c r="S609" s="9"/>
      <c r="T609" s="9"/>
      <c r="U609" s="9"/>
      <c r="V609" s="9"/>
      <c r="W609" s="9"/>
      <c r="X609" s="223"/>
      <c r="Y609" s="9"/>
      <c r="Z609" s="204"/>
      <c r="AA609" s="9"/>
      <c r="AB609" s="9"/>
      <c r="AC609" s="9"/>
      <c r="AD609" s="9"/>
    </row>
    <row r="610" ht="15.75" customHeight="1">
      <c r="A610" s="9"/>
      <c r="B610" s="9"/>
      <c r="C610" s="9"/>
      <c r="D610" s="9"/>
      <c r="E610" s="223"/>
      <c r="F610" s="9"/>
      <c r="G610" s="9"/>
      <c r="H610" s="9"/>
      <c r="I610" s="9"/>
      <c r="J610" s="9"/>
      <c r="K610" s="9"/>
      <c r="L610" s="9"/>
      <c r="M610" s="9"/>
      <c r="N610" s="9"/>
      <c r="O610" s="9"/>
      <c r="P610" s="9"/>
      <c r="Q610" s="9"/>
      <c r="R610" s="9"/>
      <c r="S610" s="9"/>
      <c r="T610" s="9"/>
      <c r="U610" s="9"/>
      <c r="V610" s="9"/>
      <c r="W610" s="9"/>
      <c r="X610" s="223"/>
      <c r="Y610" s="9"/>
      <c r="Z610" s="204"/>
      <c r="AA610" s="9"/>
      <c r="AB610" s="9"/>
      <c r="AC610" s="9"/>
      <c r="AD610" s="9"/>
    </row>
    <row r="611" ht="15.75" customHeight="1">
      <c r="A611" s="9"/>
      <c r="B611" s="9"/>
      <c r="C611" s="9"/>
      <c r="D611" s="9"/>
      <c r="E611" s="223"/>
      <c r="F611" s="9"/>
      <c r="G611" s="9"/>
      <c r="H611" s="9"/>
      <c r="I611" s="9"/>
      <c r="J611" s="9"/>
      <c r="K611" s="9"/>
      <c r="L611" s="9"/>
      <c r="M611" s="9"/>
      <c r="N611" s="9"/>
      <c r="O611" s="9"/>
      <c r="P611" s="9"/>
      <c r="Q611" s="9"/>
      <c r="R611" s="9"/>
      <c r="S611" s="9"/>
      <c r="T611" s="9"/>
      <c r="U611" s="9"/>
      <c r="V611" s="9"/>
      <c r="W611" s="9"/>
      <c r="X611" s="223"/>
      <c r="Y611" s="9"/>
      <c r="Z611" s="204"/>
      <c r="AA611" s="9"/>
      <c r="AB611" s="9"/>
      <c r="AC611" s="9"/>
      <c r="AD611" s="9"/>
    </row>
    <row r="612" ht="15.75" customHeight="1">
      <c r="A612" s="9"/>
      <c r="B612" s="9"/>
      <c r="C612" s="9"/>
      <c r="D612" s="9"/>
      <c r="E612" s="223"/>
      <c r="F612" s="9"/>
      <c r="G612" s="9"/>
      <c r="H612" s="9"/>
      <c r="I612" s="9"/>
      <c r="J612" s="9"/>
      <c r="K612" s="9"/>
      <c r="L612" s="9"/>
      <c r="M612" s="9"/>
      <c r="N612" s="9"/>
      <c r="O612" s="9"/>
      <c r="P612" s="9"/>
      <c r="Q612" s="9"/>
      <c r="R612" s="9"/>
      <c r="S612" s="9"/>
      <c r="T612" s="9"/>
      <c r="U612" s="9"/>
      <c r="V612" s="9"/>
      <c r="W612" s="9"/>
      <c r="X612" s="223"/>
      <c r="Y612" s="9"/>
      <c r="Z612" s="204"/>
      <c r="AA612" s="9"/>
      <c r="AB612" s="9"/>
      <c r="AC612" s="9"/>
      <c r="AD612" s="9"/>
    </row>
    <row r="613" ht="15.75" customHeight="1">
      <c r="A613" s="9"/>
      <c r="B613" s="9"/>
      <c r="C613" s="9"/>
      <c r="D613" s="9"/>
      <c r="E613" s="223"/>
      <c r="F613" s="9"/>
      <c r="G613" s="9"/>
      <c r="H613" s="9"/>
      <c r="I613" s="9"/>
      <c r="J613" s="9"/>
      <c r="K613" s="9"/>
      <c r="L613" s="9"/>
      <c r="M613" s="9"/>
      <c r="N613" s="9"/>
      <c r="O613" s="9"/>
      <c r="P613" s="9"/>
      <c r="Q613" s="9"/>
      <c r="R613" s="9"/>
      <c r="S613" s="9"/>
      <c r="T613" s="9"/>
      <c r="U613" s="9"/>
      <c r="V613" s="9"/>
      <c r="W613" s="9"/>
      <c r="X613" s="223"/>
      <c r="Y613" s="9"/>
      <c r="Z613" s="204"/>
      <c r="AA613" s="9"/>
      <c r="AB613" s="9"/>
      <c r="AC613" s="9"/>
      <c r="AD613" s="9"/>
    </row>
    <row r="614" ht="15.75" customHeight="1">
      <c r="A614" s="9"/>
      <c r="B614" s="9"/>
      <c r="C614" s="9"/>
      <c r="D614" s="9"/>
      <c r="E614" s="223"/>
      <c r="F614" s="9"/>
      <c r="G614" s="9"/>
      <c r="H614" s="9"/>
      <c r="I614" s="9"/>
      <c r="J614" s="9"/>
      <c r="K614" s="9"/>
      <c r="L614" s="9"/>
      <c r="M614" s="9"/>
      <c r="N614" s="9"/>
      <c r="O614" s="9"/>
      <c r="P614" s="9"/>
      <c r="Q614" s="9"/>
      <c r="R614" s="9"/>
      <c r="S614" s="9"/>
      <c r="T614" s="9"/>
      <c r="U614" s="9"/>
      <c r="V614" s="9"/>
      <c r="W614" s="9"/>
      <c r="X614" s="223"/>
      <c r="Y614" s="9"/>
      <c r="Z614" s="204"/>
      <c r="AA614" s="9"/>
      <c r="AB614" s="9"/>
      <c r="AC614" s="9"/>
      <c r="AD614" s="9"/>
    </row>
    <row r="615" ht="15.75" customHeight="1">
      <c r="A615" s="9"/>
      <c r="B615" s="9"/>
      <c r="C615" s="9"/>
      <c r="D615" s="9"/>
      <c r="E615" s="223"/>
      <c r="F615" s="9"/>
      <c r="G615" s="9"/>
      <c r="H615" s="9"/>
      <c r="I615" s="9"/>
      <c r="J615" s="9"/>
      <c r="K615" s="9"/>
      <c r="L615" s="9"/>
      <c r="M615" s="9"/>
      <c r="N615" s="9"/>
      <c r="O615" s="9"/>
      <c r="P615" s="9"/>
      <c r="Q615" s="9"/>
      <c r="R615" s="9"/>
      <c r="S615" s="9"/>
      <c r="T615" s="9"/>
      <c r="U615" s="9"/>
      <c r="V615" s="9"/>
      <c r="W615" s="9"/>
      <c r="X615" s="223"/>
      <c r="Y615" s="9"/>
      <c r="Z615" s="204"/>
      <c r="AA615" s="9"/>
      <c r="AB615" s="9"/>
      <c r="AC615" s="9"/>
      <c r="AD615" s="9"/>
    </row>
    <row r="616" ht="15.75" customHeight="1">
      <c r="A616" s="9"/>
      <c r="B616" s="9"/>
      <c r="C616" s="9"/>
      <c r="D616" s="9"/>
      <c r="E616" s="223"/>
      <c r="F616" s="9"/>
      <c r="G616" s="9"/>
      <c r="H616" s="9"/>
      <c r="I616" s="9"/>
      <c r="J616" s="9"/>
      <c r="K616" s="9"/>
      <c r="L616" s="9"/>
      <c r="M616" s="9"/>
      <c r="N616" s="9"/>
      <c r="O616" s="9"/>
      <c r="P616" s="9"/>
      <c r="Q616" s="9"/>
      <c r="R616" s="9"/>
      <c r="S616" s="9"/>
      <c r="T616" s="9"/>
      <c r="U616" s="9"/>
      <c r="V616" s="9"/>
      <c r="W616" s="9"/>
      <c r="X616" s="223"/>
      <c r="Y616" s="9"/>
      <c r="Z616" s="204"/>
      <c r="AA616" s="9"/>
      <c r="AB616" s="9"/>
      <c r="AC616" s="9"/>
      <c r="AD616" s="9"/>
    </row>
    <row r="617" ht="15.75" customHeight="1">
      <c r="A617" s="9"/>
      <c r="B617" s="9"/>
      <c r="C617" s="9"/>
      <c r="D617" s="9"/>
      <c r="E617" s="223"/>
      <c r="F617" s="9"/>
      <c r="G617" s="9"/>
      <c r="H617" s="9"/>
      <c r="I617" s="9"/>
      <c r="J617" s="9"/>
      <c r="K617" s="9"/>
      <c r="L617" s="9"/>
      <c r="M617" s="9"/>
      <c r="N617" s="9"/>
      <c r="O617" s="9"/>
      <c r="P617" s="9"/>
      <c r="Q617" s="9"/>
      <c r="R617" s="9"/>
      <c r="S617" s="9"/>
      <c r="T617" s="9"/>
      <c r="U617" s="9"/>
      <c r="V617" s="9"/>
      <c r="W617" s="9"/>
      <c r="X617" s="223"/>
      <c r="Y617" s="9"/>
      <c r="Z617" s="204"/>
      <c r="AA617" s="9"/>
      <c r="AB617" s="9"/>
      <c r="AC617" s="9"/>
      <c r="AD617" s="9"/>
    </row>
    <row r="618" ht="15.75" customHeight="1">
      <c r="A618" s="9"/>
      <c r="B618" s="9"/>
      <c r="C618" s="9"/>
      <c r="D618" s="9"/>
      <c r="E618" s="223"/>
      <c r="F618" s="9"/>
      <c r="G618" s="9"/>
      <c r="H618" s="9"/>
      <c r="I618" s="9"/>
      <c r="J618" s="9"/>
      <c r="K618" s="9"/>
      <c r="L618" s="9"/>
      <c r="M618" s="9"/>
      <c r="N618" s="9"/>
      <c r="O618" s="9"/>
      <c r="P618" s="9"/>
      <c r="Q618" s="9"/>
      <c r="R618" s="9"/>
      <c r="S618" s="9"/>
      <c r="T618" s="9"/>
      <c r="U618" s="9"/>
      <c r="V618" s="9"/>
      <c r="W618" s="9"/>
      <c r="X618" s="223"/>
      <c r="Y618" s="9"/>
      <c r="Z618" s="204"/>
      <c r="AA618" s="9"/>
      <c r="AB618" s="9"/>
      <c r="AC618" s="9"/>
      <c r="AD618" s="9"/>
    </row>
    <row r="619" ht="15.75" customHeight="1">
      <c r="A619" s="9"/>
      <c r="B619" s="9"/>
      <c r="C619" s="9"/>
      <c r="D619" s="9"/>
      <c r="E619" s="223"/>
      <c r="F619" s="9"/>
      <c r="G619" s="9"/>
      <c r="H619" s="9"/>
      <c r="I619" s="9"/>
      <c r="J619" s="9"/>
      <c r="K619" s="9"/>
      <c r="L619" s="9"/>
      <c r="M619" s="9"/>
      <c r="N619" s="9"/>
      <c r="O619" s="9"/>
      <c r="P619" s="9"/>
      <c r="Q619" s="9"/>
      <c r="R619" s="9"/>
      <c r="S619" s="9"/>
      <c r="T619" s="9"/>
      <c r="U619" s="9"/>
      <c r="V619" s="9"/>
      <c r="W619" s="9"/>
      <c r="X619" s="223"/>
      <c r="Y619" s="9"/>
      <c r="Z619" s="204"/>
      <c r="AA619" s="9"/>
      <c r="AB619" s="9"/>
      <c r="AC619" s="9"/>
      <c r="AD619" s="9"/>
    </row>
    <row r="620" ht="15.75" customHeight="1">
      <c r="A620" s="9"/>
      <c r="B620" s="9"/>
      <c r="C620" s="9"/>
      <c r="D620" s="9"/>
      <c r="E620" s="223"/>
      <c r="F620" s="9"/>
      <c r="G620" s="9"/>
      <c r="H620" s="9"/>
      <c r="I620" s="9"/>
      <c r="J620" s="9"/>
      <c r="K620" s="9"/>
      <c r="L620" s="9"/>
      <c r="M620" s="9"/>
      <c r="N620" s="9"/>
      <c r="O620" s="9"/>
      <c r="P620" s="9"/>
      <c r="Q620" s="9"/>
      <c r="R620" s="9"/>
      <c r="S620" s="9"/>
      <c r="T620" s="9"/>
      <c r="U620" s="9"/>
      <c r="V620" s="9"/>
      <c r="W620" s="9"/>
      <c r="X620" s="223"/>
      <c r="Y620" s="9"/>
      <c r="Z620" s="204"/>
      <c r="AA620" s="9"/>
      <c r="AB620" s="9"/>
      <c r="AC620" s="9"/>
      <c r="AD620" s="9"/>
    </row>
    <row r="621" ht="15.75" customHeight="1">
      <c r="A621" s="9"/>
      <c r="B621" s="9"/>
      <c r="C621" s="9"/>
      <c r="D621" s="9"/>
      <c r="E621" s="223"/>
      <c r="F621" s="9"/>
      <c r="G621" s="9"/>
      <c r="H621" s="9"/>
      <c r="I621" s="9"/>
      <c r="J621" s="9"/>
      <c r="K621" s="9"/>
      <c r="L621" s="9"/>
      <c r="M621" s="9"/>
      <c r="N621" s="9"/>
      <c r="O621" s="9"/>
      <c r="P621" s="9"/>
      <c r="Q621" s="9"/>
      <c r="R621" s="9"/>
      <c r="S621" s="9"/>
      <c r="T621" s="9"/>
      <c r="U621" s="9"/>
      <c r="V621" s="9"/>
      <c r="W621" s="9"/>
      <c r="X621" s="223"/>
      <c r="Y621" s="9"/>
      <c r="Z621" s="204"/>
      <c r="AA621" s="9"/>
      <c r="AB621" s="9"/>
      <c r="AC621" s="9"/>
      <c r="AD621" s="9"/>
    </row>
    <row r="622" ht="15.75" customHeight="1">
      <c r="A622" s="9"/>
      <c r="B622" s="9"/>
      <c r="C622" s="9"/>
      <c r="D622" s="9"/>
      <c r="E622" s="223"/>
      <c r="F622" s="9"/>
      <c r="G622" s="9"/>
      <c r="H622" s="9"/>
      <c r="I622" s="9"/>
      <c r="J622" s="9"/>
      <c r="K622" s="9"/>
      <c r="L622" s="9"/>
      <c r="M622" s="9"/>
      <c r="N622" s="9"/>
      <c r="O622" s="9"/>
      <c r="P622" s="9"/>
      <c r="Q622" s="9"/>
      <c r="R622" s="9"/>
      <c r="S622" s="9"/>
      <c r="T622" s="9"/>
      <c r="U622" s="9"/>
      <c r="V622" s="9"/>
      <c r="W622" s="9"/>
      <c r="X622" s="223"/>
      <c r="Y622" s="9"/>
      <c r="Z622" s="204"/>
      <c r="AA622" s="9"/>
      <c r="AB622" s="9"/>
      <c r="AC622" s="9"/>
      <c r="AD622" s="9"/>
    </row>
    <row r="623" ht="15.75" customHeight="1">
      <c r="A623" s="9"/>
      <c r="B623" s="9"/>
      <c r="C623" s="9"/>
      <c r="D623" s="9"/>
      <c r="E623" s="223"/>
      <c r="F623" s="9"/>
      <c r="G623" s="9"/>
      <c r="H623" s="9"/>
      <c r="I623" s="9"/>
      <c r="J623" s="9"/>
      <c r="K623" s="9"/>
      <c r="L623" s="9"/>
      <c r="M623" s="9"/>
      <c r="N623" s="9"/>
      <c r="O623" s="9"/>
      <c r="P623" s="9"/>
      <c r="Q623" s="9"/>
      <c r="R623" s="9"/>
      <c r="S623" s="9"/>
      <c r="T623" s="9"/>
      <c r="U623" s="9"/>
      <c r="V623" s="9"/>
      <c r="W623" s="9"/>
      <c r="X623" s="223"/>
      <c r="Y623" s="9"/>
      <c r="Z623" s="204"/>
      <c r="AA623" s="9"/>
      <c r="AB623" s="9"/>
      <c r="AC623" s="9"/>
      <c r="AD623" s="9"/>
    </row>
    <row r="624" ht="15.75" customHeight="1">
      <c r="A624" s="9"/>
      <c r="B624" s="9"/>
      <c r="C624" s="9"/>
      <c r="D624" s="9"/>
      <c r="E624" s="223"/>
      <c r="F624" s="9"/>
      <c r="G624" s="9"/>
      <c r="H624" s="9"/>
      <c r="I624" s="9"/>
      <c r="J624" s="9"/>
      <c r="K624" s="9"/>
      <c r="L624" s="9"/>
      <c r="M624" s="9"/>
      <c r="N624" s="9"/>
      <c r="O624" s="9"/>
      <c r="P624" s="9"/>
      <c r="Q624" s="9"/>
      <c r="R624" s="9"/>
      <c r="S624" s="9"/>
      <c r="T624" s="9"/>
      <c r="U624" s="9"/>
      <c r="V624" s="9"/>
      <c r="W624" s="9"/>
      <c r="X624" s="223"/>
      <c r="Y624" s="9"/>
      <c r="Z624" s="204"/>
      <c r="AA624" s="9"/>
      <c r="AB624" s="9"/>
      <c r="AC624" s="9"/>
      <c r="AD624" s="9"/>
    </row>
    <row r="625" ht="15.75" customHeight="1">
      <c r="A625" s="9"/>
      <c r="B625" s="9"/>
      <c r="C625" s="9"/>
      <c r="D625" s="9"/>
      <c r="E625" s="223"/>
      <c r="F625" s="9"/>
      <c r="G625" s="9"/>
      <c r="H625" s="9"/>
      <c r="I625" s="9"/>
      <c r="J625" s="9"/>
      <c r="K625" s="9"/>
      <c r="L625" s="9"/>
      <c r="M625" s="9"/>
      <c r="N625" s="9"/>
      <c r="O625" s="9"/>
      <c r="P625" s="9"/>
      <c r="Q625" s="9"/>
      <c r="R625" s="9"/>
      <c r="S625" s="9"/>
      <c r="T625" s="9"/>
      <c r="U625" s="9"/>
      <c r="V625" s="9"/>
      <c r="W625" s="9"/>
      <c r="X625" s="223"/>
      <c r="Y625" s="9"/>
      <c r="Z625" s="204"/>
      <c r="AA625" s="9"/>
      <c r="AB625" s="9"/>
      <c r="AC625" s="9"/>
      <c r="AD625" s="9"/>
    </row>
    <row r="626" ht="15.75" customHeight="1">
      <c r="A626" s="9"/>
      <c r="B626" s="9"/>
      <c r="C626" s="9"/>
      <c r="D626" s="9"/>
      <c r="E626" s="223"/>
      <c r="F626" s="9"/>
      <c r="G626" s="9"/>
      <c r="H626" s="9"/>
      <c r="I626" s="9"/>
      <c r="J626" s="9"/>
      <c r="K626" s="9"/>
      <c r="L626" s="9"/>
      <c r="M626" s="9"/>
      <c r="N626" s="9"/>
      <c r="O626" s="9"/>
      <c r="P626" s="9"/>
      <c r="Q626" s="9"/>
      <c r="R626" s="9"/>
      <c r="S626" s="9"/>
      <c r="T626" s="9"/>
      <c r="U626" s="9"/>
      <c r="V626" s="9"/>
      <c r="W626" s="9"/>
      <c r="X626" s="223"/>
      <c r="Y626" s="9"/>
      <c r="Z626" s="204"/>
      <c r="AA626" s="9"/>
      <c r="AB626" s="9"/>
      <c r="AC626" s="9"/>
      <c r="AD626" s="9"/>
    </row>
    <row r="627" ht="15.75" customHeight="1">
      <c r="A627" s="9"/>
      <c r="B627" s="9"/>
      <c r="C627" s="9"/>
      <c r="D627" s="9"/>
      <c r="E627" s="223"/>
      <c r="F627" s="9"/>
      <c r="G627" s="9"/>
      <c r="H627" s="9"/>
      <c r="I627" s="9"/>
      <c r="J627" s="9"/>
      <c r="K627" s="9"/>
      <c r="L627" s="9"/>
      <c r="M627" s="9"/>
      <c r="N627" s="9"/>
      <c r="O627" s="9"/>
      <c r="P627" s="9"/>
      <c r="Q627" s="9"/>
      <c r="R627" s="9"/>
      <c r="S627" s="9"/>
      <c r="T627" s="9"/>
      <c r="U627" s="9"/>
      <c r="V627" s="9"/>
      <c r="W627" s="9"/>
      <c r="X627" s="223"/>
      <c r="Y627" s="9"/>
      <c r="Z627" s="204"/>
      <c r="AA627" s="9"/>
      <c r="AB627" s="9"/>
      <c r="AC627" s="9"/>
      <c r="AD627" s="9"/>
    </row>
    <row r="628" ht="15.75" customHeight="1">
      <c r="A628" s="9"/>
      <c r="B628" s="9"/>
      <c r="C628" s="9"/>
      <c r="D628" s="9"/>
      <c r="E628" s="223"/>
      <c r="F628" s="9"/>
      <c r="G628" s="9"/>
      <c r="H628" s="9"/>
      <c r="I628" s="9"/>
      <c r="J628" s="9"/>
      <c r="K628" s="9"/>
      <c r="L628" s="9"/>
      <c r="M628" s="9"/>
      <c r="N628" s="9"/>
      <c r="O628" s="9"/>
      <c r="P628" s="9"/>
      <c r="Q628" s="9"/>
      <c r="R628" s="9"/>
      <c r="S628" s="9"/>
      <c r="T628" s="9"/>
      <c r="U628" s="9"/>
      <c r="V628" s="9"/>
      <c r="W628" s="9"/>
      <c r="X628" s="223"/>
      <c r="Y628" s="9"/>
      <c r="Z628" s="204"/>
      <c r="AA628" s="9"/>
      <c r="AB628" s="9"/>
      <c r="AC628" s="9"/>
      <c r="AD628" s="9"/>
    </row>
    <row r="629" ht="15.75" customHeight="1">
      <c r="A629" s="9"/>
      <c r="B629" s="9"/>
      <c r="C629" s="9"/>
      <c r="D629" s="9"/>
      <c r="E629" s="223"/>
      <c r="F629" s="9"/>
      <c r="G629" s="9"/>
      <c r="H629" s="9"/>
      <c r="I629" s="9"/>
      <c r="J629" s="9"/>
      <c r="K629" s="9"/>
      <c r="L629" s="9"/>
      <c r="M629" s="9"/>
      <c r="N629" s="9"/>
      <c r="O629" s="9"/>
      <c r="P629" s="9"/>
      <c r="Q629" s="9"/>
      <c r="R629" s="9"/>
      <c r="S629" s="9"/>
      <c r="T629" s="9"/>
      <c r="U629" s="9"/>
      <c r="V629" s="9"/>
      <c r="W629" s="9"/>
      <c r="X629" s="223"/>
      <c r="Y629" s="9"/>
      <c r="Z629" s="204"/>
      <c r="AA629" s="9"/>
      <c r="AB629" s="9"/>
      <c r="AC629" s="9"/>
      <c r="AD629" s="9"/>
    </row>
    <row r="630" ht="15.75" customHeight="1">
      <c r="A630" s="9"/>
      <c r="B630" s="9"/>
      <c r="C630" s="9"/>
      <c r="D630" s="9"/>
      <c r="E630" s="223"/>
      <c r="F630" s="9"/>
      <c r="G630" s="9"/>
      <c r="H630" s="9"/>
      <c r="I630" s="9"/>
      <c r="J630" s="9"/>
      <c r="K630" s="9"/>
      <c r="L630" s="9"/>
      <c r="M630" s="9"/>
      <c r="N630" s="9"/>
      <c r="O630" s="9"/>
      <c r="P630" s="9"/>
      <c r="Q630" s="9"/>
      <c r="R630" s="9"/>
      <c r="S630" s="9"/>
      <c r="T630" s="9"/>
      <c r="U630" s="9"/>
      <c r="V630" s="9"/>
      <c r="W630" s="9"/>
      <c r="X630" s="223"/>
      <c r="Y630" s="9"/>
      <c r="Z630" s="204"/>
      <c r="AA630" s="9"/>
      <c r="AB630" s="9"/>
      <c r="AC630" s="9"/>
      <c r="AD630" s="9"/>
    </row>
    <row r="631" ht="15.75" customHeight="1">
      <c r="A631" s="9"/>
      <c r="B631" s="9"/>
      <c r="C631" s="9"/>
      <c r="D631" s="9"/>
      <c r="E631" s="223"/>
      <c r="F631" s="9"/>
      <c r="G631" s="9"/>
      <c r="H631" s="9"/>
      <c r="I631" s="9"/>
      <c r="J631" s="9"/>
      <c r="K631" s="9"/>
      <c r="L631" s="9"/>
      <c r="M631" s="9"/>
      <c r="N631" s="9"/>
      <c r="O631" s="9"/>
      <c r="P631" s="9"/>
      <c r="Q631" s="9"/>
      <c r="R631" s="9"/>
      <c r="S631" s="9"/>
      <c r="T631" s="9"/>
      <c r="U631" s="9"/>
      <c r="V631" s="9"/>
      <c r="W631" s="9"/>
      <c r="X631" s="223"/>
      <c r="Y631" s="9"/>
      <c r="Z631" s="204"/>
      <c r="AA631" s="9"/>
      <c r="AB631" s="9"/>
      <c r="AC631" s="9"/>
      <c r="AD631" s="9"/>
    </row>
    <row r="632" ht="15.75" customHeight="1">
      <c r="A632" s="9"/>
      <c r="B632" s="9"/>
      <c r="C632" s="9"/>
      <c r="D632" s="9"/>
      <c r="E632" s="223"/>
      <c r="F632" s="9"/>
      <c r="G632" s="9"/>
      <c r="H632" s="9"/>
      <c r="I632" s="9"/>
      <c r="J632" s="9"/>
      <c r="K632" s="9"/>
      <c r="L632" s="9"/>
      <c r="M632" s="9"/>
      <c r="N632" s="9"/>
      <c r="O632" s="9"/>
      <c r="P632" s="9"/>
      <c r="Q632" s="9"/>
      <c r="R632" s="9"/>
      <c r="S632" s="9"/>
      <c r="T632" s="9"/>
      <c r="U632" s="9"/>
      <c r="V632" s="9"/>
      <c r="W632" s="9"/>
      <c r="X632" s="223"/>
      <c r="Y632" s="9"/>
      <c r="Z632" s="204"/>
      <c r="AA632" s="9"/>
      <c r="AB632" s="9"/>
      <c r="AC632" s="9"/>
      <c r="AD632" s="9"/>
    </row>
    <row r="633" ht="15.75" customHeight="1">
      <c r="A633" s="9"/>
      <c r="B633" s="9"/>
      <c r="C633" s="9"/>
      <c r="D633" s="9"/>
      <c r="E633" s="223"/>
      <c r="F633" s="9"/>
      <c r="G633" s="9"/>
      <c r="H633" s="9"/>
      <c r="I633" s="9"/>
      <c r="J633" s="9"/>
      <c r="K633" s="9"/>
      <c r="L633" s="9"/>
      <c r="M633" s="9"/>
      <c r="N633" s="9"/>
      <c r="O633" s="9"/>
      <c r="P633" s="9"/>
      <c r="Q633" s="9"/>
      <c r="R633" s="9"/>
      <c r="S633" s="9"/>
      <c r="T633" s="9"/>
      <c r="U633" s="9"/>
      <c r="V633" s="9"/>
      <c r="W633" s="9"/>
      <c r="X633" s="223"/>
      <c r="Y633" s="9"/>
      <c r="Z633" s="204"/>
      <c r="AA633" s="9"/>
      <c r="AB633" s="9"/>
      <c r="AC633" s="9"/>
      <c r="AD633" s="9"/>
    </row>
    <row r="634" ht="15.75" customHeight="1">
      <c r="A634" s="9"/>
      <c r="B634" s="9"/>
      <c r="C634" s="9"/>
      <c r="D634" s="9"/>
      <c r="E634" s="223"/>
      <c r="F634" s="9"/>
      <c r="G634" s="9"/>
      <c r="H634" s="9"/>
      <c r="I634" s="9"/>
      <c r="J634" s="9"/>
      <c r="K634" s="9"/>
      <c r="L634" s="9"/>
      <c r="M634" s="9"/>
      <c r="N634" s="9"/>
      <c r="O634" s="9"/>
      <c r="P634" s="9"/>
      <c r="Q634" s="9"/>
      <c r="R634" s="9"/>
      <c r="S634" s="9"/>
      <c r="T634" s="9"/>
      <c r="U634" s="9"/>
      <c r="V634" s="9"/>
      <c r="W634" s="9"/>
      <c r="X634" s="223"/>
      <c r="Y634" s="9"/>
      <c r="Z634" s="204"/>
      <c r="AA634" s="9"/>
      <c r="AB634" s="9"/>
      <c r="AC634" s="9"/>
      <c r="AD634" s="9"/>
    </row>
    <row r="635" ht="15.75" customHeight="1">
      <c r="A635" s="9"/>
      <c r="B635" s="9"/>
      <c r="C635" s="9"/>
      <c r="D635" s="9"/>
      <c r="E635" s="223"/>
      <c r="F635" s="9"/>
      <c r="G635" s="9"/>
      <c r="H635" s="9"/>
      <c r="I635" s="9"/>
      <c r="J635" s="9"/>
      <c r="K635" s="9"/>
      <c r="L635" s="9"/>
      <c r="M635" s="9"/>
      <c r="N635" s="9"/>
      <c r="O635" s="9"/>
      <c r="P635" s="9"/>
      <c r="Q635" s="9"/>
      <c r="R635" s="9"/>
      <c r="S635" s="9"/>
      <c r="T635" s="9"/>
      <c r="U635" s="9"/>
      <c r="V635" s="9"/>
      <c r="W635" s="9"/>
      <c r="X635" s="223"/>
      <c r="Y635" s="9"/>
      <c r="Z635" s="204"/>
      <c r="AA635" s="9"/>
      <c r="AB635" s="9"/>
      <c r="AC635" s="9"/>
      <c r="AD635" s="9"/>
    </row>
    <row r="636" ht="15.75" customHeight="1">
      <c r="A636" s="9"/>
      <c r="B636" s="9"/>
      <c r="C636" s="9"/>
      <c r="D636" s="9"/>
      <c r="E636" s="223"/>
      <c r="F636" s="9"/>
      <c r="G636" s="9"/>
      <c r="H636" s="9"/>
      <c r="I636" s="9"/>
      <c r="J636" s="9"/>
      <c r="K636" s="9"/>
      <c r="L636" s="9"/>
      <c r="M636" s="9"/>
      <c r="N636" s="9"/>
      <c r="O636" s="9"/>
      <c r="P636" s="9"/>
      <c r="Q636" s="9"/>
      <c r="R636" s="9"/>
      <c r="S636" s="9"/>
      <c r="T636" s="9"/>
      <c r="U636" s="9"/>
      <c r="V636" s="9"/>
      <c r="W636" s="9"/>
      <c r="X636" s="223"/>
      <c r="Y636" s="9"/>
      <c r="Z636" s="204"/>
      <c r="AA636" s="9"/>
      <c r="AB636" s="9"/>
      <c r="AC636" s="9"/>
      <c r="AD636" s="9"/>
    </row>
    <row r="637" ht="15.75" customHeight="1">
      <c r="A637" s="9"/>
      <c r="B637" s="9"/>
      <c r="C637" s="9"/>
      <c r="D637" s="9"/>
      <c r="E637" s="223"/>
      <c r="F637" s="9"/>
      <c r="G637" s="9"/>
      <c r="H637" s="9"/>
      <c r="I637" s="9"/>
      <c r="J637" s="9"/>
      <c r="K637" s="9"/>
      <c r="L637" s="9"/>
      <c r="M637" s="9"/>
      <c r="N637" s="9"/>
      <c r="O637" s="9"/>
      <c r="P637" s="9"/>
      <c r="Q637" s="9"/>
      <c r="R637" s="9"/>
      <c r="S637" s="9"/>
      <c r="T637" s="9"/>
      <c r="U637" s="9"/>
      <c r="V637" s="9"/>
      <c r="W637" s="9"/>
      <c r="X637" s="223"/>
      <c r="Y637" s="9"/>
      <c r="Z637" s="204"/>
      <c r="AA637" s="9"/>
      <c r="AB637" s="9"/>
      <c r="AC637" s="9"/>
      <c r="AD637" s="9"/>
    </row>
    <row r="638" ht="15.75" customHeight="1">
      <c r="A638" s="9"/>
      <c r="B638" s="9"/>
      <c r="C638" s="9"/>
      <c r="D638" s="9"/>
      <c r="E638" s="223"/>
      <c r="F638" s="9"/>
      <c r="G638" s="9"/>
      <c r="H638" s="9"/>
      <c r="I638" s="9"/>
      <c r="J638" s="9"/>
      <c r="K638" s="9"/>
      <c r="L638" s="9"/>
      <c r="M638" s="9"/>
      <c r="N638" s="9"/>
      <c r="O638" s="9"/>
      <c r="P638" s="9"/>
      <c r="Q638" s="9"/>
      <c r="R638" s="9"/>
      <c r="S638" s="9"/>
      <c r="T638" s="9"/>
      <c r="U638" s="9"/>
      <c r="V638" s="9"/>
      <c r="W638" s="9"/>
      <c r="X638" s="223"/>
      <c r="Y638" s="9"/>
      <c r="Z638" s="204"/>
      <c r="AA638" s="9"/>
      <c r="AB638" s="9"/>
      <c r="AC638" s="9"/>
      <c r="AD638" s="9"/>
    </row>
    <row r="639" ht="15.75" customHeight="1">
      <c r="A639" s="9"/>
      <c r="B639" s="9"/>
      <c r="C639" s="9"/>
      <c r="D639" s="9"/>
      <c r="E639" s="223"/>
      <c r="F639" s="9"/>
      <c r="G639" s="9"/>
      <c r="H639" s="9"/>
      <c r="I639" s="9"/>
      <c r="J639" s="9"/>
      <c r="K639" s="9"/>
      <c r="L639" s="9"/>
      <c r="M639" s="9"/>
      <c r="N639" s="9"/>
      <c r="O639" s="9"/>
      <c r="P639" s="9"/>
      <c r="Q639" s="9"/>
      <c r="R639" s="9"/>
      <c r="S639" s="9"/>
      <c r="T639" s="9"/>
      <c r="U639" s="9"/>
      <c r="V639" s="9"/>
      <c r="W639" s="9"/>
      <c r="X639" s="223"/>
      <c r="Y639" s="9"/>
      <c r="Z639" s="204"/>
      <c r="AA639" s="9"/>
      <c r="AB639" s="9"/>
      <c r="AC639" s="9"/>
      <c r="AD639" s="9"/>
    </row>
    <row r="640" ht="15.75" customHeight="1">
      <c r="A640" s="9"/>
      <c r="B640" s="9"/>
      <c r="C640" s="9"/>
      <c r="D640" s="9"/>
      <c r="E640" s="223"/>
      <c r="F640" s="9"/>
      <c r="G640" s="9"/>
      <c r="H640" s="9"/>
      <c r="I640" s="9"/>
      <c r="J640" s="9"/>
      <c r="K640" s="9"/>
      <c r="L640" s="9"/>
      <c r="M640" s="9"/>
      <c r="N640" s="9"/>
      <c r="O640" s="9"/>
      <c r="P640" s="9"/>
      <c r="Q640" s="9"/>
      <c r="R640" s="9"/>
      <c r="S640" s="9"/>
      <c r="T640" s="9"/>
      <c r="U640" s="9"/>
      <c r="V640" s="9"/>
      <c r="W640" s="9"/>
      <c r="X640" s="223"/>
      <c r="Y640" s="9"/>
      <c r="Z640" s="204"/>
      <c r="AA640" s="9"/>
      <c r="AB640" s="9"/>
      <c r="AC640" s="9"/>
      <c r="AD640" s="9"/>
    </row>
    <row r="641" ht="15.75" customHeight="1">
      <c r="A641" s="9"/>
      <c r="B641" s="9"/>
      <c r="C641" s="9"/>
      <c r="D641" s="9"/>
      <c r="E641" s="223"/>
      <c r="F641" s="9"/>
      <c r="G641" s="9"/>
      <c r="H641" s="9"/>
      <c r="I641" s="9"/>
      <c r="J641" s="9"/>
      <c r="K641" s="9"/>
      <c r="L641" s="9"/>
      <c r="M641" s="9"/>
      <c r="N641" s="9"/>
      <c r="O641" s="9"/>
      <c r="P641" s="9"/>
      <c r="Q641" s="9"/>
      <c r="R641" s="9"/>
      <c r="S641" s="9"/>
      <c r="T641" s="9"/>
      <c r="U641" s="9"/>
      <c r="V641" s="9"/>
      <c r="W641" s="9"/>
      <c r="X641" s="223"/>
      <c r="Y641" s="9"/>
      <c r="Z641" s="204"/>
      <c r="AA641" s="9"/>
      <c r="AB641" s="9"/>
      <c r="AC641" s="9"/>
      <c r="AD641" s="9"/>
    </row>
    <row r="642" ht="15.75" customHeight="1">
      <c r="A642" s="9"/>
      <c r="B642" s="9"/>
      <c r="C642" s="9"/>
      <c r="D642" s="9"/>
      <c r="E642" s="223"/>
      <c r="F642" s="9"/>
      <c r="G642" s="9"/>
      <c r="H642" s="9"/>
      <c r="I642" s="9"/>
      <c r="J642" s="9"/>
      <c r="K642" s="9"/>
      <c r="L642" s="9"/>
      <c r="M642" s="9"/>
      <c r="N642" s="9"/>
      <c r="O642" s="9"/>
      <c r="P642" s="9"/>
      <c r="Q642" s="9"/>
      <c r="R642" s="9"/>
      <c r="S642" s="9"/>
      <c r="T642" s="9"/>
      <c r="U642" s="9"/>
      <c r="V642" s="9"/>
      <c r="W642" s="9"/>
      <c r="X642" s="223"/>
      <c r="Y642" s="9"/>
      <c r="Z642" s="204"/>
      <c r="AA642" s="9"/>
      <c r="AB642" s="9"/>
      <c r="AC642" s="9"/>
      <c r="AD642" s="9"/>
    </row>
    <row r="643" ht="15.75" customHeight="1">
      <c r="A643" s="9"/>
      <c r="B643" s="9"/>
      <c r="C643" s="9"/>
      <c r="D643" s="9"/>
      <c r="E643" s="223"/>
      <c r="F643" s="9"/>
      <c r="G643" s="9"/>
      <c r="H643" s="9"/>
      <c r="I643" s="9"/>
      <c r="J643" s="9"/>
      <c r="K643" s="9"/>
      <c r="L643" s="9"/>
      <c r="M643" s="9"/>
      <c r="N643" s="9"/>
      <c r="O643" s="9"/>
      <c r="P643" s="9"/>
      <c r="Q643" s="9"/>
      <c r="R643" s="9"/>
      <c r="S643" s="9"/>
      <c r="T643" s="9"/>
      <c r="U643" s="9"/>
      <c r="V643" s="9"/>
      <c r="W643" s="9"/>
      <c r="X643" s="223"/>
      <c r="Y643" s="9"/>
      <c r="Z643" s="204"/>
      <c r="AA643" s="9"/>
      <c r="AB643" s="9"/>
      <c r="AC643" s="9"/>
      <c r="AD643" s="9"/>
    </row>
    <row r="644" ht="15.75" customHeight="1">
      <c r="A644" s="9"/>
      <c r="B644" s="9"/>
      <c r="C644" s="9"/>
      <c r="D644" s="9"/>
      <c r="E644" s="223"/>
      <c r="F644" s="9"/>
      <c r="G644" s="9"/>
      <c r="H644" s="9"/>
      <c r="I644" s="9"/>
      <c r="J644" s="9"/>
      <c r="K644" s="9"/>
      <c r="L644" s="9"/>
      <c r="M644" s="9"/>
      <c r="N644" s="9"/>
      <c r="O644" s="9"/>
      <c r="P644" s="9"/>
      <c r="Q644" s="9"/>
      <c r="R644" s="9"/>
      <c r="S644" s="9"/>
      <c r="T644" s="9"/>
      <c r="U644" s="9"/>
      <c r="V644" s="9"/>
      <c r="W644" s="9"/>
      <c r="X644" s="223"/>
      <c r="Y644" s="9"/>
      <c r="Z644" s="204"/>
      <c r="AA644" s="9"/>
      <c r="AB644" s="9"/>
      <c r="AC644" s="9"/>
      <c r="AD644" s="9"/>
    </row>
    <row r="645" ht="15.75" customHeight="1">
      <c r="A645" s="9"/>
      <c r="B645" s="9"/>
      <c r="C645" s="9"/>
      <c r="D645" s="9"/>
      <c r="E645" s="223"/>
      <c r="F645" s="9"/>
      <c r="G645" s="9"/>
      <c r="H645" s="9"/>
      <c r="I645" s="9"/>
      <c r="J645" s="9"/>
      <c r="K645" s="9"/>
      <c r="L645" s="9"/>
      <c r="M645" s="9"/>
      <c r="N645" s="9"/>
      <c r="O645" s="9"/>
      <c r="P645" s="9"/>
      <c r="Q645" s="9"/>
      <c r="R645" s="9"/>
      <c r="S645" s="9"/>
      <c r="T645" s="9"/>
      <c r="U645" s="9"/>
      <c r="V645" s="9"/>
      <c r="W645" s="9"/>
      <c r="X645" s="223"/>
      <c r="Y645" s="9"/>
      <c r="Z645" s="204"/>
      <c r="AA645" s="9"/>
      <c r="AB645" s="9"/>
      <c r="AC645" s="9"/>
      <c r="AD645" s="9"/>
    </row>
    <row r="646" ht="15.75" customHeight="1">
      <c r="A646" s="9"/>
      <c r="B646" s="9"/>
      <c r="C646" s="9"/>
      <c r="D646" s="9"/>
      <c r="E646" s="223"/>
      <c r="F646" s="9"/>
      <c r="G646" s="9"/>
      <c r="H646" s="9"/>
      <c r="I646" s="9"/>
      <c r="J646" s="9"/>
      <c r="K646" s="9"/>
      <c r="L646" s="9"/>
      <c r="M646" s="9"/>
      <c r="N646" s="9"/>
      <c r="O646" s="9"/>
      <c r="P646" s="9"/>
      <c r="Q646" s="9"/>
      <c r="R646" s="9"/>
      <c r="S646" s="9"/>
      <c r="T646" s="9"/>
      <c r="U646" s="9"/>
      <c r="V646" s="9"/>
      <c r="W646" s="9"/>
      <c r="X646" s="223"/>
      <c r="Y646" s="9"/>
      <c r="Z646" s="204"/>
      <c r="AA646" s="9"/>
      <c r="AB646" s="9"/>
      <c r="AC646" s="9"/>
      <c r="AD646" s="9"/>
    </row>
    <row r="647" ht="15.75" customHeight="1">
      <c r="A647" s="9"/>
      <c r="B647" s="9"/>
      <c r="C647" s="9"/>
      <c r="D647" s="9"/>
      <c r="E647" s="223"/>
      <c r="F647" s="9"/>
      <c r="G647" s="9"/>
      <c r="H647" s="9"/>
      <c r="I647" s="9"/>
      <c r="J647" s="9"/>
      <c r="K647" s="9"/>
      <c r="L647" s="9"/>
      <c r="M647" s="9"/>
      <c r="N647" s="9"/>
      <c r="O647" s="9"/>
      <c r="P647" s="9"/>
      <c r="Q647" s="9"/>
      <c r="R647" s="9"/>
      <c r="S647" s="9"/>
      <c r="T647" s="9"/>
      <c r="U647" s="9"/>
      <c r="V647" s="9"/>
      <c r="W647" s="9"/>
      <c r="X647" s="223"/>
      <c r="Y647" s="9"/>
      <c r="Z647" s="204"/>
      <c r="AA647" s="9"/>
      <c r="AB647" s="9"/>
      <c r="AC647" s="9"/>
      <c r="AD647" s="9"/>
    </row>
    <row r="648" ht="15.75" customHeight="1">
      <c r="A648" s="9"/>
      <c r="B648" s="9"/>
      <c r="C648" s="9"/>
      <c r="D648" s="9"/>
      <c r="E648" s="223"/>
      <c r="F648" s="9"/>
      <c r="G648" s="9"/>
      <c r="H648" s="9"/>
      <c r="I648" s="9"/>
      <c r="J648" s="9"/>
      <c r="K648" s="9"/>
      <c r="L648" s="9"/>
      <c r="M648" s="9"/>
      <c r="N648" s="9"/>
      <c r="O648" s="9"/>
      <c r="P648" s="9"/>
      <c r="Q648" s="9"/>
      <c r="R648" s="9"/>
      <c r="S648" s="9"/>
      <c r="T648" s="9"/>
      <c r="U648" s="9"/>
      <c r="V648" s="9"/>
      <c r="W648" s="9"/>
      <c r="X648" s="223"/>
      <c r="Y648" s="9"/>
      <c r="Z648" s="204"/>
      <c r="AA648" s="9"/>
      <c r="AB648" s="9"/>
      <c r="AC648" s="9"/>
      <c r="AD648" s="9"/>
    </row>
    <row r="649" ht="15.75" customHeight="1">
      <c r="A649" s="9"/>
      <c r="B649" s="9"/>
      <c r="C649" s="9"/>
      <c r="D649" s="9"/>
      <c r="E649" s="223"/>
      <c r="F649" s="9"/>
      <c r="G649" s="9"/>
      <c r="H649" s="9"/>
      <c r="I649" s="9"/>
      <c r="J649" s="9"/>
      <c r="K649" s="9"/>
      <c r="L649" s="9"/>
      <c r="M649" s="9"/>
      <c r="N649" s="9"/>
      <c r="O649" s="9"/>
      <c r="P649" s="9"/>
      <c r="Q649" s="9"/>
      <c r="R649" s="9"/>
      <c r="S649" s="9"/>
      <c r="T649" s="9"/>
      <c r="U649" s="9"/>
      <c r="V649" s="9"/>
      <c r="W649" s="9"/>
      <c r="X649" s="223"/>
      <c r="Y649" s="9"/>
      <c r="Z649" s="204"/>
      <c r="AA649" s="9"/>
      <c r="AB649" s="9"/>
      <c r="AC649" s="9"/>
      <c r="AD649" s="9"/>
    </row>
    <row r="650" ht="15.75" customHeight="1">
      <c r="A650" s="9"/>
      <c r="B650" s="9"/>
      <c r="C650" s="9"/>
      <c r="D650" s="9"/>
      <c r="E650" s="223"/>
      <c r="F650" s="9"/>
      <c r="G650" s="9"/>
      <c r="H650" s="9"/>
      <c r="I650" s="9"/>
      <c r="J650" s="9"/>
      <c r="K650" s="9"/>
      <c r="L650" s="9"/>
      <c r="M650" s="9"/>
      <c r="N650" s="9"/>
      <c r="O650" s="9"/>
      <c r="P650" s="9"/>
      <c r="Q650" s="9"/>
      <c r="R650" s="9"/>
      <c r="S650" s="9"/>
      <c r="T650" s="9"/>
      <c r="U650" s="9"/>
      <c r="V650" s="9"/>
      <c r="W650" s="9"/>
      <c r="X650" s="223"/>
      <c r="Y650" s="9"/>
      <c r="Z650" s="204"/>
      <c r="AA650" s="9"/>
      <c r="AB650" s="9"/>
      <c r="AC650" s="9"/>
      <c r="AD650" s="9"/>
    </row>
    <row r="651" ht="15.75" customHeight="1">
      <c r="A651" s="9"/>
      <c r="B651" s="9"/>
      <c r="C651" s="9"/>
      <c r="D651" s="9"/>
      <c r="E651" s="223"/>
      <c r="F651" s="9"/>
      <c r="G651" s="9"/>
      <c r="H651" s="9"/>
      <c r="I651" s="9"/>
      <c r="J651" s="9"/>
      <c r="K651" s="9"/>
      <c r="L651" s="9"/>
      <c r="M651" s="9"/>
      <c r="N651" s="9"/>
      <c r="O651" s="9"/>
      <c r="P651" s="9"/>
      <c r="Q651" s="9"/>
      <c r="R651" s="9"/>
      <c r="S651" s="9"/>
      <c r="T651" s="9"/>
      <c r="U651" s="9"/>
      <c r="V651" s="9"/>
      <c r="W651" s="9"/>
      <c r="X651" s="223"/>
      <c r="Y651" s="9"/>
      <c r="Z651" s="204"/>
      <c r="AA651" s="9"/>
      <c r="AB651" s="9"/>
      <c r="AC651" s="9"/>
      <c r="AD651" s="9"/>
    </row>
    <row r="652" ht="15.75" customHeight="1">
      <c r="A652" s="9"/>
      <c r="B652" s="9"/>
      <c r="C652" s="9"/>
      <c r="D652" s="9"/>
      <c r="E652" s="223"/>
      <c r="F652" s="9"/>
      <c r="G652" s="9"/>
      <c r="H652" s="9"/>
      <c r="I652" s="9"/>
      <c r="J652" s="9"/>
      <c r="K652" s="9"/>
      <c r="L652" s="9"/>
      <c r="M652" s="9"/>
      <c r="N652" s="9"/>
      <c r="O652" s="9"/>
      <c r="P652" s="9"/>
      <c r="Q652" s="9"/>
      <c r="R652" s="9"/>
      <c r="S652" s="9"/>
      <c r="T652" s="9"/>
      <c r="U652" s="9"/>
      <c r="V652" s="9"/>
      <c r="W652" s="9"/>
      <c r="X652" s="223"/>
      <c r="Y652" s="9"/>
      <c r="Z652" s="204"/>
      <c r="AA652" s="9"/>
      <c r="AB652" s="9"/>
      <c r="AC652" s="9"/>
      <c r="AD652" s="9"/>
    </row>
    <row r="653" ht="15.75" customHeight="1">
      <c r="A653" s="9"/>
      <c r="B653" s="9"/>
      <c r="C653" s="9"/>
      <c r="D653" s="9"/>
      <c r="E653" s="223"/>
      <c r="F653" s="9"/>
      <c r="G653" s="9"/>
      <c r="H653" s="9"/>
      <c r="I653" s="9"/>
      <c r="J653" s="9"/>
      <c r="K653" s="9"/>
      <c r="L653" s="9"/>
      <c r="M653" s="9"/>
      <c r="N653" s="9"/>
      <c r="O653" s="9"/>
      <c r="P653" s="9"/>
      <c r="Q653" s="9"/>
      <c r="R653" s="9"/>
      <c r="S653" s="9"/>
      <c r="T653" s="9"/>
      <c r="U653" s="9"/>
      <c r="V653" s="9"/>
      <c r="W653" s="9"/>
      <c r="X653" s="223"/>
      <c r="Y653" s="9"/>
      <c r="Z653" s="204"/>
      <c r="AA653" s="9"/>
      <c r="AB653" s="9"/>
      <c r="AC653" s="9"/>
      <c r="AD653" s="9"/>
    </row>
    <row r="654" ht="15.75" customHeight="1">
      <c r="A654" s="9"/>
      <c r="B654" s="9"/>
      <c r="C654" s="9"/>
      <c r="D654" s="9"/>
      <c r="E654" s="223"/>
      <c r="F654" s="9"/>
      <c r="G654" s="9"/>
      <c r="H654" s="9"/>
      <c r="I654" s="9"/>
      <c r="J654" s="9"/>
      <c r="K654" s="9"/>
      <c r="L654" s="9"/>
      <c r="M654" s="9"/>
      <c r="N654" s="9"/>
      <c r="O654" s="9"/>
      <c r="P654" s="9"/>
      <c r="Q654" s="9"/>
      <c r="R654" s="9"/>
      <c r="S654" s="9"/>
      <c r="T654" s="9"/>
      <c r="U654" s="9"/>
      <c r="V654" s="9"/>
      <c r="W654" s="9"/>
      <c r="X654" s="223"/>
      <c r="Y654" s="9"/>
      <c r="Z654" s="204"/>
      <c r="AA654" s="9"/>
      <c r="AB654" s="9"/>
      <c r="AC654" s="9"/>
      <c r="AD654" s="9"/>
    </row>
    <row r="655" ht="15.75" customHeight="1">
      <c r="A655" s="9"/>
      <c r="B655" s="9"/>
      <c r="C655" s="9"/>
      <c r="D655" s="9"/>
      <c r="E655" s="223"/>
      <c r="F655" s="9"/>
      <c r="G655" s="9"/>
      <c r="H655" s="9"/>
      <c r="I655" s="9"/>
      <c r="J655" s="9"/>
      <c r="K655" s="9"/>
      <c r="L655" s="9"/>
      <c r="M655" s="9"/>
      <c r="N655" s="9"/>
      <c r="O655" s="9"/>
      <c r="P655" s="9"/>
      <c r="Q655" s="9"/>
      <c r="R655" s="9"/>
      <c r="S655" s="9"/>
      <c r="T655" s="9"/>
      <c r="U655" s="9"/>
      <c r="V655" s="9"/>
      <c r="W655" s="9"/>
      <c r="X655" s="223"/>
      <c r="Y655" s="9"/>
      <c r="Z655" s="204"/>
      <c r="AA655" s="9"/>
      <c r="AB655" s="9"/>
      <c r="AC655" s="9"/>
      <c r="AD655" s="9"/>
    </row>
    <row r="656" ht="15.75" customHeight="1">
      <c r="A656" s="9"/>
      <c r="B656" s="9"/>
      <c r="C656" s="9"/>
      <c r="D656" s="9"/>
      <c r="E656" s="223"/>
      <c r="F656" s="9"/>
      <c r="G656" s="9"/>
      <c r="H656" s="9"/>
      <c r="I656" s="9"/>
      <c r="J656" s="9"/>
      <c r="K656" s="9"/>
      <c r="L656" s="9"/>
      <c r="M656" s="9"/>
      <c r="N656" s="9"/>
      <c r="O656" s="9"/>
      <c r="P656" s="9"/>
      <c r="Q656" s="9"/>
      <c r="R656" s="9"/>
      <c r="S656" s="9"/>
      <c r="T656" s="9"/>
      <c r="U656" s="9"/>
      <c r="V656" s="9"/>
      <c r="W656" s="9"/>
      <c r="X656" s="223"/>
      <c r="Y656" s="9"/>
      <c r="Z656" s="204"/>
      <c r="AA656" s="9"/>
      <c r="AB656" s="9"/>
      <c r="AC656" s="9"/>
      <c r="AD656" s="9"/>
    </row>
    <row r="657" ht="15.75" customHeight="1">
      <c r="A657" s="9"/>
      <c r="B657" s="9"/>
      <c r="C657" s="9"/>
      <c r="D657" s="9"/>
      <c r="E657" s="223"/>
      <c r="F657" s="9"/>
      <c r="G657" s="9"/>
      <c r="H657" s="9"/>
      <c r="I657" s="9"/>
      <c r="J657" s="9"/>
      <c r="K657" s="9"/>
      <c r="L657" s="9"/>
      <c r="M657" s="9"/>
      <c r="N657" s="9"/>
      <c r="O657" s="9"/>
      <c r="P657" s="9"/>
      <c r="Q657" s="9"/>
      <c r="R657" s="9"/>
      <c r="S657" s="9"/>
      <c r="T657" s="9"/>
      <c r="U657" s="9"/>
      <c r="V657" s="9"/>
      <c r="W657" s="9"/>
      <c r="X657" s="223"/>
      <c r="Y657" s="9"/>
      <c r="Z657" s="204"/>
      <c r="AA657" s="9"/>
      <c r="AB657" s="9"/>
      <c r="AC657" s="9"/>
      <c r="AD657" s="9"/>
    </row>
    <row r="658" ht="15.75" customHeight="1">
      <c r="A658" s="9"/>
      <c r="B658" s="9"/>
      <c r="C658" s="9"/>
      <c r="D658" s="9"/>
      <c r="E658" s="223"/>
      <c r="F658" s="9"/>
      <c r="G658" s="9"/>
      <c r="H658" s="9"/>
      <c r="I658" s="9"/>
      <c r="J658" s="9"/>
      <c r="K658" s="9"/>
      <c r="L658" s="9"/>
      <c r="M658" s="9"/>
      <c r="N658" s="9"/>
      <c r="O658" s="9"/>
      <c r="P658" s="9"/>
      <c r="Q658" s="9"/>
      <c r="R658" s="9"/>
      <c r="S658" s="9"/>
      <c r="T658" s="9"/>
      <c r="U658" s="9"/>
      <c r="V658" s="9"/>
      <c r="W658" s="9"/>
      <c r="X658" s="223"/>
      <c r="Y658" s="9"/>
      <c r="Z658" s="204"/>
      <c r="AA658" s="9"/>
      <c r="AB658" s="9"/>
      <c r="AC658" s="9"/>
      <c r="AD658" s="9"/>
    </row>
    <row r="659" ht="15.75" customHeight="1">
      <c r="A659" s="9"/>
      <c r="B659" s="9"/>
      <c r="C659" s="9"/>
      <c r="D659" s="9"/>
      <c r="E659" s="223"/>
      <c r="F659" s="9"/>
      <c r="G659" s="9"/>
      <c r="H659" s="9"/>
      <c r="I659" s="9"/>
      <c r="J659" s="9"/>
      <c r="K659" s="9"/>
      <c r="L659" s="9"/>
      <c r="M659" s="9"/>
      <c r="N659" s="9"/>
      <c r="O659" s="9"/>
      <c r="P659" s="9"/>
      <c r="Q659" s="9"/>
      <c r="R659" s="9"/>
      <c r="S659" s="9"/>
      <c r="T659" s="9"/>
      <c r="U659" s="9"/>
      <c r="V659" s="9"/>
      <c r="W659" s="9"/>
      <c r="X659" s="223"/>
      <c r="Y659" s="9"/>
      <c r="Z659" s="204"/>
      <c r="AA659" s="9"/>
      <c r="AB659" s="9"/>
      <c r="AC659" s="9"/>
      <c r="AD659" s="9"/>
    </row>
    <row r="660" ht="15.75" customHeight="1">
      <c r="A660" s="9"/>
      <c r="B660" s="9"/>
      <c r="C660" s="9"/>
      <c r="D660" s="9"/>
      <c r="E660" s="223"/>
      <c r="F660" s="9"/>
      <c r="G660" s="9"/>
      <c r="H660" s="9"/>
      <c r="I660" s="9"/>
      <c r="J660" s="9"/>
      <c r="K660" s="9"/>
      <c r="L660" s="9"/>
      <c r="M660" s="9"/>
      <c r="N660" s="9"/>
      <c r="O660" s="9"/>
      <c r="P660" s="9"/>
      <c r="Q660" s="9"/>
      <c r="R660" s="9"/>
      <c r="S660" s="9"/>
      <c r="T660" s="9"/>
      <c r="U660" s="9"/>
      <c r="V660" s="9"/>
      <c r="W660" s="9"/>
      <c r="X660" s="223"/>
      <c r="Y660" s="9"/>
      <c r="Z660" s="204"/>
      <c r="AA660" s="9"/>
      <c r="AB660" s="9"/>
      <c r="AC660" s="9"/>
      <c r="AD660" s="9"/>
    </row>
    <row r="661" ht="15.75" customHeight="1">
      <c r="A661" s="9"/>
      <c r="B661" s="9"/>
      <c r="C661" s="9"/>
      <c r="D661" s="9"/>
      <c r="E661" s="223"/>
      <c r="F661" s="9"/>
      <c r="G661" s="9"/>
      <c r="H661" s="9"/>
      <c r="I661" s="9"/>
      <c r="J661" s="9"/>
      <c r="K661" s="9"/>
      <c r="L661" s="9"/>
      <c r="M661" s="9"/>
      <c r="N661" s="9"/>
      <c r="O661" s="9"/>
      <c r="P661" s="9"/>
      <c r="Q661" s="9"/>
      <c r="R661" s="9"/>
      <c r="S661" s="9"/>
      <c r="T661" s="9"/>
      <c r="U661" s="9"/>
      <c r="V661" s="9"/>
      <c r="W661" s="9"/>
      <c r="X661" s="223"/>
      <c r="Y661" s="9"/>
      <c r="Z661" s="204"/>
      <c r="AA661" s="9"/>
      <c r="AB661" s="9"/>
      <c r="AC661" s="9"/>
      <c r="AD661" s="9"/>
    </row>
    <row r="662" ht="15.75" customHeight="1">
      <c r="A662" s="9"/>
      <c r="B662" s="9"/>
      <c r="C662" s="9"/>
      <c r="D662" s="9"/>
      <c r="E662" s="223"/>
      <c r="F662" s="9"/>
      <c r="G662" s="9"/>
      <c r="H662" s="9"/>
      <c r="I662" s="9"/>
      <c r="J662" s="9"/>
      <c r="K662" s="9"/>
      <c r="L662" s="9"/>
      <c r="M662" s="9"/>
      <c r="N662" s="9"/>
      <c r="O662" s="9"/>
      <c r="P662" s="9"/>
      <c r="Q662" s="9"/>
      <c r="R662" s="9"/>
      <c r="S662" s="9"/>
      <c r="T662" s="9"/>
      <c r="U662" s="9"/>
      <c r="V662" s="9"/>
      <c r="W662" s="9"/>
      <c r="X662" s="223"/>
      <c r="Y662" s="9"/>
      <c r="Z662" s="204"/>
      <c r="AA662" s="9"/>
      <c r="AB662" s="9"/>
      <c r="AC662" s="9"/>
      <c r="AD662" s="9"/>
    </row>
    <row r="663" ht="15.75" customHeight="1">
      <c r="A663" s="9"/>
      <c r="B663" s="9"/>
      <c r="C663" s="9"/>
      <c r="D663" s="9"/>
      <c r="E663" s="223"/>
      <c r="F663" s="9"/>
      <c r="G663" s="9"/>
      <c r="H663" s="9"/>
      <c r="I663" s="9"/>
      <c r="J663" s="9"/>
      <c r="K663" s="9"/>
      <c r="L663" s="9"/>
      <c r="M663" s="9"/>
      <c r="N663" s="9"/>
      <c r="O663" s="9"/>
      <c r="P663" s="9"/>
      <c r="Q663" s="9"/>
      <c r="R663" s="9"/>
      <c r="S663" s="9"/>
      <c r="T663" s="9"/>
      <c r="U663" s="9"/>
      <c r="V663" s="9"/>
      <c r="W663" s="9"/>
      <c r="X663" s="223"/>
      <c r="Y663" s="9"/>
      <c r="Z663" s="204"/>
      <c r="AA663" s="9"/>
      <c r="AB663" s="9"/>
      <c r="AC663" s="9"/>
      <c r="AD663" s="9"/>
    </row>
    <row r="664" ht="15.75" customHeight="1">
      <c r="A664" s="9"/>
      <c r="B664" s="9"/>
      <c r="C664" s="9"/>
      <c r="D664" s="9"/>
      <c r="E664" s="223"/>
      <c r="F664" s="9"/>
      <c r="G664" s="9"/>
      <c r="H664" s="9"/>
      <c r="I664" s="9"/>
      <c r="J664" s="9"/>
      <c r="K664" s="9"/>
      <c r="L664" s="9"/>
      <c r="M664" s="9"/>
      <c r="N664" s="9"/>
      <c r="O664" s="9"/>
      <c r="P664" s="9"/>
      <c r="Q664" s="9"/>
      <c r="R664" s="9"/>
      <c r="S664" s="9"/>
      <c r="T664" s="9"/>
      <c r="U664" s="9"/>
      <c r="V664" s="9"/>
      <c r="W664" s="9"/>
      <c r="X664" s="223"/>
      <c r="Y664" s="9"/>
      <c r="Z664" s="204"/>
      <c r="AA664" s="9"/>
      <c r="AB664" s="9"/>
      <c r="AC664" s="9"/>
      <c r="AD664" s="9"/>
    </row>
    <row r="665" ht="15.75" customHeight="1">
      <c r="A665" s="9"/>
      <c r="B665" s="9"/>
      <c r="C665" s="9"/>
      <c r="D665" s="9"/>
      <c r="E665" s="223"/>
      <c r="F665" s="9"/>
      <c r="G665" s="9"/>
      <c r="H665" s="9"/>
      <c r="I665" s="9"/>
      <c r="J665" s="9"/>
      <c r="K665" s="9"/>
      <c r="L665" s="9"/>
      <c r="M665" s="9"/>
      <c r="N665" s="9"/>
      <c r="O665" s="9"/>
      <c r="P665" s="9"/>
      <c r="Q665" s="9"/>
      <c r="R665" s="9"/>
      <c r="S665" s="9"/>
      <c r="T665" s="9"/>
      <c r="U665" s="9"/>
      <c r="V665" s="9"/>
      <c r="W665" s="9"/>
      <c r="X665" s="223"/>
      <c r="Y665" s="9"/>
      <c r="Z665" s="204"/>
      <c r="AA665" s="9"/>
      <c r="AB665" s="9"/>
      <c r="AC665" s="9"/>
      <c r="AD665" s="9"/>
    </row>
    <row r="666" ht="15.75" customHeight="1">
      <c r="A666" s="9"/>
      <c r="B666" s="9"/>
      <c r="C666" s="9"/>
      <c r="D666" s="9"/>
      <c r="E666" s="223"/>
      <c r="F666" s="9"/>
      <c r="G666" s="9"/>
      <c r="H666" s="9"/>
      <c r="I666" s="9"/>
      <c r="J666" s="9"/>
      <c r="K666" s="9"/>
      <c r="L666" s="9"/>
      <c r="M666" s="9"/>
      <c r="N666" s="9"/>
      <c r="O666" s="9"/>
      <c r="P666" s="9"/>
      <c r="Q666" s="9"/>
      <c r="R666" s="9"/>
      <c r="S666" s="9"/>
      <c r="T666" s="9"/>
      <c r="U666" s="9"/>
      <c r="V666" s="9"/>
      <c r="W666" s="9"/>
      <c r="X666" s="223"/>
      <c r="Y666" s="9"/>
      <c r="Z666" s="204"/>
      <c r="AA666" s="9"/>
      <c r="AB666" s="9"/>
      <c r="AC666" s="9"/>
      <c r="AD666" s="9"/>
    </row>
    <row r="667" ht="15.75" customHeight="1">
      <c r="A667" s="9"/>
      <c r="B667" s="9"/>
      <c r="C667" s="9"/>
      <c r="D667" s="9"/>
      <c r="E667" s="223"/>
      <c r="F667" s="9"/>
      <c r="G667" s="9"/>
      <c r="H667" s="9"/>
      <c r="I667" s="9"/>
      <c r="J667" s="9"/>
      <c r="K667" s="9"/>
      <c r="L667" s="9"/>
      <c r="M667" s="9"/>
      <c r="N667" s="9"/>
      <c r="O667" s="9"/>
      <c r="P667" s="9"/>
      <c r="Q667" s="9"/>
      <c r="R667" s="9"/>
      <c r="S667" s="9"/>
      <c r="T667" s="9"/>
      <c r="U667" s="9"/>
      <c r="V667" s="9"/>
      <c r="W667" s="9"/>
      <c r="X667" s="223"/>
      <c r="Y667" s="9"/>
      <c r="Z667" s="204"/>
      <c r="AA667" s="9"/>
      <c r="AB667" s="9"/>
      <c r="AC667" s="9"/>
      <c r="AD667" s="9"/>
    </row>
    <row r="668" ht="15.75" customHeight="1">
      <c r="A668" s="9"/>
      <c r="B668" s="9"/>
      <c r="C668" s="9"/>
      <c r="D668" s="9"/>
      <c r="E668" s="223"/>
      <c r="F668" s="9"/>
      <c r="G668" s="9"/>
      <c r="H668" s="9"/>
      <c r="I668" s="9"/>
      <c r="J668" s="9"/>
      <c r="K668" s="9"/>
      <c r="L668" s="9"/>
      <c r="M668" s="9"/>
      <c r="N668" s="9"/>
      <c r="O668" s="9"/>
      <c r="P668" s="9"/>
      <c r="Q668" s="9"/>
      <c r="R668" s="9"/>
      <c r="S668" s="9"/>
      <c r="T668" s="9"/>
      <c r="U668" s="9"/>
      <c r="V668" s="9"/>
      <c r="W668" s="9"/>
      <c r="X668" s="223"/>
      <c r="Y668" s="9"/>
      <c r="Z668" s="204"/>
      <c r="AA668" s="9"/>
      <c r="AB668" s="9"/>
      <c r="AC668" s="9"/>
      <c r="AD668" s="9"/>
    </row>
    <row r="669" ht="15.75" customHeight="1">
      <c r="A669" s="9"/>
      <c r="B669" s="9"/>
      <c r="C669" s="9"/>
      <c r="D669" s="9"/>
      <c r="E669" s="223"/>
      <c r="F669" s="9"/>
      <c r="G669" s="9"/>
      <c r="H669" s="9"/>
      <c r="I669" s="9"/>
      <c r="J669" s="9"/>
      <c r="K669" s="9"/>
      <c r="L669" s="9"/>
      <c r="M669" s="9"/>
      <c r="N669" s="9"/>
      <c r="O669" s="9"/>
      <c r="P669" s="9"/>
      <c r="Q669" s="9"/>
      <c r="R669" s="9"/>
      <c r="S669" s="9"/>
      <c r="T669" s="9"/>
      <c r="U669" s="9"/>
      <c r="V669" s="9"/>
      <c r="W669" s="9"/>
      <c r="X669" s="223"/>
      <c r="Y669" s="9"/>
      <c r="Z669" s="204"/>
      <c r="AA669" s="9"/>
      <c r="AB669" s="9"/>
      <c r="AC669" s="9"/>
      <c r="AD669" s="9"/>
    </row>
    <row r="670" ht="15.75" customHeight="1">
      <c r="A670" s="9"/>
      <c r="B670" s="9"/>
      <c r="C670" s="9"/>
      <c r="D670" s="9"/>
      <c r="E670" s="223"/>
      <c r="F670" s="9"/>
      <c r="G670" s="9"/>
      <c r="H670" s="9"/>
      <c r="I670" s="9"/>
      <c r="J670" s="9"/>
      <c r="K670" s="9"/>
      <c r="L670" s="9"/>
      <c r="M670" s="9"/>
      <c r="N670" s="9"/>
      <c r="O670" s="9"/>
      <c r="P670" s="9"/>
      <c r="Q670" s="9"/>
      <c r="R670" s="9"/>
      <c r="S670" s="9"/>
      <c r="T670" s="9"/>
      <c r="U670" s="9"/>
      <c r="V670" s="9"/>
      <c r="W670" s="9"/>
      <c r="X670" s="223"/>
      <c r="Y670" s="9"/>
      <c r="Z670" s="204"/>
      <c r="AA670" s="9"/>
      <c r="AB670" s="9"/>
      <c r="AC670" s="9"/>
      <c r="AD670" s="9"/>
    </row>
    <row r="671" ht="15.75" customHeight="1">
      <c r="A671" s="9"/>
      <c r="B671" s="9"/>
      <c r="C671" s="9"/>
      <c r="D671" s="9"/>
      <c r="E671" s="223"/>
      <c r="F671" s="9"/>
      <c r="G671" s="9"/>
      <c r="H671" s="9"/>
      <c r="I671" s="9"/>
      <c r="J671" s="9"/>
      <c r="K671" s="9"/>
      <c r="L671" s="9"/>
      <c r="M671" s="9"/>
      <c r="N671" s="9"/>
      <c r="O671" s="9"/>
      <c r="P671" s="9"/>
      <c r="Q671" s="9"/>
      <c r="R671" s="9"/>
      <c r="S671" s="9"/>
      <c r="T671" s="9"/>
      <c r="U671" s="9"/>
      <c r="V671" s="9"/>
      <c r="W671" s="9"/>
      <c r="X671" s="223"/>
      <c r="Y671" s="9"/>
      <c r="Z671" s="204"/>
      <c r="AA671" s="9"/>
      <c r="AB671" s="9"/>
      <c r="AC671" s="9"/>
      <c r="AD671" s="9"/>
    </row>
    <row r="672" ht="15.75" customHeight="1">
      <c r="A672" s="9"/>
      <c r="B672" s="9"/>
      <c r="C672" s="9"/>
      <c r="D672" s="9"/>
      <c r="E672" s="223"/>
      <c r="F672" s="9"/>
      <c r="G672" s="9"/>
      <c r="H672" s="9"/>
      <c r="I672" s="9"/>
      <c r="J672" s="9"/>
      <c r="K672" s="9"/>
      <c r="L672" s="9"/>
      <c r="M672" s="9"/>
      <c r="N672" s="9"/>
      <c r="O672" s="9"/>
      <c r="P672" s="9"/>
      <c r="Q672" s="9"/>
      <c r="R672" s="9"/>
      <c r="S672" s="9"/>
      <c r="T672" s="9"/>
      <c r="U672" s="9"/>
      <c r="V672" s="9"/>
      <c r="W672" s="9"/>
      <c r="X672" s="223"/>
      <c r="Y672" s="9"/>
      <c r="Z672" s="204"/>
      <c r="AA672" s="9"/>
      <c r="AB672" s="9"/>
      <c r="AC672" s="9"/>
      <c r="AD672" s="9"/>
    </row>
    <row r="673" ht="15.75" customHeight="1">
      <c r="A673" s="9"/>
      <c r="B673" s="9"/>
      <c r="C673" s="9"/>
      <c r="D673" s="9"/>
      <c r="E673" s="223"/>
      <c r="F673" s="9"/>
      <c r="G673" s="9"/>
      <c r="H673" s="9"/>
      <c r="I673" s="9"/>
      <c r="J673" s="9"/>
      <c r="K673" s="9"/>
      <c r="L673" s="9"/>
      <c r="M673" s="9"/>
      <c r="N673" s="9"/>
      <c r="O673" s="9"/>
      <c r="P673" s="9"/>
      <c r="Q673" s="9"/>
      <c r="R673" s="9"/>
      <c r="S673" s="9"/>
      <c r="T673" s="9"/>
      <c r="U673" s="9"/>
      <c r="V673" s="9"/>
      <c r="W673" s="9"/>
      <c r="X673" s="223"/>
      <c r="Y673" s="9"/>
      <c r="Z673" s="204"/>
      <c r="AA673" s="9"/>
      <c r="AB673" s="9"/>
      <c r="AC673" s="9"/>
      <c r="AD673" s="9"/>
    </row>
    <row r="674" ht="15.75" customHeight="1">
      <c r="A674" s="9"/>
      <c r="B674" s="9"/>
      <c r="C674" s="9"/>
      <c r="D674" s="9"/>
      <c r="E674" s="223"/>
      <c r="F674" s="9"/>
      <c r="G674" s="9"/>
      <c r="H674" s="9"/>
      <c r="I674" s="9"/>
      <c r="J674" s="9"/>
      <c r="K674" s="9"/>
      <c r="L674" s="9"/>
      <c r="M674" s="9"/>
      <c r="N674" s="9"/>
      <c r="O674" s="9"/>
      <c r="P674" s="9"/>
      <c r="Q674" s="9"/>
      <c r="R674" s="9"/>
      <c r="S674" s="9"/>
      <c r="T674" s="9"/>
      <c r="U674" s="9"/>
      <c r="V674" s="9"/>
      <c r="W674" s="9"/>
      <c r="X674" s="223"/>
      <c r="Y674" s="9"/>
      <c r="Z674" s="204"/>
      <c r="AA674" s="9"/>
      <c r="AB674" s="9"/>
      <c r="AC674" s="9"/>
      <c r="AD674" s="9"/>
    </row>
    <row r="675" ht="15.75" customHeight="1">
      <c r="A675" s="9"/>
      <c r="B675" s="9"/>
      <c r="C675" s="9"/>
      <c r="D675" s="9"/>
      <c r="E675" s="223"/>
      <c r="F675" s="9"/>
      <c r="G675" s="9"/>
      <c r="H675" s="9"/>
      <c r="I675" s="9"/>
      <c r="J675" s="9"/>
      <c r="K675" s="9"/>
      <c r="L675" s="9"/>
      <c r="M675" s="9"/>
      <c r="N675" s="9"/>
      <c r="O675" s="9"/>
      <c r="P675" s="9"/>
      <c r="Q675" s="9"/>
      <c r="R675" s="9"/>
      <c r="S675" s="9"/>
      <c r="T675" s="9"/>
      <c r="U675" s="9"/>
      <c r="V675" s="9"/>
      <c r="W675" s="9"/>
      <c r="X675" s="223"/>
      <c r="Y675" s="9"/>
      <c r="Z675" s="204"/>
      <c r="AA675" s="9"/>
      <c r="AB675" s="9"/>
      <c r="AC675" s="9"/>
      <c r="AD675" s="9"/>
    </row>
    <row r="676" ht="15.75" customHeight="1">
      <c r="A676" s="9"/>
      <c r="B676" s="9"/>
      <c r="C676" s="9"/>
      <c r="D676" s="9"/>
      <c r="E676" s="223"/>
      <c r="F676" s="9"/>
      <c r="G676" s="9"/>
      <c r="H676" s="9"/>
      <c r="I676" s="9"/>
      <c r="J676" s="9"/>
      <c r="K676" s="9"/>
      <c r="L676" s="9"/>
      <c r="M676" s="9"/>
      <c r="N676" s="9"/>
      <c r="O676" s="9"/>
      <c r="P676" s="9"/>
      <c r="Q676" s="9"/>
      <c r="R676" s="9"/>
      <c r="S676" s="9"/>
      <c r="T676" s="9"/>
      <c r="U676" s="9"/>
      <c r="V676" s="9"/>
      <c r="W676" s="9"/>
      <c r="X676" s="223"/>
      <c r="Y676" s="9"/>
      <c r="Z676" s="204"/>
      <c r="AA676" s="9"/>
      <c r="AB676" s="9"/>
      <c r="AC676" s="9"/>
      <c r="AD676" s="9"/>
    </row>
    <row r="677" ht="15.75" customHeight="1">
      <c r="A677" s="9"/>
      <c r="B677" s="9"/>
      <c r="C677" s="9"/>
      <c r="D677" s="9"/>
      <c r="E677" s="223"/>
      <c r="F677" s="9"/>
      <c r="G677" s="9"/>
      <c r="H677" s="9"/>
      <c r="I677" s="9"/>
      <c r="J677" s="9"/>
      <c r="K677" s="9"/>
      <c r="L677" s="9"/>
      <c r="M677" s="9"/>
      <c r="N677" s="9"/>
      <c r="O677" s="9"/>
      <c r="P677" s="9"/>
      <c r="Q677" s="9"/>
      <c r="R677" s="9"/>
      <c r="S677" s="9"/>
      <c r="T677" s="9"/>
      <c r="U677" s="9"/>
      <c r="V677" s="9"/>
      <c r="W677" s="9"/>
      <c r="X677" s="223"/>
      <c r="Y677" s="9"/>
      <c r="Z677" s="204"/>
      <c r="AA677" s="9"/>
      <c r="AB677" s="9"/>
      <c r="AC677" s="9"/>
      <c r="AD677" s="9"/>
    </row>
    <row r="678" ht="15.75" customHeight="1">
      <c r="A678" s="9"/>
      <c r="B678" s="9"/>
      <c r="C678" s="9"/>
      <c r="D678" s="9"/>
      <c r="E678" s="223"/>
      <c r="F678" s="9"/>
      <c r="G678" s="9"/>
      <c r="H678" s="9"/>
      <c r="I678" s="9"/>
      <c r="J678" s="9"/>
      <c r="K678" s="9"/>
      <c r="L678" s="9"/>
      <c r="M678" s="9"/>
      <c r="N678" s="9"/>
      <c r="O678" s="9"/>
      <c r="P678" s="9"/>
      <c r="Q678" s="9"/>
      <c r="R678" s="9"/>
      <c r="S678" s="9"/>
      <c r="T678" s="9"/>
      <c r="U678" s="9"/>
      <c r="V678" s="9"/>
      <c r="W678" s="9"/>
      <c r="X678" s="223"/>
      <c r="Y678" s="9"/>
      <c r="Z678" s="204"/>
      <c r="AA678" s="9"/>
      <c r="AB678" s="9"/>
      <c r="AC678" s="9"/>
      <c r="AD678" s="9"/>
    </row>
    <row r="679" ht="15.75" customHeight="1">
      <c r="A679" s="9"/>
      <c r="B679" s="9"/>
      <c r="C679" s="9"/>
      <c r="D679" s="9"/>
      <c r="E679" s="223"/>
      <c r="F679" s="9"/>
      <c r="G679" s="9"/>
      <c r="H679" s="9"/>
      <c r="I679" s="9"/>
      <c r="J679" s="9"/>
      <c r="K679" s="9"/>
      <c r="L679" s="9"/>
      <c r="M679" s="9"/>
      <c r="N679" s="9"/>
      <c r="O679" s="9"/>
      <c r="P679" s="9"/>
      <c r="Q679" s="9"/>
      <c r="R679" s="9"/>
      <c r="S679" s="9"/>
      <c r="T679" s="9"/>
      <c r="U679" s="9"/>
      <c r="V679" s="9"/>
      <c r="W679" s="9"/>
      <c r="X679" s="223"/>
      <c r="Y679" s="9"/>
      <c r="Z679" s="204"/>
      <c r="AA679" s="9"/>
      <c r="AB679" s="9"/>
      <c r="AC679" s="9"/>
      <c r="AD679" s="9"/>
    </row>
    <row r="680" ht="15.75" customHeight="1">
      <c r="A680" s="9"/>
      <c r="B680" s="9"/>
      <c r="C680" s="9"/>
      <c r="D680" s="9"/>
      <c r="E680" s="223"/>
      <c r="F680" s="9"/>
      <c r="G680" s="9"/>
      <c r="H680" s="9"/>
      <c r="I680" s="9"/>
      <c r="J680" s="9"/>
      <c r="K680" s="9"/>
      <c r="L680" s="9"/>
      <c r="M680" s="9"/>
      <c r="N680" s="9"/>
      <c r="O680" s="9"/>
      <c r="P680" s="9"/>
      <c r="Q680" s="9"/>
      <c r="R680" s="9"/>
      <c r="S680" s="9"/>
      <c r="T680" s="9"/>
      <c r="U680" s="9"/>
      <c r="V680" s="9"/>
      <c r="W680" s="9"/>
      <c r="X680" s="223"/>
      <c r="Y680" s="9"/>
      <c r="Z680" s="204"/>
      <c r="AA680" s="9"/>
      <c r="AB680" s="9"/>
      <c r="AC680" s="9"/>
      <c r="AD680" s="9"/>
    </row>
    <row r="681" ht="15.75" customHeight="1">
      <c r="A681" s="9"/>
      <c r="B681" s="9"/>
      <c r="C681" s="9"/>
      <c r="D681" s="9"/>
      <c r="E681" s="223"/>
      <c r="F681" s="9"/>
      <c r="G681" s="9"/>
      <c r="H681" s="9"/>
      <c r="I681" s="9"/>
      <c r="J681" s="9"/>
      <c r="K681" s="9"/>
      <c r="L681" s="9"/>
      <c r="M681" s="9"/>
      <c r="N681" s="9"/>
      <c r="O681" s="9"/>
      <c r="P681" s="9"/>
      <c r="Q681" s="9"/>
      <c r="R681" s="9"/>
      <c r="S681" s="9"/>
      <c r="T681" s="9"/>
      <c r="U681" s="9"/>
      <c r="V681" s="9"/>
      <c r="W681" s="9"/>
      <c r="X681" s="223"/>
      <c r="Y681" s="9"/>
      <c r="Z681" s="204"/>
      <c r="AA681" s="9"/>
      <c r="AB681" s="9"/>
      <c r="AC681" s="9"/>
      <c r="AD681" s="9"/>
    </row>
    <row r="682" ht="15.75" customHeight="1">
      <c r="A682" s="9"/>
      <c r="B682" s="9"/>
      <c r="C682" s="9"/>
      <c r="D682" s="9"/>
      <c r="E682" s="223"/>
      <c r="F682" s="9"/>
      <c r="G682" s="9"/>
      <c r="H682" s="9"/>
      <c r="I682" s="9"/>
      <c r="J682" s="9"/>
      <c r="K682" s="9"/>
      <c r="L682" s="9"/>
      <c r="M682" s="9"/>
      <c r="N682" s="9"/>
      <c r="O682" s="9"/>
      <c r="P682" s="9"/>
      <c r="Q682" s="9"/>
      <c r="R682" s="9"/>
      <c r="S682" s="9"/>
      <c r="T682" s="9"/>
      <c r="U682" s="9"/>
      <c r="V682" s="9"/>
      <c r="W682" s="9"/>
      <c r="X682" s="223"/>
      <c r="Y682" s="9"/>
      <c r="Z682" s="204"/>
      <c r="AA682" s="9"/>
      <c r="AB682" s="9"/>
      <c r="AC682" s="9"/>
      <c r="AD682" s="9"/>
    </row>
    <row r="683" ht="15.75" customHeight="1">
      <c r="A683" s="9"/>
      <c r="B683" s="9"/>
      <c r="C683" s="9"/>
      <c r="D683" s="9"/>
      <c r="E683" s="223"/>
      <c r="F683" s="9"/>
      <c r="G683" s="9"/>
      <c r="H683" s="9"/>
      <c r="I683" s="9"/>
      <c r="J683" s="9"/>
      <c r="K683" s="9"/>
      <c r="L683" s="9"/>
      <c r="M683" s="9"/>
      <c r="N683" s="9"/>
      <c r="O683" s="9"/>
      <c r="P683" s="9"/>
      <c r="Q683" s="9"/>
      <c r="R683" s="9"/>
      <c r="S683" s="9"/>
      <c r="T683" s="9"/>
      <c r="U683" s="9"/>
      <c r="V683" s="9"/>
      <c r="W683" s="9"/>
      <c r="X683" s="223"/>
      <c r="Y683" s="9"/>
      <c r="Z683" s="204"/>
      <c r="AA683" s="9"/>
      <c r="AB683" s="9"/>
      <c r="AC683" s="9"/>
      <c r="AD683" s="9"/>
    </row>
    <row r="684" ht="15.75" customHeight="1">
      <c r="A684" s="9"/>
      <c r="B684" s="9"/>
      <c r="C684" s="9"/>
      <c r="D684" s="9"/>
      <c r="E684" s="223"/>
      <c r="F684" s="9"/>
      <c r="G684" s="9"/>
      <c r="H684" s="9"/>
      <c r="I684" s="9"/>
      <c r="J684" s="9"/>
      <c r="K684" s="9"/>
      <c r="L684" s="9"/>
      <c r="M684" s="9"/>
      <c r="N684" s="9"/>
      <c r="O684" s="9"/>
      <c r="P684" s="9"/>
      <c r="Q684" s="9"/>
      <c r="R684" s="9"/>
      <c r="S684" s="9"/>
      <c r="T684" s="9"/>
      <c r="U684" s="9"/>
      <c r="V684" s="9"/>
      <c r="W684" s="9"/>
      <c r="X684" s="223"/>
      <c r="Y684" s="9"/>
      <c r="Z684" s="204"/>
      <c r="AA684" s="9"/>
      <c r="AB684" s="9"/>
      <c r="AC684" s="9"/>
      <c r="AD684" s="9"/>
    </row>
    <row r="685" ht="15.75" customHeight="1">
      <c r="A685" s="9"/>
      <c r="B685" s="9"/>
      <c r="C685" s="9"/>
      <c r="D685" s="9"/>
      <c r="E685" s="223"/>
      <c r="F685" s="9"/>
      <c r="G685" s="9"/>
      <c r="H685" s="9"/>
      <c r="I685" s="9"/>
      <c r="J685" s="9"/>
      <c r="K685" s="9"/>
      <c r="L685" s="9"/>
      <c r="M685" s="9"/>
      <c r="N685" s="9"/>
      <c r="O685" s="9"/>
      <c r="P685" s="9"/>
      <c r="Q685" s="9"/>
      <c r="R685" s="9"/>
      <c r="S685" s="9"/>
      <c r="T685" s="9"/>
      <c r="U685" s="9"/>
      <c r="V685" s="9"/>
      <c r="W685" s="9"/>
      <c r="X685" s="223"/>
      <c r="Y685" s="9"/>
      <c r="Z685" s="204"/>
      <c r="AA685" s="9"/>
      <c r="AB685" s="9"/>
      <c r="AC685" s="9"/>
      <c r="AD685" s="9"/>
    </row>
    <row r="686" ht="15.75" customHeight="1">
      <c r="A686" s="9"/>
      <c r="B686" s="9"/>
      <c r="C686" s="9"/>
      <c r="D686" s="9"/>
      <c r="E686" s="223"/>
      <c r="F686" s="9"/>
      <c r="G686" s="9"/>
      <c r="H686" s="9"/>
      <c r="I686" s="9"/>
      <c r="J686" s="9"/>
      <c r="K686" s="9"/>
      <c r="L686" s="9"/>
      <c r="M686" s="9"/>
      <c r="N686" s="9"/>
      <c r="O686" s="9"/>
      <c r="P686" s="9"/>
      <c r="Q686" s="9"/>
      <c r="R686" s="9"/>
      <c r="S686" s="9"/>
      <c r="T686" s="9"/>
      <c r="U686" s="9"/>
      <c r="V686" s="9"/>
      <c r="W686" s="9"/>
      <c r="X686" s="223"/>
      <c r="Y686" s="9"/>
      <c r="Z686" s="204"/>
      <c r="AA686" s="9"/>
      <c r="AB686" s="9"/>
      <c r="AC686" s="9"/>
      <c r="AD686" s="9"/>
    </row>
    <row r="687" ht="15.75" customHeight="1">
      <c r="A687" s="9"/>
      <c r="B687" s="9"/>
      <c r="C687" s="9"/>
      <c r="D687" s="9"/>
      <c r="E687" s="223"/>
      <c r="F687" s="9"/>
      <c r="G687" s="9"/>
      <c r="H687" s="9"/>
      <c r="I687" s="9"/>
      <c r="J687" s="9"/>
      <c r="K687" s="9"/>
      <c r="L687" s="9"/>
      <c r="M687" s="9"/>
      <c r="N687" s="9"/>
      <c r="O687" s="9"/>
      <c r="P687" s="9"/>
      <c r="Q687" s="9"/>
      <c r="R687" s="9"/>
      <c r="S687" s="9"/>
      <c r="T687" s="9"/>
      <c r="U687" s="9"/>
      <c r="V687" s="9"/>
      <c r="W687" s="9"/>
      <c r="X687" s="223"/>
      <c r="Y687" s="9"/>
      <c r="Z687" s="204"/>
      <c r="AA687" s="9"/>
      <c r="AB687" s="9"/>
      <c r="AC687" s="9"/>
      <c r="AD687" s="9"/>
    </row>
    <row r="688" ht="15.75" customHeight="1">
      <c r="A688" s="9"/>
      <c r="B688" s="9"/>
      <c r="C688" s="9"/>
      <c r="D688" s="9"/>
      <c r="E688" s="223"/>
      <c r="F688" s="9"/>
      <c r="G688" s="9"/>
      <c r="H688" s="9"/>
      <c r="I688" s="9"/>
      <c r="J688" s="9"/>
      <c r="K688" s="9"/>
      <c r="L688" s="9"/>
      <c r="M688" s="9"/>
      <c r="N688" s="9"/>
      <c r="O688" s="9"/>
      <c r="P688" s="9"/>
      <c r="Q688" s="9"/>
      <c r="R688" s="9"/>
      <c r="S688" s="9"/>
      <c r="T688" s="9"/>
      <c r="U688" s="9"/>
      <c r="V688" s="9"/>
      <c r="W688" s="9"/>
      <c r="X688" s="223"/>
      <c r="Y688" s="9"/>
      <c r="Z688" s="204"/>
      <c r="AA688" s="9"/>
      <c r="AB688" s="9"/>
      <c r="AC688" s="9"/>
      <c r="AD688" s="9"/>
    </row>
    <row r="689" ht="15.75" customHeight="1">
      <c r="A689" s="9"/>
      <c r="B689" s="9"/>
      <c r="C689" s="9"/>
      <c r="D689" s="9"/>
      <c r="E689" s="223"/>
      <c r="F689" s="9"/>
      <c r="G689" s="9"/>
      <c r="H689" s="9"/>
      <c r="I689" s="9"/>
      <c r="J689" s="9"/>
      <c r="K689" s="9"/>
      <c r="L689" s="9"/>
      <c r="M689" s="9"/>
      <c r="N689" s="9"/>
      <c r="O689" s="9"/>
      <c r="P689" s="9"/>
      <c r="Q689" s="9"/>
      <c r="R689" s="9"/>
      <c r="S689" s="9"/>
      <c r="T689" s="9"/>
      <c r="U689" s="9"/>
      <c r="V689" s="9"/>
      <c r="W689" s="9"/>
      <c r="X689" s="223"/>
      <c r="Y689" s="9"/>
      <c r="Z689" s="204"/>
      <c r="AA689" s="9"/>
      <c r="AB689" s="9"/>
      <c r="AC689" s="9"/>
      <c r="AD689" s="9"/>
    </row>
    <row r="690" ht="15.75" customHeight="1">
      <c r="A690" s="9"/>
      <c r="B690" s="9"/>
      <c r="C690" s="9"/>
      <c r="D690" s="9"/>
      <c r="E690" s="223"/>
      <c r="F690" s="9"/>
      <c r="G690" s="9"/>
      <c r="H690" s="9"/>
      <c r="I690" s="9"/>
      <c r="J690" s="9"/>
      <c r="K690" s="9"/>
      <c r="L690" s="9"/>
      <c r="M690" s="9"/>
      <c r="N690" s="9"/>
      <c r="O690" s="9"/>
      <c r="P690" s="9"/>
      <c r="Q690" s="9"/>
      <c r="R690" s="9"/>
      <c r="S690" s="9"/>
      <c r="T690" s="9"/>
      <c r="U690" s="9"/>
      <c r="V690" s="9"/>
      <c r="W690" s="9"/>
      <c r="X690" s="223"/>
      <c r="Y690" s="9"/>
      <c r="Z690" s="204"/>
      <c r="AA690" s="9"/>
      <c r="AB690" s="9"/>
      <c r="AC690" s="9"/>
      <c r="AD690" s="9"/>
    </row>
    <row r="691" ht="15.75" customHeight="1">
      <c r="A691" s="9"/>
      <c r="B691" s="9"/>
      <c r="C691" s="9"/>
      <c r="D691" s="9"/>
      <c r="E691" s="223"/>
      <c r="F691" s="9"/>
      <c r="G691" s="9"/>
      <c r="H691" s="9"/>
      <c r="I691" s="9"/>
      <c r="J691" s="9"/>
      <c r="K691" s="9"/>
      <c r="L691" s="9"/>
      <c r="M691" s="9"/>
      <c r="N691" s="9"/>
      <c r="O691" s="9"/>
      <c r="P691" s="9"/>
      <c r="Q691" s="9"/>
      <c r="R691" s="9"/>
      <c r="S691" s="9"/>
      <c r="T691" s="9"/>
      <c r="U691" s="9"/>
      <c r="V691" s="9"/>
      <c r="W691" s="9"/>
      <c r="X691" s="223"/>
      <c r="Y691" s="9"/>
      <c r="Z691" s="204"/>
      <c r="AA691" s="9"/>
      <c r="AB691" s="9"/>
      <c r="AC691" s="9"/>
      <c r="AD691" s="9"/>
    </row>
    <row r="692" ht="15.75" customHeight="1">
      <c r="A692" s="9"/>
      <c r="B692" s="9"/>
      <c r="C692" s="9"/>
      <c r="D692" s="9"/>
      <c r="E692" s="223"/>
      <c r="F692" s="9"/>
      <c r="G692" s="9"/>
      <c r="H692" s="9"/>
      <c r="I692" s="9"/>
      <c r="J692" s="9"/>
      <c r="K692" s="9"/>
      <c r="L692" s="9"/>
      <c r="M692" s="9"/>
      <c r="N692" s="9"/>
      <c r="O692" s="9"/>
      <c r="P692" s="9"/>
      <c r="Q692" s="9"/>
      <c r="R692" s="9"/>
      <c r="S692" s="9"/>
      <c r="T692" s="9"/>
      <c r="U692" s="9"/>
      <c r="V692" s="9"/>
      <c r="W692" s="9"/>
      <c r="X692" s="223"/>
      <c r="Y692" s="9"/>
      <c r="Z692" s="204"/>
      <c r="AA692" s="9"/>
      <c r="AB692" s="9"/>
      <c r="AC692" s="9"/>
      <c r="AD692" s="9"/>
    </row>
    <row r="693" ht="15.75" customHeight="1">
      <c r="A693" s="9"/>
      <c r="B693" s="9"/>
      <c r="C693" s="9"/>
      <c r="D693" s="9"/>
      <c r="E693" s="223"/>
      <c r="F693" s="9"/>
      <c r="G693" s="9"/>
      <c r="H693" s="9"/>
      <c r="I693" s="9"/>
      <c r="J693" s="9"/>
      <c r="K693" s="9"/>
      <c r="L693" s="9"/>
      <c r="M693" s="9"/>
      <c r="N693" s="9"/>
      <c r="O693" s="9"/>
      <c r="P693" s="9"/>
      <c r="Q693" s="9"/>
      <c r="R693" s="9"/>
      <c r="S693" s="9"/>
      <c r="T693" s="9"/>
      <c r="U693" s="9"/>
      <c r="V693" s="9"/>
      <c r="W693" s="9"/>
      <c r="X693" s="223"/>
      <c r="Y693" s="9"/>
      <c r="Z693" s="204"/>
      <c r="AA693" s="9"/>
      <c r="AB693" s="9"/>
      <c r="AC693" s="9"/>
      <c r="AD693" s="9"/>
    </row>
    <row r="694" ht="15.75" customHeight="1">
      <c r="A694" s="9"/>
      <c r="B694" s="9"/>
      <c r="C694" s="9"/>
      <c r="D694" s="9"/>
      <c r="E694" s="223"/>
      <c r="F694" s="9"/>
      <c r="G694" s="9"/>
      <c r="H694" s="9"/>
      <c r="I694" s="9"/>
      <c r="J694" s="9"/>
      <c r="K694" s="9"/>
      <c r="L694" s="9"/>
      <c r="M694" s="9"/>
      <c r="N694" s="9"/>
      <c r="O694" s="9"/>
      <c r="P694" s="9"/>
      <c r="Q694" s="9"/>
      <c r="R694" s="9"/>
      <c r="S694" s="9"/>
      <c r="T694" s="9"/>
      <c r="U694" s="9"/>
      <c r="V694" s="9"/>
      <c r="W694" s="9"/>
      <c r="X694" s="223"/>
      <c r="Y694" s="9"/>
      <c r="Z694" s="204"/>
      <c r="AA694" s="9"/>
      <c r="AB694" s="9"/>
      <c r="AC694" s="9"/>
      <c r="AD694" s="9"/>
    </row>
    <row r="695" ht="15.75" customHeight="1">
      <c r="A695" s="9"/>
      <c r="B695" s="9"/>
      <c r="C695" s="9"/>
      <c r="D695" s="9"/>
      <c r="E695" s="223"/>
      <c r="F695" s="9"/>
      <c r="G695" s="9"/>
      <c r="H695" s="9"/>
      <c r="I695" s="9"/>
      <c r="J695" s="9"/>
      <c r="K695" s="9"/>
      <c r="L695" s="9"/>
      <c r="M695" s="9"/>
      <c r="N695" s="9"/>
      <c r="O695" s="9"/>
      <c r="P695" s="9"/>
      <c r="Q695" s="9"/>
      <c r="R695" s="9"/>
      <c r="S695" s="9"/>
      <c r="T695" s="9"/>
      <c r="U695" s="9"/>
      <c r="V695" s="9"/>
      <c r="W695" s="9"/>
      <c r="X695" s="223"/>
      <c r="Y695" s="9"/>
      <c r="Z695" s="204"/>
      <c r="AA695" s="9"/>
      <c r="AB695" s="9"/>
      <c r="AC695" s="9"/>
      <c r="AD695" s="9"/>
    </row>
    <row r="696" ht="15.75" customHeight="1">
      <c r="A696" s="9"/>
      <c r="B696" s="9"/>
      <c r="C696" s="9"/>
      <c r="D696" s="9"/>
      <c r="E696" s="223"/>
      <c r="F696" s="9"/>
      <c r="G696" s="9"/>
      <c r="H696" s="9"/>
      <c r="I696" s="9"/>
      <c r="J696" s="9"/>
      <c r="K696" s="9"/>
      <c r="L696" s="9"/>
      <c r="M696" s="9"/>
      <c r="N696" s="9"/>
      <c r="O696" s="9"/>
      <c r="P696" s="9"/>
      <c r="Q696" s="9"/>
      <c r="R696" s="9"/>
      <c r="S696" s="9"/>
      <c r="T696" s="9"/>
      <c r="U696" s="9"/>
      <c r="V696" s="9"/>
      <c r="W696" s="9"/>
      <c r="X696" s="223"/>
      <c r="Y696" s="9"/>
      <c r="Z696" s="204"/>
      <c r="AA696" s="9"/>
      <c r="AB696" s="9"/>
      <c r="AC696" s="9"/>
      <c r="AD696" s="9"/>
    </row>
    <row r="697" ht="15.75" customHeight="1">
      <c r="A697" s="9"/>
      <c r="B697" s="9"/>
      <c r="C697" s="9"/>
      <c r="D697" s="9"/>
      <c r="E697" s="223"/>
      <c r="F697" s="9"/>
      <c r="G697" s="9"/>
      <c r="H697" s="9"/>
      <c r="I697" s="9"/>
      <c r="J697" s="9"/>
      <c r="K697" s="9"/>
      <c r="L697" s="9"/>
      <c r="M697" s="9"/>
      <c r="N697" s="9"/>
      <c r="O697" s="9"/>
      <c r="P697" s="9"/>
      <c r="Q697" s="9"/>
      <c r="R697" s="9"/>
      <c r="S697" s="9"/>
      <c r="T697" s="9"/>
      <c r="U697" s="9"/>
      <c r="V697" s="9"/>
      <c r="W697" s="9"/>
      <c r="X697" s="223"/>
      <c r="Y697" s="9"/>
      <c r="Z697" s="204"/>
      <c r="AA697" s="9"/>
      <c r="AB697" s="9"/>
      <c r="AC697" s="9"/>
      <c r="AD697" s="9"/>
    </row>
    <row r="698" ht="15.75" customHeight="1">
      <c r="A698" s="9"/>
      <c r="B698" s="9"/>
      <c r="C698" s="9"/>
      <c r="D698" s="9"/>
      <c r="E698" s="223"/>
      <c r="F698" s="9"/>
      <c r="G698" s="9"/>
      <c r="H698" s="9"/>
      <c r="I698" s="9"/>
      <c r="J698" s="9"/>
      <c r="K698" s="9"/>
      <c r="L698" s="9"/>
      <c r="M698" s="9"/>
      <c r="N698" s="9"/>
      <c r="O698" s="9"/>
      <c r="P698" s="9"/>
      <c r="Q698" s="9"/>
      <c r="R698" s="9"/>
      <c r="S698" s="9"/>
      <c r="T698" s="9"/>
      <c r="U698" s="9"/>
      <c r="V698" s="9"/>
      <c r="W698" s="9"/>
      <c r="X698" s="223"/>
      <c r="Y698" s="9"/>
      <c r="Z698" s="204"/>
      <c r="AA698" s="9"/>
      <c r="AB698" s="9"/>
      <c r="AC698" s="9"/>
      <c r="AD698" s="9"/>
    </row>
    <row r="699" ht="15.75" customHeight="1">
      <c r="A699" s="9"/>
      <c r="B699" s="9"/>
      <c r="C699" s="9"/>
      <c r="D699" s="9"/>
      <c r="E699" s="223"/>
      <c r="F699" s="9"/>
      <c r="G699" s="9"/>
      <c r="H699" s="9"/>
      <c r="I699" s="9"/>
      <c r="J699" s="9"/>
      <c r="K699" s="9"/>
      <c r="L699" s="9"/>
      <c r="M699" s="9"/>
      <c r="N699" s="9"/>
      <c r="O699" s="9"/>
      <c r="P699" s="9"/>
      <c r="Q699" s="9"/>
      <c r="R699" s="9"/>
      <c r="S699" s="9"/>
      <c r="T699" s="9"/>
      <c r="U699" s="9"/>
      <c r="V699" s="9"/>
      <c r="W699" s="9"/>
      <c r="X699" s="223"/>
      <c r="Y699" s="9"/>
      <c r="Z699" s="204"/>
      <c r="AA699" s="9"/>
      <c r="AB699" s="9"/>
      <c r="AC699" s="9"/>
      <c r="AD699" s="9"/>
    </row>
    <row r="700" ht="15.75" customHeight="1">
      <c r="A700" s="9"/>
      <c r="B700" s="9"/>
      <c r="C700" s="9"/>
      <c r="D700" s="9"/>
      <c r="E700" s="223"/>
      <c r="F700" s="9"/>
      <c r="G700" s="9"/>
      <c r="H700" s="9"/>
      <c r="I700" s="9"/>
      <c r="J700" s="9"/>
      <c r="K700" s="9"/>
      <c r="L700" s="9"/>
      <c r="M700" s="9"/>
      <c r="N700" s="9"/>
      <c r="O700" s="9"/>
      <c r="P700" s="9"/>
      <c r="Q700" s="9"/>
      <c r="R700" s="9"/>
      <c r="S700" s="9"/>
      <c r="T700" s="9"/>
      <c r="U700" s="9"/>
      <c r="V700" s="9"/>
      <c r="W700" s="9"/>
      <c r="X700" s="223"/>
      <c r="Y700" s="9"/>
      <c r="Z700" s="204"/>
      <c r="AA700" s="9"/>
      <c r="AB700" s="9"/>
      <c r="AC700" s="9"/>
      <c r="AD700" s="9"/>
    </row>
    <row r="701" ht="15.75" customHeight="1">
      <c r="A701" s="9"/>
      <c r="B701" s="9"/>
      <c r="C701" s="9"/>
      <c r="D701" s="9"/>
      <c r="E701" s="223"/>
      <c r="F701" s="9"/>
      <c r="G701" s="9"/>
      <c r="H701" s="9"/>
      <c r="I701" s="9"/>
      <c r="J701" s="9"/>
      <c r="K701" s="9"/>
      <c r="L701" s="9"/>
      <c r="M701" s="9"/>
      <c r="N701" s="9"/>
      <c r="O701" s="9"/>
      <c r="P701" s="9"/>
      <c r="Q701" s="9"/>
      <c r="R701" s="9"/>
      <c r="S701" s="9"/>
      <c r="T701" s="9"/>
      <c r="U701" s="9"/>
      <c r="V701" s="9"/>
      <c r="W701" s="9"/>
      <c r="X701" s="223"/>
      <c r="Y701" s="9"/>
      <c r="Z701" s="204"/>
      <c r="AA701" s="9"/>
      <c r="AB701" s="9"/>
      <c r="AC701" s="9"/>
      <c r="AD701" s="9"/>
    </row>
    <row r="702" ht="15.75" customHeight="1">
      <c r="A702" s="9"/>
      <c r="B702" s="9"/>
      <c r="C702" s="9"/>
      <c r="D702" s="9"/>
      <c r="E702" s="223"/>
      <c r="F702" s="9"/>
      <c r="G702" s="9"/>
      <c r="H702" s="9"/>
      <c r="I702" s="9"/>
      <c r="J702" s="9"/>
      <c r="K702" s="9"/>
      <c r="L702" s="9"/>
      <c r="M702" s="9"/>
      <c r="N702" s="9"/>
      <c r="O702" s="9"/>
      <c r="P702" s="9"/>
      <c r="Q702" s="9"/>
      <c r="R702" s="9"/>
      <c r="S702" s="9"/>
      <c r="T702" s="9"/>
      <c r="U702" s="9"/>
      <c r="V702" s="9"/>
      <c r="W702" s="9"/>
      <c r="X702" s="223"/>
      <c r="Y702" s="9"/>
      <c r="Z702" s="204"/>
      <c r="AA702" s="9"/>
      <c r="AB702" s="9"/>
      <c r="AC702" s="9"/>
      <c r="AD702" s="9"/>
    </row>
    <row r="703" ht="15.75" customHeight="1">
      <c r="A703" s="9"/>
      <c r="B703" s="9"/>
      <c r="C703" s="9"/>
      <c r="D703" s="9"/>
      <c r="E703" s="223"/>
      <c r="F703" s="9"/>
      <c r="G703" s="9"/>
      <c r="H703" s="9"/>
      <c r="I703" s="9"/>
      <c r="J703" s="9"/>
      <c r="K703" s="9"/>
      <c r="L703" s="9"/>
      <c r="M703" s="9"/>
      <c r="N703" s="9"/>
      <c r="O703" s="9"/>
      <c r="P703" s="9"/>
      <c r="Q703" s="9"/>
      <c r="R703" s="9"/>
      <c r="S703" s="9"/>
      <c r="T703" s="9"/>
      <c r="U703" s="9"/>
      <c r="V703" s="9"/>
      <c r="W703" s="9"/>
      <c r="X703" s="223"/>
      <c r="Y703" s="9"/>
      <c r="Z703" s="204"/>
      <c r="AA703" s="9"/>
      <c r="AB703" s="9"/>
      <c r="AC703" s="9"/>
      <c r="AD703" s="9"/>
    </row>
    <row r="704" ht="15.75" customHeight="1">
      <c r="A704" s="9"/>
      <c r="B704" s="9"/>
      <c r="C704" s="9"/>
      <c r="D704" s="9"/>
      <c r="E704" s="223"/>
      <c r="F704" s="9"/>
      <c r="G704" s="9"/>
      <c r="H704" s="9"/>
      <c r="I704" s="9"/>
      <c r="J704" s="9"/>
      <c r="K704" s="9"/>
      <c r="L704" s="9"/>
      <c r="M704" s="9"/>
      <c r="N704" s="9"/>
      <c r="O704" s="9"/>
      <c r="P704" s="9"/>
      <c r="Q704" s="9"/>
      <c r="R704" s="9"/>
      <c r="S704" s="9"/>
      <c r="T704" s="9"/>
      <c r="U704" s="9"/>
      <c r="V704" s="9"/>
      <c r="W704" s="9"/>
      <c r="X704" s="223"/>
      <c r="Y704" s="9"/>
      <c r="Z704" s="204"/>
      <c r="AA704" s="9"/>
      <c r="AB704" s="9"/>
      <c r="AC704" s="9"/>
      <c r="AD704" s="9"/>
    </row>
    <row r="705" ht="15.75" customHeight="1">
      <c r="A705" s="9"/>
      <c r="B705" s="9"/>
      <c r="C705" s="9"/>
      <c r="D705" s="9"/>
      <c r="E705" s="223"/>
      <c r="F705" s="9"/>
      <c r="G705" s="9"/>
      <c r="H705" s="9"/>
      <c r="I705" s="9"/>
      <c r="J705" s="9"/>
      <c r="K705" s="9"/>
      <c r="L705" s="9"/>
      <c r="M705" s="9"/>
      <c r="N705" s="9"/>
      <c r="O705" s="9"/>
      <c r="P705" s="9"/>
      <c r="Q705" s="9"/>
      <c r="R705" s="9"/>
      <c r="S705" s="9"/>
      <c r="T705" s="9"/>
      <c r="U705" s="9"/>
      <c r="V705" s="9"/>
      <c r="W705" s="9"/>
      <c r="X705" s="223"/>
      <c r="Y705" s="9"/>
      <c r="Z705" s="204"/>
      <c r="AA705" s="9"/>
      <c r="AB705" s="9"/>
      <c r="AC705" s="9"/>
      <c r="AD705" s="9"/>
    </row>
    <row r="706" ht="15.75" customHeight="1">
      <c r="A706" s="9"/>
      <c r="B706" s="9"/>
      <c r="C706" s="9"/>
      <c r="D706" s="9"/>
      <c r="E706" s="223"/>
      <c r="F706" s="9"/>
      <c r="G706" s="9"/>
      <c r="H706" s="9"/>
      <c r="I706" s="9"/>
      <c r="J706" s="9"/>
      <c r="K706" s="9"/>
      <c r="L706" s="9"/>
      <c r="M706" s="9"/>
      <c r="N706" s="9"/>
      <c r="O706" s="9"/>
      <c r="P706" s="9"/>
      <c r="Q706" s="9"/>
      <c r="R706" s="9"/>
      <c r="S706" s="9"/>
      <c r="T706" s="9"/>
      <c r="U706" s="9"/>
      <c r="V706" s="9"/>
      <c r="W706" s="9"/>
      <c r="X706" s="223"/>
      <c r="Y706" s="9"/>
      <c r="Z706" s="204"/>
      <c r="AA706" s="9"/>
      <c r="AB706" s="9"/>
      <c r="AC706" s="9"/>
      <c r="AD706" s="9"/>
    </row>
    <row r="707" ht="15.75" customHeight="1">
      <c r="A707" s="9"/>
      <c r="B707" s="9"/>
      <c r="C707" s="9"/>
      <c r="D707" s="9"/>
      <c r="E707" s="223"/>
      <c r="F707" s="9"/>
      <c r="G707" s="9"/>
      <c r="H707" s="9"/>
      <c r="I707" s="9"/>
      <c r="J707" s="9"/>
      <c r="K707" s="9"/>
      <c r="L707" s="9"/>
      <c r="M707" s="9"/>
      <c r="N707" s="9"/>
      <c r="O707" s="9"/>
      <c r="P707" s="9"/>
      <c r="Q707" s="9"/>
      <c r="R707" s="9"/>
      <c r="S707" s="9"/>
      <c r="T707" s="9"/>
      <c r="U707" s="9"/>
      <c r="V707" s="9"/>
      <c r="W707" s="9"/>
      <c r="X707" s="223"/>
      <c r="Y707" s="9"/>
      <c r="Z707" s="204"/>
      <c r="AA707" s="9"/>
      <c r="AB707" s="9"/>
      <c r="AC707" s="9"/>
      <c r="AD707" s="9"/>
    </row>
    <row r="708" ht="15.75" customHeight="1">
      <c r="A708" s="9"/>
      <c r="B708" s="9"/>
      <c r="C708" s="9"/>
      <c r="D708" s="9"/>
      <c r="E708" s="223"/>
      <c r="F708" s="9"/>
      <c r="G708" s="9"/>
      <c r="H708" s="9"/>
      <c r="I708" s="9"/>
      <c r="J708" s="9"/>
      <c r="K708" s="9"/>
      <c r="L708" s="9"/>
      <c r="M708" s="9"/>
      <c r="N708" s="9"/>
      <c r="O708" s="9"/>
      <c r="P708" s="9"/>
      <c r="Q708" s="9"/>
      <c r="R708" s="9"/>
      <c r="S708" s="9"/>
      <c r="T708" s="9"/>
      <c r="U708" s="9"/>
      <c r="V708" s="9"/>
      <c r="W708" s="9"/>
      <c r="X708" s="223"/>
      <c r="Y708" s="9"/>
      <c r="Z708" s="204"/>
      <c r="AA708" s="9"/>
      <c r="AB708" s="9"/>
      <c r="AC708" s="9"/>
      <c r="AD708" s="9"/>
    </row>
    <row r="709" ht="15.75" customHeight="1">
      <c r="A709" s="9"/>
      <c r="B709" s="9"/>
      <c r="C709" s="9"/>
      <c r="D709" s="9"/>
      <c r="E709" s="223"/>
      <c r="F709" s="9"/>
      <c r="G709" s="9"/>
      <c r="H709" s="9"/>
      <c r="I709" s="9"/>
      <c r="J709" s="9"/>
      <c r="K709" s="9"/>
      <c r="L709" s="9"/>
      <c r="M709" s="9"/>
      <c r="N709" s="9"/>
      <c r="O709" s="9"/>
      <c r="P709" s="9"/>
      <c r="Q709" s="9"/>
      <c r="R709" s="9"/>
      <c r="S709" s="9"/>
      <c r="T709" s="9"/>
      <c r="U709" s="9"/>
      <c r="V709" s="9"/>
      <c r="W709" s="9"/>
      <c r="X709" s="223"/>
      <c r="Y709" s="9"/>
      <c r="Z709" s="204"/>
      <c r="AA709" s="9"/>
      <c r="AB709" s="9"/>
      <c r="AC709" s="9"/>
      <c r="AD709" s="9"/>
    </row>
    <row r="710" ht="15.75" customHeight="1">
      <c r="A710" s="9"/>
      <c r="B710" s="9"/>
      <c r="C710" s="9"/>
      <c r="D710" s="9"/>
      <c r="E710" s="223"/>
      <c r="F710" s="9"/>
      <c r="G710" s="9"/>
      <c r="H710" s="9"/>
      <c r="I710" s="9"/>
      <c r="J710" s="9"/>
      <c r="K710" s="9"/>
      <c r="L710" s="9"/>
      <c r="M710" s="9"/>
      <c r="N710" s="9"/>
      <c r="O710" s="9"/>
      <c r="P710" s="9"/>
      <c r="Q710" s="9"/>
      <c r="R710" s="9"/>
      <c r="S710" s="9"/>
      <c r="T710" s="9"/>
      <c r="U710" s="9"/>
      <c r="V710" s="9"/>
      <c r="W710" s="9"/>
      <c r="X710" s="223"/>
      <c r="Y710" s="9"/>
      <c r="Z710" s="204"/>
      <c r="AA710" s="9"/>
      <c r="AB710" s="9"/>
      <c r="AC710" s="9"/>
      <c r="AD710" s="9"/>
    </row>
    <row r="711" ht="15.75" customHeight="1">
      <c r="A711" s="9"/>
      <c r="B711" s="9"/>
      <c r="C711" s="9"/>
      <c r="D711" s="9"/>
      <c r="E711" s="223"/>
      <c r="F711" s="9"/>
      <c r="G711" s="9"/>
      <c r="H711" s="9"/>
      <c r="I711" s="9"/>
      <c r="J711" s="9"/>
      <c r="K711" s="9"/>
      <c r="L711" s="9"/>
      <c r="M711" s="9"/>
      <c r="N711" s="9"/>
      <c r="O711" s="9"/>
      <c r="P711" s="9"/>
      <c r="Q711" s="9"/>
      <c r="R711" s="9"/>
      <c r="S711" s="9"/>
      <c r="T711" s="9"/>
      <c r="U711" s="9"/>
      <c r="V711" s="9"/>
      <c r="W711" s="9"/>
      <c r="X711" s="223"/>
      <c r="Y711" s="9"/>
      <c r="Z711" s="204"/>
      <c r="AA711" s="9"/>
      <c r="AB711" s="9"/>
      <c r="AC711" s="9"/>
      <c r="AD711" s="9"/>
    </row>
    <row r="712" ht="15.75" customHeight="1">
      <c r="A712" s="9"/>
      <c r="B712" s="9"/>
      <c r="C712" s="9"/>
      <c r="D712" s="9"/>
      <c r="E712" s="223"/>
      <c r="F712" s="9"/>
      <c r="G712" s="9"/>
      <c r="H712" s="9"/>
      <c r="I712" s="9"/>
      <c r="J712" s="9"/>
      <c r="K712" s="9"/>
      <c r="L712" s="9"/>
      <c r="M712" s="9"/>
      <c r="N712" s="9"/>
      <c r="O712" s="9"/>
      <c r="P712" s="9"/>
      <c r="Q712" s="9"/>
      <c r="R712" s="9"/>
      <c r="S712" s="9"/>
      <c r="T712" s="9"/>
      <c r="U712" s="9"/>
      <c r="V712" s="9"/>
      <c r="W712" s="9"/>
      <c r="X712" s="223"/>
      <c r="Y712" s="9"/>
      <c r="Z712" s="204"/>
      <c r="AA712" s="9"/>
      <c r="AB712" s="9"/>
      <c r="AC712" s="9"/>
      <c r="AD712" s="9"/>
    </row>
    <row r="713" ht="15.75" customHeight="1">
      <c r="A713" s="9"/>
      <c r="B713" s="9"/>
      <c r="C713" s="9"/>
      <c r="D713" s="9"/>
      <c r="E713" s="223"/>
      <c r="F713" s="9"/>
      <c r="G713" s="9"/>
      <c r="H713" s="9"/>
      <c r="I713" s="9"/>
      <c r="J713" s="9"/>
      <c r="K713" s="9"/>
      <c r="L713" s="9"/>
      <c r="M713" s="9"/>
      <c r="N713" s="9"/>
      <c r="O713" s="9"/>
      <c r="P713" s="9"/>
      <c r="Q713" s="9"/>
      <c r="R713" s="9"/>
      <c r="S713" s="9"/>
      <c r="T713" s="9"/>
      <c r="U713" s="9"/>
      <c r="V713" s="9"/>
      <c r="W713" s="9"/>
      <c r="X713" s="223"/>
      <c r="Y713" s="9"/>
      <c r="Z713" s="204"/>
      <c r="AA713" s="9"/>
      <c r="AB713" s="9"/>
      <c r="AC713" s="9"/>
      <c r="AD713" s="9"/>
    </row>
    <row r="714" ht="15.75" customHeight="1">
      <c r="A714" s="9"/>
      <c r="B714" s="9"/>
      <c r="C714" s="9"/>
      <c r="D714" s="9"/>
      <c r="E714" s="223"/>
      <c r="F714" s="9"/>
      <c r="G714" s="9"/>
      <c r="H714" s="9"/>
      <c r="I714" s="9"/>
      <c r="J714" s="9"/>
      <c r="K714" s="9"/>
      <c r="L714" s="9"/>
      <c r="M714" s="9"/>
      <c r="N714" s="9"/>
      <c r="O714" s="9"/>
      <c r="P714" s="9"/>
      <c r="Q714" s="9"/>
      <c r="R714" s="9"/>
      <c r="S714" s="9"/>
      <c r="T714" s="9"/>
      <c r="U714" s="9"/>
      <c r="V714" s="9"/>
      <c r="W714" s="9"/>
      <c r="X714" s="223"/>
      <c r="Y714" s="9"/>
      <c r="Z714" s="204"/>
      <c r="AA714" s="9"/>
      <c r="AB714" s="9"/>
      <c r="AC714" s="9"/>
      <c r="AD714" s="9"/>
    </row>
    <row r="715" ht="15.75" customHeight="1">
      <c r="A715" s="9"/>
      <c r="B715" s="9"/>
      <c r="C715" s="9"/>
      <c r="D715" s="9"/>
      <c r="E715" s="223"/>
      <c r="F715" s="9"/>
      <c r="G715" s="9"/>
      <c r="H715" s="9"/>
      <c r="I715" s="9"/>
      <c r="J715" s="9"/>
      <c r="K715" s="9"/>
      <c r="L715" s="9"/>
      <c r="M715" s="9"/>
      <c r="N715" s="9"/>
      <c r="O715" s="9"/>
      <c r="P715" s="9"/>
      <c r="Q715" s="9"/>
      <c r="R715" s="9"/>
      <c r="S715" s="9"/>
      <c r="T715" s="9"/>
      <c r="U715" s="9"/>
      <c r="V715" s="9"/>
      <c r="W715" s="9"/>
      <c r="X715" s="223"/>
      <c r="Y715" s="9"/>
      <c r="Z715" s="204"/>
      <c r="AA715" s="9"/>
      <c r="AB715" s="9"/>
      <c r="AC715" s="9"/>
      <c r="AD715" s="9"/>
    </row>
    <row r="716" ht="15.75" customHeight="1">
      <c r="A716" s="9"/>
      <c r="B716" s="9"/>
      <c r="C716" s="9"/>
      <c r="D716" s="9"/>
      <c r="E716" s="223"/>
      <c r="F716" s="9"/>
      <c r="G716" s="9"/>
      <c r="H716" s="9"/>
      <c r="I716" s="9"/>
      <c r="J716" s="9"/>
      <c r="K716" s="9"/>
      <c r="L716" s="9"/>
      <c r="M716" s="9"/>
      <c r="N716" s="9"/>
      <c r="O716" s="9"/>
      <c r="P716" s="9"/>
      <c r="Q716" s="9"/>
      <c r="R716" s="9"/>
      <c r="S716" s="9"/>
      <c r="T716" s="9"/>
      <c r="U716" s="9"/>
      <c r="V716" s="9"/>
      <c r="W716" s="9"/>
      <c r="X716" s="223"/>
      <c r="Y716" s="9"/>
      <c r="Z716" s="204"/>
      <c r="AA716" s="9"/>
      <c r="AB716" s="9"/>
      <c r="AC716" s="9"/>
      <c r="AD716" s="9"/>
    </row>
    <row r="717" ht="15.75" customHeight="1">
      <c r="A717" s="9"/>
      <c r="B717" s="9"/>
      <c r="C717" s="9"/>
      <c r="D717" s="9"/>
      <c r="E717" s="223"/>
      <c r="F717" s="9"/>
      <c r="G717" s="9"/>
      <c r="H717" s="9"/>
      <c r="I717" s="9"/>
      <c r="J717" s="9"/>
      <c r="K717" s="9"/>
      <c r="L717" s="9"/>
      <c r="M717" s="9"/>
      <c r="N717" s="9"/>
      <c r="O717" s="9"/>
      <c r="P717" s="9"/>
      <c r="Q717" s="9"/>
      <c r="R717" s="9"/>
      <c r="S717" s="9"/>
      <c r="T717" s="9"/>
      <c r="U717" s="9"/>
      <c r="V717" s="9"/>
      <c r="W717" s="9"/>
      <c r="X717" s="223"/>
      <c r="Y717" s="9"/>
      <c r="Z717" s="204"/>
      <c r="AA717" s="9"/>
      <c r="AB717" s="9"/>
      <c r="AC717" s="9"/>
      <c r="AD717" s="9"/>
    </row>
    <row r="718" ht="15.75" customHeight="1">
      <c r="A718" s="9"/>
      <c r="B718" s="9"/>
      <c r="C718" s="9"/>
      <c r="D718" s="9"/>
      <c r="E718" s="223"/>
      <c r="F718" s="9"/>
      <c r="G718" s="9"/>
      <c r="H718" s="9"/>
      <c r="I718" s="9"/>
      <c r="J718" s="9"/>
      <c r="K718" s="9"/>
      <c r="L718" s="9"/>
      <c r="M718" s="9"/>
      <c r="N718" s="9"/>
      <c r="O718" s="9"/>
      <c r="P718" s="9"/>
      <c r="Q718" s="9"/>
      <c r="R718" s="9"/>
      <c r="S718" s="9"/>
      <c r="T718" s="9"/>
      <c r="U718" s="9"/>
      <c r="V718" s="9"/>
      <c r="W718" s="9"/>
      <c r="X718" s="223"/>
      <c r="Y718" s="9"/>
      <c r="Z718" s="204"/>
      <c r="AA718" s="9"/>
      <c r="AB718" s="9"/>
      <c r="AC718" s="9"/>
      <c r="AD718" s="9"/>
    </row>
    <row r="719" ht="15.75" customHeight="1">
      <c r="A719" s="9"/>
      <c r="B719" s="9"/>
      <c r="C719" s="9"/>
      <c r="D719" s="9"/>
      <c r="E719" s="223"/>
      <c r="F719" s="9"/>
      <c r="G719" s="9"/>
      <c r="H719" s="9"/>
      <c r="I719" s="9"/>
      <c r="J719" s="9"/>
      <c r="K719" s="9"/>
      <c r="L719" s="9"/>
      <c r="M719" s="9"/>
      <c r="N719" s="9"/>
      <c r="O719" s="9"/>
      <c r="P719" s="9"/>
      <c r="Q719" s="9"/>
      <c r="R719" s="9"/>
      <c r="S719" s="9"/>
      <c r="T719" s="9"/>
      <c r="U719" s="9"/>
      <c r="V719" s="9"/>
      <c r="W719" s="9"/>
      <c r="X719" s="223"/>
      <c r="Y719" s="9"/>
      <c r="Z719" s="204"/>
      <c r="AA719" s="9"/>
      <c r="AB719" s="9"/>
      <c r="AC719" s="9"/>
      <c r="AD719" s="9"/>
    </row>
    <row r="720" ht="15.75" customHeight="1">
      <c r="A720" s="9"/>
      <c r="B720" s="9"/>
      <c r="C720" s="9"/>
      <c r="D720" s="9"/>
      <c r="E720" s="223"/>
      <c r="F720" s="9"/>
      <c r="G720" s="9"/>
      <c r="H720" s="9"/>
      <c r="I720" s="9"/>
      <c r="J720" s="9"/>
      <c r="K720" s="9"/>
      <c r="L720" s="9"/>
      <c r="M720" s="9"/>
      <c r="N720" s="9"/>
      <c r="O720" s="9"/>
      <c r="P720" s="9"/>
      <c r="Q720" s="9"/>
      <c r="R720" s="9"/>
      <c r="S720" s="9"/>
      <c r="T720" s="9"/>
      <c r="U720" s="9"/>
      <c r="V720" s="9"/>
      <c r="W720" s="9"/>
      <c r="X720" s="223"/>
      <c r="Y720" s="9"/>
      <c r="Z720" s="204"/>
      <c r="AA720" s="9"/>
      <c r="AB720" s="9"/>
      <c r="AC720" s="9"/>
      <c r="AD720" s="9"/>
    </row>
    <row r="721" ht="15.75" customHeight="1">
      <c r="A721" s="9"/>
      <c r="B721" s="9"/>
      <c r="C721" s="9"/>
      <c r="D721" s="9"/>
      <c r="E721" s="223"/>
      <c r="F721" s="9"/>
      <c r="G721" s="9"/>
      <c r="H721" s="9"/>
      <c r="I721" s="9"/>
      <c r="J721" s="9"/>
      <c r="K721" s="9"/>
      <c r="L721" s="9"/>
      <c r="M721" s="9"/>
      <c r="N721" s="9"/>
      <c r="O721" s="9"/>
      <c r="P721" s="9"/>
      <c r="Q721" s="9"/>
      <c r="R721" s="9"/>
      <c r="S721" s="9"/>
      <c r="T721" s="9"/>
      <c r="U721" s="9"/>
      <c r="V721" s="9"/>
      <c r="W721" s="9"/>
      <c r="X721" s="223"/>
      <c r="Y721" s="9"/>
      <c r="Z721" s="204"/>
      <c r="AA721" s="9"/>
      <c r="AB721" s="9"/>
      <c r="AC721" s="9"/>
      <c r="AD721" s="9"/>
    </row>
    <row r="722" ht="15.75" customHeight="1">
      <c r="A722" s="9"/>
      <c r="B722" s="9"/>
      <c r="C722" s="9"/>
      <c r="D722" s="9"/>
      <c r="E722" s="223"/>
      <c r="F722" s="9"/>
      <c r="G722" s="9"/>
      <c r="H722" s="9"/>
      <c r="I722" s="9"/>
      <c r="J722" s="9"/>
      <c r="K722" s="9"/>
      <c r="L722" s="9"/>
      <c r="M722" s="9"/>
      <c r="N722" s="9"/>
      <c r="O722" s="9"/>
      <c r="P722" s="9"/>
      <c r="Q722" s="9"/>
      <c r="R722" s="9"/>
      <c r="S722" s="9"/>
      <c r="T722" s="9"/>
      <c r="U722" s="9"/>
      <c r="V722" s="9"/>
      <c r="W722" s="9"/>
      <c r="X722" s="223"/>
      <c r="Y722" s="9"/>
      <c r="Z722" s="204"/>
      <c r="AA722" s="9"/>
      <c r="AB722" s="9"/>
      <c r="AC722" s="9"/>
      <c r="AD722" s="9"/>
    </row>
    <row r="723" ht="15.75" customHeight="1">
      <c r="A723" s="9"/>
      <c r="B723" s="9"/>
      <c r="C723" s="9"/>
      <c r="D723" s="9"/>
      <c r="E723" s="223"/>
      <c r="F723" s="9"/>
      <c r="G723" s="9"/>
      <c r="H723" s="9"/>
      <c r="I723" s="9"/>
      <c r="J723" s="9"/>
      <c r="K723" s="9"/>
      <c r="L723" s="9"/>
      <c r="M723" s="9"/>
      <c r="N723" s="9"/>
      <c r="O723" s="9"/>
      <c r="P723" s="9"/>
      <c r="Q723" s="9"/>
      <c r="R723" s="9"/>
      <c r="S723" s="9"/>
      <c r="T723" s="9"/>
      <c r="U723" s="9"/>
      <c r="V723" s="9"/>
      <c r="W723" s="9"/>
      <c r="X723" s="223"/>
      <c r="Y723" s="9"/>
      <c r="Z723" s="204"/>
      <c r="AA723" s="9"/>
      <c r="AB723" s="9"/>
      <c r="AC723" s="9"/>
      <c r="AD723" s="9"/>
    </row>
    <row r="724" ht="15.75" customHeight="1">
      <c r="A724" s="9"/>
      <c r="B724" s="9"/>
      <c r="C724" s="9"/>
      <c r="D724" s="9"/>
      <c r="E724" s="223"/>
      <c r="F724" s="9"/>
      <c r="G724" s="9"/>
      <c r="H724" s="9"/>
      <c r="I724" s="9"/>
      <c r="J724" s="9"/>
      <c r="K724" s="9"/>
      <c r="L724" s="9"/>
      <c r="M724" s="9"/>
      <c r="N724" s="9"/>
      <c r="O724" s="9"/>
      <c r="P724" s="9"/>
      <c r="Q724" s="9"/>
      <c r="R724" s="9"/>
      <c r="S724" s="9"/>
      <c r="T724" s="9"/>
      <c r="U724" s="9"/>
      <c r="V724" s="9"/>
      <c r="W724" s="9"/>
      <c r="X724" s="223"/>
      <c r="Y724" s="9"/>
      <c r="Z724" s="204"/>
      <c r="AA724" s="9"/>
      <c r="AB724" s="9"/>
      <c r="AC724" s="9"/>
      <c r="AD724" s="9"/>
    </row>
    <row r="725" ht="15.75" customHeight="1">
      <c r="A725" s="9"/>
      <c r="B725" s="9"/>
      <c r="C725" s="9"/>
      <c r="D725" s="9"/>
      <c r="E725" s="223"/>
      <c r="F725" s="9"/>
      <c r="G725" s="9"/>
      <c r="H725" s="9"/>
      <c r="I725" s="9"/>
      <c r="J725" s="9"/>
      <c r="K725" s="9"/>
      <c r="L725" s="9"/>
      <c r="M725" s="9"/>
      <c r="N725" s="9"/>
      <c r="O725" s="9"/>
      <c r="P725" s="9"/>
      <c r="Q725" s="9"/>
      <c r="R725" s="9"/>
      <c r="S725" s="9"/>
      <c r="T725" s="9"/>
      <c r="U725" s="9"/>
      <c r="V725" s="9"/>
      <c r="W725" s="9"/>
      <c r="X725" s="223"/>
      <c r="Y725" s="9"/>
      <c r="Z725" s="204"/>
      <c r="AA725" s="9"/>
      <c r="AB725" s="9"/>
      <c r="AC725" s="9"/>
      <c r="AD725" s="9"/>
    </row>
    <row r="726" ht="15.75" customHeight="1">
      <c r="A726" s="9"/>
      <c r="B726" s="9"/>
      <c r="C726" s="9"/>
      <c r="D726" s="9"/>
      <c r="E726" s="223"/>
      <c r="F726" s="9"/>
      <c r="G726" s="9"/>
      <c r="H726" s="9"/>
      <c r="I726" s="9"/>
      <c r="J726" s="9"/>
      <c r="K726" s="9"/>
      <c r="L726" s="9"/>
      <c r="M726" s="9"/>
      <c r="N726" s="9"/>
      <c r="O726" s="9"/>
      <c r="P726" s="9"/>
      <c r="Q726" s="9"/>
      <c r="R726" s="9"/>
      <c r="S726" s="9"/>
      <c r="T726" s="9"/>
      <c r="U726" s="9"/>
      <c r="V726" s="9"/>
      <c r="W726" s="9"/>
      <c r="X726" s="223"/>
      <c r="Y726" s="9"/>
      <c r="Z726" s="204"/>
      <c r="AA726" s="9"/>
      <c r="AB726" s="9"/>
      <c r="AC726" s="9"/>
      <c r="AD726" s="9"/>
    </row>
    <row r="727" ht="15.75" customHeight="1">
      <c r="A727" s="9"/>
      <c r="B727" s="9"/>
      <c r="C727" s="9"/>
      <c r="D727" s="9"/>
      <c r="E727" s="223"/>
      <c r="F727" s="9"/>
      <c r="G727" s="9"/>
      <c r="H727" s="9"/>
      <c r="I727" s="9"/>
      <c r="J727" s="9"/>
      <c r="K727" s="9"/>
      <c r="L727" s="9"/>
      <c r="M727" s="9"/>
      <c r="N727" s="9"/>
      <c r="O727" s="9"/>
      <c r="P727" s="9"/>
      <c r="Q727" s="9"/>
      <c r="R727" s="9"/>
      <c r="S727" s="9"/>
      <c r="T727" s="9"/>
      <c r="U727" s="9"/>
      <c r="V727" s="9"/>
      <c r="W727" s="9"/>
      <c r="X727" s="223"/>
      <c r="Y727" s="9"/>
      <c r="Z727" s="204"/>
      <c r="AA727" s="9"/>
      <c r="AB727" s="9"/>
      <c r="AC727" s="9"/>
      <c r="AD727" s="9"/>
    </row>
    <row r="728" ht="15.75" customHeight="1">
      <c r="A728" s="9"/>
      <c r="B728" s="9"/>
      <c r="C728" s="9"/>
      <c r="D728" s="9"/>
      <c r="E728" s="223"/>
      <c r="F728" s="9"/>
      <c r="G728" s="9"/>
      <c r="H728" s="9"/>
      <c r="I728" s="9"/>
      <c r="J728" s="9"/>
      <c r="K728" s="9"/>
      <c r="L728" s="9"/>
      <c r="M728" s="9"/>
      <c r="N728" s="9"/>
      <c r="O728" s="9"/>
      <c r="P728" s="9"/>
      <c r="Q728" s="9"/>
      <c r="R728" s="9"/>
      <c r="S728" s="9"/>
      <c r="T728" s="9"/>
      <c r="U728" s="9"/>
      <c r="V728" s="9"/>
      <c r="W728" s="9"/>
      <c r="X728" s="223"/>
      <c r="Y728" s="9"/>
      <c r="Z728" s="204"/>
      <c r="AA728" s="9"/>
      <c r="AB728" s="9"/>
      <c r="AC728" s="9"/>
      <c r="AD728" s="9"/>
    </row>
    <row r="729" ht="15.75" customHeight="1">
      <c r="A729" s="9"/>
      <c r="B729" s="9"/>
      <c r="C729" s="9"/>
      <c r="D729" s="9"/>
      <c r="E729" s="223"/>
      <c r="F729" s="9"/>
      <c r="G729" s="9"/>
      <c r="H729" s="9"/>
      <c r="I729" s="9"/>
      <c r="J729" s="9"/>
      <c r="K729" s="9"/>
      <c r="L729" s="9"/>
      <c r="M729" s="9"/>
      <c r="N729" s="9"/>
      <c r="O729" s="9"/>
      <c r="P729" s="9"/>
      <c r="Q729" s="9"/>
      <c r="R729" s="9"/>
      <c r="S729" s="9"/>
      <c r="T729" s="9"/>
      <c r="U729" s="9"/>
      <c r="V729" s="9"/>
      <c r="W729" s="9"/>
      <c r="X729" s="223"/>
      <c r="Y729" s="9"/>
      <c r="Z729" s="204"/>
      <c r="AA729" s="9"/>
      <c r="AB729" s="9"/>
      <c r="AC729" s="9"/>
      <c r="AD729" s="9"/>
    </row>
    <row r="730" ht="15.75" customHeight="1">
      <c r="A730" s="9"/>
      <c r="B730" s="9"/>
      <c r="C730" s="9"/>
      <c r="D730" s="9"/>
      <c r="E730" s="223"/>
      <c r="F730" s="9"/>
      <c r="G730" s="9"/>
      <c r="H730" s="9"/>
      <c r="I730" s="9"/>
      <c r="J730" s="9"/>
      <c r="K730" s="9"/>
      <c r="L730" s="9"/>
      <c r="M730" s="9"/>
      <c r="N730" s="9"/>
      <c r="O730" s="9"/>
      <c r="P730" s="9"/>
      <c r="Q730" s="9"/>
      <c r="R730" s="9"/>
      <c r="S730" s="9"/>
      <c r="T730" s="9"/>
      <c r="U730" s="9"/>
      <c r="V730" s="9"/>
      <c r="W730" s="9"/>
      <c r="X730" s="223"/>
      <c r="Y730" s="9"/>
      <c r="Z730" s="204"/>
      <c r="AA730" s="9"/>
      <c r="AB730" s="9"/>
      <c r="AC730" s="9"/>
      <c r="AD730" s="9"/>
    </row>
    <row r="731" ht="15.75" customHeight="1">
      <c r="A731" s="9"/>
      <c r="B731" s="9"/>
      <c r="C731" s="9"/>
      <c r="D731" s="9"/>
      <c r="E731" s="223"/>
      <c r="F731" s="9"/>
      <c r="G731" s="9"/>
      <c r="H731" s="9"/>
      <c r="I731" s="9"/>
      <c r="J731" s="9"/>
      <c r="K731" s="9"/>
      <c r="L731" s="9"/>
      <c r="M731" s="9"/>
      <c r="N731" s="9"/>
      <c r="O731" s="9"/>
      <c r="P731" s="9"/>
      <c r="Q731" s="9"/>
      <c r="R731" s="9"/>
      <c r="S731" s="9"/>
      <c r="T731" s="9"/>
      <c r="U731" s="9"/>
      <c r="V731" s="9"/>
      <c r="W731" s="9"/>
      <c r="X731" s="223"/>
      <c r="Y731" s="9"/>
      <c r="Z731" s="204"/>
      <c r="AA731" s="9"/>
      <c r="AB731" s="9"/>
      <c r="AC731" s="9"/>
      <c r="AD731" s="9"/>
    </row>
    <row r="732" ht="15.75" customHeight="1">
      <c r="A732" s="9"/>
      <c r="B732" s="9"/>
      <c r="C732" s="9"/>
      <c r="D732" s="9"/>
      <c r="E732" s="223"/>
      <c r="F732" s="9"/>
      <c r="G732" s="9"/>
      <c r="H732" s="9"/>
      <c r="I732" s="9"/>
      <c r="J732" s="9"/>
      <c r="K732" s="9"/>
      <c r="L732" s="9"/>
      <c r="M732" s="9"/>
      <c r="N732" s="9"/>
      <c r="O732" s="9"/>
      <c r="P732" s="9"/>
      <c r="Q732" s="9"/>
      <c r="R732" s="9"/>
      <c r="S732" s="9"/>
      <c r="T732" s="9"/>
      <c r="U732" s="9"/>
      <c r="V732" s="9"/>
      <c r="W732" s="9"/>
      <c r="X732" s="223"/>
      <c r="Y732" s="9"/>
      <c r="Z732" s="204"/>
      <c r="AA732" s="9"/>
      <c r="AB732" s="9"/>
      <c r="AC732" s="9"/>
      <c r="AD732" s="9"/>
    </row>
    <row r="733" ht="15.75" customHeight="1">
      <c r="A733" s="9"/>
      <c r="B733" s="9"/>
      <c r="C733" s="9"/>
      <c r="D733" s="9"/>
      <c r="E733" s="223"/>
      <c r="F733" s="9"/>
      <c r="G733" s="9"/>
      <c r="H733" s="9"/>
      <c r="I733" s="9"/>
      <c r="J733" s="9"/>
      <c r="K733" s="9"/>
      <c r="L733" s="9"/>
      <c r="M733" s="9"/>
      <c r="N733" s="9"/>
      <c r="O733" s="9"/>
      <c r="P733" s="9"/>
      <c r="Q733" s="9"/>
      <c r="R733" s="9"/>
      <c r="S733" s="9"/>
      <c r="T733" s="9"/>
      <c r="U733" s="9"/>
      <c r="V733" s="9"/>
      <c r="W733" s="9"/>
      <c r="X733" s="223"/>
      <c r="Y733" s="9"/>
      <c r="Z733" s="204"/>
      <c r="AA733" s="9"/>
      <c r="AB733" s="9"/>
      <c r="AC733" s="9"/>
      <c r="AD733" s="9"/>
    </row>
    <row r="734" ht="15.75" customHeight="1">
      <c r="A734" s="9"/>
      <c r="B734" s="9"/>
      <c r="C734" s="9"/>
      <c r="D734" s="9"/>
      <c r="E734" s="223"/>
      <c r="F734" s="9"/>
      <c r="G734" s="9"/>
      <c r="H734" s="9"/>
      <c r="I734" s="9"/>
      <c r="J734" s="9"/>
      <c r="K734" s="9"/>
      <c r="L734" s="9"/>
      <c r="M734" s="9"/>
      <c r="N734" s="9"/>
      <c r="O734" s="9"/>
      <c r="P734" s="9"/>
      <c r="Q734" s="9"/>
      <c r="R734" s="9"/>
      <c r="S734" s="9"/>
      <c r="T734" s="9"/>
      <c r="U734" s="9"/>
      <c r="V734" s="9"/>
      <c r="W734" s="9"/>
      <c r="X734" s="223"/>
      <c r="Y734" s="9"/>
      <c r="Z734" s="204"/>
      <c r="AA734" s="9"/>
      <c r="AB734" s="9"/>
      <c r="AC734" s="9"/>
      <c r="AD734" s="9"/>
    </row>
    <row r="735" ht="15.75" customHeight="1">
      <c r="A735" s="9"/>
      <c r="B735" s="9"/>
      <c r="C735" s="9"/>
      <c r="D735" s="9"/>
      <c r="E735" s="223"/>
      <c r="F735" s="9"/>
      <c r="G735" s="9"/>
      <c r="H735" s="9"/>
      <c r="I735" s="9"/>
      <c r="J735" s="9"/>
      <c r="K735" s="9"/>
      <c r="L735" s="9"/>
      <c r="M735" s="9"/>
      <c r="N735" s="9"/>
      <c r="O735" s="9"/>
      <c r="P735" s="9"/>
      <c r="Q735" s="9"/>
      <c r="R735" s="9"/>
      <c r="S735" s="9"/>
      <c r="T735" s="9"/>
      <c r="U735" s="9"/>
      <c r="V735" s="9"/>
      <c r="W735" s="9"/>
      <c r="X735" s="223"/>
      <c r="Y735" s="9"/>
      <c r="Z735" s="204"/>
      <c r="AA735" s="9"/>
      <c r="AB735" s="9"/>
      <c r="AC735" s="9"/>
      <c r="AD735" s="9"/>
    </row>
    <row r="736" ht="15.75" customHeight="1">
      <c r="A736" s="9"/>
      <c r="B736" s="9"/>
      <c r="C736" s="9"/>
      <c r="D736" s="9"/>
      <c r="E736" s="223"/>
      <c r="F736" s="9"/>
      <c r="G736" s="9"/>
      <c r="H736" s="9"/>
      <c r="I736" s="9"/>
      <c r="J736" s="9"/>
      <c r="K736" s="9"/>
      <c r="L736" s="9"/>
      <c r="M736" s="9"/>
      <c r="N736" s="9"/>
      <c r="O736" s="9"/>
      <c r="P736" s="9"/>
      <c r="Q736" s="9"/>
      <c r="R736" s="9"/>
      <c r="S736" s="9"/>
      <c r="T736" s="9"/>
      <c r="U736" s="9"/>
      <c r="V736" s="9"/>
      <c r="W736" s="9"/>
      <c r="X736" s="223"/>
      <c r="Y736" s="9"/>
      <c r="Z736" s="204"/>
      <c r="AA736" s="9"/>
      <c r="AB736" s="9"/>
      <c r="AC736" s="9"/>
      <c r="AD736" s="9"/>
    </row>
    <row r="737" ht="15.75" customHeight="1">
      <c r="A737" s="9"/>
      <c r="B737" s="9"/>
      <c r="C737" s="9"/>
      <c r="D737" s="9"/>
      <c r="E737" s="223"/>
      <c r="F737" s="9"/>
      <c r="G737" s="9"/>
      <c r="H737" s="9"/>
      <c r="I737" s="9"/>
      <c r="J737" s="9"/>
      <c r="K737" s="9"/>
      <c r="L737" s="9"/>
      <c r="M737" s="9"/>
      <c r="N737" s="9"/>
      <c r="O737" s="9"/>
      <c r="P737" s="9"/>
      <c r="Q737" s="9"/>
      <c r="R737" s="9"/>
      <c r="S737" s="9"/>
      <c r="T737" s="9"/>
      <c r="U737" s="9"/>
      <c r="V737" s="9"/>
      <c r="W737" s="9"/>
      <c r="X737" s="223"/>
      <c r="Y737" s="9"/>
      <c r="Z737" s="204"/>
      <c r="AA737" s="9"/>
      <c r="AB737" s="9"/>
      <c r="AC737" s="9"/>
      <c r="AD737" s="9"/>
    </row>
    <row r="738" ht="15.75" customHeight="1">
      <c r="A738" s="9"/>
      <c r="B738" s="9"/>
      <c r="C738" s="9"/>
      <c r="D738" s="9"/>
      <c r="E738" s="223"/>
      <c r="F738" s="9"/>
      <c r="G738" s="9"/>
      <c r="H738" s="9"/>
      <c r="I738" s="9"/>
      <c r="J738" s="9"/>
      <c r="K738" s="9"/>
      <c r="L738" s="9"/>
      <c r="M738" s="9"/>
      <c r="N738" s="9"/>
      <c r="O738" s="9"/>
      <c r="P738" s="9"/>
      <c r="Q738" s="9"/>
      <c r="R738" s="9"/>
      <c r="S738" s="9"/>
      <c r="T738" s="9"/>
      <c r="U738" s="9"/>
      <c r="V738" s="9"/>
      <c r="W738" s="9"/>
      <c r="X738" s="223"/>
      <c r="Y738" s="9"/>
      <c r="Z738" s="204"/>
      <c r="AA738" s="9"/>
      <c r="AB738" s="9"/>
      <c r="AC738" s="9"/>
      <c r="AD738" s="9"/>
    </row>
    <row r="739" ht="15.75" customHeight="1">
      <c r="A739" s="9"/>
      <c r="B739" s="9"/>
      <c r="C739" s="9"/>
      <c r="D739" s="9"/>
      <c r="E739" s="223"/>
      <c r="F739" s="9"/>
      <c r="G739" s="9"/>
      <c r="H739" s="9"/>
      <c r="I739" s="9"/>
      <c r="J739" s="9"/>
      <c r="K739" s="9"/>
      <c r="L739" s="9"/>
      <c r="M739" s="9"/>
      <c r="N739" s="9"/>
      <c r="O739" s="9"/>
      <c r="P739" s="9"/>
      <c r="Q739" s="9"/>
      <c r="R739" s="9"/>
      <c r="S739" s="9"/>
      <c r="T739" s="9"/>
      <c r="U739" s="9"/>
      <c r="V739" s="9"/>
      <c r="W739" s="9"/>
      <c r="X739" s="223"/>
      <c r="Y739" s="9"/>
      <c r="Z739" s="204"/>
      <c r="AA739" s="9"/>
      <c r="AB739" s="9"/>
      <c r="AC739" s="9"/>
      <c r="AD739" s="9"/>
    </row>
    <row r="740" ht="15.75" customHeight="1">
      <c r="A740" s="9"/>
      <c r="B740" s="9"/>
      <c r="C740" s="9"/>
      <c r="D740" s="9"/>
      <c r="E740" s="223"/>
      <c r="F740" s="9"/>
      <c r="G740" s="9"/>
      <c r="H740" s="9"/>
      <c r="I740" s="9"/>
      <c r="J740" s="9"/>
      <c r="K740" s="9"/>
      <c r="L740" s="9"/>
      <c r="M740" s="9"/>
      <c r="N740" s="9"/>
      <c r="O740" s="9"/>
      <c r="P740" s="9"/>
      <c r="Q740" s="9"/>
      <c r="R740" s="9"/>
      <c r="S740" s="9"/>
      <c r="T740" s="9"/>
      <c r="U740" s="9"/>
      <c r="V740" s="9"/>
      <c r="W740" s="9"/>
      <c r="X740" s="223"/>
      <c r="Y740" s="9"/>
      <c r="Z740" s="204"/>
      <c r="AA740" s="9"/>
      <c r="AB740" s="9"/>
      <c r="AC740" s="9"/>
      <c r="AD740" s="9"/>
    </row>
    <row r="741" ht="15.75" customHeight="1">
      <c r="A741" s="9"/>
      <c r="B741" s="9"/>
      <c r="C741" s="9"/>
      <c r="D741" s="9"/>
      <c r="E741" s="223"/>
      <c r="F741" s="9"/>
      <c r="G741" s="9"/>
      <c r="H741" s="9"/>
      <c r="I741" s="9"/>
      <c r="J741" s="9"/>
      <c r="K741" s="9"/>
      <c r="L741" s="9"/>
      <c r="M741" s="9"/>
      <c r="N741" s="9"/>
      <c r="O741" s="9"/>
      <c r="P741" s="9"/>
      <c r="Q741" s="9"/>
      <c r="R741" s="9"/>
      <c r="S741" s="9"/>
      <c r="T741" s="9"/>
      <c r="U741" s="9"/>
      <c r="V741" s="9"/>
      <c r="W741" s="9"/>
      <c r="X741" s="223"/>
      <c r="Y741" s="9"/>
      <c r="Z741" s="204"/>
      <c r="AA741" s="9"/>
      <c r="AB741" s="9"/>
      <c r="AC741" s="9"/>
      <c r="AD741" s="9"/>
    </row>
    <row r="742" ht="15.75" customHeight="1">
      <c r="A742" s="9"/>
      <c r="B742" s="9"/>
      <c r="C742" s="9"/>
      <c r="D742" s="9"/>
      <c r="E742" s="223"/>
      <c r="F742" s="9"/>
      <c r="G742" s="9"/>
      <c r="H742" s="9"/>
      <c r="I742" s="9"/>
      <c r="J742" s="9"/>
      <c r="K742" s="9"/>
      <c r="L742" s="9"/>
      <c r="M742" s="9"/>
      <c r="N742" s="9"/>
      <c r="O742" s="9"/>
      <c r="P742" s="9"/>
      <c r="Q742" s="9"/>
      <c r="R742" s="9"/>
      <c r="S742" s="9"/>
      <c r="T742" s="9"/>
      <c r="U742" s="9"/>
      <c r="V742" s="9"/>
      <c r="W742" s="9"/>
      <c r="X742" s="223"/>
      <c r="Y742" s="9"/>
      <c r="Z742" s="204"/>
      <c r="AA742" s="9"/>
      <c r="AB742" s="9"/>
      <c r="AC742" s="9"/>
      <c r="AD742" s="9"/>
    </row>
    <row r="743" ht="15.75" customHeight="1">
      <c r="A743" s="9"/>
      <c r="B743" s="9"/>
      <c r="C743" s="9"/>
      <c r="D743" s="9"/>
      <c r="E743" s="223"/>
      <c r="F743" s="9"/>
      <c r="G743" s="9"/>
      <c r="H743" s="9"/>
      <c r="I743" s="9"/>
      <c r="J743" s="9"/>
      <c r="K743" s="9"/>
      <c r="L743" s="9"/>
      <c r="M743" s="9"/>
      <c r="N743" s="9"/>
      <c r="O743" s="9"/>
      <c r="P743" s="9"/>
      <c r="Q743" s="9"/>
      <c r="R743" s="9"/>
      <c r="S743" s="9"/>
      <c r="T743" s="9"/>
      <c r="U743" s="9"/>
      <c r="V743" s="9"/>
      <c r="W743" s="9"/>
      <c r="X743" s="223"/>
      <c r="Y743" s="9"/>
      <c r="Z743" s="204"/>
      <c r="AA743" s="9"/>
      <c r="AB743" s="9"/>
      <c r="AC743" s="9"/>
      <c r="AD743" s="9"/>
    </row>
    <row r="744" ht="15.75" customHeight="1">
      <c r="A744" s="9"/>
      <c r="B744" s="9"/>
      <c r="C744" s="9"/>
      <c r="D744" s="9"/>
      <c r="E744" s="223"/>
      <c r="F744" s="9"/>
      <c r="G744" s="9"/>
      <c r="H744" s="9"/>
      <c r="I744" s="9"/>
      <c r="J744" s="9"/>
      <c r="K744" s="9"/>
      <c r="L744" s="9"/>
      <c r="M744" s="9"/>
      <c r="N744" s="9"/>
      <c r="O744" s="9"/>
      <c r="P744" s="9"/>
      <c r="Q744" s="9"/>
      <c r="R744" s="9"/>
      <c r="S744" s="9"/>
      <c r="T744" s="9"/>
      <c r="U744" s="9"/>
      <c r="V744" s="9"/>
      <c r="W744" s="9"/>
      <c r="X744" s="223"/>
      <c r="Y744" s="9"/>
      <c r="Z744" s="204"/>
      <c r="AA744" s="9"/>
      <c r="AB744" s="9"/>
      <c r="AC744" s="9"/>
      <c r="AD744" s="9"/>
    </row>
    <row r="745" ht="15.75" customHeight="1">
      <c r="A745" s="9"/>
      <c r="B745" s="9"/>
      <c r="C745" s="9"/>
      <c r="D745" s="9"/>
      <c r="E745" s="223"/>
      <c r="F745" s="9"/>
      <c r="G745" s="9"/>
      <c r="H745" s="9"/>
      <c r="I745" s="9"/>
      <c r="J745" s="9"/>
      <c r="K745" s="9"/>
      <c r="L745" s="9"/>
      <c r="M745" s="9"/>
      <c r="N745" s="9"/>
      <c r="O745" s="9"/>
      <c r="P745" s="9"/>
      <c r="Q745" s="9"/>
      <c r="R745" s="9"/>
      <c r="S745" s="9"/>
      <c r="T745" s="9"/>
      <c r="U745" s="9"/>
      <c r="V745" s="9"/>
      <c r="W745" s="9"/>
      <c r="X745" s="223"/>
      <c r="Y745" s="9"/>
      <c r="Z745" s="204"/>
      <c r="AA745" s="9"/>
      <c r="AB745" s="9"/>
      <c r="AC745" s="9"/>
      <c r="AD745" s="9"/>
    </row>
    <row r="746" ht="15.75" customHeight="1">
      <c r="A746" s="9"/>
      <c r="B746" s="9"/>
      <c r="C746" s="9"/>
      <c r="D746" s="9"/>
      <c r="E746" s="223"/>
      <c r="F746" s="9"/>
      <c r="G746" s="9"/>
      <c r="H746" s="9"/>
      <c r="I746" s="9"/>
      <c r="J746" s="9"/>
      <c r="K746" s="9"/>
      <c r="L746" s="9"/>
      <c r="M746" s="9"/>
      <c r="N746" s="9"/>
      <c r="O746" s="9"/>
      <c r="P746" s="9"/>
      <c r="Q746" s="9"/>
      <c r="R746" s="9"/>
      <c r="S746" s="9"/>
      <c r="T746" s="9"/>
      <c r="U746" s="9"/>
      <c r="V746" s="9"/>
      <c r="W746" s="9"/>
      <c r="X746" s="223"/>
      <c r="Y746" s="9"/>
      <c r="Z746" s="204"/>
      <c r="AA746" s="9"/>
      <c r="AB746" s="9"/>
      <c r="AC746" s="9"/>
      <c r="AD746" s="9"/>
    </row>
    <row r="747" ht="15.75" customHeight="1">
      <c r="A747" s="9"/>
      <c r="B747" s="9"/>
      <c r="C747" s="9"/>
      <c r="D747" s="9"/>
      <c r="E747" s="223"/>
      <c r="F747" s="9"/>
      <c r="G747" s="9"/>
      <c r="H747" s="9"/>
      <c r="I747" s="9"/>
      <c r="J747" s="9"/>
      <c r="K747" s="9"/>
      <c r="L747" s="9"/>
      <c r="M747" s="9"/>
      <c r="N747" s="9"/>
      <c r="O747" s="9"/>
      <c r="P747" s="9"/>
      <c r="Q747" s="9"/>
      <c r="R747" s="9"/>
      <c r="S747" s="9"/>
      <c r="T747" s="9"/>
      <c r="U747" s="9"/>
      <c r="V747" s="9"/>
      <c r="W747" s="9"/>
      <c r="X747" s="223"/>
      <c r="Y747" s="9"/>
      <c r="Z747" s="204"/>
      <c r="AA747" s="9"/>
      <c r="AB747" s="9"/>
      <c r="AC747" s="9"/>
      <c r="AD747" s="9"/>
    </row>
    <row r="748" ht="15.75" customHeight="1">
      <c r="A748" s="9"/>
      <c r="B748" s="9"/>
      <c r="C748" s="9"/>
      <c r="D748" s="9"/>
      <c r="E748" s="223"/>
      <c r="F748" s="9"/>
      <c r="G748" s="9"/>
      <c r="H748" s="9"/>
      <c r="I748" s="9"/>
      <c r="J748" s="9"/>
      <c r="K748" s="9"/>
      <c r="L748" s="9"/>
      <c r="M748" s="9"/>
      <c r="N748" s="9"/>
      <c r="O748" s="9"/>
      <c r="P748" s="9"/>
      <c r="Q748" s="9"/>
      <c r="R748" s="9"/>
      <c r="S748" s="9"/>
      <c r="T748" s="9"/>
      <c r="U748" s="9"/>
      <c r="V748" s="9"/>
      <c r="W748" s="9"/>
      <c r="X748" s="223"/>
      <c r="Y748" s="9"/>
      <c r="Z748" s="204"/>
      <c r="AA748" s="9"/>
      <c r="AB748" s="9"/>
      <c r="AC748" s="9"/>
      <c r="AD748" s="9"/>
    </row>
    <row r="749" ht="15.75" customHeight="1">
      <c r="A749" s="9"/>
      <c r="B749" s="9"/>
      <c r="C749" s="9"/>
      <c r="D749" s="9"/>
      <c r="E749" s="223"/>
      <c r="F749" s="9"/>
      <c r="G749" s="9"/>
      <c r="H749" s="9"/>
      <c r="I749" s="9"/>
      <c r="J749" s="9"/>
      <c r="K749" s="9"/>
      <c r="L749" s="9"/>
      <c r="M749" s="9"/>
      <c r="N749" s="9"/>
      <c r="O749" s="9"/>
      <c r="P749" s="9"/>
      <c r="Q749" s="9"/>
      <c r="R749" s="9"/>
      <c r="S749" s="9"/>
      <c r="T749" s="9"/>
      <c r="U749" s="9"/>
      <c r="V749" s="9"/>
      <c r="W749" s="9"/>
      <c r="X749" s="223"/>
      <c r="Y749" s="9"/>
      <c r="Z749" s="204"/>
      <c r="AA749" s="9"/>
      <c r="AB749" s="9"/>
      <c r="AC749" s="9"/>
      <c r="AD749" s="9"/>
    </row>
    <row r="750" ht="15.75" customHeight="1">
      <c r="A750" s="9"/>
      <c r="B750" s="9"/>
      <c r="C750" s="9"/>
      <c r="D750" s="9"/>
      <c r="E750" s="223"/>
      <c r="F750" s="9"/>
      <c r="G750" s="9"/>
      <c r="H750" s="9"/>
      <c r="I750" s="9"/>
      <c r="J750" s="9"/>
      <c r="K750" s="9"/>
      <c r="L750" s="9"/>
      <c r="M750" s="9"/>
      <c r="N750" s="9"/>
      <c r="O750" s="9"/>
      <c r="P750" s="9"/>
      <c r="Q750" s="9"/>
      <c r="R750" s="9"/>
      <c r="S750" s="9"/>
      <c r="T750" s="9"/>
      <c r="U750" s="9"/>
      <c r="V750" s="9"/>
      <c r="W750" s="9"/>
      <c r="X750" s="223"/>
      <c r="Y750" s="9"/>
      <c r="Z750" s="204"/>
      <c r="AA750" s="9"/>
      <c r="AB750" s="9"/>
      <c r="AC750" s="9"/>
      <c r="AD750" s="9"/>
    </row>
    <row r="751" ht="15.75" customHeight="1">
      <c r="A751" s="9"/>
      <c r="B751" s="9"/>
      <c r="C751" s="9"/>
      <c r="D751" s="9"/>
      <c r="E751" s="223"/>
      <c r="F751" s="9"/>
      <c r="G751" s="9"/>
      <c r="H751" s="9"/>
      <c r="I751" s="9"/>
      <c r="J751" s="9"/>
      <c r="K751" s="9"/>
      <c r="L751" s="9"/>
      <c r="M751" s="9"/>
      <c r="N751" s="9"/>
      <c r="O751" s="9"/>
      <c r="P751" s="9"/>
      <c r="Q751" s="9"/>
      <c r="R751" s="9"/>
      <c r="S751" s="9"/>
      <c r="T751" s="9"/>
      <c r="U751" s="9"/>
      <c r="V751" s="9"/>
      <c r="W751" s="9"/>
      <c r="X751" s="223"/>
      <c r="Y751" s="9"/>
      <c r="Z751" s="204"/>
      <c r="AA751" s="9"/>
      <c r="AB751" s="9"/>
      <c r="AC751" s="9"/>
      <c r="AD751" s="9"/>
    </row>
    <row r="752" ht="15.75" customHeight="1">
      <c r="A752" s="9"/>
      <c r="B752" s="9"/>
      <c r="C752" s="9"/>
      <c r="D752" s="9"/>
      <c r="E752" s="223"/>
      <c r="F752" s="9"/>
      <c r="G752" s="9"/>
      <c r="H752" s="9"/>
      <c r="I752" s="9"/>
      <c r="J752" s="9"/>
      <c r="K752" s="9"/>
      <c r="L752" s="9"/>
      <c r="M752" s="9"/>
      <c r="N752" s="9"/>
      <c r="O752" s="9"/>
      <c r="P752" s="9"/>
      <c r="Q752" s="9"/>
      <c r="R752" s="9"/>
      <c r="S752" s="9"/>
      <c r="T752" s="9"/>
      <c r="U752" s="9"/>
      <c r="V752" s="9"/>
      <c r="W752" s="9"/>
      <c r="X752" s="223"/>
      <c r="Y752" s="9"/>
      <c r="Z752" s="204"/>
      <c r="AA752" s="9"/>
      <c r="AB752" s="9"/>
      <c r="AC752" s="9"/>
      <c r="AD752" s="9"/>
    </row>
    <row r="753" ht="15.75" customHeight="1">
      <c r="A753" s="9"/>
      <c r="B753" s="9"/>
      <c r="C753" s="9"/>
      <c r="D753" s="9"/>
      <c r="E753" s="223"/>
      <c r="F753" s="9"/>
      <c r="G753" s="9"/>
      <c r="H753" s="9"/>
      <c r="I753" s="9"/>
      <c r="J753" s="9"/>
      <c r="K753" s="9"/>
      <c r="L753" s="9"/>
      <c r="M753" s="9"/>
      <c r="N753" s="9"/>
      <c r="O753" s="9"/>
      <c r="P753" s="9"/>
      <c r="Q753" s="9"/>
      <c r="R753" s="9"/>
      <c r="S753" s="9"/>
      <c r="T753" s="9"/>
      <c r="U753" s="9"/>
      <c r="V753" s="9"/>
      <c r="W753" s="9"/>
      <c r="X753" s="223"/>
      <c r="Y753" s="9"/>
      <c r="Z753" s="204"/>
      <c r="AA753" s="9"/>
      <c r="AB753" s="9"/>
      <c r="AC753" s="9"/>
      <c r="AD753" s="9"/>
    </row>
    <row r="754" ht="15.75" customHeight="1">
      <c r="A754" s="9"/>
      <c r="B754" s="9"/>
      <c r="C754" s="9"/>
      <c r="D754" s="9"/>
      <c r="E754" s="223"/>
      <c r="F754" s="9"/>
      <c r="G754" s="9"/>
      <c r="H754" s="9"/>
      <c r="I754" s="9"/>
      <c r="J754" s="9"/>
      <c r="K754" s="9"/>
      <c r="L754" s="9"/>
      <c r="M754" s="9"/>
      <c r="N754" s="9"/>
      <c r="O754" s="9"/>
      <c r="P754" s="9"/>
      <c r="Q754" s="9"/>
      <c r="R754" s="9"/>
      <c r="S754" s="9"/>
      <c r="T754" s="9"/>
      <c r="U754" s="9"/>
      <c r="V754" s="9"/>
      <c r="W754" s="9"/>
      <c r="X754" s="223"/>
      <c r="Y754" s="9"/>
      <c r="Z754" s="204"/>
      <c r="AA754" s="9"/>
      <c r="AB754" s="9"/>
      <c r="AC754" s="9"/>
      <c r="AD754" s="9"/>
    </row>
    <row r="755" ht="15.75" customHeight="1">
      <c r="A755" s="9"/>
      <c r="B755" s="9"/>
      <c r="C755" s="9"/>
      <c r="D755" s="9"/>
      <c r="E755" s="223"/>
      <c r="F755" s="9"/>
      <c r="G755" s="9"/>
      <c r="H755" s="9"/>
      <c r="I755" s="9"/>
      <c r="J755" s="9"/>
      <c r="K755" s="9"/>
      <c r="L755" s="9"/>
      <c r="M755" s="9"/>
      <c r="N755" s="9"/>
      <c r="O755" s="9"/>
      <c r="P755" s="9"/>
      <c r="Q755" s="9"/>
      <c r="R755" s="9"/>
      <c r="S755" s="9"/>
      <c r="T755" s="9"/>
      <c r="U755" s="9"/>
      <c r="V755" s="9"/>
      <c r="W755" s="9"/>
      <c r="X755" s="223"/>
      <c r="Y755" s="9"/>
      <c r="Z755" s="204"/>
      <c r="AA755" s="9"/>
      <c r="AB755" s="9"/>
      <c r="AC755" s="9"/>
      <c r="AD755" s="9"/>
    </row>
    <row r="756" ht="15.75" customHeight="1">
      <c r="A756" s="9"/>
      <c r="B756" s="9"/>
      <c r="C756" s="9"/>
      <c r="D756" s="9"/>
      <c r="E756" s="223"/>
      <c r="F756" s="9"/>
      <c r="G756" s="9"/>
      <c r="H756" s="9"/>
      <c r="I756" s="9"/>
      <c r="J756" s="9"/>
      <c r="K756" s="9"/>
      <c r="L756" s="9"/>
      <c r="M756" s="9"/>
      <c r="N756" s="9"/>
      <c r="O756" s="9"/>
      <c r="P756" s="9"/>
      <c r="Q756" s="9"/>
      <c r="R756" s="9"/>
      <c r="S756" s="9"/>
      <c r="T756" s="9"/>
      <c r="U756" s="9"/>
      <c r="V756" s="9"/>
      <c r="W756" s="9"/>
      <c r="X756" s="223"/>
      <c r="Y756" s="9"/>
      <c r="Z756" s="204"/>
      <c r="AA756" s="9"/>
      <c r="AB756" s="9"/>
      <c r="AC756" s="9"/>
      <c r="AD756" s="9"/>
    </row>
    <row r="757" ht="15.75" customHeight="1">
      <c r="A757" s="9"/>
      <c r="B757" s="9"/>
      <c r="C757" s="9"/>
      <c r="D757" s="9"/>
      <c r="E757" s="223"/>
      <c r="F757" s="9"/>
      <c r="G757" s="9"/>
      <c r="H757" s="9"/>
      <c r="I757" s="9"/>
      <c r="J757" s="9"/>
      <c r="K757" s="9"/>
      <c r="L757" s="9"/>
      <c r="M757" s="9"/>
      <c r="N757" s="9"/>
      <c r="O757" s="9"/>
      <c r="P757" s="9"/>
      <c r="Q757" s="9"/>
      <c r="R757" s="9"/>
      <c r="S757" s="9"/>
      <c r="T757" s="9"/>
      <c r="U757" s="9"/>
      <c r="V757" s="9"/>
      <c r="W757" s="9"/>
      <c r="X757" s="223"/>
      <c r="Y757" s="9"/>
      <c r="Z757" s="204"/>
      <c r="AA757" s="9"/>
      <c r="AB757" s="9"/>
      <c r="AC757" s="9"/>
      <c r="AD757" s="9"/>
    </row>
    <row r="758" ht="15.75" customHeight="1">
      <c r="A758" s="9"/>
      <c r="B758" s="9"/>
      <c r="C758" s="9"/>
      <c r="D758" s="9"/>
      <c r="E758" s="223"/>
      <c r="F758" s="9"/>
      <c r="G758" s="9"/>
      <c r="H758" s="9"/>
      <c r="I758" s="9"/>
      <c r="J758" s="9"/>
      <c r="K758" s="9"/>
      <c r="L758" s="9"/>
      <c r="M758" s="9"/>
      <c r="N758" s="9"/>
      <c r="O758" s="9"/>
      <c r="P758" s="9"/>
      <c r="Q758" s="9"/>
      <c r="R758" s="9"/>
      <c r="S758" s="9"/>
      <c r="T758" s="9"/>
      <c r="U758" s="9"/>
      <c r="V758" s="9"/>
      <c r="W758" s="9"/>
      <c r="X758" s="223"/>
      <c r="Y758" s="9"/>
      <c r="Z758" s="204"/>
      <c r="AA758" s="9"/>
      <c r="AB758" s="9"/>
      <c r="AC758" s="9"/>
      <c r="AD758" s="9"/>
    </row>
    <row r="759" ht="15.75" customHeight="1">
      <c r="A759" s="9"/>
      <c r="B759" s="9"/>
      <c r="C759" s="9"/>
      <c r="D759" s="9"/>
      <c r="E759" s="223"/>
      <c r="F759" s="9"/>
      <c r="G759" s="9"/>
      <c r="H759" s="9"/>
      <c r="I759" s="9"/>
      <c r="J759" s="9"/>
      <c r="K759" s="9"/>
      <c r="L759" s="9"/>
      <c r="M759" s="9"/>
      <c r="N759" s="9"/>
      <c r="O759" s="9"/>
      <c r="P759" s="9"/>
      <c r="Q759" s="9"/>
      <c r="R759" s="9"/>
      <c r="S759" s="9"/>
      <c r="T759" s="9"/>
      <c r="U759" s="9"/>
      <c r="V759" s="9"/>
      <c r="W759" s="9"/>
      <c r="X759" s="223"/>
      <c r="Y759" s="9"/>
      <c r="Z759" s="204"/>
      <c r="AA759" s="9"/>
      <c r="AB759" s="9"/>
      <c r="AC759" s="9"/>
      <c r="AD759" s="9"/>
    </row>
    <row r="760" ht="15.75" customHeight="1">
      <c r="A760" s="9"/>
      <c r="B760" s="9"/>
      <c r="C760" s="9"/>
      <c r="D760" s="9"/>
      <c r="E760" s="223"/>
      <c r="F760" s="9"/>
      <c r="G760" s="9"/>
      <c r="H760" s="9"/>
      <c r="I760" s="9"/>
      <c r="J760" s="9"/>
      <c r="K760" s="9"/>
      <c r="L760" s="9"/>
      <c r="M760" s="9"/>
      <c r="N760" s="9"/>
      <c r="O760" s="9"/>
      <c r="P760" s="9"/>
      <c r="Q760" s="9"/>
      <c r="R760" s="9"/>
      <c r="S760" s="9"/>
      <c r="T760" s="9"/>
      <c r="U760" s="9"/>
      <c r="V760" s="9"/>
      <c r="W760" s="9"/>
      <c r="X760" s="223"/>
      <c r="Y760" s="9"/>
      <c r="Z760" s="204"/>
      <c r="AA760" s="9"/>
      <c r="AB760" s="9"/>
      <c r="AC760" s="9"/>
      <c r="AD760" s="9"/>
    </row>
    <row r="761" ht="15.75" customHeight="1">
      <c r="A761" s="9"/>
      <c r="B761" s="9"/>
      <c r="C761" s="9"/>
      <c r="D761" s="9"/>
      <c r="E761" s="223"/>
      <c r="F761" s="9"/>
      <c r="G761" s="9"/>
      <c r="H761" s="9"/>
      <c r="I761" s="9"/>
      <c r="J761" s="9"/>
      <c r="K761" s="9"/>
      <c r="L761" s="9"/>
      <c r="M761" s="9"/>
      <c r="N761" s="9"/>
      <c r="O761" s="9"/>
      <c r="P761" s="9"/>
      <c r="Q761" s="9"/>
      <c r="R761" s="9"/>
      <c r="S761" s="9"/>
      <c r="T761" s="9"/>
      <c r="U761" s="9"/>
      <c r="V761" s="9"/>
      <c r="W761" s="9"/>
      <c r="X761" s="223"/>
      <c r="Y761" s="9"/>
      <c r="Z761" s="204"/>
      <c r="AA761" s="9"/>
      <c r="AB761" s="9"/>
      <c r="AC761" s="9"/>
      <c r="AD761" s="9"/>
    </row>
    <row r="762" ht="15.75" customHeight="1">
      <c r="A762" s="9"/>
      <c r="B762" s="9"/>
      <c r="C762" s="9"/>
      <c r="D762" s="9"/>
      <c r="E762" s="223"/>
      <c r="F762" s="9"/>
      <c r="G762" s="9"/>
      <c r="H762" s="9"/>
      <c r="I762" s="9"/>
      <c r="J762" s="9"/>
      <c r="K762" s="9"/>
      <c r="L762" s="9"/>
      <c r="M762" s="9"/>
      <c r="N762" s="9"/>
      <c r="O762" s="9"/>
      <c r="P762" s="9"/>
      <c r="Q762" s="9"/>
      <c r="R762" s="9"/>
      <c r="S762" s="9"/>
      <c r="T762" s="9"/>
      <c r="U762" s="9"/>
      <c r="V762" s="9"/>
      <c r="W762" s="9"/>
      <c r="X762" s="223"/>
      <c r="Y762" s="9"/>
      <c r="Z762" s="204"/>
      <c r="AA762" s="9"/>
      <c r="AB762" s="9"/>
      <c r="AC762" s="9"/>
      <c r="AD762" s="9"/>
    </row>
    <row r="763" ht="15.75" customHeight="1">
      <c r="A763" s="9"/>
      <c r="B763" s="9"/>
      <c r="C763" s="9"/>
      <c r="D763" s="9"/>
      <c r="E763" s="223"/>
      <c r="F763" s="9"/>
      <c r="G763" s="9"/>
      <c r="H763" s="9"/>
      <c r="I763" s="9"/>
      <c r="J763" s="9"/>
      <c r="K763" s="9"/>
      <c r="L763" s="9"/>
      <c r="M763" s="9"/>
      <c r="N763" s="9"/>
      <c r="O763" s="9"/>
      <c r="P763" s="9"/>
      <c r="Q763" s="9"/>
      <c r="R763" s="9"/>
      <c r="S763" s="9"/>
      <c r="T763" s="9"/>
      <c r="U763" s="9"/>
      <c r="V763" s="9"/>
      <c r="W763" s="9"/>
      <c r="X763" s="223"/>
      <c r="Y763" s="9"/>
      <c r="Z763" s="204"/>
      <c r="AA763" s="9"/>
      <c r="AB763" s="9"/>
      <c r="AC763" s="9"/>
      <c r="AD763" s="9"/>
    </row>
    <row r="764" ht="15.75" customHeight="1">
      <c r="A764" s="9"/>
      <c r="B764" s="9"/>
      <c r="C764" s="9"/>
      <c r="D764" s="9"/>
      <c r="E764" s="223"/>
      <c r="F764" s="9"/>
      <c r="G764" s="9"/>
      <c r="H764" s="9"/>
      <c r="I764" s="9"/>
      <c r="J764" s="9"/>
      <c r="K764" s="9"/>
      <c r="L764" s="9"/>
      <c r="M764" s="9"/>
      <c r="N764" s="9"/>
      <c r="O764" s="9"/>
      <c r="P764" s="9"/>
      <c r="Q764" s="9"/>
      <c r="R764" s="9"/>
      <c r="S764" s="9"/>
      <c r="T764" s="9"/>
      <c r="U764" s="9"/>
      <c r="V764" s="9"/>
      <c r="W764" s="9"/>
      <c r="X764" s="223"/>
      <c r="Y764" s="9"/>
      <c r="Z764" s="204"/>
      <c r="AA764" s="9"/>
      <c r="AB764" s="9"/>
      <c r="AC764" s="9"/>
      <c r="AD764" s="9"/>
    </row>
    <row r="765" ht="15.75" customHeight="1">
      <c r="A765" s="9"/>
      <c r="B765" s="9"/>
      <c r="C765" s="9"/>
      <c r="D765" s="9"/>
      <c r="E765" s="223"/>
      <c r="F765" s="9"/>
      <c r="G765" s="9"/>
      <c r="H765" s="9"/>
      <c r="I765" s="9"/>
      <c r="J765" s="9"/>
      <c r="K765" s="9"/>
      <c r="L765" s="9"/>
      <c r="M765" s="9"/>
      <c r="N765" s="9"/>
      <c r="O765" s="9"/>
      <c r="P765" s="9"/>
      <c r="Q765" s="9"/>
      <c r="R765" s="9"/>
      <c r="S765" s="9"/>
      <c r="T765" s="9"/>
      <c r="U765" s="9"/>
      <c r="V765" s="9"/>
      <c r="W765" s="9"/>
      <c r="X765" s="223"/>
      <c r="Y765" s="9"/>
      <c r="Z765" s="204"/>
      <c r="AA765" s="9"/>
      <c r="AB765" s="9"/>
      <c r="AC765" s="9"/>
      <c r="AD765" s="9"/>
    </row>
    <row r="766" ht="15.75" customHeight="1">
      <c r="A766" s="9"/>
      <c r="B766" s="9"/>
      <c r="C766" s="9"/>
      <c r="D766" s="9"/>
      <c r="E766" s="223"/>
      <c r="F766" s="9"/>
      <c r="G766" s="9"/>
      <c r="H766" s="9"/>
      <c r="I766" s="9"/>
      <c r="J766" s="9"/>
      <c r="K766" s="9"/>
      <c r="L766" s="9"/>
      <c r="M766" s="9"/>
      <c r="N766" s="9"/>
      <c r="O766" s="9"/>
      <c r="P766" s="9"/>
      <c r="Q766" s="9"/>
      <c r="R766" s="9"/>
      <c r="S766" s="9"/>
      <c r="T766" s="9"/>
      <c r="U766" s="9"/>
      <c r="V766" s="9"/>
      <c r="W766" s="9"/>
      <c r="X766" s="223"/>
      <c r="Y766" s="9"/>
      <c r="Z766" s="204"/>
      <c r="AA766" s="9"/>
      <c r="AB766" s="9"/>
      <c r="AC766" s="9"/>
      <c r="AD766" s="9"/>
    </row>
    <row r="767" ht="15.75" customHeight="1">
      <c r="A767" s="9"/>
      <c r="B767" s="9"/>
      <c r="C767" s="9"/>
      <c r="D767" s="9"/>
      <c r="E767" s="223"/>
      <c r="F767" s="9"/>
      <c r="G767" s="9"/>
      <c r="H767" s="9"/>
      <c r="I767" s="9"/>
      <c r="J767" s="9"/>
      <c r="K767" s="9"/>
      <c r="L767" s="9"/>
      <c r="M767" s="9"/>
      <c r="N767" s="9"/>
      <c r="O767" s="9"/>
      <c r="P767" s="9"/>
      <c r="Q767" s="9"/>
      <c r="R767" s="9"/>
      <c r="S767" s="9"/>
      <c r="T767" s="9"/>
      <c r="U767" s="9"/>
      <c r="V767" s="9"/>
      <c r="W767" s="9"/>
      <c r="X767" s="223"/>
      <c r="Y767" s="9"/>
      <c r="Z767" s="204"/>
      <c r="AA767" s="9"/>
      <c r="AB767" s="9"/>
      <c r="AC767" s="9"/>
      <c r="AD767" s="9"/>
    </row>
    <row r="768" ht="15.75" customHeight="1">
      <c r="A768" s="9"/>
      <c r="B768" s="9"/>
      <c r="C768" s="9"/>
      <c r="D768" s="9"/>
      <c r="E768" s="223"/>
      <c r="F768" s="9"/>
      <c r="G768" s="9"/>
      <c r="H768" s="9"/>
      <c r="I768" s="9"/>
      <c r="J768" s="9"/>
      <c r="K768" s="9"/>
      <c r="L768" s="9"/>
      <c r="M768" s="9"/>
      <c r="N768" s="9"/>
      <c r="O768" s="9"/>
      <c r="P768" s="9"/>
      <c r="Q768" s="9"/>
      <c r="R768" s="9"/>
      <c r="S768" s="9"/>
      <c r="T768" s="9"/>
      <c r="U768" s="9"/>
      <c r="V768" s="9"/>
      <c r="W768" s="9"/>
      <c r="X768" s="223"/>
      <c r="Y768" s="9"/>
      <c r="Z768" s="204"/>
      <c r="AA768" s="9"/>
      <c r="AB768" s="9"/>
      <c r="AC768" s="9"/>
      <c r="AD768" s="9"/>
    </row>
    <row r="769" ht="15.75" customHeight="1">
      <c r="A769" s="9"/>
      <c r="B769" s="9"/>
      <c r="C769" s="9"/>
      <c r="D769" s="9"/>
      <c r="E769" s="223"/>
      <c r="F769" s="9"/>
      <c r="G769" s="9"/>
      <c r="H769" s="9"/>
      <c r="I769" s="9"/>
      <c r="J769" s="9"/>
      <c r="K769" s="9"/>
      <c r="L769" s="9"/>
      <c r="M769" s="9"/>
      <c r="N769" s="9"/>
      <c r="O769" s="9"/>
      <c r="P769" s="9"/>
      <c r="Q769" s="9"/>
      <c r="R769" s="9"/>
      <c r="S769" s="9"/>
      <c r="T769" s="9"/>
      <c r="U769" s="9"/>
      <c r="V769" s="9"/>
      <c r="W769" s="9"/>
      <c r="X769" s="223"/>
      <c r="Y769" s="9"/>
      <c r="Z769" s="204"/>
      <c r="AA769" s="9"/>
      <c r="AB769" s="9"/>
      <c r="AC769" s="9"/>
      <c r="AD769" s="9"/>
    </row>
    <row r="770" ht="15.75" customHeight="1">
      <c r="A770" s="9"/>
      <c r="B770" s="9"/>
      <c r="C770" s="9"/>
      <c r="D770" s="9"/>
      <c r="E770" s="223"/>
      <c r="F770" s="9"/>
      <c r="G770" s="9"/>
      <c r="H770" s="9"/>
      <c r="I770" s="9"/>
      <c r="J770" s="9"/>
      <c r="K770" s="9"/>
      <c r="L770" s="9"/>
      <c r="M770" s="9"/>
      <c r="N770" s="9"/>
      <c r="O770" s="9"/>
      <c r="P770" s="9"/>
      <c r="Q770" s="9"/>
      <c r="R770" s="9"/>
      <c r="S770" s="9"/>
      <c r="T770" s="9"/>
      <c r="U770" s="9"/>
      <c r="V770" s="9"/>
      <c r="W770" s="9"/>
      <c r="X770" s="223"/>
      <c r="Y770" s="9"/>
      <c r="Z770" s="204"/>
      <c r="AA770" s="9"/>
      <c r="AB770" s="9"/>
      <c r="AC770" s="9"/>
      <c r="AD770" s="9"/>
    </row>
    <row r="771" ht="15.75" customHeight="1">
      <c r="A771" s="9"/>
      <c r="B771" s="9"/>
      <c r="C771" s="9"/>
      <c r="D771" s="9"/>
      <c r="E771" s="223"/>
      <c r="F771" s="9"/>
      <c r="G771" s="9"/>
      <c r="H771" s="9"/>
      <c r="I771" s="9"/>
      <c r="J771" s="9"/>
      <c r="K771" s="9"/>
      <c r="L771" s="9"/>
      <c r="M771" s="9"/>
      <c r="N771" s="9"/>
      <c r="O771" s="9"/>
      <c r="P771" s="9"/>
      <c r="Q771" s="9"/>
      <c r="R771" s="9"/>
      <c r="S771" s="9"/>
      <c r="T771" s="9"/>
      <c r="U771" s="9"/>
      <c r="V771" s="9"/>
      <c r="W771" s="9"/>
      <c r="X771" s="223"/>
      <c r="Y771" s="9"/>
      <c r="Z771" s="204"/>
      <c r="AA771" s="9"/>
      <c r="AB771" s="9"/>
      <c r="AC771" s="9"/>
      <c r="AD771" s="9"/>
    </row>
    <row r="772" ht="15.75" customHeight="1">
      <c r="A772" s="9"/>
      <c r="B772" s="9"/>
      <c r="C772" s="9"/>
      <c r="D772" s="9"/>
      <c r="E772" s="223"/>
      <c r="F772" s="9"/>
      <c r="G772" s="9"/>
      <c r="H772" s="9"/>
      <c r="I772" s="9"/>
      <c r="J772" s="9"/>
      <c r="K772" s="9"/>
      <c r="L772" s="9"/>
      <c r="M772" s="9"/>
      <c r="N772" s="9"/>
      <c r="O772" s="9"/>
      <c r="P772" s="9"/>
      <c r="Q772" s="9"/>
      <c r="R772" s="9"/>
      <c r="S772" s="9"/>
      <c r="T772" s="9"/>
      <c r="U772" s="9"/>
      <c r="V772" s="9"/>
      <c r="W772" s="9"/>
      <c r="X772" s="223"/>
      <c r="Y772" s="9"/>
      <c r="Z772" s="204"/>
      <c r="AA772" s="9"/>
      <c r="AB772" s="9"/>
      <c r="AC772" s="9"/>
      <c r="AD772" s="9"/>
    </row>
    <row r="773" ht="15.75" customHeight="1">
      <c r="A773" s="9"/>
      <c r="B773" s="9"/>
      <c r="C773" s="9"/>
      <c r="D773" s="9"/>
      <c r="E773" s="223"/>
      <c r="F773" s="9"/>
      <c r="G773" s="9"/>
      <c r="H773" s="9"/>
      <c r="I773" s="9"/>
      <c r="J773" s="9"/>
      <c r="K773" s="9"/>
      <c r="L773" s="9"/>
      <c r="M773" s="9"/>
      <c r="N773" s="9"/>
      <c r="O773" s="9"/>
      <c r="P773" s="9"/>
      <c r="Q773" s="9"/>
      <c r="R773" s="9"/>
      <c r="S773" s="9"/>
      <c r="T773" s="9"/>
      <c r="U773" s="9"/>
      <c r="V773" s="9"/>
      <c r="W773" s="9"/>
      <c r="X773" s="223"/>
      <c r="Y773" s="9"/>
      <c r="Z773" s="204"/>
      <c r="AA773" s="9"/>
      <c r="AB773" s="9"/>
      <c r="AC773" s="9"/>
      <c r="AD773" s="9"/>
    </row>
    <row r="774" ht="15.75" customHeight="1">
      <c r="A774" s="9"/>
      <c r="B774" s="9"/>
      <c r="C774" s="9"/>
      <c r="D774" s="9"/>
      <c r="E774" s="223"/>
      <c r="F774" s="9"/>
      <c r="G774" s="9"/>
      <c r="H774" s="9"/>
      <c r="I774" s="9"/>
      <c r="J774" s="9"/>
      <c r="K774" s="9"/>
      <c r="L774" s="9"/>
      <c r="M774" s="9"/>
      <c r="N774" s="9"/>
      <c r="O774" s="9"/>
      <c r="P774" s="9"/>
      <c r="Q774" s="9"/>
      <c r="R774" s="9"/>
      <c r="S774" s="9"/>
      <c r="T774" s="9"/>
      <c r="U774" s="9"/>
      <c r="V774" s="9"/>
      <c r="W774" s="9"/>
      <c r="X774" s="223"/>
      <c r="Y774" s="9"/>
      <c r="Z774" s="204"/>
      <c r="AA774" s="9"/>
      <c r="AB774" s="9"/>
      <c r="AC774" s="9"/>
      <c r="AD774" s="9"/>
    </row>
    <row r="775" ht="15.75" customHeight="1">
      <c r="A775" s="9"/>
      <c r="B775" s="9"/>
      <c r="C775" s="9"/>
      <c r="D775" s="9"/>
      <c r="E775" s="223"/>
      <c r="F775" s="9"/>
      <c r="G775" s="9"/>
      <c r="H775" s="9"/>
      <c r="I775" s="9"/>
      <c r="J775" s="9"/>
      <c r="K775" s="9"/>
      <c r="L775" s="9"/>
      <c r="M775" s="9"/>
      <c r="N775" s="9"/>
      <c r="O775" s="9"/>
      <c r="P775" s="9"/>
      <c r="Q775" s="9"/>
      <c r="R775" s="9"/>
      <c r="S775" s="9"/>
      <c r="T775" s="9"/>
      <c r="U775" s="9"/>
      <c r="V775" s="9"/>
      <c r="W775" s="9"/>
      <c r="X775" s="223"/>
      <c r="Y775" s="9"/>
      <c r="Z775" s="204"/>
      <c r="AA775" s="9"/>
      <c r="AB775" s="9"/>
      <c r="AC775" s="9"/>
      <c r="AD775" s="9"/>
    </row>
    <row r="776" ht="15.75" customHeight="1">
      <c r="A776" s="9"/>
      <c r="B776" s="9"/>
      <c r="C776" s="9"/>
      <c r="D776" s="9"/>
      <c r="E776" s="223"/>
      <c r="F776" s="9"/>
      <c r="G776" s="9"/>
      <c r="H776" s="9"/>
      <c r="I776" s="9"/>
      <c r="J776" s="9"/>
      <c r="K776" s="9"/>
      <c r="L776" s="9"/>
      <c r="M776" s="9"/>
      <c r="N776" s="9"/>
      <c r="O776" s="9"/>
      <c r="P776" s="9"/>
      <c r="Q776" s="9"/>
      <c r="R776" s="9"/>
      <c r="S776" s="9"/>
      <c r="T776" s="9"/>
      <c r="U776" s="9"/>
      <c r="V776" s="9"/>
      <c r="W776" s="9"/>
      <c r="X776" s="223"/>
      <c r="Y776" s="9"/>
      <c r="Z776" s="204"/>
      <c r="AA776" s="9"/>
      <c r="AB776" s="9"/>
      <c r="AC776" s="9"/>
      <c r="AD776" s="9"/>
    </row>
    <row r="777" ht="15.75" customHeight="1">
      <c r="A777" s="9"/>
      <c r="B777" s="9"/>
      <c r="C777" s="9"/>
      <c r="D777" s="9"/>
      <c r="E777" s="223"/>
      <c r="F777" s="9"/>
      <c r="G777" s="9"/>
      <c r="H777" s="9"/>
      <c r="I777" s="9"/>
      <c r="J777" s="9"/>
      <c r="K777" s="9"/>
      <c r="L777" s="9"/>
      <c r="M777" s="9"/>
      <c r="N777" s="9"/>
      <c r="O777" s="9"/>
      <c r="P777" s="9"/>
      <c r="Q777" s="9"/>
      <c r="R777" s="9"/>
      <c r="S777" s="9"/>
      <c r="T777" s="9"/>
      <c r="U777" s="9"/>
      <c r="V777" s="9"/>
      <c r="W777" s="9"/>
      <c r="X777" s="223"/>
      <c r="Y777" s="9"/>
      <c r="Z777" s="204"/>
      <c r="AA777" s="9"/>
      <c r="AB777" s="9"/>
      <c r="AC777" s="9"/>
      <c r="AD777" s="9"/>
    </row>
    <row r="778" ht="15.75" customHeight="1">
      <c r="A778" s="9"/>
      <c r="B778" s="9"/>
      <c r="C778" s="9"/>
      <c r="D778" s="9"/>
      <c r="E778" s="223"/>
      <c r="F778" s="9"/>
      <c r="G778" s="9"/>
      <c r="H778" s="9"/>
      <c r="I778" s="9"/>
      <c r="J778" s="9"/>
      <c r="K778" s="9"/>
      <c r="L778" s="9"/>
      <c r="M778" s="9"/>
      <c r="N778" s="9"/>
      <c r="O778" s="9"/>
      <c r="P778" s="9"/>
      <c r="Q778" s="9"/>
      <c r="R778" s="9"/>
      <c r="S778" s="9"/>
      <c r="T778" s="9"/>
      <c r="U778" s="9"/>
      <c r="V778" s="9"/>
      <c r="W778" s="9"/>
      <c r="X778" s="223"/>
      <c r="Y778" s="9"/>
      <c r="Z778" s="204"/>
      <c r="AA778" s="9"/>
      <c r="AB778" s="9"/>
      <c r="AC778" s="9"/>
      <c r="AD778" s="9"/>
    </row>
    <row r="779" ht="15.75" customHeight="1">
      <c r="A779" s="9"/>
      <c r="B779" s="9"/>
      <c r="C779" s="9"/>
      <c r="D779" s="9"/>
      <c r="E779" s="223"/>
      <c r="F779" s="9"/>
      <c r="G779" s="9"/>
      <c r="H779" s="9"/>
      <c r="I779" s="9"/>
      <c r="J779" s="9"/>
      <c r="K779" s="9"/>
      <c r="L779" s="9"/>
      <c r="M779" s="9"/>
      <c r="N779" s="9"/>
      <c r="O779" s="9"/>
      <c r="P779" s="9"/>
      <c r="Q779" s="9"/>
      <c r="R779" s="9"/>
      <c r="S779" s="9"/>
      <c r="T779" s="9"/>
      <c r="U779" s="9"/>
      <c r="V779" s="9"/>
      <c r="W779" s="9"/>
      <c r="X779" s="223"/>
      <c r="Y779" s="9"/>
      <c r="Z779" s="204"/>
      <c r="AA779" s="9"/>
      <c r="AB779" s="9"/>
      <c r="AC779" s="9"/>
      <c r="AD779" s="9"/>
    </row>
    <row r="780" ht="15.75" customHeight="1">
      <c r="A780" s="9"/>
      <c r="B780" s="9"/>
      <c r="C780" s="9"/>
      <c r="D780" s="9"/>
      <c r="E780" s="223"/>
      <c r="F780" s="9"/>
      <c r="G780" s="9"/>
      <c r="H780" s="9"/>
      <c r="I780" s="9"/>
      <c r="J780" s="9"/>
      <c r="K780" s="9"/>
      <c r="L780" s="9"/>
      <c r="M780" s="9"/>
      <c r="N780" s="9"/>
      <c r="O780" s="9"/>
      <c r="P780" s="9"/>
      <c r="Q780" s="9"/>
      <c r="R780" s="9"/>
      <c r="S780" s="9"/>
      <c r="T780" s="9"/>
      <c r="U780" s="9"/>
      <c r="V780" s="9"/>
      <c r="W780" s="9"/>
      <c r="X780" s="223"/>
      <c r="Y780" s="9"/>
      <c r="Z780" s="204"/>
      <c r="AA780" s="9"/>
      <c r="AB780" s="9"/>
      <c r="AC780" s="9"/>
      <c r="AD780" s="9"/>
    </row>
    <row r="781" ht="15.75" customHeight="1">
      <c r="A781" s="9"/>
      <c r="B781" s="9"/>
      <c r="C781" s="9"/>
      <c r="D781" s="9"/>
      <c r="E781" s="223"/>
      <c r="F781" s="9"/>
      <c r="G781" s="9"/>
      <c r="H781" s="9"/>
      <c r="I781" s="9"/>
      <c r="J781" s="9"/>
      <c r="K781" s="9"/>
      <c r="L781" s="9"/>
      <c r="M781" s="9"/>
      <c r="N781" s="9"/>
      <c r="O781" s="9"/>
      <c r="P781" s="9"/>
      <c r="Q781" s="9"/>
      <c r="R781" s="9"/>
      <c r="S781" s="9"/>
      <c r="T781" s="9"/>
      <c r="U781" s="9"/>
      <c r="V781" s="9"/>
      <c r="W781" s="9"/>
      <c r="X781" s="223"/>
      <c r="Y781" s="9"/>
      <c r="Z781" s="204"/>
      <c r="AA781" s="9"/>
      <c r="AB781" s="9"/>
      <c r="AC781" s="9"/>
      <c r="AD781" s="9"/>
    </row>
    <row r="782" ht="15.75" customHeight="1">
      <c r="A782" s="9"/>
      <c r="B782" s="9"/>
      <c r="C782" s="9"/>
      <c r="D782" s="9"/>
      <c r="E782" s="223"/>
      <c r="F782" s="9"/>
      <c r="G782" s="9"/>
      <c r="H782" s="9"/>
      <c r="I782" s="9"/>
      <c r="J782" s="9"/>
      <c r="K782" s="9"/>
      <c r="L782" s="9"/>
      <c r="M782" s="9"/>
      <c r="N782" s="9"/>
      <c r="O782" s="9"/>
      <c r="P782" s="9"/>
      <c r="Q782" s="9"/>
      <c r="R782" s="9"/>
      <c r="S782" s="9"/>
      <c r="T782" s="9"/>
      <c r="U782" s="9"/>
      <c r="V782" s="9"/>
      <c r="W782" s="9"/>
      <c r="X782" s="223"/>
      <c r="Y782" s="9"/>
      <c r="Z782" s="204"/>
      <c r="AA782" s="9"/>
      <c r="AB782" s="9"/>
      <c r="AC782" s="9"/>
      <c r="AD782" s="9"/>
    </row>
    <row r="783" ht="15.75" customHeight="1">
      <c r="A783" s="9"/>
      <c r="B783" s="9"/>
      <c r="C783" s="9"/>
      <c r="D783" s="9"/>
      <c r="E783" s="223"/>
      <c r="F783" s="9"/>
      <c r="G783" s="9"/>
      <c r="H783" s="9"/>
      <c r="I783" s="9"/>
      <c r="J783" s="9"/>
      <c r="K783" s="9"/>
      <c r="L783" s="9"/>
      <c r="M783" s="9"/>
      <c r="N783" s="9"/>
      <c r="O783" s="9"/>
      <c r="P783" s="9"/>
      <c r="Q783" s="9"/>
      <c r="R783" s="9"/>
      <c r="S783" s="9"/>
      <c r="T783" s="9"/>
      <c r="U783" s="9"/>
      <c r="V783" s="9"/>
      <c r="W783" s="9"/>
      <c r="X783" s="223"/>
      <c r="Y783" s="9"/>
      <c r="Z783" s="204"/>
      <c r="AA783" s="9"/>
      <c r="AB783" s="9"/>
      <c r="AC783" s="9"/>
      <c r="AD783" s="9"/>
    </row>
    <row r="784" ht="15.75" customHeight="1">
      <c r="A784" s="9"/>
      <c r="B784" s="9"/>
      <c r="C784" s="9"/>
      <c r="D784" s="9"/>
      <c r="E784" s="223"/>
      <c r="F784" s="9"/>
      <c r="G784" s="9"/>
      <c r="H784" s="9"/>
      <c r="I784" s="9"/>
      <c r="J784" s="9"/>
      <c r="K784" s="9"/>
      <c r="L784" s="9"/>
      <c r="M784" s="9"/>
      <c r="N784" s="9"/>
      <c r="O784" s="9"/>
      <c r="P784" s="9"/>
      <c r="Q784" s="9"/>
      <c r="R784" s="9"/>
      <c r="S784" s="9"/>
      <c r="T784" s="9"/>
      <c r="U784" s="9"/>
      <c r="V784" s="9"/>
      <c r="W784" s="9"/>
      <c r="X784" s="223"/>
      <c r="Y784" s="9"/>
      <c r="Z784" s="204"/>
      <c r="AA784" s="9"/>
      <c r="AB784" s="9"/>
      <c r="AC784" s="9"/>
      <c r="AD784" s="9"/>
    </row>
    <row r="785" ht="15.75" customHeight="1">
      <c r="A785" s="9"/>
      <c r="B785" s="9"/>
      <c r="C785" s="9"/>
      <c r="D785" s="9"/>
      <c r="E785" s="223"/>
      <c r="F785" s="9"/>
      <c r="G785" s="9"/>
      <c r="H785" s="9"/>
      <c r="I785" s="9"/>
      <c r="J785" s="9"/>
      <c r="K785" s="9"/>
      <c r="L785" s="9"/>
      <c r="M785" s="9"/>
      <c r="N785" s="9"/>
      <c r="O785" s="9"/>
      <c r="P785" s="9"/>
      <c r="Q785" s="9"/>
      <c r="R785" s="9"/>
      <c r="S785" s="9"/>
      <c r="T785" s="9"/>
      <c r="U785" s="9"/>
      <c r="V785" s="9"/>
      <c r="W785" s="9"/>
      <c r="X785" s="223"/>
      <c r="Y785" s="9"/>
      <c r="Z785" s="204"/>
      <c r="AA785" s="9"/>
      <c r="AB785" s="9"/>
      <c r="AC785" s="9"/>
      <c r="AD785" s="9"/>
    </row>
    <row r="786" ht="15.75" customHeight="1">
      <c r="A786" s="9"/>
      <c r="B786" s="9"/>
      <c r="C786" s="9"/>
      <c r="D786" s="9"/>
      <c r="E786" s="223"/>
      <c r="F786" s="9"/>
      <c r="G786" s="9"/>
      <c r="H786" s="9"/>
      <c r="I786" s="9"/>
      <c r="J786" s="9"/>
      <c r="K786" s="9"/>
      <c r="L786" s="9"/>
      <c r="M786" s="9"/>
      <c r="N786" s="9"/>
      <c r="O786" s="9"/>
      <c r="P786" s="9"/>
      <c r="Q786" s="9"/>
      <c r="R786" s="9"/>
      <c r="S786" s="9"/>
      <c r="T786" s="9"/>
      <c r="U786" s="9"/>
      <c r="V786" s="9"/>
      <c r="W786" s="9"/>
      <c r="X786" s="223"/>
      <c r="Y786" s="9"/>
      <c r="Z786" s="204"/>
      <c r="AA786" s="9"/>
      <c r="AB786" s="9"/>
      <c r="AC786" s="9"/>
      <c r="AD786" s="9"/>
    </row>
    <row r="787" ht="15.75" customHeight="1">
      <c r="A787" s="9"/>
      <c r="B787" s="9"/>
      <c r="C787" s="9"/>
      <c r="D787" s="9"/>
      <c r="E787" s="223"/>
      <c r="F787" s="9"/>
      <c r="G787" s="9"/>
      <c r="H787" s="9"/>
      <c r="I787" s="9"/>
      <c r="J787" s="9"/>
      <c r="K787" s="9"/>
      <c r="L787" s="9"/>
      <c r="M787" s="9"/>
      <c r="N787" s="9"/>
      <c r="O787" s="9"/>
      <c r="P787" s="9"/>
      <c r="Q787" s="9"/>
      <c r="R787" s="9"/>
      <c r="S787" s="9"/>
      <c r="T787" s="9"/>
      <c r="U787" s="9"/>
      <c r="V787" s="9"/>
      <c r="W787" s="9"/>
      <c r="X787" s="223"/>
      <c r="Y787" s="9"/>
      <c r="Z787" s="204"/>
      <c r="AA787" s="9"/>
      <c r="AB787" s="9"/>
      <c r="AC787" s="9"/>
      <c r="AD787" s="9"/>
    </row>
    <row r="788" ht="15.75" customHeight="1">
      <c r="A788" s="9"/>
      <c r="B788" s="9"/>
      <c r="C788" s="9"/>
      <c r="D788" s="9"/>
      <c r="E788" s="223"/>
      <c r="F788" s="9"/>
      <c r="G788" s="9"/>
      <c r="H788" s="9"/>
      <c r="I788" s="9"/>
      <c r="J788" s="9"/>
      <c r="K788" s="9"/>
      <c r="L788" s="9"/>
      <c r="M788" s="9"/>
      <c r="N788" s="9"/>
      <c r="O788" s="9"/>
      <c r="P788" s="9"/>
      <c r="Q788" s="9"/>
      <c r="R788" s="9"/>
      <c r="S788" s="9"/>
      <c r="T788" s="9"/>
      <c r="U788" s="9"/>
      <c r="V788" s="9"/>
      <c r="W788" s="9"/>
      <c r="X788" s="223"/>
      <c r="Y788" s="9"/>
      <c r="Z788" s="204"/>
      <c r="AA788" s="9"/>
      <c r="AB788" s="9"/>
      <c r="AC788" s="9"/>
      <c r="AD788" s="9"/>
    </row>
    <row r="789" ht="15.75" customHeight="1">
      <c r="A789" s="9"/>
      <c r="B789" s="9"/>
      <c r="C789" s="9"/>
      <c r="D789" s="9"/>
      <c r="E789" s="223"/>
      <c r="F789" s="9"/>
      <c r="G789" s="9"/>
      <c r="H789" s="9"/>
      <c r="I789" s="9"/>
      <c r="J789" s="9"/>
      <c r="K789" s="9"/>
      <c r="L789" s="9"/>
      <c r="M789" s="9"/>
      <c r="N789" s="9"/>
      <c r="O789" s="9"/>
      <c r="P789" s="9"/>
      <c r="Q789" s="9"/>
      <c r="R789" s="9"/>
      <c r="S789" s="9"/>
      <c r="T789" s="9"/>
      <c r="U789" s="9"/>
      <c r="V789" s="9"/>
      <c r="W789" s="9"/>
      <c r="X789" s="223"/>
      <c r="Y789" s="9"/>
      <c r="Z789" s="204"/>
      <c r="AA789" s="9"/>
      <c r="AB789" s="9"/>
      <c r="AC789" s="9"/>
      <c r="AD789" s="9"/>
    </row>
    <row r="790" ht="15.75" customHeight="1">
      <c r="A790" s="9"/>
      <c r="B790" s="9"/>
      <c r="C790" s="9"/>
      <c r="D790" s="9"/>
      <c r="E790" s="223"/>
      <c r="F790" s="9"/>
      <c r="G790" s="9"/>
      <c r="H790" s="9"/>
      <c r="I790" s="9"/>
      <c r="J790" s="9"/>
      <c r="K790" s="9"/>
      <c r="L790" s="9"/>
      <c r="M790" s="9"/>
      <c r="N790" s="9"/>
      <c r="O790" s="9"/>
      <c r="P790" s="9"/>
      <c r="Q790" s="9"/>
      <c r="R790" s="9"/>
      <c r="S790" s="9"/>
      <c r="T790" s="9"/>
      <c r="U790" s="9"/>
      <c r="V790" s="9"/>
      <c r="W790" s="9"/>
      <c r="X790" s="223"/>
      <c r="Y790" s="9"/>
      <c r="Z790" s="204"/>
      <c r="AA790" s="9"/>
      <c r="AB790" s="9"/>
      <c r="AC790" s="9"/>
      <c r="AD790" s="9"/>
    </row>
    <row r="791" ht="15.75" customHeight="1">
      <c r="A791" s="9"/>
      <c r="B791" s="9"/>
      <c r="C791" s="9"/>
      <c r="D791" s="9"/>
      <c r="E791" s="223"/>
      <c r="F791" s="9"/>
      <c r="G791" s="9"/>
      <c r="H791" s="9"/>
      <c r="I791" s="9"/>
      <c r="J791" s="9"/>
      <c r="K791" s="9"/>
      <c r="L791" s="9"/>
      <c r="M791" s="9"/>
      <c r="N791" s="9"/>
      <c r="O791" s="9"/>
      <c r="P791" s="9"/>
      <c r="Q791" s="9"/>
      <c r="R791" s="9"/>
      <c r="S791" s="9"/>
      <c r="T791" s="9"/>
      <c r="U791" s="9"/>
      <c r="V791" s="9"/>
      <c r="W791" s="9"/>
      <c r="X791" s="223"/>
      <c r="Y791" s="9"/>
      <c r="Z791" s="204"/>
      <c r="AA791" s="9"/>
      <c r="AB791" s="9"/>
      <c r="AC791" s="9"/>
      <c r="AD791" s="9"/>
    </row>
    <row r="792" ht="15.75" customHeight="1">
      <c r="A792" s="9"/>
      <c r="B792" s="9"/>
      <c r="C792" s="9"/>
      <c r="D792" s="9"/>
      <c r="E792" s="223"/>
      <c r="F792" s="9"/>
      <c r="G792" s="9"/>
      <c r="H792" s="9"/>
      <c r="I792" s="9"/>
      <c r="J792" s="9"/>
      <c r="K792" s="9"/>
      <c r="L792" s="9"/>
      <c r="M792" s="9"/>
      <c r="N792" s="9"/>
      <c r="O792" s="9"/>
      <c r="P792" s="9"/>
      <c r="Q792" s="9"/>
      <c r="R792" s="9"/>
      <c r="S792" s="9"/>
      <c r="T792" s="9"/>
      <c r="U792" s="9"/>
      <c r="V792" s="9"/>
      <c r="W792" s="9"/>
      <c r="X792" s="223"/>
      <c r="Y792" s="9"/>
      <c r="Z792" s="204"/>
      <c r="AA792" s="9"/>
      <c r="AB792" s="9"/>
      <c r="AC792" s="9"/>
      <c r="AD792" s="9"/>
    </row>
    <row r="793" ht="15.75" customHeight="1">
      <c r="A793" s="9"/>
      <c r="B793" s="9"/>
      <c r="C793" s="9"/>
      <c r="D793" s="9"/>
      <c r="E793" s="223"/>
      <c r="F793" s="9"/>
      <c r="G793" s="9"/>
      <c r="H793" s="9"/>
      <c r="I793" s="9"/>
      <c r="J793" s="9"/>
      <c r="K793" s="9"/>
      <c r="L793" s="9"/>
      <c r="M793" s="9"/>
      <c r="N793" s="9"/>
      <c r="O793" s="9"/>
      <c r="P793" s="9"/>
      <c r="Q793" s="9"/>
      <c r="R793" s="9"/>
      <c r="S793" s="9"/>
      <c r="T793" s="9"/>
      <c r="U793" s="9"/>
      <c r="V793" s="9"/>
      <c r="W793" s="9"/>
      <c r="X793" s="223"/>
      <c r="Y793" s="9"/>
      <c r="Z793" s="204"/>
      <c r="AA793" s="9"/>
      <c r="AB793" s="9"/>
      <c r="AC793" s="9"/>
      <c r="AD793" s="9"/>
    </row>
    <row r="794" ht="15.75" customHeight="1">
      <c r="A794" s="9"/>
      <c r="B794" s="9"/>
      <c r="C794" s="9"/>
      <c r="D794" s="9"/>
      <c r="E794" s="223"/>
      <c r="F794" s="9"/>
      <c r="G794" s="9"/>
      <c r="H794" s="9"/>
      <c r="I794" s="9"/>
      <c r="J794" s="9"/>
      <c r="K794" s="9"/>
      <c r="L794" s="9"/>
      <c r="M794" s="9"/>
      <c r="N794" s="9"/>
      <c r="O794" s="9"/>
      <c r="P794" s="9"/>
      <c r="Q794" s="9"/>
      <c r="R794" s="9"/>
      <c r="S794" s="9"/>
      <c r="T794" s="9"/>
      <c r="U794" s="9"/>
      <c r="V794" s="9"/>
      <c r="W794" s="9"/>
      <c r="X794" s="223"/>
      <c r="Y794" s="9"/>
      <c r="Z794" s="204"/>
      <c r="AA794" s="9"/>
      <c r="AB794" s="9"/>
      <c r="AC794" s="9"/>
      <c r="AD794" s="9"/>
    </row>
    <row r="795" ht="15.75" customHeight="1">
      <c r="A795" s="9"/>
      <c r="B795" s="9"/>
      <c r="C795" s="9"/>
      <c r="D795" s="9"/>
      <c r="E795" s="223"/>
      <c r="F795" s="9"/>
      <c r="G795" s="9"/>
      <c r="H795" s="9"/>
      <c r="I795" s="9"/>
      <c r="J795" s="9"/>
      <c r="K795" s="9"/>
      <c r="L795" s="9"/>
      <c r="M795" s="9"/>
      <c r="N795" s="9"/>
      <c r="O795" s="9"/>
      <c r="P795" s="9"/>
      <c r="Q795" s="9"/>
      <c r="R795" s="9"/>
      <c r="S795" s="9"/>
      <c r="T795" s="9"/>
      <c r="U795" s="9"/>
      <c r="V795" s="9"/>
      <c r="W795" s="9"/>
      <c r="X795" s="223"/>
      <c r="Y795" s="9"/>
      <c r="Z795" s="204"/>
      <c r="AA795" s="9"/>
      <c r="AB795" s="9"/>
      <c r="AC795" s="9"/>
      <c r="AD795" s="9"/>
    </row>
    <row r="796" ht="15.75" customHeight="1">
      <c r="A796" s="9"/>
      <c r="B796" s="9"/>
      <c r="C796" s="9"/>
      <c r="D796" s="9"/>
      <c r="E796" s="223"/>
      <c r="F796" s="9"/>
      <c r="G796" s="9"/>
      <c r="H796" s="9"/>
      <c r="I796" s="9"/>
      <c r="J796" s="9"/>
      <c r="K796" s="9"/>
      <c r="L796" s="9"/>
      <c r="M796" s="9"/>
      <c r="N796" s="9"/>
      <c r="O796" s="9"/>
      <c r="P796" s="9"/>
      <c r="Q796" s="9"/>
      <c r="R796" s="9"/>
      <c r="S796" s="9"/>
      <c r="T796" s="9"/>
      <c r="U796" s="9"/>
      <c r="V796" s="9"/>
      <c r="W796" s="9"/>
      <c r="X796" s="223"/>
      <c r="Y796" s="9"/>
      <c r="Z796" s="204"/>
      <c r="AA796" s="9"/>
      <c r="AB796" s="9"/>
      <c r="AC796" s="9"/>
      <c r="AD796" s="9"/>
    </row>
    <row r="797" ht="15.75" customHeight="1">
      <c r="A797" s="9"/>
      <c r="B797" s="9"/>
      <c r="C797" s="9"/>
      <c r="D797" s="9"/>
      <c r="E797" s="223"/>
      <c r="F797" s="9"/>
      <c r="G797" s="9"/>
      <c r="H797" s="9"/>
      <c r="I797" s="9"/>
      <c r="J797" s="9"/>
      <c r="K797" s="9"/>
      <c r="L797" s="9"/>
      <c r="M797" s="9"/>
      <c r="N797" s="9"/>
      <c r="O797" s="9"/>
      <c r="P797" s="9"/>
      <c r="Q797" s="9"/>
      <c r="R797" s="9"/>
      <c r="S797" s="9"/>
      <c r="T797" s="9"/>
      <c r="U797" s="9"/>
      <c r="V797" s="9"/>
      <c r="W797" s="9"/>
      <c r="X797" s="223"/>
      <c r="Y797" s="9"/>
      <c r="Z797" s="204"/>
      <c r="AA797" s="9"/>
      <c r="AB797" s="9"/>
      <c r="AC797" s="9"/>
      <c r="AD797" s="9"/>
    </row>
    <row r="798" ht="15.75" customHeight="1">
      <c r="A798" s="9"/>
      <c r="B798" s="9"/>
      <c r="C798" s="9"/>
      <c r="D798" s="9"/>
      <c r="E798" s="223"/>
      <c r="F798" s="9"/>
      <c r="G798" s="9"/>
      <c r="H798" s="9"/>
      <c r="I798" s="9"/>
      <c r="J798" s="9"/>
      <c r="K798" s="9"/>
      <c r="L798" s="9"/>
      <c r="M798" s="9"/>
      <c r="N798" s="9"/>
      <c r="O798" s="9"/>
      <c r="P798" s="9"/>
      <c r="Q798" s="9"/>
      <c r="R798" s="9"/>
      <c r="S798" s="9"/>
      <c r="T798" s="9"/>
      <c r="U798" s="9"/>
      <c r="V798" s="9"/>
      <c r="W798" s="9"/>
      <c r="X798" s="223"/>
      <c r="Y798" s="9"/>
      <c r="Z798" s="204"/>
      <c r="AA798" s="9"/>
      <c r="AB798" s="9"/>
      <c r="AC798" s="9"/>
      <c r="AD798" s="9"/>
    </row>
    <row r="799" ht="15.75" customHeight="1">
      <c r="A799" s="9"/>
      <c r="B799" s="9"/>
      <c r="C799" s="9"/>
      <c r="D799" s="9"/>
      <c r="E799" s="223"/>
      <c r="F799" s="9"/>
      <c r="G799" s="9"/>
      <c r="H799" s="9"/>
      <c r="I799" s="9"/>
      <c r="J799" s="9"/>
      <c r="K799" s="9"/>
      <c r="L799" s="9"/>
      <c r="M799" s="9"/>
      <c r="N799" s="9"/>
      <c r="O799" s="9"/>
      <c r="P799" s="9"/>
      <c r="Q799" s="9"/>
      <c r="R799" s="9"/>
      <c r="S799" s="9"/>
      <c r="T799" s="9"/>
      <c r="U799" s="9"/>
      <c r="V799" s="9"/>
      <c r="W799" s="9"/>
      <c r="X799" s="223"/>
      <c r="Y799" s="9"/>
      <c r="Z799" s="204"/>
      <c r="AA799" s="9"/>
      <c r="AB799" s="9"/>
      <c r="AC799" s="9"/>
      <c r="AD799" s="9"/>
    </row>
    <row r="800" ht="15.75" customHeight="1">
      <c r="A800" s="9"/>
      <c r="B800" s="9"/>
      <c r="C800" s="9"/>
      <c r="D800" s="9"/>
      <c r="E800" s="223"/>
      <c r="F800" s="9"/>
      <c r="G800" s="9"/>
      <c r="H800" s="9"/>
      <c r="I800" s="9"/>
      <c r="J800" s="9"/>
      <c r="K800" s="9"/>
      <c r="L800" s="9"/>
      <c r="M800" s="9"/>
      <c r="N800" s="9"/>
      <c r="O800" s="9"/>
      <c r="P800" s="9"/>
      <c r="Q800" s="9"/>
      <c r="R800" s="9"/>
      <c r="S800" s="9"/>
      <c r="T800" s="9"/>
      <c r="U800" s="9"/>
      <c r="V800" s="9"/>
      <c r="W800" s="9"/>
      <c r="X800" s="223"/>
      <c r="Y800" s="9"/>
      <c r="Z800" s="204"/>
      <c r="AA800" s="9"/>
      <c r="AB800" s="9"/>
      <c r="AC800" s="9"/>
      <c r="AD800" s="9"/>
    </row>
    <row r="801" ht="15.75" customHeight="1">
      <c r="A801" s="9"/>
      <c r="B801" s="9"/>
      <c r="C801" s="9"/>
      <c r="D801" s="9"/>
      <c r="E801" s="223"/>
      <c r="F801" s="9"/>
      <c r="G801" s="9"/>
      <c r="H801" s="9"/>
      <c r="I801" s="9"/>
      <c r="J801" s="9"/>
      <c r="K801" s="9"/>
      <c r="L801" s="9"/>
      <c r="M801" s="9"/>
      <c r="N801" s="9"/>
      <c r="O801" s="9"/>
      <c r="P801" s="9"/>
      <c r="Q801" s="9"/>
      <c r="R801" s="9"/>
      <c r="S801" s="9"/>
      <c r="T801" s="9"/>
      <c r="U801" s="9"/>
      <c r="V801" s="9"/>
      <c r="W801" s="9"/>
      <c r="X801" s="223"/>
      <c r="Y801" s="9"/>
      <c r="Z801" s="204"/>
      <c r="AA801" s="9"/>
      <c r="AB801" s="9"/>
      <c r="AC801" s="9"/>
      <c r="AD801" s="9"/>
    </row>
    <row r="802" ht="15.75" customHeight="1">
      <c r="A802" s="9"/>
      <c r="B802" s="9"/>
      <c r="C802" s="9"/>
      <c r="D802" s="9"/>
      <c r="E802" s="223"/>
      <c r="F802" s="9"/>
      <c r="G802" s="9"/>
      <c r="H802" s="9"/>
      <c r="I802" s="9"/>
      <c r="J802" s="9"/>
      <c r="K802" s="9"/>
      <c r="L802" s="9"/>
      <c r="M802" s="9"/>
      <c r="N802" s="9"/>
      <c r="O802" s="9"/>
      <c r="P802" s="9"/>
      <c r="Q802" s="9"/>
      <c r="R802" s="9"/>
      <c r="S802" s="9"/>
      <c r="T802" s="9"/>
      <c r="U802" s="9"/>
      <c r="V802" s="9"/>
      <c r="W802" s="9"/>
      <c r="X802" s="223"/>
      <c r="Y802" s="9"/>
      <c r="Z802" s="204"/>
      <c r="AA802" s="9"/>
      <c r="AB802" s="9"/>
      <c r="AC802" s="9"/>
      <c r="AD802" s="9"/>
    </row>
    <row r="803" ht="15.75" customHeight="1">
      <c r="A803" s="9"/>
      <c r="B803" s="9"/>
      <c r="C803" s="9"/>
      <c r="D803" s="9"/>
      <c r="E803" s="223"/>
      <c r="F803" s="9"/>
      <c r="G803" s="9"/>
      <c r="H803" s="9"/>
      <c r="I803" s="9"/>
      <c r="J803" s="9"/>
      <c r="K803" s="9"/>
      <c r="L803" s="9"/>
      <c r="M803" s="9"/>
      <c r="N803" s="9"/>
      <c r="O803" s="9"/>
      <c r="P803" s="9"/>
      <c r="Q803" s="9"/>
      <c r="R803" s="9"/>
      <c r="S803" s="9"/>
      <c r="T803" s="9"/>
      <c r="U803" s="9"/>
      <c r="V803" s="9"/>
      <c r="W803" s="9"/>
      <c r="X803" s="223"/>
      <c r="Y803" s="9"/>
      <c r="Z803" s="204"/>
      <c r="AA803" s="9"/>
      <c r="AB803" s="9"/>
      <c r="AC803" s="9"/>
      <c r="AD803" s="9"/>
    </row>
    <row r="804" ht="15.75" customHeight="1">
      <c r="A804" s="9"/>
      <c r="B804" s="9"/>
      <c r="C804" s="9"/>
      <c r="D804" s="9"/>
      <c r="E804" s="223"/>
      <c r="F804" s="9"/>
      <c r="G804" s="9"/>
      <c r="H804" s="9"/>
      <c r="I804" s="9"/>
      <c r="J804" s="9"/>
      <c r="K804" s="9"/>
      <c r="L804" s="9"/>
      <c r="M804" s="9"/>
      <c r="N804" s="9"/>
      <c r="O804" s="9"/>
      <c r="P804" s="9"/>
      <c r="Q804" s="9"/>
      <c r="R804" s="9"/>
      <c r="S804" s="9"/>
      <c r="T804" s="9"/>
      <c r="U804" s="9"/>
      <c r="V804" s="9"/>
      <c r="W804" s="9"/>
      <c r="X804" s="223"/>
      <c r="Y804" s="9"/>
      <c r="Z804" s="204"/>
      <c r="AA804" s="9"/>
      <c r="AB804" s="9"/>
      <c r="AC804" s="9"/>
      <c r="AD804" s="9"/>
    </row>
    <row r="805" ht="15.75" customHeight="1">
      <c r="A805" s="9"/>
      <c r="B805" s="9"/>
      <c r="C805" s="9"/>
      <c r="D805" s="9"/>
      <c r="E805" s="223"/>
      <c r="F805" s="9"/>
      <c r="G805" s="9"/>
      <c r="H805" s="9"/>
      <c r="I805" s="9"/>
      <c r="J805" s="9"/>
      <c r="K805" s="9"/>
      <c r="L805" s="9"/>
      <c r="M805" s="9"/>
      <c r="N805" s="9"/>
      <c r="O805" s="9"/>
      <c r="P805" s="9"/>
      <c r="Q805" s="9"/>
      <c r="R805" s="9"/>
      <c r="S805" s="9"/>
      <c r="T805" s="9"/>
      <c r="U805" s="9"/>
      <c r="V805" s="9"/>
      <c r="W805" s="9"/>
      <c r="X805" s="223"/>
      <c r="Y805" s="9"/>
      <c r="Z805" s="204"/>
      <c r="AA805" s="9"/>
      <c r="AB805" s="9"/>
      <c r="AC805" s="9"/>
      <c r="AD805" s="9"/>
    </row>
    <row r="806" ht="15.75" customHeight="1">
      <c r="A806" s="9"/>
      <c r="B806" s="9"/>
      <c r="C806" s="9"/>
      <c r="D806" s="9"/>
      <c r="E806" s="223"/>
      <c r="F806" s="9"/>
      <c r="G806" s="9"/>
      <c r="H806" s="9"/>
      <c r="I806" s="9"/>
      <c r="J806" s="9"/>
      <c r="K806" s="9"/>
      <c r="L806" s="9"/>
      <c r="M806" s="9"/>
      <c r="N806" s="9"/>
      <c r="O806" s="9"/>
      <c r="P806" s="9"/>
      <c r="Q806" s="9"/>
      <c r="R806" s="9"/>
      <c r="S806" s="9"/>
      <c r="T806" s="9"/>
      <c r="U806" s="9"/>
      <c r="V806" s="9"/>
      <c r="W806" s="9"/>
      <c r="X806" s="223"/>
      <c r="Y806" s="9"/>
      <c r="Z806" s="204"/>
      <c r="AA806" s="9"/>
      <c r="AB806" s="9"/>
      <c r="AC806" s="9"/>
      <c r="AD806" s="9"/>
    </row>
    <row r="807" ht="15.75" customHeight="1">
      <c r="A807" s="9"/>
      <c r="B807" s="9"/>
      <c r="C807" s="9"/>
      <c r="D807" s="9"/>
      <c r="E807" s="223"/>
      <c r="F807" s="9"/>
      <c r="G807" s="9"/>
      <c r="H807" s="9"/>
      <c r="I807" s="9"/>
      <c r="J807" s="9"/>
      <c r="K807" s="9"/>
      <c r="L807" s="9"/>
      <c r="M807" s="9"/>
      <c r="N807" s="9"/>
      <c r="O807" s="9"/>
      <c r="P807" s="9"/>
      <c r="Q807" s="9"/>
      <c r="R807" s="9"/>
      <c r="S807" s="9"/>
      <c r="T807" s="9"/>
      <c r="U807" s="9"/>
      <c r="V807" s="9"/>
      <c r="W807" s="9"/>
      <c r="X807" s="223"/>
      <c r="Y807" s="9"/>
      <c r="Z807" s="204"/>
      <c r="AA807" s="9"/>
      <c r="AB807" s="9"/>
      <c r="AC807" s="9"/>
      <c r="AD807" s="9"/>
    </row>
    <row r="808" ht="15.75" customHeight="1">
      <c r="A808" s="9"/>
      <c r="B808" s="9"/>
      <c r="C808" s="9"/>
      <c r="D808" s="9"/>
      <c r="E808" s="223"/>
      <c r="F808" s="9"/>
      <c r="G808" s="9"/>
      <c r="H808" s="9"/>
      <c r="I808" s="9"/>
      <c r="J808" s="9"/>
      <c r="K808" s="9"/>
      <c r="L808" s="9"/>
      <c r="M808" s="9"/>
      <c r="N808" s="9"/>
      <c r="O808" s="9"/>
      <c r="P808" s="9"/>
      <c r="Q808" s="9"/>
      <c r="R808" s="9"/>
      <c r="S808" s="9"/>
      <c r="T808" s="9"/>
      <c r="U808" s="9"/>
      <c r="V808" s="9"/>
      <c r="W808" s="9"/>
      <c r="X808" s="223"/>
      <c r="Y808" s="9"/>
      <c r="Z808" s="204"/>
      <c r="AA808" s="9"/>
      <c r="AB808" s="9"/>
      <c r="AC808" s="9"/>
      <c r="AD808" s="9"/>
    </row>
    <row r="809" ht="15.75" customHeight="1">
      <c r="A809" s="9"/>
      <c r="B809" s="9"/>
      <c r="C809" s="9"/>
      <c r="D809" s="9"/>
      <c r="E809" s="223"/>
      <c r="F809" s="9"/>
      <c r="G809" s="9"/>
      <c r="H809" s="9"/>
      <c r="I809" s="9"/>
      <c r="J809" s="9"/>
      <c r="K809" s="9"/>
      <c r="L809" s="9"/>
      <c r="M809" s="9"/>
      <c r="N809" s="9"/>
      <c r="O809" s="9"/>
      <c r="P809" s="9"/>
      <c r="Q809" s="9"/>
      <c r="R809" s="9"/>
      <c r="S809" s="9"/>
      <c r="T809" s="9"/>
      <c r="U809" s="9"/>
      <c r="V809" s="9"/>
      <c r="W809" s="9"/>
      <c r="X809" s="223"/>
      <c r="Y809" s="9"/>
      <c r="Z809" s="204"/>
      <c r="AA809" s="9"/>
      <c r="AB809" s="9"/>
      <c r="AC809" s="9"/>
      <c r="AD809" s="9"/>
    </row>
    <row r="810" ht="15.75" customHeight="1">
      <c r="A810" s="9"/>
      <c r="B810" s="9"/>
      <c r="C810" s="9"/>
      <c r="D810" s="9"/>
      <c r="E810" s="223"/>
      <c r="F810" s="9"/>
      <c r="G810" s="9"/>
      <c r="H810" s="9"/>
      <c r="I810" s="9"/>
      <c r="J810" s="9"/>
      <c r="K810" s="9"/>
      <c r="L810" s="9"/>
      <c r="M810" s="9"/>
      <c r="N810" s="9"/>
      <c r="O810" s="9"/>
      <c r="P810" s="9"/>
      <c r="Q810" s="9"/>
      <c r="R810" s="9"/>
      <c r="S810" s="9"/>
      <c r="T810" s="9"/>
      <c r="U810" s="9"/>
      <c r="V810" s="9"/>
      <c r="W810" s="9"/>
      <c r="X810" s="223"/>
      <c r="Y810" s="9"/>
      <c r="Z810" s="204"/>
      <c r="AA810" s="9"/>
      <c r="AB810" s="9"/>
      <c r="AC810" s="9"/>
      <c r="AD810" s="9"/>
    </row>
    <row r="811" ht="15.75" customHeight="1">
      <c r="A811" s="9"/>
      <c r="B811" s="9"/>
      <c r="C811" s="9"/>
      <c r="D811" s="9"/>
      <c r="E811" s="223"/>
      <c r="F811" s="9"/>
      <c r="G811" s="9"/>
      <c r="H811" s="9"/>
      <c r="I811" s="9"/>
      <c r="J811" s="9"/>
      <c r="K811" s="9"/>
      <c r="L811" s="9"/>
      <c r="M811" s="9"/>
      <c r="N811" s="9"/>
      <c r="O811" s="9"/>
      <c r="P811" s="9"/>
      <c r="Q811" s="9"/>
      <c r="R811" s="9"/>
      <c r="S811" s="9"/>
      <c r="T811" s="9"/>
      <c r="U811" s="9"/>
      <c r="V811" s="9"/>
      <c r="W811" s="9"/>
      <c r="X811" s="223"/>
      <c r="Y811" s="9"/>
      <c r="Z811" s="204"/>
      <c r="AA811" s="9"/>
      <c r="AB811" s="9"/>
      <c r="AC811" s="9"/>
      <c r="AD811" s="9"/>
    </row>
    <row r="812" ht="15.75" customHeight="1">
      <c r="A812" s="9"/>
      <c r="B812" s="9"/>
      <c r="C812" s="9"/>
      <c r="D812" s="9"/>
      <c r="E812" s="223"/>
      <c r="F812" s="9"/>
      <c r="G812" s="9"/>
      <c r="H812" s="9"/>
      <c r="I812" s="9"/>
      <c r="J812" s="9"/>
      <c r="K812" s="9"/>
      <c r="L812" s="9"/>
      <c r="M812" s="9"/>
      <c r="N812" s="9"/>
      <c r="O812" s="9"/>
      <c r="P812" s="9"/>
      <c r="Q812" s="9"/>
      <c r="R812" s="9"/>
      <c r="S812" s="9"/>
      <c r="T812" s="9"/>
      <c r="U812" s="9"/>
      <c r="V812" s="9"/>
      <c r="W812" s="9"/>
      <c r="X812" s="223"/>
      <c r="Y812" s="9"/>
      <c r="Z812" s="204"/>
      <c r="AA812" s="9"/>
      <c r="AB812" s="9"/>
      <c r="AC812" s="9"/>
      <c r="AD812" s="9"/>
    </row>
    <row r="813" ht="15.75" customHeight="1">
      <c r="A813" s="9"/>
      <c r="B813" s="9"/>
      <c r="C813" s="9"/>
      <c r="D813" s="9"/>
      <c r="E813" s="223"/>
      <c r="F813" s="9"/>
      <c r="G813" s="9"/>
      <c r="H813" s="9"/>
      <c r="I813" s="9"/>
      <c r="J813" s="9"/>
      <c r="K813" s="9"/>
      <c r="L813" s="9"/>
      <c r="M813" s="9"/>
      <c r="N813" s="9"/>
      <c r="O813" s="9"/>
      <c r="P813" s="9"/>
      <c r="Q813" s="9"/>
      <c r="R813" s="9"/>
      <c r="S813" s="9"/>
      <c r="T813" s="9"/>
      <c r="U813" s="9"/>
      <c r="V813" s="9"/>
      <c r="W813" s="9"/>
      <c r="X813" s="223"/>
      <c r="Y813" s="9"/>
      <c r="Z813" s="204"/>
      <c r="AA813" s="9"/>
      <c r="AB813" s="9"/>
      <c r="AC813" s="9"/>
      <c r="AD813" s="9"/>
    </row>
    <row r="814" ht="15.75" customHeight="1">
      <c r="A814" s="9"/>
      <c r="B814" s="9"/>
      <c r="C814" s="9"/>
      <c r="D814" s="9"/>
      <c r="E814" s="223"/>
      <c r="F814" s="9"/>
      <c r="G814" s="9"/>
      <c r="H814" s="9"/>
      <c r="I814" s="9"/>
      <c r="J814" s="9"/>
      <c r="K814" s="9"/>
      <c r="L814" s="9"/>
      <c r="M814" s="9"/>
      <c r="N814" s="9"/>
      <c r="O814" s="9"/>
      <c r="P814" s="9"/>
      <c r="Q814" s="9"/>
      <c r="R814" s="9"/>
      <c r="S814" s="9"/>
      <c r="T814" s="9"/>
      <c r="U814" s="9"/>
      <c r="V814" s="9"/>
      <c r="W814" s="9"/>
      <c r="X814" s="223"/>
      <c r="Y814" s="9"/>
      <c r="Z814" s="204"/>
      <c r="AA814" s="9"/>
      <c r="AB814" s="9"/>
      <c r="AC814" s="9"/>
      <c r="AD814" s="9"/>
    </row>
    <row r="815" ht="15.75" customHeight="1">
      <c r="A815" s="9"/>
      <c r="B815" s="9"/>
      <c r="C815" s="9"/>
      <c r="D815" s="9"/>
      <c r="E815" s="223"/>
      <c r="F815" s="9"/>
      <c r="G815" s="9"/>
      <c r="H815" s="9"/>
      <c r="I815" s="9"/>
      <c r="J815" s="9"/>
      <c r="K815" s="9"/>
      <c r="L815" s="9"/>
      <c r="M815" s="9"/>
      <c r="N815" s="9"/>
      <c r="O815" s="9"/>
      <c r="P815" s="9"/>
      <c r="Q815" s="9"/>
      <c r="R815" s="9"/>
      <c r="S815" s="9"/>
      <c r="T815" s="9"/>
      <c r="U815" s="9"/>
      <c r="V815" s="9"/>
      <c r="W815" s="9"/>
      <c r="X815" s="223"/>
      <c r="Y815" s="9"/>
      <c r="Z815" s="204"/>
      <c r="AA815" s="9"/>
      <c r="AB815" s="9"/>
      <c r="AC815" s="9"/>
      <c r="AD815" s="9"/>
    </row>
    <row r="816" ht="15.75" customHeight="1">
      <c r="A816" s="9"/>
      <c r="B816" s="9"/>
      <c r="C816" s="9"/>
      <c r="D816" s="9"/>
      <c r="E816" s="223"/>
      <c r="F816" s="9"/>
      <c r="G816" s="9"/>
      <c r="H816" s="9"/>
      <c r="I816" s="9"/>
      <c r="J816" s="9"/>
      <c r="K816" s="9"/>
      <c r="L816" s="9"/>
      <c r="M816" s="9"/>
      <c r="N816" s="9"/>
      <c r="O816" s="9"/>
      <c r="P816" s="9"/>
      <c r="Q816" s="9"/>
      <c r="R816" s="9"/>
      <c r="S816" s="9"/>
      <c r="T816" s="9"/>
      <c r="U816" s="9"/>
      <c r="V816" s="9"/>
      <c r="W816" s="9"/>
      <c r="X816" s="223"/>
      <c r="Y816" s="9"/>
      <c r="Z816" s="204"/>
      <c r="AA816" s="9"/>
      <c r="AB816" s="9"/>
      <c r="AC816" s="9"/>
      <c r="AD816" s="9"/>
    </row>
    <row r="817" ht="15.75" customHeight="1">
      <c r="A817" s="9"/>
      <c r="B817" s="9"/>
      <c r="C817" s="9"/>
      <c r="D817" s="9"/>
      <c r="E817" s="223"/>
      <c r="F817" s="9"/>
      <c r="G817" s="9"/>
      <c r="H817" s="9"/>
      <c r="I817" s="9"/>
      <c r="J817" s="9"/>
      <c r="K817" s="9"/>
      <c r="L817" s="9"/>
      <c r="M817" s="9"/>
      <c r="N817" s="9"/>
      <c r="O817" s="9"/>
      <c r="P817" s="9"/>
      <c r="Q817" s="9"/>
      <c r="R817" s="9"/>
      <c r="S817" s="9"/>
      <c r="T817" s="9"/>
      <c r="U817" s="9"/>
      <c r="V817" s="9"/>
      <c r="W817" s="9"/>
      <c r="X817" s="223"/>
      <c r="Y817" s="9"/>
      <c r="Z817" s="204"/>
      <c r="AA817" s="9"/>
      <c r="AB817" s="9"/>
      <c r="AC817" s="9"/>
      <c r="AD817" s="9"/>
    </row>
    <row r="818" ht="15.75" customHeight="1">
      <c r="A818" s="9"/>
      <c r="B818" s="9"/>
      <c r="C818" s="9"/>
      <c r="D818" s="9"/>
      <c r="E818" s="223"/>
      <c r="F818" s="9"/>
      <c r="G818" s="9"/>
      <c r="H818" s="9"/>
      <c r="I818" s="9"/>
      <c r="J818" s="9"/>
      <c r="K818" s="9"/>
      <c r="L818" s="9"/>
      <c r="M818" s="9"/>
      <c r="N818" s="9"/>
      <c r="O818" s="9"/>
      <c r="P818" s="9"/>
      <c r="Q818" s="9"/>
      <c r="R818" s="9"/>
      <c r="S818" s="9"/>
      <c r="T818" s="9"/>
      <c r="U818" s="9"/>
      <c r="V818" s="9"/>
      <c r="W818" s="9"/>
      <c r="X818" s="223"/>
      <c r="Y818" s="9"/>
      <c r="Z818" s="204"/>
      <c r="AA818" s="9"/>
      <c r="AB818" s="9"/>
      <c r="AC818" s="9"/>
      <c r="AD818" s="9"/>
    </row>
    <row r="819" ht="15.75" customHeight="1">
      <c r="A819" s="9"/>
      <c r="B819" s="9"/>
      <c r="C819" s="9"/>
      <c r="D819" s="9"/>
      <c r="E819" s="223"/>
      <c r="F819" s="9"/>
      <c r="G819" s="9"/>
      <c r="H819" s="9"/>
      <c r="I819" s="9"/>
      <c r="J819" s="9"/>
      <c r="K819" s="9"/>
      <c r="L819" s="9"/>
      <c r="M819" s="9"/>
      <c r="N819" s="9"/>
      <c r="O819" s="9"/>
      <c r="P819" s="9"/>
      <c r="Q819" s="9"/>
      <c r="R819" s="9"/>
      <c r="S819" s="9"/>
      <c r="T819" s="9"/>
      <c r="U819" s="9"/>
      <c r="V819" s="9"/>
      <c r="W819" s="9"/>
      <c r="X819" s="223"/>
      <c r="Y819" s="9"/>
      <c r="Z819" s="204"/>
      <c r="AA819" s="9"/>
      <c r="AB819" s="9"/>
      <c r="AC819" s="9"/>
      <c r="AD819" s="9"/>
    </row>
    <row r="820" ht="15.75" customHeight="1">
      <c r="A820" s="9"/>
      <c r="B820" s="9"/>
      <c r="C820" s="9"/>
      <c r="D820" s="9"/>
      <c r="E820" s="223"/>
      <c r="F820" s="9"/>
      <c r="G820" s="9"/>
      <c r="H820" s="9"/>
      <c r="I820" s="9"/>
      <c r="J820" s="9"/>
      <c r="K820" s="9"/>
      <c r="L820" s="9"/>
      <c r="M820" s="9"/>
      <c r="N820" s="9"/>
      <c r="O820" s="9"/>
      <c r="P820" s="9"/>
      <c r="Q820" s="9"/>
      <c r="R820" s="9"/>
      <c r="S820" s="9"/>
      <c r="T820" s="9"/>
      <c r="U820" s="9"/>
      <c r="V820" s="9"/>
      <c r="W820" s="9"/>
      <c r="X820" s="223"/>
      <c r="Y820" s="9"/>
      <c r="Z820" s="204"/>
      <c r="AA820" s="9"/>
      <c r="AB820" s="9"/>
      <c r="AC820" s="9"/>
      <c r="AD820" s="9"/>
    </row>
    <row r="821" ht="15.75" customHeight="1">
      <c r="A821" s="9"/>
      <c r="B821" s="9"/>
      <c r="C821" s="9"/>
      <c r="D821" s="9"/>
      <c r="E821" s="223"/>
      <c r="F821" s="9"/>
      <c r="G821" s="9"/>
      <c r="H821" s="9"/>
      <c r="I821" s="9"/>
      <c r="J821" s="9"/>
      <c r="K821" s="9"/>
      <c r="L821" s="9"/>
      <c r="M821" s="9"/>
      <c r="N821" s="9"/>
      <c r="O821" s="9"/>
      <c r="P821" s="9"/>
      <c r="Q821" s="9"/>
      <c r="R821" s="9"/>
      <c r="S821" s="9"/>
      <c r="T821" s="9"/>
      <c r="U821" s="9"/>
      <c r="V821" s="9"/>
      <c r="W821" s="9"/>
      <c r="X821" s="223"/>
      <c r="Y821" s="9"/>
      <c r="Z821" s="204"/>
      <c r="AA821" s="9"/>
      <c r="AB821" s="9"/>
      <c r="AC821" s="9"/>
      <c r="AD821" s="9"/>
    </row>
    <row r="822" ht="15.75" customHeight="1">
      <c r="A822" s="9"/>
      <c r="B822" s="9"/>
      <c r="C822" s="9"/>
      <c r="D822" s="9"/>
      <c r="E822" s="223"/>
      <c r="F822" s="9"/>
      <c r="G822" s="9"/>
      <c r="H822" s="9"/>
      <c r="I822" s="9"/>
      <c r="J822" s="9"/>
      <c r="K822" s="9"/>
      <c r="L822" s="9"/>
      <c r="M822" s="9"/>
      <c r="N822" s="9"/>
      <c r="O822" s="9"/>
      <c r="P822" s="9"/>
      <c r="Q822" s="9"/>
      <c r="R822" s="9"/>
      <c r="S822" s="9"/>
      <c r="T822" s="9"/>
      <c r="U822" s="9"/>
      <c r="V822" s="9"/>
      <c r="W822" s="9"/>
      <c r="X822" s="223"/>
      <c r="Y822" s="9"/>
      <c r="Z822" s="204"/>
      <c r="AA822" s="9"/>
      <c r="AB822" s="9"/>
      <c r="AC822" s="9"/>
      <c r="AD822" s="9"/>
    </row>
    <row r="823" ht="15.75" customHeight="1">
      <c r="A823" s="9"/>
      <c r="B823" s="9"/>
      <c r="C823" s="9"/>
      <c r="D823" s="9"/>
      <c r="E823" s="223"/>
      <c r="F823" s="9"/>
      <c r="G823" s="9"/>
      <c r="H823" s="9"/>
      <c r="I823" s="9"/>
      <c r="J823" s="9"/>
      <c r="K823" s="9"/>
      <c r="L823" s="9"/>
      <c r="M823" s="9"/>
      <c r="N823" s="9"/>
      <c r="O823" s="9"/>
      <c r="P823" s="9"/>
      <c r="Q823" s="9"/>
      <c r="R823" s="9"/>
      <c r="S823" s="9"/>
      <c r="T823" s="9"/>
      <c r="U823" s="9"/>
      <c r="V823" s="9"/>
      <c r="W823" s="9"/>
      <c r="X823" s="223"/>
      <c r="Y823" s="9"/>
      <c r="Z823" s="204"/>
      <c r="AA823" s="9"/>
      <c r="AB823" s="9"/>
      <c r="AC823" s="9"/>
      <c r="AD823" s="9"/>
    </row>
    <row r="824" ht="15.75" customHeight="1">
      <c r="A824" s="9"/>
      <c r="B824" s="9"/>
      <c r="C824" s="9"/>
      <c r="D824" s="9"/>
      <c r="E824" s="223"/>
      <c r="F824" s="9"/>
      <c r="G824" s="9"/>
      <c r="H824" s="9"/>
      <c r="I824" s="9"/>
      <c r="J824" s="9"/>
      <c r="K824" s="9"/>
      <c r="L824" s="9"/>
      <c r="M824" s="9"/>
      <c r="N824" s="9"/>
      <c r="O824" s="9"/>
      <c r="P824" s="9"/>
      <c r="Q824" s="9"/>
      <c r="R824" s="9"/>
      <c r="S824" s="9"/>
      <c r="T824" s="9"/>
      <c r="U824" s="9"/>
      <c r="V824" s="9"/>
      <c r="W824" s="9"/>
      <c r="X824" s="223"/>
      <c r="Y824" s="9"/>
      <c r="Z824" s="204"/>
      <c r="AA824" s="9"/>
      <c r="AB824" s="9"/>
      <c r="AC824" s="9"/>
      <c r="AD824" s="9"/>
    </row>
    <row r="825" ht="15.75" customHeight="1">
      <c r="A825" s="9"/>
      <c r="B825" s="9"/>
      <c r="C825" s="9"/>
      <c r="D825" s="9"/>
      <c r="E825" s="223"/>
      <c r="F825" s="9"/>
      <c r="G825" s="9"/>
      <c r="H825" s="9"/>
      <c r="I825" s="9"/>
      <c r="J825" s="9"/>
      <c r="K825" s="9"/>
      <c r="L825" s="9"/>
      <c r="M825" s="9"/>
      <c r="N825" s="9"/>
      <c r="O825" s="9"/>
      <c r="P825" s="9"/>
      <c r="Q825" s="9"/>
      <c r="R825" s="9"/>
      <c r="S825" s="9"/>
      <c r="T825" s="9"/>
      <c r="U825" s="9"/>
      <c r="V825" s="9"/>
      <c r="W825" s="9"/>
      <c r="X825" s="223"/>
      <c r="Y825" s="9"/>
      <c r="Z825" s="204"/>
      <c r="AA825" s="9"/>
      <c r="AB825" s="9"/>
      <c r="AC825" s="9"/>
      <c r="AD825" s="9"/>
    </row>
    <row r="826" ht="15.75" customHeight="1">
      <c r="A826" s="9"/>
      <c r="B826" s="9"/>
      <c r="C826" s="9"/>
      <c r="D826" s="9"/>
      <c r="E826" s="223"/>
      <c r="F826" s="9"/>
      <c r="G826" s="9"/>
      <c r="H826" s="9"/>
      <c r="I826" s="9"/>
      <c r="J826" s="9"/>
      <c r="K826" s="9"/>
      <c r="L826" s="9"/>
      <c r="M826" s="9"/>
      <c r="N826" s="9"/>
      <c r="O826" s="9"/>
      <c r="P826" s="9"/>
      <c r="Q826" s="9"/>
      <c r="R826" s="9"/>
      <c r="S826" s="9"/>
      <c r="T826" s="9"/>
      <c r="U826" s="9"/>
      <c r="V826" s="9"/>
      <c r="W826" s="9"/>
      <c r="X826" s="223"/>
      <c r="Y826" s="9"/>
      <c r="Z826" s="204"/>
      <c r="AA826" s="9"/>
      <c r="AB826" s="9"/>
      <c r="AC826" s="9"/>
      <c r="AD826" s="9"/>
    </row>
    <row r="827" ht="15.75" customHeight="1">
      <c r="A827" s="9"/>
      <c r="B827" s="9"/>
      <c r="C827" s="9"/>
      <c r="D827" s="9"/>
      <c r="E827" s="223"/>
      <c r="F827" s="9"/>
      <c r="G827" s="9"/>
      <c r="H827" s="9"/>
      <c r="I827" s="9"/>
      <c r="J827" s="9"/>
      <c r="K827" s="9"/>
      <c r="L827" s="9"/>
      <c r="M827" s="9"/>
      <c r="N827" s="9"/>
      <c r="O827" s="9"/>
      <c r="P827" s="9"/>
      <c r="Q827" s="9"/>
      <c r="R827" s="9"/>
      <c r="S827" s="9"/>
      <c r="T827" s="9"/>
      <c r="U827" s="9"/>
      <c r="V827" s="9"/>
      <c r="W827" s="9"/>
      <c r="X827" s="223"/>
      <c r="Y827" s="9"/>
      <c r="Z827" s="204"/>
      <c r="AA827" s="9"/>
      <c r="AB827" s="9"/>
      <c r="AC827" s="9"/>
      <c r="AD827" s="9"/>
    </row>
    <row r="828" ht="15.75" customHeight="1">
      <c r="A828" s="9"/>
      <c r="B828" s="9"/>
      <c r="C828" s="9"/>
      <c r="D828" s="9"/>
      <c r="E828" s="223"/>
      <c r="F828" s="9"/>
      <c r="G828" s="9"/>
      <c r="H828" s="9"/>
      <c r="I828" s="9"/>
      <c r="J828" s="9"/>
      <c r="K828" s="9"/>
      <c r="L828" s="9"/>
      <c r="M828" s="9"/>
      <c r="N828" s="9"/>
      <c r="O828" s="9"/>
      <c r="P828" s="9"/>
      <c r="Q828" s="9"/>
      <c r="R828" s="9"/>
      <c r="S828" s="9"/>
      <c r="T828" s="9"/>
      <c r="U828" s="9"/>
      <c r="V828" s="9"/>
      <c r="W828" s="9"/>
      <c r="X828" s="223"/>
      <c r="Y828" s="9"/>
      <c r="Z828" s="204"/>
      <c r="AA828" s="9"/>
      <c r="AB828" s="9"/>
      <c r="AC828" s="9"/>
      <c r="AD828" s="9"/>
    </row>
    <row r="829" ht="15.75" customHeight="1">
      <c r="A829" s="9"/>
      <c r="B829" s="9"/>
      <c r="C829" s="9"/>
      <c r="D829" s="9"/>
      <c r="E829" s="223"/>
      <c r="F829" s="9"/>
      <c r="G829" s="9"/>
      <c r="H829" s="9"/>
      <c r="I829" s="9"/>
      <c r="J829" s="9"/>
      <c r="K829" s="9"/>
      <c r="L829" s="9"/>
      <c r="M829" s="9"/>
      <c r="N829" s="9"/>
      <c r="O829" s="9"/>
      <c r="P829" s="9"/>
      <c r="Q829" s="9"/>
      <c r="R829" s="9"/>
      <c r="S829" s="9"/>
      <c r="T829" s="9"/>
      <c r="U829" s="9"/>
      <c r="V829" s="9"/>
      <c r="W829" s="9"/>
      <c r="X829" s="223"/>
      <c r="Y829" s="9"/>
      <c r="Z829" s="204"/>
      <c r="AA829" s="9"/>
      <c r="AB829" s="9"/>
      <c r="AC829" s="9"/>
      <c r="AD829" s="9"/>
    </row>
    <row r="830" ht="15.75" customHeight="1">
      <c r="A830" s="9"/>
      <c r="B830" s="9"/>
      <c r="C830" s="9"/>
      <c r="D830" s="9"/>
      <c r="E830" s="223"/>
      <c r="F830" s="9"/>
      <c r="G830" s="9"/>
      <c r="H830" s="9"/>
      <c r="I830" s="9"/>
      <c r="J830" s="9"/>
      <c r="K830" s="9"/>
      <c r="L830" s="9"/>
      <c r="M830" s="9"/>
      <c r="N830" s="9"/>
      <c r="O830" s="9"/>
      <c r="P830" s="9"/>
      <c r="Q830" s="9"/>
      <c r="R830" s="9"/>
      <c r="S830" s="9"/>
      <c r="T830" s="9"/>
      <c r="U830" s="9"/>
      <c r="V830" s="9"/>
      <c r="W830" s="9"/>
      <c r="X830" s="223"/>
      <c r="Y830" s="9"/>
      <c r="Z830" s="204"/>
      <c r="AA830" s="9"/>
      <c r="AB830" s="9"/>
      <c r="AC830" s="9"/>
      <c r="AD830" s="9"/>
    </row>
    <row r="831" ht="15.75" customHeight="1">
      <c r="A831" s="9"/>
      <c r="B831" s="9"/>
      <c r="C831" s="9"/>
      <c r="D831" s="9"/>
      <c r="E831" s="223"/>
      <c r="F831" s="9"/>
      <c r="G831" s="9"/>
      <c r="H831" s="9"/>
      <c r="I831" s="9"/>
      <c r="J831" s="9"/>
      <c r="K831" s="9"/>
      <c r="L831" s="9"/>
      <c r="M831" s="9"/>
      <c r="N831" s="9"/>
      <c r="O831" s="9"/>
      <c r="P831" s="9"/>
      <c r="Q831" s="9"/>
      <c r="R831" s="9"/>
      <c r="S831" s="9"/>
      <c r="T831" s="9"/>
      <c r="U831" s="9"/>
      <c r="V831" s="9"/>
      <c r="W831" s="9"/>
      <c r="X831" s="223"/>
      <c r="Y831" s="9"/>
      <c r="Z831" s="204"/>
      <c r="AA831" s="9"/>
      <c r="AB831" s="9"/>
      <c r="AC831" s="9"/>
      <c r="AD831" s="9"/>
    </row>
    <row r="832" ht="15.75" customHeight="1">
      <c r="A832" s="9"/>
      <c r="B832" s="9"/>
      <c r="C832" s="9"/>
      <c r="D832" s="9"/>
      <c r="E832" s="223"/>
      <c r="F832" s="9"/>
      <c r="G832" s="9"/>
      <c r="H832" s="9"/>
      <c r="I832" s="9"/>
      <c r="J832" s="9"/>
      <c r="K832" s="9"/>
      <c r="L832" s="9"/>
      <c r="M832" s="9"/>
      <c r="N832" s="9"/>
      <c r="O832" s="9"/>
      <c r="P832" s="9"/>
      <c r="Q832" s="9"/>
      <c r="R832" s="9"/>
      <c r="S832" s="9"/>
      <c r="T832" s="9"/>
      <c r="U832" s="9"/>
      <c r="V832" s="9"/>
      <c r="W832" s="9"/>
      <c r="X832" s="223"/>
      <c r="Y832" s="9"/>
      <c r="Z832" s="204"/>
      <c r="AA832" s="9"/>
      <c r="AB832" s="9"/>
      <c r="AC832" s="9"/>
      <c r="AD832" s="9"/>
    </row>
    <row r="833" ht="15.75" customHeight="1">
      <c r="A833" s="9"/>
      <c r="B833" s="9"/>
      <c r="C833" s="9"/>
      <c r="D833" s="9"/>
      <c r="E833" s="223"/>
      <c r="F833" s="9"/>
      <c r="G833" s="9"/>
      <c r="H833" s="9"/>
      <c r="I833" s="9"/>
      <c r="J833" s="9"/>
      <c r="K833" s="9"/>
      <c r="L833" s="9"/>
      <c r="M833" s="9"/>
      <c r="N833" s="9"/>
      <c r="O833" s="9"/>
      <c r="P833" s="9"/>
      <c r="Q833" s="9"/>
      <c r="R833" s="9"/>
      <c r="S833" s="9"/>
      <c r="T833" s="9"/>
      <c r="U833" s="9"/>
      <c r="V833" s="9"/>
      <c r="W833" s="9"/>
      <c r="X833" s="223"/>
      <c r="Y833" s="9"/>
      <c r="Z833" s="204"/>
      <c r="AA833" s="9"/>
      <c r="AB833" s="9"/>
      <c r="AC833" s="9"/>
      <c r="AD833" s="9"/>
    </row>
    <row r="834" ht="15.75" customHeight="1">
      <c r="A834" s="9"/>
      <c r="B834" s="9"/>
      <c r="C834" s="9"/>
      <c r="D834" s="9"/>
      <c r="E834" s="223"/>
      <c r="F834" s="9"/>
      <c r="G834" s="9"/>
      <c r="H834" s="9"/>
      <c r="I834" s="9"/>
      <c r="J834" s="9"/>
      <c r="K834" s="9"/>
      <c r="L834" s="9"/>
      <c r="M834" s="9"/>
      <c r="N834" s="9"/>
      <c r="O834" s="9"/>
      <c r="P834" s="9"/>
      <c r="Q834" s="9"/>
      <c r="R834" s="9"/>
      <c r="S834" s="9"/>
      <c r="T834" s="9"/>
      <c r="U834" s="9"/>
      <c r="V834" s="9"/>
      <c r="W834" s="9"/>
      <c r="X834" s="223"/>
      <c r="Y834" s="9"/>
      <c r="Z834" s="204"/>
      <c r="AA834" s="9"/>
      <c r="AB834" s="9"/>
      <c r="AC834" s="9"/>
      <c r="AD834" s="9"/>
    </row>
    <row r="835" ht="15.75" customHeight="1">
      <c r="A835" s="9"/>
      <c r="B835" s="9"/>
      <c r="C835" s="9"/>
      <c r="D835" s="9"/>
      <c r="E835" s="223"/>
      <c r="F835" s="9"/>
      <c r="G835" s="9"/>
      <c r="H835" s="9"/>
      <c r="I835" s="9"/>
      <c r="J835" s="9"/>
      <c r="K835" s="9"/>
      <c r="L835" s="9"/>
      <c r="M835" s="9"/>
      <c r="N835" s="9"/>
      <c r="O835" s="9"/>
      <c r="P835" s="9"/>
      <c r="Q835" s="9"/>
      <c r="R835" s="9"/>
      <c r="S835" s="9"/>
      <c r="T835" s="9"/>
      <c r="U835" s="9"/>
      <c r="V835" s="9"/>
      <c r="W835" s="9"/>
      <c r="X835" s="223"/>
      <c r="Y835" s="9"/>
      <c r="Z835" s="204"/>
      <c r="AA835" s="9"/>
      <c r="AB835" s="9"/>
      <c r="AC835" s="9"/>
      <c r="AD835" s="9"/>
    </row>
    <row r="836" ht="15.75" customHeight="1">
      <c r="A836" s="9"/>
      <c r="B836" s="9"/>
      <c r="C836" s="9"/>
      <c r="D836" s="9"/>
      <c r="E836" s="223"/>
      <c r="F836" s="9"/>
      <c r="G836" s="9"/>
      <c r="H836" s="9"/>
      <c r="I836" s="9"/>
      <c r="J836" s="9"/>
      <c r="K836" s="9"/>
      <c r="L836" s="9"/>
      <c r="M836" s="9"/>
      <c r="N836" s="9"/>
      <c r="O836" s="9"/>
      <c r="P836" s="9"/>
      <c r="Q836" s="9"/>
      <c r="R836" s="9"/>
      <c r="S836" s="9"/>
      <c r="T836" s="9"/>
      <c r="U836" s="9"/>
      <c r="V836" s="9"/>
      <c r="W836" s="9"/>
      <c r="X836" s="223"/>
      <c r="Y836" s="9"/>
      <c r="Z836" s="204"/>
      <c r="AA836" s="9"/>
      <c r="AB836" s="9"/>
      <c r="AC836" s="9"/>
      <c r="AD836" s="9"/>
    </row>
    <row r="837" ht="15.75" customHeight="1">
      <c r="A837" s="9"/>
      <c r="B837" s="9"/>
      <c r="C837" s="9"/>
      <c r="D837" s="9"/>
      <c r="E837" s="223"/>
      <c r="F837" s="9"/>
      <c r="G837" s="9"/>
      <c r="H837" s="9"/>
      <c r="I837" s="9"/>
      <c r="J837" s="9"/>
      <c r="K837" s="9"/>
      <c r="L837" s="9"/>
      <c r="M837" s="9"/>
      <c r="N837" s="9"/>
      <c r="O837" s="9"/>
      <c r="P837" s="9"/>
      <c r="Q837" s="9"/>
      <c r="R837" s="9"/>
      <c r="S837" s="9"/>
      <c r="T837" s="9"/>
      <c r="U837" s="9"/>
      <c r="V837" s="9"/>
      <c r="W837" s="9"/>
      <c r="X837" s="223"/>
      <c r="Y837" s="9"/>
      <c r="Z837" s="204"/>
      <c r="AA837" s="9"/>
      <c r="AB837" s="9"/>
      <c r="AC837" s="9"/>
      <c r="AD837" s="9"/>
    </row>
    <row r="838" ht="15.75" customHeight="1">
      <c r="A838" s="9"/>
      <c r="B838" s="9"/>
      <c r="C838" s="9"/>
      <c r="D838" s="9"/>
      <c r="E838" s="223"/>
      <c r="F838" s="9"/>
      <c r="G838" s="9"/>
      <c r="H838" s="9"/>
      <c r="I838" s="9"/>
      <c r="J838" s="9"/>
      <c r="K838" s="9"/>
      <c r="L838" s="9"/>
      <c r="M838" s="9"/>
      <c r="N838" s="9"/>
      <c r="O838" s="9"/>
      <c r="P838" s="9"/>
      <c r="Q838" s="9"/>
      <c r="R838" s="9"/>
      <c r="S838" s="9"/>
      <c r="T838" s="9"/>
      <c r="U838" s="9"/>
      <c r="V838" s="9"/>
      <c r="W838" s="9"/>
      <c r="X838" s="223"/>
      <c r="Y838" s="9"/>
      <c r="Z838" s="204"/>
      <c r="AA838" s="9"/>
      <c r="AB838" s="9"/>
      <c r="AC838" s="9"/>
      <c r="AD838" s="9"/>
    </row>
    <row r="839" ht="15.75" customHeight="1">
      <c r="A839" s="9"/>
      <c r="B839" s="9"/>
      <c r="C839" s="9"/>
      <c r="D839" s="9"/>
      <c r="E839" s="223"/>
      <c r="F839" s="9"/>
      <c r="G839" s="9"/>
      <c r="H839" s="9"/>
      <c r="I839" s="9"/>
      <c r="J839" s="9"/>
      <c r="K839" s="9"/>
      <c r="L839" s="9"/>
      <c r="M839" s="9"/>
      <c r="N839" s="9"/>
      <c r="O839" s="9"/>
      <c r="P839" s="9"/>
      <c r="Q839" s="9"/>
      <c r="R839" s="9"/>
      <c r="S839" s="9"/>
      <c r="T839" s="9"/>
      <c r="U839" s="9"/>
      <c r="V839" s="9"/>
      <c r="W839" s="9"/>
      <c r="X839" s="223"/>
      <c r="Y839" s="9"/>
      <c r="Z839" s="204"/>
      <c r="AA839" s="9"/>
      <c r="AB839" s="9"/>
      <c r="AC839" s="9"/>
      <c r="AD839" s="9"/>
    </row>
    <row r="840" ht="15.75" customHeight="1">
      <c r="A840" s="9"/>
      <c r="B840" s="9"/>
      <c r="C840" s="9"/>
      <c r="D840" s="9"/>
      <c r="E840" s="223"/>
      <c r="F840" s="9"/>
      <c r="G840" s="9"/>
      <c r="H840" s="9"/>
      <c r="I840" s="9"/>
      <c r="J840" s="9"/>
      <c r="K840" s="9"/>
      <c r="L840" s="9"/>
      <c r="M840" s="9"/>
      <c r="N840" s="9"/>
      <c r="O840" s="9"/>
      <c r="P840" s="9"/>
      <c r="Q840" s="9"/>
      <c r="R840" s="9"/>
      <c r="S840" s="9"/>
      <c r="T840" s="9"/>
      <c r="U840" s="9"/>
      <c r="V840" s="9"/>
      <c r="W840" s="9"/>
      <c r="X840" s="223"/>
      <c r="Y840" s="9"/>
      <c r="Z840" s="204"/>
      <c r="AA840" s="9"/>
      <c r="AB840" s="9"/>
      <c r="AC840" s="9"/>
      <c r="AD840" s="9"/>
    </row>
    <row r="841" ht="15.75" customHeight="1">
      <c r="A841" s="9"/>
      <c r="B841" s="9"/>
      <c r="C841" s="9"/>
      <c r="D841" s="9"/>
      <c r="E841" s="223"/>
      <c r="F841" s="9"/>
      <c r="G841" s="9"/>
      <c r="H841" s="9"/>
      <c r="I841" s="9"/>
      <c r="J841" s="9"/>
      <c r="K841" s="9"/>
      <c r="L841" s="9"/>
      <c r="M841" s="9"/>
      <c r="N841" s="9"/>
      <c r="O841" s="9"/>
      <c r="P841" s="9"/>
      <c r="Q841" s="9"/>
      <c r="R841" s="9"/>
      <c r="S841" s="9"/>
      <c r="T841" s="9"/>
      <c r="U841" s="9"/>
      <c r="V841" s="9"/>
      <c r="W841" s="9"/>
      <c r="X841" s="223"/>
      <c r="Y841" s="9"/>
      <c r="Z841" s="204"/>
      <c r="AA841" s="9"/>
      <c r="AB841" s="9"/>
      <c r="AC841" s="9"/>
      <c r="AD841" s="9"/>
    </row>
    <row r="842" ht="15.75" customHeight="1">
      <c r="A842" s="9"/>
      <c r="B842" s="9"/>
      <c r="C842" s="9"/>
      <c r="D842" s="9"/>
      <c r="E842" s="223"/>
      <c r="F842" s="9"/>
      <c r="G842" s="9"/>
      <c r="H842" s="9"/>
      <c r="I842" s="9"/>
      <c r="J842" s="9"/>
      <c r="K842" s="9"/>
      <c r="L842" s="9"/>
      <c r="M842" s="9"/>
      <c r="N842" s="9"/>
      <c r="O842" s="9"/>
      <c r="P842" s="9"/>
      <c r="Q842" s="9"/>
      <c r="R842" s="9"/>
      <c r="S842" s="9"/>
      <c r="T842" s="9"/>
      <c r="U842" s="9"/>
      <c r="V842" s="9"/>
      <c r="W842" s="9"/>
      <c r="X842" s="223"/>
      <c r="Y842" s="9"/>
      <c r="Z842" s="204"/>
      <c r="AA842" s="9"/>
      <c r="AB842" s="9"/>
      <c r="AC842" s="9"/>
      <c r="AD842" s="9"/>
    </row>
    <row r="843" ht="15.75" customHeight="1">
      <c r="A843" s="9"/>
      <c r="B843" s="9"/>
      <c r="C843" s="9"/>
      <c r="D843" s="9"/>
      <c r="E843" s="223"/>
      <c r="F843" s="9"/>
      <c r="G843" s="9"/>
      <c r="H843" s="9"/>
      <c r="I843" s="9"/>
      <c r="J843" s="9"/>
      <c r="K843" s="9"/>
      <c r="L843" s="9"/>
      <c r="M843" s="9"/>
      <c r="N843" s="9"/>
      <c r="O843" s="9"/>
      <c r="P843" s="9"/>
      <c r="Q843" s="9"/>
      <c r="R843" s="9"/>
      <c r="S843" s="9"/>
      <c r="T843" s="9"/>
      <c r="U843" s="9"/>
      <c r="V843" s="9"/>
      <c r="W843" s="9"/>
      <c r="X843" s="223"/>
      <c r="Y843" s="9"/>
      <c r="Z843" s="204"/>
      <c r="AA843" s="9"/>
      <c r="AB843" s="9"/>
      <c r="AC843" s="9"/>
      <c r="AD843" s="9"/>
    </row>
    <row r="844" ht="15.75" customHeight="1">
      <c r="A844" s="9"/>
      <c r="B844" s="9"/>
      <c r="C844" s="9"/>
      <c r="D844" s="9"/>
      <c r="E844" s="223"/>
      <c r="F844" s="9"/>
      <c r="G844" s="9"/>
      <c r="H844" s="9"/>
      <c r="I844" s="9"/>
      <c r="J844" s="9"/>
      <c r="K844" s="9"/>
      <c r="L844" s="9"/>
      <c r="M844" s="9"/>
      <c r="N844" s="9"/>
      <c r="O844" s="9"/>
      <c r="P844" s="9"/>
      <c r="Q844" s="9"/>
      <c r="R844" s="9"/>
      <c r="S844" s="9"/>
      <c r="T844" s="9"/>
      <c r="U844" s="9"/>
      <c r="V844" s="9"/>
      <c r="W844" s="9"/>
      <c r="X844" s="223"/>
      <c r="Y844" s="9"/>
      <c r="Z844" s="204"/>
      <c r="AA844" s="9"/>
      <c r="AB844" s="9"/>
      <c r="AC844" s="9"/>
      <c r="AD844" s="9"/>
    </row>
    <row r="845" ht="15.75" customHeight="1">
      <c r="A845" s="9"/>
      <c r="B845" s="9"/>
      <c r="C845" s="9"/>
      <c r="D845" s="9"/>
      <c r="E845" s="223"/>
      <c r="F845" s="9"/>
      <c r="G845" s="9"/>
      <c r="H845" s="9"/>
      <c r="I845" s="9"/>
      <c r="J845" s="9"/>
      <c r="K845" s="9"/>
      <c r="L845" s="9"/>
      <c r="M845" s="9"/>
      <c r="N845" s="9"/>
      <c r="O845" s="9"/>
      <c r="P845" s="9"/>
      <c r="Q845" s="9"/>
      <c r="R845" s="9"/>
      <c r="S845" s="9"/>
      <c r="T845" s="9"/>
      <c r="U845" s="9"/>
      <c r="V845" s="9"/>
      <c r="W845" s="9"/>
      <c r="X845" s="223"/>
      <c r="Y845" s="9"/>
      <c r="Z845" s="204"/>
      <c r="AA845" s="9"/>
      <c r="AB845" s="9"/>
      <c r="AC845" s="9"/>
      <c r="AD845" s="9"/>
    </row>
    <row r="846" ht="15.75" customHeight="1">
      <c r="A846" s="9"/>
      <c r="B846" s="9"/>
      <c r="C846" s="9"/>
      <c r="D846" s="9"/>
      <c r="E846" s="223"/>
      <c r="F846" s="9"/>
      <c r="G846" s="9"/>
      <c r="H846" s="9"/>
      <c r="I846" s="9"/>
      <c r="J846" s="9"/>
      <c r="K846" s="9"/>
      <c r="L846" s="9"/>
      <c r="M846" s="9"/>
      <c r="N846" s="9"/>
      <c r="O846" s="9"/>
      <c r="P846" s="9"/>
      <c r="Q846" s="9"/>
      <c r="R846" s="9"/>
      <c r="S846" s="9"/>
      <c r="T846" s="9"/>
      <c r="U846" s="9"/>
      <c r="V846" s="9"/>
      <c r="W846" s="9"/>
      <c r="X846" s="223"/>
      <c r="Y846" s="9"/>
      <c r="Z846" s="204"/>
      <c r="AA846" s="9"/>
      <c r="AB846" s="9"/>
      <c r="AC846" s="9"/>
      <c r="AD846" s="9"/>
    </row>
    <row r="847" ht="15.75" customHeight="1">
      <c r="A847" s="9"/>
      <c r="B847" s="9"/>
      <c r="C847" s="9"/>
      <c r="D847" s="9"/>
      <c r="E847" s="223"/>
      <c r="F847" s="9"/>
      <c r="G847" s="9"/>
      <c r="H847" s="9"/>
      <c r="I847" s="9"/>
      <c r="J847" s="9"/>
      <c r="K847" s="9"/>
      <c r="L847" s="9"/>
      <c r="M847" s="9"/>
      <c r="N847" s="9"/>
      <c r="O847" s="9"/>
      <c r="P847" s="9"/>
      <c r="Q847" s="9"/>
      <c r="R847" s="9"/>
      <c r="S847" s="9"/>
      <c r="T847" s="9"/>
      <c r="U847" s="9"/>
      <c r="V847" s="9"/>
      <c r="W847" s="9"/>
      <c r="X847" s="223"/>
      <c r="Y847" s="9"/>
      <c r="Z847" s="204"/>
      <c r="AA847" s="9"/>
      <c r="AB847" s="9"/>
      <c r="AC847" s="9"/>
      <c r="AD847" s="9"/>
    </row>
    <row r="848" ht="15.75" customHeight="1">
      <c r="A848" s="9"/>
      <c r="B848" s="9"/>
      <c r="C848" s="9"/>
      <c r="D848" s="9"/>
      <c r="E848" s="223"/>
      <c r="F848" s="9"/>
      <c r="G848" s="9"/>
      <c r="H848" s="9"/>
      <c r="I848" s="9"/>
      <c r="J848" s="9"/>
      <c r="K848" s="9"/>
      <c r="L848" s="9"/>
      <c r="M848" s="9"/>
      <c r="N848" s="9"/>
      <c r="O848" s="9"/>
      <c r="P848" s="9"/>
      <c r="Q848" s="9"/>
      <c r="R848" s="9"/>
      <c r="S848" s="9"/>
      <c r="T848" s="9"/>
      <c r="U848" s="9"/>
      <c r="V848" s="9"/>
      <c r="W848" s="9"/>
      <c r="X848" s="223"/>
      <c r="Y848" s="9"/>
      <c r="Z848" s="204"/>
      <c r="AA848" s="9"/>
      <c r="AB848" s="9"/>
      <c r="AC848" s="9"/>
      <c r="AD848" s="9"/>
    </row>
    <row r="849" ht="15.75" customHeight="1">
      <c r="A849" s="9"/>
      <c r="B849" s="9"/>
      <c r="C849" s="9"/>
      <c r="D849" s="9"/>
      <c r="E849" s="223"/>
      <c r="F849" s="9"/>
      <c r="G849" s="9"/>
      <c r="H849" s="9"/>
      <c r="I849" s="9"/>
      <c r="J849" s="9"/>
      <c r="K849" s="9"/>
      <c r="L849" s="9"/>
      <c r="M849" s="9"/>
      <c r="N849" s="9"/>
      <c r="O849" s="9"/>
      <c r="P849" s="9"/>
      <c r="Q849" s="9"/>
      <c r="R849" s="9"/>
      <c r="S849" s="9"/>
      <c r="T849" s="9"/>
      <c r="U849" s="9"/>
      <c r="V849" s="9"/>
      <c r="W849" s="9"/>
      <c r="X849" s="223"/>
      <c r="Y849" s="9"/>
      <c r="Z849" s="204"/>
      <c r="AA849" s="9"/>
      <c r="AB849" s="9"/>
      <c r="AC849" s="9"/>
      <c r="AD849" s="9"/>
    </row>
    <row r="850" ht="15.75" customHeight="1">
      <c r="A850" s="9"/>
      <c r="B850" s="9"/>
      <c r="C850" s="9"/>
      <c r="D850" s="9"/>
      <c r="E850" s="223"/>
      <c r="F850" s="9"/>
      <c r="G850" s="9"/>
      <c r="H850" s="9"/>
      <c r="I850" s="9"/>
      <c r="J850" s="9"/>
      <c r="K850" s="9"/>
      <c r="L850" s="9"/>
      <c r="M850" s="9"/>
      <c r="N850" s="9"/>
      <c r="O850" s="9"/>
      <c r="P850" s="9"/>
      <c r="Q850" s="9"/>
      <c r="R850" s="9"/>
      <c r="S850" s="9"/>
      <c r="T850" s="9"/>
      <c r="U850" s="9"/>
      <c r="V850" s="9"/>
      <c r="W850" s="9"/>
      <c r="X850" s="223"/>
      <c r="Y850" s="9"/>
      <c r="Z850" s="204"/>
      <c r="AA850" s="9"/>
      <c r="AB850" s="9"/>
      <c r="AC850" s="9"/>
      <c r="AD850" s="9"/>
    </row>
    <row r="851" ht="15.75" customHeight="1">
      <c r="A851" s="9"/>
      <c r="B851" s="9"/>
      <c r="C851" s="9"/>
      <c r="D851" s="9"/>
      <c r="E851" s="223"/>
      <c r="F851" s="9"/>
      <c r="G851" s="9"/>
      <c r="H851" s="9"/>
      <c r="I851" s="9"/>
      <c r="J851" s="9"/>
      <c r="K851" s="9"/>
      <c r="L851" s="9"/>
      <c r="M851" s="9"/>
      <c r="N851" s="9"/>
      <c r="O851" s="9"/>
      <c r="P851" s="9"/>
      <c r="Q851" s="9"/>
      <c r="R851" s="9"/>
      <c r="S851" s="9"/>
      <c r="T851" s="9"/>
      <c r="U851" s="9"/>
      <c r="V851" s="9"/>
      <c r="W851" s="9"/>
      <c r="X851" s="223"/>
      <c r="Y851" s="9"/>
      <c r="Z851" s="204"/>
      <c r="AA851" s="9"/>
      <c r="AB851" s="9"/>
      <c r="AC851" s="9"/>
      <c r="AD851" s="9"/>
    </row>
    <row r="852" ht="15.75" customHeight="1">
      <c r="A852" s="9"/>
      <c r="B852" s="9"/>
      <c r="C852" s="9"/>
      <c r="D852" s="9"/>
      <c r="E852" s="223"/>
      <c r="F852" s="9"/>
      <c r="G852" s="9"/>
      <c r="H852" s="9"/>
      <c r="I852" s="9"/>
      <c r="J852" s="9"/>
      <c r="K852" s="9"/>
      <c r="L852" s="9"/>
      <c r="M852" s="9"/>
      <c r="N852" s="9"/>
      <c r="O852" s="9"/>
      <c r="P852" s="9"/>
      <c r="Q852" s="9"/>
      <c r="R852" s="9"/>
      <c r="S852" s="9"/>
      <c r="T852" s="9"/>
      <c r="U852" s="9"/>
      <c r="V852" s="9"/>
      <c r="W852" s="9"/>
      <c r="X852" s="223"/>
      <c r="Y852" s="9"/>
      <c r="Z852" s="204"/>
      <c r="AA852" s="9"/>
      <c r="AB852" s="9"/>
      <c r="AC852" s="9"/>
      <c r="AD852" s="9"/>
    </row>
    <row r="853" ht="15.75" customHeight="1">
      <c r="A853" s="9"/>
      <c r="B853" s="9"/>
      <c r="C853" s="9"/>
      <c r="D853" s="9"/>
      <c r="E853" s="223"/>
      <c r="F853" s="9"/>
      <c r="G853" s="9"/>
      <c r="H853" s="9"/>
      <c r="I853" s="9"/>
      <c r="J853" s="9"/>
      <c r="K853" s="9"/>
      <c r="L853" s="9"/>
      <c r="M853" s="9"/>
      <c r="N853" s="9"/>
      <c r="O853" s="9"/>
      <c r="P853" s="9"/>
      <c r="Q853" s="9"/>
      <c r="R853" s="9"/>
      <c r="S853" s="9"/>
      <c r="T853" s="9"/>
      <c r="U853" s="9"/>
      <c r="V853" s="9"/>
      <c r="W853" s="9"/>
      <c r="X853" s="223"/>
      <c r="Y853" s="9"/>
      <c r="Z853" s="204"/>
      <c r="AA853" s="9"/>
      <c r="AB853" s="9"/>
      <c r="AC853" s="9"/>
      <c r="AD853" s="9"/>
    </row>
    <row r="854" ht="15.75" customHeight="1">
      <c r="A854" s="9"/>
      <c r="B854" s="9"/>
      <c r="C854" s="9"/>
      <c r="D854" s="9"/>
      <c r="E854" s="223"/>
      <c r="F854" s="9"/>
      <c r="G854" s="9"/>
      <c r="H854" s="9"/>
      <c r="I854" s="9"/>
      <c r="J854" s="9"/>
      <c r="K854" s="9"/>
      <c r="L854" s="9"/>
      <c r="M854" s="9"/>
      <c r="N854" s="9"/>
      <c r="O854" s="9"/>
      <c r="P854" s="9"/>
      <c r="Q854" s="9"/>
      <c r="R854" s="9"/>
      <c r="S854" s="9"/>
      <c r="T854" s="9"/>
      <c r="U854" s="9"/>
      <c r="V854" s="9"/>
      <c r="W854" s="9"/>
      <c r="X854" s="223"/>
      <c r="Y854" s="9"/>
      <c r="Z854" s="204"/>
      <c r="AA854" s="9"/>
      <c r="AB854" s="9"/>
      <c r="AC854" s="9"/>
      <c r="AD854" s="9"/>
    </row>
    <row r="855" ht="15.75" customHeight="1">
      <c r="A855" s="9"/>
      <c r="B855" s="9"/>
      <c r="C855" s="9"/>
      <c r="D855" s="9"/>
      <c r="E855" s="223"/>
      <c r="F855" s="9"/>
      <c r="G855" s="9"/>
      <c r="H855" s="9"/>
      <c r="I855" s="9"/>
      <c r="J855" s="9"/>
      <c r="K855" s="9"/>
      <c r="L855" s="9"/>
      <c r="M855" s="9"/>
      <c r="N855" s="9"/>
      <c r="O855" s="9"/>
      <c r="P855" s="9"/>
      <c r="Q855" s="9"/>
      <c r="R855" s="9"/>
      <c r="S855" s="9"/>
      <c r="T855" s="9"/>
      <c r="U855" s="9"/>
      <c r="V855" s="9"/>
      <c r="W855" s="9"/>
      <c r="X855" s="223"/>
      <c r="Y855" s="9"/>
      <c r="Z855" s="204"/>
      <c r="AA855" s="9"/>
      <c r="AB855" s="9"/>
      <c r="AC855" s="9"/>
      <c r="AD855" s="9"/>
    </row>
    <row r="856" ht="15.75" customHeight="1">
      <c r="A856" s="9"/>
      <c r="B856" s="9"/>
      <c r="C856" s="9"/>
      <c r="D856" s="9"/>
      <c r="E856" s="223"/>
      <c r="F856" s="9"/>
      <c r="G856" s="9"/>
      <c r="H856" s="9"/>
      <c r="I856" s="9"/>
      <c r="J856" s="9"/>
      <c r="K856" s="9"/>
      <c r="L856" s="9"/>
      <c r="M856" s="9"/>
      <c r="N856" s="9"/>
      <c r="O856" s="9"/>
      <c r="P856" s="9"/>
      <c r="Q856" s="9"/>
      <c r="R856" s="9"/>
      <c r="S856" s="9"/>
      <c r="T856" s="9"/>
      <c r="U856" s="9"/>
      <c r="V856" s="9"/>
      <c r="W856" s="9"/>
      <c r="X856" s="223"/>
      <c r="Y856" s="9"/>
      <c r="Z856" s="204"/>
      <c r="AA856" s="9"/>
      <c r="AB856" s="9"/>
      <c r="AC856" s="9"/>
      <c r="AD856" s="9"/>
    </row>
    <row r="857" ht="15.75" customHeight="1">
      <c r="A857" s="9"/>
      <c r="B857" s="9"/>
      <c r="C857" s="9"/>
      <c r="D857" s="9"/>
      <c r="E857" s="223"/>
      <c r="F857" s="9"/>
      <c r="G857" s="9"/>
      <c r="H857" s="9"/>
      <c r="I857" s="9"/>
      <c r="J857" s="9"/>
      <c r="K857" s="9"/>
      <c r="L857" s="9"/>
      <c r="M857" s="9"/>
      <c r="N857" s="9"/>
      <c r="O857" s="9"/>
      <c r="P857" s="9"/>
      <c r="Q857" s="9"/>
      <c r="R857" s="9"/>
      <c r="S857" s="9"/>
      <c r="T857" s="9"/>
      <c r="U857" s="9"/>
      <c r="V857" s="9"/>
      <c r="W857" s="9"/>
      <c r="X857" s="223"/>
      <c r="Y857" s="9"/>
      <c r="Z857" s="204"/>
      <c r="AA857" s="9"/>
      <c r="AB857" s="9"/>
      <c r="AC857" s="9"/>
      <c r="AD857" s="9"/>
    </row>
    <row r="858" ht="15.75" customHeight="1">
      <c r="A858" s="9"/>
      <c r="B858" s="9"/>
      <c r="C858" s="9"/>
      <c r="D858" s="9"/>
      <c r="E858" s="223"/>
      <c r="F858" s="9"/>
      <c r="G858" s="9"/>
      <c r="H858" s="9"/>
      <c r="I858" s="9"/>
      <c r="J858" s="9"/>
      <c r="K858" s="9"/>
      <c r="L858" s="9"/>
      <c r="M858" s="9"/>
      <c r="N858" s="9"/>
      <c r="O858" s="9"/>
      <c r="P858" s="9"/>
      <c r="Q858" s="9"/>
      <c r="R858" s="9"/>
      <c r="S858" s="9"/>
      <c r="T858" s="9"/>
      <c r="U858" s="9"/>
      <c r="V858" s="9"/>
      <c r="W858" s="9"/>
      <c r="X858" s="223"/>
      <c r="Y858" s="9"/>
      <c r="Z858" s="204"/>
      <c r="AA858" s="9"/>
      <c r="AB858" s="9"/>
      <c r="AC858" s="9"/>
      <c r="AD858" s="9"/>
    </row>
    <row r="859" ht="15.75" customHeight="1">
      <c r="A859" s="9"/>
      <c r="B859" s="9"/>
      <c r="C859" s="9"/>
      <c r="D859" s="9"/>
      <c r="E859" s="223"/>
      <c r="F859" s="9"/>
      <c r="G859" s="9"/>
      <c r="H859" s="9"/>
      <c r="I859" s="9"/>
      <c r="J859" s="9"/>
      <c r="K859" s="9"/>
      <c r="L859" s="9"/>
      <c r="M859" s="9"/>
      <c r="N859" s="9"/>
      <c r="O859" s="9"/>
      <c r="P859" s="9"/>
      <c r="Q859" s="9"/>
      <c r="R859" s="9"/>
      <c r="S859" s="9"/>
      <c r="T859" s="9"/>
      <c r="U859" s="9"/>
      <c r="V859" s="9"/>
      <c r="W859" s="9"/>
      <c r="X859" s="223"/>
      <c r="Y859" s="9"/>
      <c r="Z859" s="204"/>
      <c r="AA859" s="9"/>
      <c r="AB859" s="9"/>
      <c r="AC859" s="9"/>
      <c r="AD859" s="9"/>
    </row>
    <row r="860" ht="15.75" customHeight="1">
      <c r="A860" s="9"/>
      <c r="B860" s="9"/>
      <c r="C860" s="9"/>
      <c r="D860" s="9"/>
      <c r="E860" s="223"/>
      <c r="F860" s="9"/>
      <c r="G860" s="9"/>
      <c r="H860" s="9"/>
      <c r="I860" s="9"/>
      <c r="J860" s="9"/>
      <c r="K860" s="9"/>
      <c r="L860" s="9"/>
      <c r="M860" s="9"/>
      <c r="N860" s="9"/>
      <c r="O860" s="9"/>
      <c r="P860" s="9"/>
      <c r="Q860" s="9"/>
      <c r="R860" s="9"/>
      <c r="S860" s="9"/>
      <c r="T860" s="9"/>
      <c r="U860" s="9"/>
      <c r="V860" s="9"/>
      <c r="W860" s="9"/>
      <c r="X860" s="223"/>
      <c r="Y860" s="9"/>
      <c r="Z860" s="204"/>
      <c r="AA860" s="9"/>
      <c r="AB860" s="9"/>
      <c r="AC860" s="9"/>
      <c r="AD860" s="9"/>
    </row>
    <row r="861" ht="15.75" customHeight="1">
      <c r="A861" s="9"/>
      <c r="B861" s="9"/>
      <c r="C861" s="9"/>
      <c r="D861" s="9"/>
      <c r="E861" s="223"/>
      <c r="F861" s="9"/>
      <c r="G861" s="9"/>
      <c r="H861" s="9"/>
      <c r="I861" s="9"/>
      <c r="J861" s="9"/>
      <c r="K861" s="9"/>
      <c r="L861" s="9"/>
      <c r="M861" s="9"/>
      <c r="N861" s="9"/>
      <c r="O861" s="9"/>
      <c r="P861" s="9"/>
      <c r="Q861" s="9"/>
      <c r="R861" s="9"/>
      <c r="S861" s="9"/>
      <c r="T861" s="9"/>
      <c r="U861" s="9"/>
      <c r="V861" s="9"/>
      <c r="W861" s="9"/>
      <c r="X861" s="223"/>
      <c r="Y861" s="9"/>
      <c r="Z861" s="204"/>
      <c r="AA861" s="9"/>
      <c r="AB861" s="9"/>
      <c r="AC861" s="9"/>
      <c r="AD861" s="9"/>
    </row>
    <row r="862" ht="15.75" customHeight="1">
      <c r="A862" s="9"/>
      <c r="B862" s="9"/>
      <c r="C862" s="9"/>
      <c r="D862" s="9"/>
      <c r="E862" s="223"/>
      <c r="F862" s="9"/>
      <c r="G862" s="9"/>
      <c r="H862" s="9"/>
      <c r="I862" s="9"/>
      <c r="J862" s="9"/>
      <c r="K862" s="9"/>
      <c r="L862" s="9"/>
      <c r="M862" s="9"/>
      <c r="N862" s="9"/>
      <c r="O862" s="9"/>
      <c r="P862" s="9"/>
      <c r="Q862" s="9"/>
      <c r="R862" s="9"/>
      <c r="S862" s="9"/>
      <c r="T862" s="9"/>
      <c r="U862" s="9"/>
      <c r="V862" s="9"/>
      <c r="W862" s="9"/>
      <c r="X862" s="223"/>
      <c r="Y862" s="9"/>
      <c r="Z862" s="204"/>
      <c r="AA862" s="9"/>
      <c r="AB862" s="9"/>
      <c r="AC862" s="9"/>
      <c r="AD862" s="9"/>
    </row>
    <row r="863" ht="15.75" customHeight="1">
      <c r="A863" s="9"/>
      <c r="B863" s="9"/>
      <c r="C863" s="9"/>
      <c r="D863" s="9"/>
      <c r="E863" s="223"/>
      <c r="F863" s="9"/>
      <c r="G863" s="9"/>
      <c r="H863" s="9"/>
      <c r="I863" s="9"/>
      <c r="J863" s="9"/>
      <c r="K863" s="9"/>
      <c r="L863" s="9"/>
      <c r="M863" s="9"/>
      <c r="N863" s="9"/>
      <c r="O863" s="9"/>
      <c r="P863" s="9"/>
      <c r="Q863" s="9"/>
      <c r="R863" s="9"/>
      <c r="S863" s="9"/>
      <c r="T863" s="9"/>
      <c r="U863" s="9"/>
      <c r="V863" s="9"/>
      <c r="W863" s="9"/>
      <c r="X863" s="223"/>
      <c r="Y863" s="9"/>
      <c r="Z863" s="204"/>
      <c r="AA863" s="9"/>
      <c r="AB863" s="9"/>
      <c r="AC863" s="9"/>
      <c r="AD863" s="9"/>
    </row>
    <row r="864" ht="15.75" customHeight="1">
      <c r="A864" s="9"/>
      <c r="B864" s="9"/>
      <c r="C864" s="9"/>
      <c r="D864" s="9"/>
      <c r="E864" s="223"/>
      <c r="F864" s="9"/>
      <c r="G864" s="9"/>
      <c r="H864" s="9"/>
      <c r="I864" s="9"/>
      <c r="J864" s="9"/>
      <c r="K864" s="9"/>
      <c r="L864" s="9"/>
      <c r="M864" s="9"/>
      <c r="N864" s="9"/>
      <c r="O864" s="9"/>
      <c r="P864" s="9"/>
      <c r="Q864" s="9"/>
      <c r="R864" s="9"/>
      <c r="S864" s="9"/>
      <c r="T864" s="9"/>
      <c r="U864" s="9"/>
      <c r="V864" s="9"/>
      <c r="W864" s="9"/>
      <c r="X864" s="223"/>
      <c r="Y864" s="9"/>
      <c r="Z864" s="204"/>
      <c r="AA864" s="9"/>
      <c r="AB864" s="9"/>
      <c r="AC864" s="9"/>
      <c r="AD864" s="9"/>
    </row>
    <row r="865" ht="15.75" customHeight="1">
      <c r="A865" s="9"/>
      <c r="B865" s="9"/>
      <c r="C865" s="9"/>
      <c r="D865" s="9"/>
      <c r="E865" s="223"/>
      <c r="F865" s="9"/>
      <c r="G865" s="9"/>
      <c r="H865" s="9"/>
      <c r="I865" s="9"/>
      <c r="J865" s="9"/>
      <c r="K865" s="9"/>
      <c r="L865" s="9"/>
      <c r="M865" s="9"/>
      <c r="N865" s="9"/>
      <c r="O865" s="9"/>
      <c r="P865" s="9"/>
      <c r="Q865" s="9"/>
      <c r="R865" s="9"/>
      <c r="S865" s="9"/>
      <c r="T865" s="9"/>
      <c r="U865" s="9"/>
      <c r="V865" s="9"/>
      <c r="W865" s="9"/>
      <c r="X865" s="223"/>
      <c r="Y865" s="9"/>
      <c r="Z865" s="204"/>
      <c r="AA865" s="9"/>
      <c r="AB865" s="9"/>
      <c r="AC865" s="9"/>
      <c r="AD865" s="9"/>
    </row>
    <row r="866" ht="15.75" customHeight="1">
      <c r="A866" s="9"/>
      <c r="B866" s="9"/>
      <c r="C866" s="9"/>
      <c r="D866" s="9"/>
      <c r="E866" s="223"/>
      <c r="F866" s="9"/>
      <c r="G866" s="9"/>
      <c r="H866" s="9"/>
      <c r="I866" s="9"/>
      <c r="J866" s="9"/>
      <c r="K866" s="9"/>
      <c r="L866" s="9"/>
      <c r="M866" s="9"/>
      <c r="N866" s="9"/>
      <c r="O866" s="9"/>
      <c r="P866" s="9"/>
      <c r="Q866" s="9"/>
      <c r="R866" s="9"/>
      <c r="S866" s="9"/>
      <c r="T866" s="9"/>
      <c r="U866" s="9"/>
      <c r="V866" s="9"/>
      <c r="W866" s="9"/>
      <c r="X866" s="223"/>
      <c r="Y866" s="9"/>
      <c r="Z866" s="204"/>
      <c r="AA866" s="9"/>
      <c r="AB866" s="9"/>
      <c r="AC866" s="9"/>
      <c r="AD866" s="9"/>
    </row>
    <row r="867" ht="15.75" customHeight="1">
      <c r="A867" s="9"/>
      <c r="B867" s="9"/>
      <c r="C867" s="9"/>
      <c r="D867" s="9"/>
      <c r="E867" s="223"/>
      <c r="F867" s="9"/>
      <c r="G867" s="9"/>
      <c r="H867" s="9"/>
      <c r="I867" s="9"/>
      <c r="J867" s="9"/>
      <c r="K867" s="9"/>
      <c r="L867" s="9"/>
      <c r="M867" s="9"/>
      <c r="N867" s="9"/>
      <c r="O867" s="9"/>
      <c r="P867" s="9"/>
      <c r="Q867" s="9"/>
      <c r="R867" s="9"/>
      <c r="S867" s="9"/>
      <c r="T867" s="9"/>
      <c r="U867" s="9"/>
      <c r="V867" s="9"/>
      <c r="W867" s="9"/>
      <c r="X867" s="223"/>
      <c r="Y867" s="9"/>
      <c r="Z867" s="204"/>
      <c r="AA867" s="9"/>
      <c r="AB867" s="9"/>
      <c r="AC867" s="9"/>
      <c r="AD867" s="9"/>
    </row>
    <row r="868" ht="15.75" customHeight="1">
      <c r="A868" s="9"/>
      <c r="B868" s="9"/>
      <c r="C868" s="9"/>
      <c r="D868" s="9"/>
      <c r="E868" s="223"/>
      <c r="F868" s="9"/>
      <c r="G868" s="9"/>
      <c r="H868" s="9"/>
      <c r="I868" s="9"/>
      <c r="J868" s="9"/>
      <c r="K868" s="9"/>
      <c r="L868" s="9"/>
      <c r="M868" s="9"/>
      <c r="N868" s="9"/>
      <c r="O868" s="9"/>
      <c r="P868" s="9"/>
      <c r="Q868" s="9"/>
      <c r="R868" s="9"/>
      <c r="S868" s="9"/>
      <c r="T868" s="9"/>
      <c r="U868" s="9"/>
      <c r="V868" s="9"/>
      <c r="W868" s="9"/>
      <c r="X868" s="223"/>
      <c r="Y868" s="9"/>
      <c r="Z868" s="204"/>
      <c r="AA868" s="9"/>
      <c r="AB868" s="9"/>
      <c r="AC868" s="9"/>
      <c r="AD868" s="9"/>
    </row>
    <row r="869" ht="15.75" customHeight="1">
      <c r="A869" s="9"/>
      <c r="B869" s="9"/>
      <c r="C869" s="9"/>
      <c r="D869" s="9"/>
      <c r="E869" s="223"/>
      <c r="F869" s="9"/>
      <c r="G869" s="9"/>
      <c r="H869" s="9"/>
      <c r="I869" s="9"/>
      <c r="J869" s="9"/>
      <c r="K869" s="9"/>
      <c r="L869" s="9"/>
      <c r="M869" s="9"/>
      <c r="N869" s="9"/>
      <c r="O869" s="9"/>
      <c r="P869" s="9"/>
      <c r="Q869" s="9"/>
      <c r="R869" s="9"/>
      <c r="S869" s="9"/>
      <c r="T869" s="9"/>
      <c r="U869" s="9"/>
      <c r="V869" s="9"/>
      <c r="W869" s="9"/>
      <c r="X869" s="223"/>
      <c r="Y869" s="9"/>
      <c r="Z869" s="204"/>
      <c r="AA869" s="9"/>
      <c r="AB869" s="9"/>
      <c r="AC869" s="9"/>
      <c r="AD869" s="9"/>
    </row>
    <row r="870" ht="15.75" customHeight="1">
      <c r="A870" s="9"/>
      <c r="B870" s="9"/>
      <c r="C870" s="9"/>
      <c r="D870" s="9"/>
      <c r="E870" s="223"/>
      <c r="F870" s="9"/>
      <c r="G870" s="9"/>
      <c r="H870" s="9"/>
      <c r="I870" s="9"/>
      <c r="J870" s="9"/>
      <c r="K870" s="9"/>
      <c r="L870" s="9"/>
      <c r="M870" s="9"/>
      <c r="N870" s="9"/>
      <c r="O870" s="9"/>
      <c r="P870" s="9"/>
      <c r="Q870" s="9"/>
      <c r="R870" s="9"/>
      <c r="S870" s="9"/>
      <c r="T870" s="9"/>
      <c r="U870" s="9"/>
      <c r="V870" s="9"/>
      <c r="W870" s="9"/>
      <c r="X870" s="223"/>
      <c r="Y870" s="9"/>
      <c r="Z870" s="204"/>
      <c r="AA870" s="9"/>
      <c r="AB870" s="9"/>
      <c r="AC870" s="9"/>
      <c r="AD870" s="9"/>
    </row>
    <row r="871" ht="15.75" customHeight="1">
      <c r="A871" s="9"/>
      <c r="B871" s="9"/>
      <c r="C871" s="9"/>
      <c r="D871" s="9"/>
      <c r="E871" s="223"/>
      <c r="F871" s="9"/>
      <c r="G871" s="9"/>
      <c r="H871" s="9"/>
      <c r="I871" s="9"/>
      <c r="J871" s="9"/>
      <c r="K871" s="9"/>
      <c r="L871" s="9"/>
      <c r="M871" s="9"/>
      <c r="N871" s="9"/>
      <c r="O871" s="9"/>
      <c r="P871" s="9"/>
      <c r="Q871" s="9"/>
      <c r="R871" s="9"/>
      <c r="S871" s="9"/>
      <c r="T871" s="9"/>
      <c r="U871" s="9"/>
      <c r="V871" s="9"/>
      <c r="W871" s="9"/>
      <c r="X871" s="223"/>
      <c r="Y871" s="9"/>
      <c r="Z871" s="204"/>
      <c r="AA871" s="9"/>
      <c r="AB871" s="9"/>
      <c r="AC871" s="9"/>
      <c r="AD871" s="9"/>
    </row>
    <row r="872" ht="15.75" customHeight="1">
      <c r="A872" s="9"/>
      <c r="B872" s="9"/>
      <c r="C872" s="9"/>
      <c r="D872" s="9"/>
      <c r="E872" s="223"/>
      <c r="F872" s="9"/>
      <c r="G872" s="9"/>
      <c r="H872" s="9"/>
      <c r="I872" s="9"/>
      <c r="J872" s="9"/>
      <c r="K872" s="9"/>
      <c r="L872" s="9"/>
      <c r="M872" s="9"/>
      <c r="N872" s="9"/>
      <c r="O872" s="9"/>
      <c r="P872" s="9"/>
      <c r="Q872" s="9"/>
      <c r="R872" s="9"/>
      <c r="S872" s="9"/>
      <c r="T872" s="9"/>
      <c r="U872" s="9"/>
      <c r="V872" s="9"/>
      <c r="W872" s="9"/>
      <c r="X872" s="223"/>
      <c r="Y872" s="9"/>
      <c r="Z872" s="204"/>
      <c r="AA872" s="9"/>
      <c r="AB872" s="9"/>
      <c r="AC872" s="9"/>
      <c r="AD872" s="9"/>
    </row>
    <row r="873" ht="15.75" customHeight="1">
      <c r="A873" s="9"/>
      <c r="B873" s="9"/>
      <c r="C873" s="9"/>
      <c r="D873" s="9"/>
      <c r="E873" s="223"/>
      <c r="F873" s="9"/>
      <c r="G873" s="9"/>
      <c r="H873" s="9"/>
      <c r="I873" s="9"/>
      <c r="J873" s="9"/>
      <c r="K873" s="9"/>
      <c r="L873" s="9"/>
      <c r="M873" s="9"/>
      <c r="N873" s="9"/>
      <c r="O873" s="9"/>
      <c r="P873" s="9"/>
      <c r="Q873" s="9"/>
      <c r="R873" s="9"/>
      <c r="S873" s="9"/>
      <c r="T873" s="9"/>
      <c r="U873" s="9"/>
      <c r="V873" s="9"/>
      <c r="W873" s="9"/>
      <c r="X873" s="223"/>
      <c r="Y873" s="9"/>
      <c r="Z873" s="204"/>
      <c r="AA873" s="9"/>
      <c r="AB873" s="9"/>
      <c r="AC873" s="9"/>
      <c r="AD873" s="9"/>
    </row>
    <row r="874" ht="15.75" customHeight="1">
      <c r="A874" s="9"/>
      <c r="B874" s="9"/>
      <c r="C874" s="9"/>
      <c r="D874" s="9"/>
      <c r="E874" s="223"/>
      <c r="F874" s="9"/>
      <c r="G874" s="9"/>
      <c r="H874" s="9"/>
      <c r="I874" s="9"/>
      <c r="J874" s="9"/>
      <c r="K874" s="9"/>
      <c r="L874" s="9"/>
      <c r="M874" s="9"/>
      <c r="N874" s="9"/>
      <c r="O874" s="9"/>
      <c r="P874" s="9"/>
      <c r="Q874" s="9"/>
      <c r="R874" s="9"/>
      <c r="S874" s="9"/>
      <c r="T874" s="9"/>
      <c r="U874" s="9"/>
      <c r="V874" s="9"/>
      <c r="W874" s="9"/>
      <c r="X874" s="223"/>
      <c r="Y874" s="9"/>
      <c r="Z874" s="204"/>
      <c r="AA874" s="9"/>
      <c r="AB874" s="9"/>
      <c r="AC874" s="9"/>
      <c r="AD874" s="9"/>
    </row>
    <row r="875" ht="15.75" customHeight="1">
      <c r="A875" s="9"/>
      <c r="B875" s="9"/>
      <c r="C875" s="9"/>
      <c r="D875" s="9"/>
      <c r="E875" s="223"/>
      <c r="F875" s="9"/>
      <c r="G875" s="9"/>
      <c r="H875" s="9"/>
      <c r="I875" s="9"/>
      <c r="J875" s="9"/>
      <c r="K875" s="9"/>
      <c r="L875" s="9"/>
      <c r="M875" s="9"/>
      <c r="N875" s="9"/>
      <c r="O875" s="9"/>
      <c r="P875" s="9"/>
      <c r="Q875" s="9"/>
      <c r="R875" s="9"/>
      <c r="S875" s="9"/>
      <c r="T875" s="9"/>
      <c r="U875" s="9"/>
      <c r="V875" s="9"/>
      <c r="W875" s="9"/>
      <c r="X875" s="223"/>
      <c r="Y875" s="9"/>
      <c r="Z875" s="204"/>
      <c r="AA875" s="9"/>
      <c r="AB875" s="9"/>
      <c r="AC875" s="9"/>
      <c r="AD875" s="9"/>
    </row>
    <row r="876" ht="15.75" customHeight="1">
      <c r="A876" s="9"/>
      <c r="B876" s="9"/>
      <c r="C876" s="9"/>
      <c r="D876" s="9"/>
      <c r="E876" s="223"/>
      <c r="F876" s="9"/>
      <c r="G876" s="9"/>
      <c r="H876" s="9"/>
      <c r="I876" s="9"/>
      <c r="J876" s="9"/>
      <c r="K876" s="9"/>
      <c r="L876" s="9"/>
      <c r="M876" s="9"/>
      <c r="N876" s="9"/>
      <c r="O876" s="9"/>
      <c r="P876" s="9"/>
      <c r="Q876" s="9"/>
      <c r="R876" s="9"/>
      <c r="S876" s="9"/>
      <c r="T876" s="9"/>
      <c r="U876" s="9"/>
      <c r="V876" s="9"/>
      <c r="W876" s="9"/>
      <c r="X876" s="223"/>
      <c r="Y876" s="9"/>
      <c r="Z876" s="204"/>
      <c r="AA876" s="9"/>
      <c r="AB876" s="9"/>
      <c r="AC876" s="9"/>
      <c r="AD876" s="9"/>
    </row>
    <row r="877" ht="15.75" customHeight="1">
      <c r="A877" s="9"/>
      <c r="B877" s="9"/>
      <c r="C877" s="9"/>
      <c r="D877" s="9"/>
      <c r="E877" s="223"/>
      <c r="F877" s="9"/>
      <c r="G877" s="9"/>
      <c r="H877" s="9"/>
      <c r="I877" s="9"/>
      <c r="J877" s="9"/>
      <c r="K877" s="9"/>
      <c r="L877" s="9"/>
      <c r="M877" s="9"/>
      <c r="N877" s="9"/>
      <c r="O877" s="9"/>
      <c r="P877" s="9"/>
      <c r="Q877" s="9"/>
      <c r="R877" s="9"/>
      <c r="S877" s="9"/>
      <c r="T877" s="9"/>
      <c r="U877" s="9"/>
      <c r="V877" s="9"/>
      <c r="W877" s="9"/>
      <c r="X877" s="223"/>
      <c r="Y877" s="9"/>
      <c r="Z877" s="204"/>
      <c r="AA877" s="9"/>
      <c r="AB877" s="9"/>
      <c r="AC877" s="9"/>
      <c r="AD877" s="9"/>
    </row>
    <row r="878" ht="15.75" customHeight="1">
      <c r="A878" s="9"/>
      <c r="B878" s="9"/>
      <c r="C878" s="9"/>
      <c r="D878" s="9"/>
      <c r="E878" s="223"/>
      <c r="F878" s="9"/>
      <c r="G878" s="9"/>
      <c r="H878" s="9"/>
      <c r="I878" s="9"/>
      <c r="J878" s="9"/>
      <c r="K878" s="9"/>
      <c r="L878" s="9"/>
      <c r="M878" s="9"/>
      <c r="N878" s="9"/>
      <c r="O878" s="9"/>
      <c r="P878" s="9"/>
      <c r="Q878" s="9"/>
      <c r="R878" s="9"/>
      <c r="S878" s="9"/>
      <c r="T878" s="9"/>
      <c r="U878" s="9"/>
      <c r="V878" s="9"/>
      <c r="W878" s="9"/>
      <c r="X878" s="223"/>
      <c r="Y878" s="9"/>
      <c r="Z878" s="204"/>
      <c r="AA878" s="9"/>
      <c r="AB878" s="9"/>
      <c r="AC878" s="9"/>
      <c r="AD878" s="9"/>
    </row>
    <row r="879" ht="15.75" customHeight="1">
      <c r="A879" s="9"/>
      <c r="B879" s="9"/>
      <c r="C879" s="9"/>
      <c r="D879" s="9"/>
      <c r="E879" s="223"/>
      <c r="F879" s="9"/>
      <c r="G879" s="9"/>
      <c r="H879" s="9"/>
      <c r="I879" s="9"/>
      <c r="J879" s="9"/>
      <c r="K879" s="9"/>
      <c r="L879" s="9"/>
      <c r="M879" s="9"/>
      <c r="N879" s="9"/>
      <c r="O879" s="9"/>
      <c r="P879" s="9"/>
      <c r="Q879" s="9"/>
      <c r="R879" s="9"/>
      <c r="S879" s="9"/>
      <c r="T879" s="9"/>
      <c r="U879" s="9"/>
      <c r="V879" s="9"/>
      <c r="W879" s="9"/>
      <c r="X879" s="223"/>
      <c r="Y879" s="9"/>
      <c r="Z879" s="204"/>
      <c r="AA879" s="9"/>
      <c r="AB879" s="9"/>
      <c r="AC879" s="9"/>
      <c r="AD879" s="9"/>
    </row>
    <row r="880" ht="15.75" customHeight="1">
      <c r="A880" s="9"/>
      <c r="B880" s="9"/>
      <c r="C880" s="9"/>
      <c r="D880" s="9"/>
      <c r="E880" s="223"/>
      <c r="F880" s="9"/>
      <c r="G880" s="9"/>
      <c r="H880" s="9"/>
      <c r="I880" s="9"/>
      <c r="J880" s="9"/>
      <c r="K880" s="9"/>
      <c r="L880" s="9"/>
      <c r="M880" s="9"/>
      <c r="N880" s="9"/>
      <c r="O880" s="9"/>
      <c r="P880" s="9"/>
      <c r="Q880" s="9"/>
      <c r="R880" s="9"/>
      <c r="S880" s="9"/>
      <c r="T880" s="9"/>
      <c r="U880" s="9"/>
      <c r="V880" s="9"/>
      <c r="W880" s="9"/>
      <c r="X880" s="223"/>
      <c r="Y880" s="9"/>
      <c r="Z880" s="204"/>
      <c r="AA880" s="9"/>
      <c r="AB880" s="9"/>
      <c r="AC880" s="9"/>
      <c r="AD880" s="9"/>
    </row>
    <row r="881" ht="15.75" customHeight="1">
      <c r="A881" s="9"/>
      <c r="B881" s="9"/>
      <c r="C881" s="9"/>
      <c r="D881" s="9"/>
      <c r="E881" s="223"/>
      <c r="F881" s="9"/>
      <c r="G881" s="9"/>
      <c r="H881" s="9"/>
      <c r="I881" s="9"/>
      <c r="J881" s="9"/>
      <c r="K881" s="9"/>
      <c r="L881" s="9"/>
      <c r="M881" s="9"/>
      <c r="N881" s="9"/>
      <c r="O881" s="9"/>
      <c r="P881" s="9"/>
      <c r="Q881" s="9"/>
      <c r="R881" s="9"/>
      <c r="S881" s="9"/>
      <c r="T881" s="9"/>
      <c r="U881" s="9"/>
      <c r="V881" s="9"/>
      <c r="W881" s="9"/>
      <c r="X881" s="223"/>
      <c r="Y881" s="9"/>
      <c r="Z881" s="204"/>
      <c r="AA881" s="9"/>
      <c r="AB881" s="9"/>
      <c r="AC881" s="9"/>
      <c r="AD881" s="9"/>
    </row>
    <row r="882" ht="15.75" customHeight="1">
      <c r="A882" s="9"/>
      <c r="B882" s="9"/>
      <c r="C882" s="9"/>
      <c r="D882" s="9"/>
      <c r="E882" s="223"/>
      <c r="F882" s="9"/>
      <c r="G882" s="9"/>
      <c r="H882" s="9"/>
      <c r="I882" s="9"/>
      <c r="J882" s="9"/>
      <c r="K882" s="9"/>
      <c r="L882" s="9"/>
      <c r="M882" s="9"/>
      <c r="N882" s="9"/>
      <c r="O882" s="9"/>
      <c r="P882" s="9"/>
      <c r="Q882" s="9"/>
      <c r="R882" s="9"/>
      <c r="S882" s="9"/>
      <c r="T882" s="9"/>
      <c r="U882" s="9"/>
      <c r="V882" s="9"/>
      <c r="W882" s="9"/>
      <c r="X882" s="223"/>
      <c r="Y882" s="9"/>
      <c r="Z882" s="204"/>
      <c r="AA882" s="9"/>
      <c r="AB882" s="9"/>
      <c r="AC882" s="9"/>
      <c r="AD882" s="9"/>
    </row>
    <row r="883" ht="15.75" customHeight="1">
      <c r="A883" s="9"/>
      <c r="B883" s="9"/>
      <c r="C883" s="9"/>
      <c r="D883" s="9"/>
      <c r="E883" s="223"/>
      <c r="F883" s="9"/>
      <c r="G883" s="9"/>
      <c r="H883" s="9"/>
      <c r="I883" s="9"/>
      <c r="J883" s="9"/>
      <c r="K883" s="9"/>
      <c r="L883" s="9"/>
      <c r="M883" s="9"/>
      <c r="N883" s="9"/>
      <c r="O883" s="9"/>
      <c r="P883" s="9"/>
      <c r="Q883" s="9"/>
      <c r="R883" s="9"/>
      <c r="S883" s="9"/>
      <c r="T883" s="9"/>
      <c r="U883" s="9"/>
      <c r="V883" s="9"/>
      <c r="W883" s="9"/>
      <c r="X883" s="223"/>
      <c r="Y883" s="9"/>
      <c r="Z883" s="204"/>
      <c r="AA883" s="9"/>
      <c r="AB883" s="9"/>
      <c r="AC883" s="9"/>
      <c r="AD883" s="9"/>
    </row>
    <row r="884" ht="15.75" customHeight="1">
      <c r="A884" s="9"/>
      <c r="B884" s="9"/>
      <c r="C884" s="9"/>
      <c r="D884" s="9"/>
      <c r="E884" s="223"/>
      <c r="F884" s="9"/>
      <c r="G884" s="9"/>
      <c r="H884" s="9"/>
      <c r="I884" s="9"/>
      <c r="J884" s="9"/>
      <c r="K884" s="9"/>
      <c r="L884" s="9"/>
      <c r="M884" s="9"/>
      <c r="N884" s="9"/>
      <c r="O884" s="9"/>
      <c r="P884" s="9"/>
      <c r="Q884" s="9"/>
      <c r="R884" s="9"/>
      <c r="S884" s="9"/>
      <c r="T884" s="9"/>
      <c r="U884" s="9"/>
      <c r="V884" s="9"/>
      <c r="W884" s="9"/>
      <c r="X884" s="223"/>
      <c r="Y884" s="9"/>
      <c r="Z884" s="204"/>
      <c r="AA884" s="9"/>
      <c r="AB884" s="9"/>
      <c r="AC884" s="9"/>
      <c r="AD884" s="9"/>
    </row>
    <row r="885" ht="15.75" customHeight="1">
      <c r="A885" s="9"/>
      <c r="B885" s="9"/>
      <c r="C885" s="9"/>
      <c r="D885" s="9"/>
      <c r="E885" s="223"/>
      <c r="F885" s="9"/>
      <c r="G885" s="9"/>
      <c r="H885" s="9"/>
      <c r="I885" s="9"/>
      <c r="J885" s="9"/>
      <c r="K885" s="9"/>
      <c r="L885" s="9"/>
      <c r="M885" s="9"/>
      <c r="N885" s="9"/>
      <c r="O885" s="9"/>
      <c r="P885" s="9"/>
      <c r="Q885" s="9"/>
      <c r="R885" s="9"/>
      <c r="S885" s="9"/>
      <c r="T885" s="9"/>
      <c r="U885" s="9"/>
      <c r="V885" s="9"/>
      <c r="W885" s="9"/>
      <c r="X885" s="223"/>
      <c r="Y885" s="9"/>
      <c r="Z885" s="204"/>
      <c r="AA885" s="9"/>
      <c r="AB885" s="9"/>
      <c r="AC885" s="9"/>
      <c r="AD885" s="9"/>
    </row>
    <row r="886" ht="15.75" customHeight="1">
      <c r="A886" s="9"/>
      <c r="B886" s="9"/>
      <c r="C886" s="9"/>
      <c r="D886" s="9"/>
      <c r="E886" s="223"/>
      <c r="F886" s="9"/>
      <c r="G886" s="9"/>
      <c r="H886" s="9"/>
      <c r="I886" s="9"/>
      <c r="J886" s="9"/>
      <c r="K886" s="9"/>
      <c r="L886" s="9"/>
      <c r="M886" s="9"/>
      <c r="N886" s="9"/>
      <c r="O886" s="9"/>
      <c r="P886" s="9"/>
      <c r="Q886" s="9"/>
      <c r="R886" s="9"/>
      <c r="S886" s="9"/>
      <c r="T886" s="9"/>
      <c r="U886" s="9"/>
      <c r="V886" s="9"/>
      <c r="W886" s="9"/>
      <c r="X886" s="223"/>
      <c r="Y886" s="9"/>
      <c r="Z886" s="204"/>
      <c r="AA886" s="9"/>
      <c r="AB886" s="9"/>
      <c r="AC886" s="9"/>
      <c r="AD886" s="9"/>
    </row>
    <row r="887" ht="15.75" customHeight="1">
      <c r="A887" s="9"/>
      <c r="B887" s="9"/>
      <c r="C887" s="9"/>
      <c r="D887" s="9"/>
      <c r="E887" s="223"/>
      <c r="F887" s="9"/>
      <c r="G887" s="9"/>
      <c r="H887" s="9"/>
      <c r="I887" s="9"/>
      <c r="J887" s="9"/>
      <c r="K887" s="9"/>
      <c r="L887" s="9"/>
      <c r="M887" s="9"/>
      <c r="N887" s="9"/>
      <c r="O887" s="9"/>
      <c r="P887" s="9"/>
      <c r="Q887" s="9"/>
      <c r="R887" s="9"/>
      <c r="S887" s="9"/>
      <c r="T887" s="9"/>
      <c r="U887" s="9"/>
      <c r="V887" s="9"/>
      <c r="W887" s="9"/>
      <c r="X887" s="223"/>
      <c r="Y887" s="9"/>
      <c r="Z887" s="204"/>
      <c r="AA887" s="9"/>
      <c r="AB887" s="9"/>
      <c r="AC887" s="9"/>
      <c r="AD887" s="9"/>
    </row>
    <row r="888" ht="15.75" customHeight="1">
      <c r="A888" s="9"/>
      <c r="B888" s="9"/>
      <c r="C888" s="9"/>
      <c r="D888" s="9"/>
      <c r="E888" s="223"/>
      <c r="F888" s="9"/>
      <c r="G888" s="9"/>
      <c r="H888" s="9"/>
      <c r="I888" s="9"/>
      <c r="J888" s="9"/>
      <c r="K888" s="9"/>
      <c r="L888" s="9"/>
      <c r="M888" s="9"/>
      <c r="N888" s="9"/>
      <c r="O888" s="9"/>
      <c r="P888" s="9"/>
      <c r="Q888" s="9"/>
      <c r="R888" s="9"/>
      <c r="S888" s="9"/>
      <c r="T888" s="9"/>
      <c r="U888" s="9"/>
      <c r="V888" s="9"/>
      <c r="W888" s="9"/>
      <c r="X888" s="223"/>
      <c r="Y888" s="9"/>
      <c r="Z888" s="204"/>
      <c r="AA888" s="9"/>
      <c r="AB888" s="9"/>
      <c r="AC888" s="9"/>
      <c r="AD888" s="9"/>
    </row>
    <row r="889" ht="15.75" customHeight="1">
      <c r="A889" s="9"/>
      <c r="B889" s="9"/>
      <c r="C889" s="9"/>
      <c r="D889" s="9"/>
      <c r="E889" s="223"/>
      <c r="F889" s="9"/>
      <c r="G889" s="9"/>
      <c r="H889" s="9"/>
      <c r="I889" s="9"/>
      <c r="J889" s="9"/>
      <c r="K889" s="9"/>
      <c r="L889" s="9"/>
      <c r="M889" s="9"/>
      <c r="N889" s="9"/>
      <c r="O889" s="9"/>
      <c r="P889" s="9"/>
      <c r="Q889" s="9"/>
      <c r="R889" s="9"/>
      <c r="S889" s="9"/>
      <c r="T889" s="9"/>
      <c r="U889" s="9"/>
      <c r="V889" s="9"/>
      <c r="W889" s="9"/>
      <c r="X889" s="223"/>
      <c r="Y889" s="9"/>
      <c r="Z889" s="204"/>
      <c r="AA889" s="9"/>
      <c r="AB889" s="9"/>
      <c r="AC889" s="9"/>
      <c r="AD889" s="9"/>
    </row>
    <row r="890" ht="15.75" customHeight="1">
      <c r="A890" s="9"/>
      <c r="B890" s="9"/>
      <c r="C890" s="9"/>
      <c r="D890" s="9"/>
      <c r="E890" s="223"/>
      <c r="F890" s="9"/>
      <c r="G890" s="9"/>
      <c r="H890" s="9"/>
      <c r="I890" s="9"/>
      <c r="J890" s="9"/>
      <c r="K890" s="9"/>
      <c r="L890" s="9"/>
      <c r="M890" s="9"/>
      <c r="N890" s="9"/>
      <c r="O890" s="9"/>
      <c r="P890" s="9"/>
      <c r="Q890" s="9"/>
      <c r="R890" s="9"/>
      <c r="S890" s="9"/>
      <c r="T890" s="9"/>
      <c r="U890" s="9"/>
      <c r="V890" s="9"/>
      <c r="W890" s="9"/>
      <c r="X890" s="223"/>
      <c r="Y890" s="9"/>
      <c r="Z890" s="204"/>
      <c r="AA890" s="9"/>
      <c r="AB890" s="9"/>
      <c r="AC890" s="9"/>
      <c r="AD890" s="9"/>
    </row>
    <row r="891" ht="15.75" customHeight="1">
      <c r="A891" s="9"/>
      <c r="B891" s="9"/>
      <c r="C891" s="9"/>
      <c r="D891" s="9"/>
      <c r="E891" s="223"/>
      <c r="F891" s="9"/>
      <c r="G891" s="9"/>
      <c r="H891" s="9"/>
      <c r="I891" s="9"/>
      <c r="J891" s="9"/>
      <c r="K891" s="9"/>
      <c r="L891" s="9"/>
      <c r="M891" s="9"/>
      <c r="N891" s="9"/>
      <c r="O891" s="9"/>
      <c r="P891" s="9"/>
      <c r="Q891" s="9"/>
      <c r="R891" s="9"/>
      <c r="S891" s="9"/>
      <c r="T891" s="9"/>
      <c r="U891" s="9"/>
      <c r="V891" s="9"/>
      <c r="W891" s="9"/>
      <c r="X891" s="223"/>
      <c r="Y891" s="9"/>
      <c r="Z891" s="204"/>
      <c r="AA891" s="9"/>
      <c r="AB891" s="9"/>
      <c r="AC891" s="9"/>
      <c r="AD891" s="9"/>
    </row>
    <row r="892" ht="15.75" customHeight="1">
      <c r="A892" s="9"/>
      <c r="B892" s="9"/>
      <c r="C892" s="9"/>
      <c r="D892" s="9"/>
      <c r="E892" s="223"/>
      <c r="F892" s="9"/>
      <c r="G892" s="9"/>
      <c r="H892" s="9"/>
      <c r="I892" s="9"/>
      <c r="J892" s="9"/>
      <c r="K892" s="9"/>
      <c r="L892" s="9"/>
      <c r="M892" s="9"/>
      <c r="N892" s="9"/>
      <c r="O892" s="9"/>
      <c r="P892" s="9"/>
      <c r="Q892" s="9"/>
      <c r="R892" s="9"/>
      <c r="S892" s="9"/>
      <c r="T892" s="9"/>
      <c r="U892" s="9"/>
      <c r="V892" s="9"/>
      <c r="W892" s="9"/>
      <c r="X892" s="223"/>
      <c r="Y892" s="9"/>
      <c r="Z892" s="204"/>
      <c r="AA892" s="9"/>
      <c r="AB892" s="9"/>
      <c r="AC892" s="9"/>
      <c r="AD892" s="9"/>
    </row>
    <row r="893" ht="15.75" customHeight="1">
      <c r="A893" s="9"/>
      <c r="B893" s="9"/>
      <c r="C893" s="9"/>
      <c r="D893" s="9"/>
      <c r="E893" s="223"/>
      <c r="F893" s="9"/>
      <c r="G893" s="9"/>
      <c r="H893" s="9"/>
      <c r="I893" s="9"/>
      <c r="J893" s="9"/>
      <c r="K893" s="9"/>
      <c r="L893" s="9"/>
      <c r="M893" s="9"/>
      <c r="N893" s="9"/>
      <c r="O893" s="9"/>
      <c r="P893" s="9"/>
      <c r="Q893" s="9"/>
      <c r="R893" s="9"/>
      <c r="S893" s="9"/>
      <c r="T893" s="9"/>
      <c r="U893" s="9"/>
      <c r="V893" s="9"/>
      <c r="W893" s="9"/>
      <c r="X893" s="223"/>
      <c r="Y893" s="9"/>
      <c r="Z893" s="204"/>
      <c r="AA893" s="9"/>
      <c r="AB893" s="9"/>
      <c r="AC893" s="9"/>
      <c r="AD893" s="9"/>
    </row>
    <row r="894" ht="15.75" customHeight="1">
      <c r="A894" s="9"/>
      <c r="B894" s="9"/>
      <c r="C894" s="9"/>
      <c r="D894" s="9"/>
      <c r="E894" s="223"/>
      <c r="F894" s="9"/>
      <c r="G894" s="9"/>
      <c r="H894" s="9"/>
      <c r="I894" s="9"/>
      <c r="J894" s="9"/>
      <c r="K894" s="9"/>
      <c r="L894" s="9"/>
      <c r="M894" s="9"/>
      <c r="N894" s="9"/>
      <c r="O894" s="9"/>
      <c r="P894" s="9"/>
      <c r="Q894" s="9"/>
      <c r="R894" s="9"/>
      <c r="S894" s="9"/>
      <c r="T894" s="9"/>
      <c r="U894" s="9"/>
      <c r="V894" s="9"/>
      <c r="W894" s="9"/>
      <c r="X894" s="223"/>
      <c r="Y894" s="9"/>
      <c r="Z894" s="204"/>
      <c r="AA894" s="9"/>
      <c r="AB894" s="9"/>
      <c r="AC894" s="9"/>
      <c r="AD894" s="9"/>
    </row>
    <row r="895" ht="15.75" customHeight="1">
      <c r="A895" s="9"/>
      <c r="B895" s="9"/>
      <c r="C895" s="9"/>
      <c r="D895" s="9"/>
      <c r="E895" s="223"/>
      <c r="F895" s="9"/>
      <c r="G895" s="9"/>
      <c r="H895" s="9"/>
      <c r="I895" s="9"/>
      <c r="J895" s="9"/>
      <c r="K895" s="9"/>
      <c r="L895" s="9"/>
      <c r="M895" s="9"/>
      <c r="N895" s="9"/>
      <c r="O895" s="9"/>
      <c r="P895" s="9"/>
      <c r="Q895" s="9"/>
      <c r="R895" s="9"/>
      <c r="S895" s="9"/>
      <c r="T895" s="9"/>
      <c r="U895" s="9"/>
      <c r="V895" s="9"/>
      <c r="W895" s="9"/>
      <c r="X895" s="223"/>
      <c r="Y895" s="9"/>
      <c r="Z895" s="204"/>
      <c r="AA895" s="9"/>
      <c r="AB895" s="9"/>
      <c r="AC895" s="9"/>
      <c r="AD895" s="9"/>
    </row>
    <row r="896" ht="15.75" customHeight="1">
      <c r="A896" s="9"/>
      <c r="B896" s="9"/>
      <c r="C896" s="9"/>
      <c r="D896" s="9"/>
      <c r="E896" s="223"/>
      <c r="F896" s="9"/>
      <c r="G896" s="9"/>
      <c r="H896" s="9"/>
      <c r="I896" s="9"/>
      <c r="J896" s="9"/>
      <c r="K896" s="9"/>
      <c r="L896" s="9"/>
      <c r="M896" s="9"/>
      <c r="N896" s="9"/>
      <c r="O896" s="9"/>
      <c r="P896" s="9"/>
      <c r="Q896" s="9"/>
      <c r="R896" s="9"/>
      <c r="S896" s="9"/>
      <c r="T896" s="9"/>
      <c r="U896" s="9"/>
      <c r="V896" s="9"/>
      <c r="W896" s="9"/>
      <c r="X896" s="223"/>
      <c r="Y896" s="9"/>
      <c r="Z896" s="204"/>
      <c r="AA896" s="9"/>
      <c r="AB896" s="9"/>
      <c r="AC896" s="9"/>
      <c r="AD896" s="9"/>
    </row>
    <row r="897" ht="15.75" customHeight="1">
      <c r="A897" s="9"/>
      <c r="B897" s="9"/>
      <c r="C897" s="9"/>
      <c r="D897" s="9"/>
      <c r="E897" s="223"/>
      <c r="F897" s="9"/>
      <c r="G897" s="9"/>
      <c r="H897" s="9"/>
      <c r="I897" s="9"/>
      <c r="J897" s="9"/>
      <c r="K897" s="9"/>
      <c r="L897" s="9"/>
      <c r="M897" s="9"/>
      <c r="N897" s="9"/>
      <c r="O897" s="9"/>
      <c r="P897" s="9"/>
      <c r="Q897" s="9"/>
      <c r="R897" s="9"/>
      <c r="S897" s="9"/>
      <c r="T897" s="9"/>
      <c r="U897" s="9"/>
      <c r="V897" s="9"/>
      <c r="W897" s="9"/>
      <c r="X897" s="223"/>
      <c r="Y897" s="9"/>
      <c r="Z897" s="204"/>
      <c r="AA897" s="9"/>
      <c r="AB897" s="9"/>
      <c r="AC897" s="9"/>
      <c r="AD897" s="9"/>
    </row>
    <row r="898" ht="15.75" customHeight="1">
      <c r="A898" s="9"/>
      <c r="B898" s="9"/>
      <c r="C898" s="9"/>
      <c r="D898" s="9"/>
      <c r="E898" s="223"/>
      <c r="F898" s="9"/>
      <c r="G898" s="9"/>
      <c r="H898" s="9"/>
      <c r="I898" s="9"/>
      <c r="J898" s="9"/>
      <c r="K898" s="9"/>
      <c r="L898" s="9"/>
      <c r="M898" s="9"/>
      <c r="N898" s="9"/>
      <c r="O898" s="9"/>
      <c r="P898" s="9"/>
      <c r="Q898" s="9"/>
      <c r="R898" s="9"/>
      <c r="S898" s="9"/>
      <c r="T898" s="9"/>
      <c r="U898" s="9"/>
      <c r="V898" s="9"/>
      <c r="W898" s="9"/>
      <c r="X898" s="223"/>
      <c r="Y898" s="9"/>
      <c r="Z898" s="204"/>
      <c r="AA898" s="9"/>
      <c r="AB898" s="9"/>
      <c r="AC898" s="9"/>
      <c r="AD898" s="9"/>
    </row>
    <row r="899" ht="15.75" customHeight="1">
      <c r="A899" s="9"/>
      <c r="B899" s="9"/>
      <c r="C899" s="9"/>
      <c r="D899" s="9"/>
      <c r="E899" s="223"/>
      <c r="F899" s="9"/>
      <c r="G899" s="9"/>
      <c r="H899" s="9"/>
      <c r="I899" s="9"/>
      <c r="J899" s="9"/>
      <c r="K899" s="9"/>
      <c r="L899" s="9"/>
      <c r="M899" s="9"/>
      <c r="N899" s="9"/>
      <c r="O899" s="9"/>
      <c r="P899" s="9"/>
      <c r="Q899" s="9"/>
      <c r="R899" s="9"/>
      <c r="S899" s="9"/>
      <c r="T899" s="9"/>
      <c r="U899" s="9"/>
      <c r="V899" s="9"/>
      <c r="W899" s="9"/>
      <c r="X899" s="223"/>
      <c r="Y899" s="9"/>
      <c r="Z899" s="204"/>
      <c r="AA899" s="9"/>
      <c r="AB899" s="9"/>
      <c r="AC899" s="9"/>
      <c r="AD899" s="9"/>
    </row>
    <row r="900" ht="15.75" customHeight="1">
      <c r="A900" s="9"/>
      <c r="B900" s="9"/>
      <c r="C900" s="9"/>
      <c r="D900" s="9"/>
      <c r="E900" s="223"/>
      <c r="F900" s="9"/>
      <c r="G900" s="9"/>
      <c r="H900" s="9"/>
      <c r="I900" s="9"/>
      <c r="J900" s="9"/>
      <c r="K900" s="9"/>
      <c r="L900" s="9"/>
      <c r="M900" s="9"/>
      <c r="N900" s="9"/>
      <c r="O900" s="9"/>
      <c r="P900" s="9"/>
      <c r="Q900" s="9"/>
      <c r="R900" s="9"/>
      <c r="S900" s="9"/>
      <c r="T900" s="9"/>
      <c r="U900" s="9"/>
      <c r="V900" s="9"/>
      <c r="W900" s="9"/>
      <c r="X900" s="223"/>
      <c r="Y900" s="9"/>
      <c r="Z900" s="204"/>
      <c r="AA900" s="9"/>
      <c r="AB900" s="9"/>
      <c r="AC900" s="9"/>
      <c r="AD900" s="9"/>
    </row>
    <row r="901" ht="15.75" customHeight="1">
      <c r="A901" s="9"/>
      <c r="B901" s="9"/>
      <c r="C901" s="9"/>
      <c r="D901" s="9"/>
      <c r="E901" s="223"/>
      <c r="F901" s="9"/>
      <c r="G901" s="9"/>
      <c r="H901" s="9"/>
      <c r="I901" s="9"/>
      <c r="J901" s="9"/>
      <c r="K901" s="9"/>
      <c r="L901" s="9"/>
      <c r="M901" s="9"/>
      <c r="N901" s="9"/>
      <c r="O901" s="9"/>
      <c r="P901" s="9"/>
      <c r="Q901" s="9"/>
      <c r="R901" s="9"/>
      <c r="S901" s="9"/>
      <c r="T901" s="9"/>
      <c r="U901" s="9"/>
      <c r="V901" s="9"/>
      <c r="W901" s="9"/>
      <c r="X901" s="223"/>
      <c r="Y901" s="9"/>
      <c r="Z901" s="204"/>
      <c r="AA901" s="9"/>
      <c r="AB901" s="9"/>
      <c r="AC901" s="9"/>
      <c r="AD901" s="9"/>
    </row>
    <row r="902" ht="15.75" customHeight="1">
      <c r="A902" s="9"/>
      <c r="B902" s="9"/>
      <c r="C902" s="9"/>
      <c r="D902" s="9"/>
      <c r="E902" s="223"/>
      <c r="F902" s="9"/>
      <c r="G902" s="9"/>
      <c r="H902" s="9"/>
      <c r="I902" s="9"/>
      <c r="J902" s="9"/>
      <c r="K902" s="9"/>
      <c r="L902" s="9"/>
      <c r="M902" s="9"/>
      <c r="N902" s="9"/>
      <c r="O902" s="9"/>
      <c r="P902" s="9"/>
      <c r="Q902" s="9"/>
      <c r="R902" s="9"/>
      <c r="S902" s="9"/>
      <c r="T902" s="9"/>
      <c r="U902" s="9"/>
      <c r="V902" s="9"/>
      <c r="W902" s="9"/>
      <c r="X902" s="223"/>
      <c r="Y902" s="9"/>
      <c r="Z902" s="204"/>
      <c r="AA902" s="9"/>
      <c r="AB902" s="9"/>
      <c r="AC902" s="9"/>
      <c r="AD902" s="9"/>
    </row>
    <row r="903" ht="15.75" customHeight="1">
      <c r="A903" s="9"/>
      <c r="B903" s="9"/>
      <c r="C903" s="9"/>
      <c r="D903" s="9"/>
      <c r="E903" s="223"/>
      <c r="F903" s="9"/>
      <c r="G903" s="9"/>
      <c r="H903" s="9"/>
      <c r="I903" s="9"/>
      <c r="J903" s="9"/>
      <c r="K903" s="9"/>
      <c r="L903" s="9"/>
      <c r="M903" s="9"/>
      <c r="N903" s="9"/>
      <c r="O903" s="9"/>
      <c r="P903" s="9"/>
      <c r="Q903" s="9"/>
      <c r="R903" s="9"/>
      <c r="S903" s="9"/>
      <c r="T903" s="9"/>
      <c r="U903" s="9"/>
      <c r="V903" s="9"/>
      <c r="W903" s="9"/>
      <c r="X903" s="223"/>
      <c r="Y903" s="9"/>
      <c r="Z903" s="204"/>
      <c r="AA903" s="9"/>
      <c r="AB903" s="9"/>
      <c r="AC903" s="9"/>
      <c r="AD903" s="9"/>
    </row>
    <row r="904" ht="15.75" customHeight="1">
      <c r="A904" s="9"/>
      <c r="B904" s="9"/>
      <c r="C904" s="9"/>
      <c r="D904" s="9"/>
      <c r="E904" s="223"/>
      <c r="F904" s="9"/>
      <c r="G904" s="9"/>
      <c r="H904" s="9"/>
      <c r="I904" s="9"/>
      <c r="J904" s="9"/>
      <c r="K904" s="9"/>
      <c r="L904" s="9"/>
      <c r="M904" s="9"/>
      <c r="N904" s="9"/>
      <c r="O904" s="9"/>
      <c r="P904" s="9"/>
      <c r="Q904" s="9"/>
      <c r="R904" s="9"/>
      <c r="S904" s="9"/>
      <c r="T904" s="9"/>
      <c r="U904" s="9"/>
      <c r="V904" s="9"/>
      <c r="W904" s="9"/>
      <c r="X904" s="223"/>
      <c r="Y904" s="9"/>
      <c r="Z904" s="204"/>
      <c r="AA904" s="9"/>
      <c r="AB904" s="9"/>
      <c r="AC904" s="9"/>
      <c r="AD904" s="9"/>
    </row>
    <row r="905" ht="15.75" customHeight="1">
      <c r="A905" s="9"/>
      <c r="B905" s="9"/>
      <c r="C905" s="9"/>
      <c r="D905" s="9"/>
      <c r="E905" s="223"/>
      <c r="F905" s="9"/>
      <c r="G905" s="9"/>
      <c r="H905" s="9"/>
      <c r="I905" s="9"/>
      <c r="J905" s="9"/>
      <c r="K905" s="9"/>
      <c r="L905" s="9"/>
      <c r="M905" s="9"/>
      <c r="N905" s="9"/>
      <c r="O905" s="9"/>
      <c r="P905" s="9"/>
      <c r="Q905" s="9"/>
      <c r="R905" s="9"/>
      <c r="S905" s="9"/>
      <c r="T905" s="9"/>
      <c r="U905" s="9"/>
      <c r="V905" s="9"/>
      <c r="W905" s="9"/>
      <c r="X905" s="223"/>
      <c r="Y905" s="9"/>
      <c r="Z905" s="204"/>
      <c r="AA905" s="9"/>
      <c r="AB905" s="9"/>
      <c r="AC905" s="9"/>
      <c r="AD905" s="9"/>
    </row>
    <row r="906" ht="15.75" customHeight="1">
      <c r="A906" s="9"/>
      <c r="B906" s="9"/>
      <c r="C906" s="9"/>
      <c r="D906" s="9"/>
      <c r="E906" s="223"/>
      <c r="F906" s="9"/>
      <c r="G906" s="9"/>
      <c r="H906" s="9"/>
      <c r="I906" s="9"/>
      <c r="J906" s="9"/>
      <c r="K906" s="9"/>
      <c r="L906" s="9"/>
      <c r="M906" s="9"/>
      <c r="N906" s="9"/>
      <c r="O906" s="9"/>
      <c r="P906" s="9"/>
      <c r="Q906" s="9"/>
      <c r="R906" s="9"/>
      <c r="S906" s="9"/>
      <c r="T906" s="9"/>
      <c r="U906" s="9"/>
      <c r="V906" s="9"/>
      <c r="W906" s="9"/>
      <c r="X906" s="223"/>
      <c r="Y906" s="9"/>
      <c r="Z906" s="204"/>
      <c r="AA906" s="9"/>
      <c r="AB906" s="9"/>
      <c r="AC906" s="9"/>
      <c r="AD906" s="9"/>
    </row>
    <row r="907" ht="15.75" customHeight="1">
      <c r="A907" s="9"/>
      <c r="B907" s="9"/>
      <c r="C907" s="9"/>
      <c r="D907" s="9"/>
      <c r="E907" s="223"/>
      <c r="F907" s="9"/>
      <c r="G907" s="9"/>
      <c r="H907" s="9"/>
      <c r="I907" s="9"/>
      <c r="J907" s="9"/>
      <c r="K907" s="9"/>
      <c r="L907" s="9"/>
      <c r="M907" s="9"/>
      <c r="N907" s="9"/>
      <c r="O907" s="9"/>
      <c r="P907" s="9"/>
      <c r="Q907" s="9"/>
      <c r="R907" s="9"/>
      <c r="S907" s="9"/>
      <c r="T907" s="9"/>
      <c r="U907" s="9"/>
      <c r="V907" s="9"/>
      <c r="W907" s="9"/>
      <c r="X907" s="223"/>
      <c r="Y907" s="9"/>
      <c r="Z907" s="204"/>
      <c r="AA907" s="9"/>
      <c r="AB907" s="9"/>
      <c r="AC907" s="9"/>
      <c r="AD907" s="9"/>
    </row>
    <row r="908" ht="15.75" customHeight="1">
      <c r="A908" s="9"/>
      <c r="B908" s="9"/>
      <c r="C908" s="9"/>
      <c r="D908" s="9"/>
      <c r="E908" s="223"/>
      <c r="F908" s="9"/>
      <c r="G908" s="9"/>
      <c r="H908" s="9"/>
      <c r="I908" s="9"/>
      <c r="J908" s="9"/>
      <c r="K908" s="9"/>
      <c r="L908" s="9"/>
      <c r="M908" s="9"/>
      <c r="N908" s="9"/>
      <c r="O908" s="9"/>
      <c r="P908" s="9"/>
      <c r="Q908" s="9"/>
      <c r="R908" s="9"/>
      <c r="S908" s="9"/>
      <c r="T908" s="9"/>
      <c r="U908" s="9"/>
      <c r="V908" s="9"/>
      <c r="W908" s="9"/>
      <c r="X908" s="223"/>
      <c r="Y908" s="9"/>
      <c r="Z908" s="204"/>
      <c r="AA908" s="9"/>
      <c r="AB908" s="9"/>
      <c r="AC908" s="9"/>
      <c r="AD908" s="9"/>
    </row>
    <row r="909" ht="15.75" customHeight="1">
      <c r="A909" s="9"/>
      <c r="B909" s="9"/>
      <c r="C909" s="9"/>
      <c r="D909" s="9"/>
      <c r="E909" s="223"/>
      <c r="F909" s="9"/>
      <c r="G909" s="9"/>
      <c r="H909" s="9"/>
      <c r="I909" s="9"/>
      <c r="J909" s="9"/>
      <c r="K909" s="9"/>
      <c r="L909" s="9"/>
      <c r="M909" s="9"/>
      <c r="N909" s="9"/>
      <c r="O909" s="9"/>
      <c r="P909" s="9"/>
      <c r="Q909" s="9"/>
      <c r="R909" s="9"/>
      <c r="S909" s="9"/>
      <c r="T909" s="9"/>
      <c r="U909" s="9"/>
      <c r="V909" s="9"/>
      <c r="W909" s="9"/>
      <c r="X909" s="223"/>
      <c r="Y909" s="9"/>
      <c r="Z909" s="204"/>
      <c r="AA909" s="9"/>
      <c r="AB909" s="9"/>
      <c r="AC909" s="9"/>
      <c r="AD909" s="9"/>
    </row>
    <row r="910" ht="15.75" customHeight="1">
      <c r="A910" s="9"/>
      <c r="B910" s="9"/>
      <c r="C910" s="9"/>
      <c r="D910" s="9"/>
      <c r="E910" s="223"/>
      <c r="F910" s="9"/>
      <c r="G910" s="9"/>
      <c r="H910" s="9"/>
      <c r="I910" s="9"/>
      <c r="J910" s="9"/>
      <c r="K910" s="9"/>
      <c r="L910" s="9"/>
      <c r="M910" s="9"/>
      <c r="N910" s="9"/>
      <c r="O910" s="9"/>
      <c r="P910" s="9"/>
      <c r="Q910" s="9"/>
      <c r="R910" s="9"/>
      <c r="S910" s="9"/>
      <c r="T910" s="9"/>
      <c r="U910" s="9"/>
      <c r="V910" s="9"/>
      <c r="W910" s="9"/>
      <c r="X910" s="223"/>
      <c r="Y910" s="9"/>
      <c r="Z910" s="204"/>
      <c r="AA910" s="9"/>
      <c r="AB910" s="9"/>
      <c r="AC910" s="9"/>
      <c r="AD910" s="9"/>
    </row>
    <row r="911" ht="15.75" customHeight="1">
      <c r="A911" s="9"/>
      <c r="B911" s="9"/>
      <c r="C911" s="9"/>
      <c r="D911" s="9"/>
      <c r="E911" s="223"/>
      <c r="F911" s="9"/>
      <c r="G911" s="9"/>
      <c r="H911" s="9"/>
      <c r="I911" s="9"/>
      <c r="J911" s="9"/>
      <c r="K911" s="9"/>
      <c r="L911" s="9"/>
      <c r="M911" s="9"/>
      <c r="N911" s="9"/>
      <c r="O911" s="9"/>
      <c r="P911" s="9"/>
      <c r="Q911" s="9"/>
      <c r="R911" s="9"/>
      <c r="S911" s="9"/>
      <c r="T911" s="9"/>
      <c r="U911" s="9"/>
      <c r="V911" s="9"/>
      <c r="W911" s="9"/>
      <c r="X911" s="223"/>
      <c r="Y911" s="9"/>
      <c r="Z911" s="204"/>
      <c r="AA911" s="9"/>
      <c r="AB911" s="9"/>
      <c r="AC911" s="9"/>
      <c r="AD911" s="9"/>
    </row>
    <row r="912" ht="15.75" customHeight="1">
      <c r="A912" s="9"/>
      <c r="B912" s="9"/>
      <c r="C912" s="9"/>
      <c r="D912" s="9"/>
      <c r="E912" s="223"/>
      <c r="F912" s="9"/>
      <c r="G912" s="9"/>
      <c r="H912" s="9"/>
      <c r="I912" s="9"/>
      <c r="J912" s="9"/>
      <c r="K912" s="9"/>
      <c r="L912" s="9"/>
      <c r="M912" s="9"/>
      <c r="N912" s="9"/>
      <c r="O912" s="9"/>
      <c r="P912" s="9"/>
      <c r="Q912" s="9"/>
      <c r="R912" s="9"/>
      <c r="S912" s="9"/>
      <c r="T912" s="9"/>
      <c r="U912" s="9"/>
      <c r="V912" s="9"/>
      <c r="W912" s="9"/>
      <c r="X912" s="223"/>
      <c r="Y912" s="9"/>
      <c r="Z912" s="204"/>
      <c r="AA912" s="9"/>
      <c r="AB912" s="9"/>
      <c r="AC912" s="9"/>
      <c r="AD912" s="9"/>
    </row>
    <row r="913" ht="15.75" customHeight="1">
      <c r="A913" s="9"/>
      <c r="B913" s="9"/>
      <c r="C913" s="9"/>
      <c r="D913" s="9"/>
      <c r="E913" s="223"/>
      <c r="F913" s="9"/>
      <c r="G913" s="9"/>
      <c r="H913" s="9"/>
      <c r="I913" s="9"/>
      <c r="J913" s="9"/>
      <c r="K913" s="9"/>
      <c r="L913" s="9"/>
      <c r="M913" s="9"/>
      <c r="N913" s="9"/>
      <c r="O913" s="9"/>
      <c r="P913" s="9"/>
      <c r="Q913" s="9"/>
      <c r="R913" s="9"/>
      <c r="S913" s="9"/>
      <c r="T913" s="9"/>
      <c r="U913" s="9"/>
      <c r="V913" s="9"/>
      <c r="W913" s="9"/>
      <c r="X913" s="223"/>
      <c r="Y913" s="9"/>
      <c r="Z913" s="204"/>
      <c r="AA913" s="9"/>
      <c r="AB913" s="9"/>
      <c r="AC913" s="9"/>
      <c r="AD913" s="9"/>
    </row>
    <row r="914" ht="15.75" customHeight="1">
      <c r="A914" s="9"/>
      <c r="B914" s="9"/>
      <c r="C914" s="9"/>
      <c r="D914" s="9"/>
      <c r="E914" s="223"/>
      <c r="F914" s="9"/>
      <c r="G914" s="9"/>
      <c r="H914" s="9"/>
      <c r="I914" s="9"/>
      <c r="J914" s="9"/>
      <c r="K914" s="9"/>
      <c r="L914" s="9"/>
      <c r="M914" s="9"/>
      <c r="N914" s="9"/>
      <c r="O914" s="9"/>
      <c r="P914" s="9"/>
      <c r="Q914" s="9"/>
      <c r="R914" s="9"/>
      <c r="S914" s="9"/>
      <c r="T914" s="9"/>
      <c r="U914" s="9"/>
      <c r="V914" s="9"/>
      <c r="W914" s="9"/>
      <c r="X914" s="223"/>
      <c r="Y914" s="9"/>
      <c r="Z914" s="204"/>
      <c r="AA914" s="9"/>
      <c r="AB914" s="9"/>
      <c r="AC914" s="9"/>
      <c r="AD914" s="9"/>
    </row>
    <row r="915" ht="15.75" customHeight="1">
      <c r="A915" s="9"/>
      <c r="B915" s="9"/>
      <c r="C915" s="9"/>
      <c r="D915" s="9"/>
      <c r="E915" s="223"/>
      <c r="F915" s="9"/>
      <c r="G915" s="9"/>
      <c r="H915" s="9"/>
      <c r="I915" s="9"/>
      <c r="J915" s="9"/>
      <c r="K915" s="9"/>
      <c r="L915" s="9"/>
      <c r="M915" s="9"/>
      <c r="N915" s="9"/>
      <c r="O915" s="9"/>
      <c r="P915" s="9"/>
      <c r="Q915" s="9"/>
      <c r="R915" s="9"/>
      <c r="S915" s="9"/>
      <c r="T915" s="9"/>
      <c r="U915" s="9"/>
      <c r="V915" s="9"/>
      <c r="W915" s="9"/>
      <c r="X915" s="223"/>
      <c r="Y915" s="9"/>
      <c r="Z915" s="204"/>
      <c r="AA915" s="9"/>
      <c r="AB915" s="9"/>
      <c r="AC915" s="9"/>
      <c r="AD915" s="9"/>
    </row>
    <row r="916" ht="15.75" customHeight="1">
      <c r="A916" s="9"/>
      <c r="B916" s="9"/>
      <c r="C916" s="9"/>
      <c r="D916" s="9"/>
      <c r="E916" s="223"/>
      <c r="F916" s="9"/>
      <c r="G916" s="9"/>
      <c r="H916" s="9"/>
      <c r="I916" s="9"/>
      <c r="J916" s="9"/>
      <c r="K916" s="9"/>
      <c r="L916" s="9"/>
      <c r="M916" s="9"/>
      <c r="N916" s="9"/>
      <c r="O916" s="9"/>
      <c r="P916" s="9"/>
      <c r="Q916" s="9"/>
      <c r="R916" s="9"/>
      <c r="S916" s="9"/>
      <c r="T916" s="9"/>
      <c r="U916" s="9"/>
      <c r="V916" s="9"/>
      <c r="W916" s="9"/>
      <c r="X916" s="223"/>
      <c r="Y916" s="9"/>
      <c r="Z916" s="204"/>
      <c r="AA916" s="9"/>
      <c r="AB916" s="9"/>
      <c r="AC916" s="9"/>
      <c r="AD916" s="9"/>
    </row>
    <row r="917" ht="15.75" customHeight="1">
      <c r="A917" s="9"/>
      <c r="B917" s="9"/>
      <c r="C917" s="9"/>
      <c r="D917" s="9"/>
      <c r="E917" s="223"/>
      <c r="F917" s="9"/>
      <c r="G917" s="9"/>
      <c r="H917" s="9"/>
      <c r="I917" s="9"/>
      <c r="J917" s="9"/>
      <c r="K917" s="9"/>
      <c r="L917" s="9"/>
      <c r="M917" s="9"/>
      <c r="N917" s="9"/>
      <c r="O917" s="9"/>
      <c r="P917" s="9"/>
      <c r="Q917" s="9"/>
      <c r="R917" s="9"/>
      <c r="S917" s="9"/>
      <c r="T917" s="9"/>
      <c r="U917" s="9"/>
      <c r="V917" s="9"/>
      <c r="W917" s="9"/>
      <c r="X917" s="223"/>
      <c r="Y917" s="9"/>
      <c r="Z917" s="204"/>
      <c r="AA917" s="9"/>
      <c r="AB917" s="9"/>
      <c r="AC917" s="9"/>
      <c r="AD917" s="9"/>
    </row>
    <row r="918" ht="15.75" customHeight="1">
      <c r="A918" s="9"/>
      <c r="B918" s="9"/>
      <c r="C918" s="9"/>
      <c r="D918" s="9"/>
      <c r="E918" s="223"/>
      <c r="F918" s="9"/>
      <c r="G918" s="9"/>
      <c r="H918" s="9"/>
      <c r="I918" s="9"/>
      <c r="J918" s="9"/>
      <c r="K918" s="9"/>
      <c r="L918" s="9"/>
      <c r="M918" s="9"/>
      <c r="N918" s="9"/>
      <c r="O918" s="9"/>
      <c r="P918" s="9"/>
      <c r="Q918" s="9"/>
      <c r="R918" s="9"/>
      <c r="S918" s="9"/>
      <c r="T918" s="9"/>
      <c r="U918" s="9"/>
      <c r="V918" s="9"/>
      <c r="W918" s="9"/>
      <c r="X918" s="223"/>
      <c r="Y918" s="9"/>
      <c r="Z918" s="204"/>
      <c r="AA918" s="9"/>
      <c r="AB918" s="9"/>
      <c r="AC918" s="9"/>
      <c r="AD918" s="9"/>
    </row>
    <row r="919" ht="15.75" customHeight="1">
      <c r="A919" s="9"/>
      <c r="B919" s="9"/>
      <c r="C919" s="9"/>
      <c r="D919" s="9"/>
      <c r="E919" s="223"/>
      <c r="F919" s="9"/>
      <c r="G919" s="9"/>
      <c r="H919" s="9"/>
      <c r="I919" s="9"/>
      <c r="J919" s="9"/>
      <c r="K919" s="9"/>
      <c r="L919" s="9"/>
      <c r="M919" s="9"/>
      <c r="N919" s="9"/>
      <c r="O919" s="9"/>
      <c r="P919" s="9"/>
      <c r="Q919" s="9"/>
      <c r="R919" s="9"/>
      <c r="S919" s="9"/>
      <c r="T919" s="9"/>
      <c r="U919" s="9"/>
      <c r="V919" s="9"/>
      <c r="W919" s="9"/>
      <c r="X919" s="223"/>
      <c r="Y919" s="9"/>
      <c r="Z919" s="204"/>
      <c r="AA919" s="9"/>
      <c r="AB919" s="9"/>
      <c r="AC919" s="9"/>
      <c r="AD919" s="9"/>
    </row>
    <row r="920" ht="15.75" customHeight="1">
      <c r="A920" s="9"/>
      <c r="B920" s="9"/>
      <c r="C920" s="9"/>
      <c r="D920" s="9"/>
      <c r="E920" s="223"/>
      <c r="F920" s="9"/>
      <c r="G920" s="9"/>
      <c r="H920" s="9"/>
      <c r="I920" s="9"/>
      <c r="J920" s="9"/>
      <c r="K920" s="9"/>
      <c r="L920" s="9"/>
      <c r="M920" s="9"/>
      <c r="N920" s="9"/>
      <c r="O920" s="9"/>
      <c r="P920" s="9"/>
      <c r="Q920" s="9"/>
      <c r="R920" s="9"/>
      <c r="S920" s="9"/>
      <c r="T920" s="9"/>
      <c r="U920" s="9"/>
      <c r="V920" s="9"/>
      <c r="W920" s="9"/>
      <c r="X920" s="223"/>
      <c r="Y920" s="9"/>
      <c r="Z920" s="204"/>
      <c r="AA920" s="9"/>
      <c r="AB920" s="9"/>
      <c r="AC920" s="9"/>
      <c r="AD920" s="9"/>
    </row>
    <row r="921" ht="15.75" customHeight="1">
      <c r="A921" s="9"/>
      <c r="B921" s="9"/>
      <c r="C921" s="9"/>
      <c r="D921" s="9"/>
      <c r="E921" s="223"/>
      <c r="F921" s="9"/>
      <c r="G921" s="9"/>
      <c r="H921" s="9"/>
      <c r="I921" s="9"/>
      <c r="J921" s="9"/>
      <c r="K921" s="9"/>
      <c r="L921" s="9"/>
      <c r="M921" s="9"/>
      <c r="N921" s="9"/>
      <c r="O921" s="9"/>
      <c r="P921" s="9"/>
      <c r="Q921" s="9"/>
      <c r="R921" s="9"/>
      <c r="S921" s="9"/>
      <c r="T921" s="9"/>
      <c r="U921" s="9"/>
      <c r="V921" s="9"/>
      <c r="W921" s="9"/>
      <c r="X921" s="223"/>
      <c r="Y921" s="9"/>
      <c r="Z921" s="204"/>
      <c r="AA921" s="9"/>
      <c r="AB921" s="9"/>
      <c r="AC921" s="9"/>
      <c r="AD921" s="9"/>
    </row>
    <row r="922" ht="15.75" customHeight="1">
      <c r="A922" s="9"/>
      <c r="B922" s="9"/>
      <c r="C922" s="9"/>
      <c r="D922" s="9"/>
      <c r="E922" s="223"/>
      <c r="F922" s="9"/>
      <c r="G922" s="9"/>
      <c r="H922" s="9"/>
      <c r="I922" s="9"/>
      <c r="J922" s="9"/>
      <c r="K922" s="9"/>
      <c r="L922" s="9"/>
      <c r="M922" s="9"/>
      <c r="N922" s="9"/>
      <c r="O922" s="9"/>
      <c r="P922" s="9"/>
      <c r="Q922" s="9"/>
      <c r="R922" s="9"/>
      <c r="S922" s="9"/>
      <c r="T922" s="9"/>
      <c r="U922" s="9"/>
      <c r="V922" s="9"/>
      <c r="W922" s="9"/>
      <c r="X922" s="223"/>
      <c r="Y922" s="9"/>
      <c r="Z922" s="204"/>
      <c r="AA922" s="9"/>
      <c r="AB922" s="9"/>
      <c r="AC922" s="9"/>
      <c r="AD922" s="9"/>
    </row>
    <row r="923" ht="15.75" customHeight="1">
      <c r="A923" s="9"/>
      <c r="B923" s="9"/>
      <c r="C923" s="9"/>
      <c r="D923" s="9"/>
      <c r="E923" s="223"/>
      <c r="F923" s="9"/>
      <c r="G923" s="9"/>
      <c r="H923" s="9"/>
      <c r="I923" s="9"/>
      <c r="J923" s="9"/>
      <c r="K923" s="9"/>
      <c r="L923" s="9"/>
      <c r="M923" s="9"/>
      <c r="N923" s="9"/>
      <c r="O923" s="9"/>
      <c r="P923" s="9"/>
      <c r="Q923" s="9"/>
      <c r="R923" s="9"/>
      <c r="S923" s="9"/>
      <c r="T923" s="9"/>
      <c r="U923" s="9"/>
      <c r="V923" s="9"/>
      <c r="W923" s="9"/>
      <c r="X923" s="223"/>
      <c r="Y923" s="9"/>
      <c r="Z923" s="204"/>
      <c r="AA923" s="9"/>
      <c r="AB923" s="9"/>
      <c r="AC923" s="9"/>
      <c r="AD923" s="9"/>
    </row>
    <row r="924" ht="15.75" customHeight="1">
      <c r="A924" s="9"/>
      <c r="B924" s="9"/>
      <c r="C924" s="9"/>
      <c r="D924" s="9"/>
      <c r="E924" s="223"/>
      <c r="F924" s="9"/>
      <c r="G924" s="9"/>
      <c r="H924" s="9"/>
      <c r="I924" s="9"/>
      <c r="J924" s="9"/>
      <c r="K924" s="9"/>
      <c r="L924" s="9"/>
      <c r="M924" s="9"/>
      <c r="N924" s="9"/>
      <c r="O924" s="9"/>
      <c r="P924" s="9"/>
      <c r="Q924" s="9"/>
      <c r="R924" s="9"/>
      <c r="S924" s="9"/>
      <c r="T924" s="9"/>
      <c r="U924" s="9"/>
      <c r="V924" s="9"/>
      <c r="W924" s="9"/>
      <c r="X924" s="223"/>
      <c r="Y924" s="9"/>
      <c r="Z924" s="204"/>
      <c r="AA924" s="9"/>
      <c r="AB924" s="9"/>
      <c r="AC924" s="9"/>
      <c r="AD924" s="9"/>
    </row>
    <row r="925" ht="15.75" customHeight="1">
      <c r="A925" s="9"/>
      <c r="B925" s="9"/>
      <c r="C925" s="9"/>
      <c r="D925" s="9"/>
      <c r="E925" s="223"/>
      <c r="F925" s="9"/>
      <c r="G925" s="9"/>
      <c r="H925" s="9"/>
      <c r="I925" s="9"/>
      <c r="J925" s="9"/>
      <c r="K925" s="9"/>
      <c r="L925" s="9"/>
      <c r="M925" s="9"/>
      <c r="N925" s="9"/>
      <c r="O925" s="9"/>
      <c r="P925" s="9"/>
      <c r="Q925" s="9"/>
      <c r="R925" s="9"/>
      <c r="S925" s="9"/>
      <c r="T925" s="9"/>
      <c r="U925" s="9"/>
      <c r="V925" s="9"/>
      <c r="W925" s="9"/>
      <c r="X925" s="223"/>
      <c r="Y925" s="9"/>
      <c r="Z925" s="204"/>
      <c r="AA925" s="9"/>
      <c r="AB925" s="9"/>
      <c r="AC925" s="9"/>
      <c r="AD925" s="9"/>
    </row>
    <row r="926" ht="15.75" customHeight="1">
      <c r="A926" s="9"/>
      <c r="B926" s="9"/>
      <c r="C926" s="9"/>
      <c r="D926" s="9"/>
      <c r="E926" s="223"/>
      <c r="F926" s="9"/>
      <c r="G926" s="9"/>
      <c r="H926" s="9"/>
      <c r="I926" s="9"/>
      <c r="J926" s="9"/>
      <c r="K926" s="9"/>
      <c r="L926" s="9"/>
      <c r="M926" s="9"/>
      <c r="N926" s="9"/>
      <c r="O926" s="9"/>
      <c r="P926" s="9"/>
      <c r="Q926" s="9"/>
      <c r="R926" s="9"/>
      <c r="S926" s="9"/>
      <c r="T926" s="9"/>
      <c r="U926" s="9"/>
      <c r="V926" s="9"/>
      <c r="W926" s="9"/>
      <c r="X926" s="223"/>
      <c r="Y926" s="9"/>
      <c r="Z926" s="204"/>
      <c r="AA926" s="9"/>
      <c r="AB926" s="9"/>
      <c r="AC926" s="9"/>
      <c r="AD926" s="9"/>
    </row>
    <row r="927" ht="15.75" customHeight="1">
      <c r="A927" s="9"/>
      <c r="B927" s="9"/>
      <c r="C927" s="9"/>
      <c r="D927" s="9"/>
      <c r="E927" s="223"/>
      <c r="F927" s="9"/>
      <c r="G927" s="9"/>
      <c r="H927" s="9"/>
      <c r="I927" s="9"/>
      <c r="J927" s="9"/>
      <c r="K927" s="9"/>
      <c r="L927" s="9"/>
      <c r="M927" s="9"/>
      <c r="N927" s="9"/>
      <c r="O927" s="9"/>
      <c r="P927" s="9"/>
      <c r="Q927" s="9"/>
      <c r="R927" s="9"/>
      <c r="S927" s="9"/>
      <c r="T927" s="9"/>
      <c r="U927" s="9"/>
      <c r="V927" s="9"/>
      <c r="W927" s="9"/>
      <c r="X927" s="223"/>
      <c r="Y927" s="9"/>
      <c r="Z927" s="204"/>
      <c r="AA927" s="9"/>
      <c r="AB927" s="9"/>
      <c r="AC927" s="9"/>
      <c r="AD927" s="9"/>
    </row>
    <row r="928" ht="15.75" customHeight="1">
      <c r="A928" s="9"/>
      <c r="B928" s="9"/>
      <c r="C928" s="9"/>
      <c r="D928" s="9"/>
      <c r="E928" s="223"/>
      <c r="F928" s="9"/>
      <c r="G928" s="9"/>
      <c r="H928" s="9"/>
      <c r="I928" s="9"/>
      <c r="J928" s="9"/>
      <c r="K928" s="9"/>
      <c r="L928" s="9"/>
      <c r="M928" s="9"/>
      <c r="N928" s="9"/>
      <c r="O928" s="9"/>
      <c r="P928" s="9"/>
      <c r="Q928" s="9"/>
      <c r="R928" s="9"/>
      <c r="S928" s="9"/>
      <c r="T928" s="9"/>
      <c r="U928" s="9"/>
      <c r="V928" s="9"/>
      <c r="W928" s="9"/>
      <c r="X928" s="223"/>
      <c r="Y928" s="9"/>
      <c r="Z928" s="204"/>
      <c r="AA928" s="9"/>
      <c r="AB928" s="9"/>
      <c r="AC928" s="9"/>
      <c r="AD928" s="9"/>
    </row>
    <row r="929" ht="15.75" customHeight="1">
      <c r="A929" s="9"/>
      <c r="B929" s="9"/>
      <c r="C929" s="9"/>
      <c r="D929" s="9"/>
      <c r="E929" s="223"/>
      <c r="F929" s="9"/>
      <c r="G929" s="9"/>
      <c r="H929" s="9"/>
      <c r="I929" s="9"/>
      <c r="J929" s="9"/>
      <c r="K929" s="9"/>
      <c r="L929" s="9"/>
      <c r="M929" s="9"/>
      <c r="N929" s="9"/>
      <c r="O929" s="9"/>
      <c r="P929" s="9"/>
      <c r="Q929" s="9"/>
      <c r="R929" s="9"/>
      <c r="S929" s="9"/>
      <c r="T929" s="9"/>
      <c r="U929" s="9"/>
      <c r="V929" s="9"/>
      <c r="W929" s="9"/>
      <c r="X929" s="223"/>
      <c r="Y929" s="9"/>
      <c r="Z929" s="204"/>
      <c r="AA929" s="9"/>
      <c r="AB929" s="9"/>
      <c r="AC929" s="9"/>
      <c r="AD929" s="9"/>
    </row>
    <row r="930" ht="15.75" customHeight="1">
      <c r="A930" s="9"/>
      <c r="B930" s="9"/>
      <c r="C930" s="9"/>
      <c r="D930" s="9"/>
      <c r="E930" s="223"/>
      <c r="F930" s="9"/>
      <c r="G930" s="9"/>
      <c r="H930" s="9"/>
      <c r="I930" s="9"/>
      <c r="J930" s="9"/>
      <c r="K930" s="9"/>
      <c r="L930" s="9"/>
      <c r="M930" s="9"/>
      <c r="N930" s="9"/>
      <c r="O930" s="9"/>
      <c r="P930" s="9"/>
      <c r="Q930" s="9"/>
      <c r="R930" s="9"/>
      <c r="S930" s="9"/>
      <c r="T930" s="9"/>
      <c r="U930" s="9"/>
      <c r="V930" s="9"/>
      <c r="W930" s="9"/>
      <c r="X930" s="223"/>
      <c r="Y930" s="9"/>
      <c r="Z930" s="204"/>
      <c r="AA930" s="9"/>
      <c r="AB930" s="9"/>
      <c r="AC930" s="9"/>
      <c r="AD930" s="9"/>
    </row>
    <row r="931" ht="15.75" customHeight="1">
      <c r="A931" s="9"/>
      <c r="B931" s="9"/>
      <c r="C931" s="9"/>
      <c r="D931" s="9"/>
      <c r="E931" s="223"/>
      <c r="F931" s="9"/>
      <c r="G931" s="9"/>
      <c r="H931" s="9"/>
      <c r="I931" s="9"/>
      <c r="J931" s="9"/>
      <c r="K931" s="9"/>
      <c r="L931" s="9"/>
      <c r="M931" s="9"/>
      <c r="N931" s="9"/>
      <c r="O931" s="9"/>
      <c r="P931" s="9"/>
      <c r="Q931" s="9"/>
      <c r="R931" s="9"/>
      <c r="S931" s="9"/>
      <c r="T931" s="9"/>
      <c r="U931" s="9"/>
      <c r="V931" s="9"/>
      <c r="W931" s="9"/>
      <c r="X931" s="223"/>
      <c r="Y931" s="9"/>
      <c r="Z931" s="204"/>
      <c r="AA931" s="9"/>
      <c r="AB931" s="9"/>
      <c r="AC931" s="9"/>
      <c r="AD931" s="9"/>
    </row>
    <row r="932" ht="15.75" customHeight="1">
      <c r="A932" s="9"/>
      <c r="B932" s="9"/>
      <c r="C932" s="9"/>
      <c r="D932" s="9"/>
      <c r="E932" s="223"/>
      <c r="F932" s="9"/>
      <c r="G932" s="9"/>
      <c r="H932" s="9"/>
      <c r="I932" s="9"/>
      <c r="J932" s="9"/>
      <c r="K932" s="9"/>
      <c r="L932" s="9"/>
      <c r="M932" s="9"/>
      <c r="N932" s="9"/>
      <c r="O932" s="9"/>
      <c r="P932" s="9"/>
      <c r="Q932" s="9"/>
      <c r="R932" s="9"/>
      <c r="S932" s="9"/>
      <c r="T932" s="9"/>
      <c r="U932" s="9"/>
      <c r="V932" s="9"/>
      <c r="W932" s="9"/>
      <c r="X932" s="223"/>
      <c r="Y932" s="9"/>
      <c r="Z932" s="204"/>
      <c r="AA932" s="9"/>
      <c r="AB932" s="9"/>
      <c r="AC932" s="9"/>
      <c r="AD932" s="9"/>
    </row>
    <row r="933" ht="15.75" customHeight="1">
      <c r="A933" s="9"/>
      <c r="B933" s="9"/>
      <c r="C933" s="9"/>
      <c r="D933" s="9"/>
      <c r="E933" s="223"/>
      <c r="F933" s="9"/>
      <c r="G933" s="9"/>
      <c r="H933" s="9"/>
      <c r="I933" s="9"/>
      <c r="J933" s="9"/>
      <c r="K933" s="9"/>
      <c r="L933" s="9"/>
      <c r="M933" s="9"/>
      <c r="N933" s="9"/>
      <c r="O933" s="9"/>
      <c r="P933" s="9"/>
      <c r="Q933" s="9"/>
      <c r="R933" s="9"/>
      <c r="S933" s="9"/>
      <c r="T933" s="9"/>
      <c r="U933" s="9"/>
      <c r="V933" s="9"/>
      <c r="W933" s="9"/>
      <c r="X933" s="223"/>
      <c r="Y933" s="9"/>
      <c r="Z933" s="204"/>
      <c r="AA933" s="9"/>
      <c r="AB933" s="9"/>
      <c r="AC933" s="9"/>
      <c r="AD933" s="9"/>
    </row>
    <row r="934" ht="15.75" customHeight="1">
      <c r="A934" s="9"/>
      <c r="B934" s="9"/>
      <c r="C934" s="9"/>
      <c r="D934" s="9"/>
      <c r="E934" s="223"/>
      <c r="F934" s="9"/>
      <c r="G934" s="9"/>
      <c r="H934" s="9"/>
      <c r="I934" s="9"/>
      <c r="J934" s="9"/>
      <c r="K934" s="9"/>
      <c r="L934" s="9"/>
      <c r="M934" s="9"/>
      <c r="N934" s="9"/>
      <c r="O934" s="9"/>
      <c r="P934" s="9"/>
      <c r="Q934" s="9"/>
      <c r="R934" s="9"/>
      <c r="S934" s="9"/>
      <c r="T934" s="9"/>
      <c r="U934" s="9"/>
      <c r="V934" s="9"/>
      <c r="W934" s="9"/>
      <c r="X934" s="223"/>
      <c r="Y934" s="9"/>
      <c r="Z934" s="204"/>
      <c r="AA934" s="9"/>
      <c r="AB934" s="9"/>
      <c r="AC934" s="9"/>
      <c r="AD934" s="9"/>
    </row>
    <row r="935" ht="15.75" customHeight="1">
      <c r="A935" s="9"/>
      <c r="B935" s="9"/>
      <c r="C935" s="9"/>
      <c r="D935" s="9"/>
      <c r="E935" s="223"/>
      <c r="F935" s="9"/>
      <c r="G935" s="9"/>
      <c r="H935" s="9"/>
      <c r="I935" s="9"/>
      <c r="J935" s="9"/>
      <c r="K935" s="9"/>
      <c r="L935" s="9"/>
      <c r="M935" s="9"/>
      <c r="N935" s="9"/>
      <c r="O935" s="9"/>
      <c r="P935" s="9"/>
      <c r="Q935" s="9"/>
      <c r="R935" s="9"/>
      <c r="S935" s="9"/>
      <c r="T935" s="9"/>
      <c r="U935" s="9"/>
      <c r="V935" s="9"/>
      <c r="W935" s="9"/>
      <c r="X935" s="223"/>
      <c r="Y935" s="9"/>
      <c r="Z935" s="204"/>
      <c r="AA935" s="9"/>
      <c r="AB935" s="9"/>
      <c r="AC935" s="9"/>
      <c r="AD935" s="9"/>
    </row>
    <row r="936" ht="15.75" customHeight="1">
      <c r="A936" s="9"/>
      <c r="B936" s="9"/>
      <c r="C936" s="9"/>
      <c r="D936" s="9"/>
      <c r="E936" s="223"/>
      <c r="F936" s="9"/>
      <c r="G936" s="9"/>
      <c r="H936" s="9"/>
      <c r="I936" s="9"/>
      <c r="J936" s="9"/>
      <c r="K936" s="9"/>
      <c r="L936" s="9"/>
      <c r="M936" s="9"/>
      <c r="N936" s="9"/>
      <c r="O936" s="9"/>
      <c r="P936" s="9"/>
      <c r="Q936" s="9"/>
      <c r="R936" s="9"/>
      <c r="S936" s="9"/>
      <c r="T936" s="9"/>
      <c r="U936" s="9"/>
      <c r="V936" s="9"/>
      <c r="W936" s="9"/>
      <c r="X936" s="223"/>
      <c r="Y936" s="9"/>
      <c r="Z936" s="204"/>
      <c r="AA936" s="9"/>
      <c r="AB936" s="9"/>
      <c r="AC936" s="9"/>
      <c r="AD936" s="9"/>
    </row>
    <row r="937" ht="15.75" customHeight="1">
      <c r="A937" s="9"/>
      <c r="B937" s="9"/>
      <c r="C937" s="9"/>
      <c r="D937" s="9"/>
      <c r="E937" s="223"/>
      <c r="F937" s="9"/>
      <c r="G937" s="9"/>
      <c r="H937" s="9"/>
      <c r="I937" s="9"/>
      <c r="J937" s="9"/>
      <c r="K937" s="9"/>
      <c r="L937" s="9"/>
      <c r="M937" s="9"/>
      <c r="N937" s="9"/>
      <c r="O937" s="9"/>
      <c r="P937" s="9"/>
      <c r="Q937" s="9"/>
      <c r="R937" s="9"/>
      <c r="S937" s="9"/>
      <c r="T937" s="9"/>
      <c r="U937" s="9"/>
      <c r="V937" s="9"/>
      <c r="W937" s="9"/>
      <c r="X937" s="223"/>
      <c r="Y937" s="9"/>
      <c r="Z937" s="204"/>
      <c r="AA937" s="9"/>
      <c r="AB937" s="9"/>
      <c r="AC937" s="9"/>
      <c r="AD937" s="9"/>
    </row>
    <row r="938" ht="15.75" customHeight="1">
      <c r="A938" s="9"/>
      <c r="B938" s="9"/>
      <c r="C938" s="9"/>
      <c r="D938" s="9"/>
      <c r="E938" s="223"/>
      <c r="F938" s="9"/>
      <c r="G938" s="9"/>
      <c r="H938" s="9"/>
      <c r="I938" s="9"/>
      <c r="J938" s="9"/>
      <c r="K938" s="9"/>
      <c r="L938" s="9"/>
      <c r="M938" s="9"/>
      <c r="N938" s="9"/>
      <c r="O938" s="9"/>
      <c r="P938" s="9"/>
      <c r="Q938" s="9"/>
      <c r="R938" s="9"/>
      <c r="S938" s="9"/>
      <c r="T938" s="9"/>
      <c r="U938" s="9"/>
      <c r="V938" s="9"/>
      <c r="W938" s="9"/>
      <c r="X938" s="223"/>
      <c r="Y938" s="9"/>
      <c r="Z938" s="204"/>
      <c r="AA938" s="9"/>
      <c r="AB938" s="9"/>
      <c r="AC938" s="9"/>
      <c r="AD938" s="9"/>
    </row>
    <row r="939" ht="15.75" customHeight="1">
      <c r="A939" s="9"/>
      <c r="B939" s="9"/>
      <c r="C939" s="9"/>
      <c r="D939" s="9"/>
      <c r="E939" s="223"/>
      <c r="F939" s="9"/>
      <c r="G939" s="9"/>
      <c r="H939" s="9"/>
      <c r="I939" s="9"/>
      <c r="J939" s="9"/>
      <c r="K939" s="9"/>
      <c r="L939" s="9"/>
      <c r="M939" s="9"/>
      <c r="N939" s="9"/>
      <c r="O939" s="9"/>
      <c r="P939" s="9"/>
      <c r="Q939" s="9"/>
      <c r="R939" s="9"/>
      <c r="S939" s="9"/>
      <c r="T939" s="9"/>
      <c r="U939" s="9"/>
      <c r="V939" s="9"/>
      <c r="W939" s="9"/>
      <c r="X939" s="223"/>
      <c r="Y939" s="9"/>
      <c r="Z939" s="204"/>
      <c r="AA939" s="9"/>
      <c r="AB939" s="9"/>
      <c r="AC939" s="9"/>
      <c r="AD939" s="9"/>
    </row>
    <row r="940" ht="15.75" customHeight="1">
      <c r="A940" s="9"/>
      <c r="B940" s="9"/>
      <c r="C940" s="9"/>
      <c r="D940" s="9"/>
      <c r="E940" s="223"/>
      <c r="F940" s="9"/>
      <c r="G940" s="9"/>
      <c r="H940" s="9"/>
      <c r="I940" s="9"/>
      <c r="J940" s="9"/>
      <c r="K940" s="9"/>
      <c r="L940" s="9"/>
      <c r="M940" s="9"/>
      <c r="N940" s="9"/>
      <c r="O940" s="9"/>
      <c r="P940" s="9"/>
      <c r="Q940" s="9"/>
      <c r="R940" s="9"/>
      <c r="S940" s="9"/>
      <c r="T940" s="9"/>
      <c r="U940" s="9"/>
      <c r="V940" s="9"/>
      <c r="W940" s="9"/>
      <c r="X940" s="223"/>
      <c r="Y940" s="9"/>
      <c r="Z940" s="204"/>
      <c r="AA940" s="9"/>
      <c r="AB940" s="9"/>
      <c r="AC940" s="9"/>
      <c r="AD940" s="9"/>
    </row>
    <row r="941" ht="15.75" customHeight="1">
      <c r="A941" s="9"/>
      <c r="B941" s="9"/>
      <c r="C941" s="9"/>
      <c r="D941" s="9"/>
      <c r="E941" s="223"/>
      <c r="F941" s="9"/>
      <c r="G941" s="9"/>
      <c r="H941" s="9"/>
      <c r="I941" s="9"/>
      <c r="J941" s="9"/>
      <c r="K941" s="9"/>
      <c r="L941" s="9"/>
      <c r="M941" s="9"/>
      <c r="N941" s="9"/>
      <c r="O941" s="9"/>
      <c r="P941" s="9"/>
      <c r="Q941" s="9"/>
      <c r="R941" s="9"/>
      <c r="S941" s="9"/>
      <c r="T941" s="9"/>
      <c r="U941" s="9"/>
      <c r="V941" s="9"/>
      <c r="W941" s="9"/>
      <c r="X941" s="223"/>
      <c r="Y941" s="9"/>
      <c r="Z941" s="204"/>
      <c r="AA941" s="9"/>
      <c r="AB941" s="9"/>
      <c r="AC941" s="9"/>
      <c r="AD941" s="9"/>
    </row>
    <row r="942" ht="15.75" customHeight="1">
      <c r="A942" s="9"/>
      <c r="B942" s="9"/>
      <c r="C942" s="9"/>
      <c r="D942" s="9"/>
      <c r="E942" s="223"/>
      <c r="F942" s="9"/>
      <c r="G942" s="9"/>
      <c r="H942" s="9"/>
      <c r="I942" s="9"/>
      <c r="J942" s="9"/>
      <c r="K942" s="9"/>
      <c r="L942" s="9"/>
      <c r="M942" s="9"/>
      <c r="N942" s="9"/>
      <c r="O942" s="9"/>
      <c r="P942" s="9"/>
      <c r="Q942" s="9"/>
      <c r="R942" s="9"/>
      <c r="S942" s="9"/>
      <c r="T942" s="9"/>
      <c r="U942" s="9"/>
      <c r="V942" s="9"/>
      <c r="W942" s="9"/>
      <c r="X942" s="223"/>
      <c r="Y942" s="9"/>
      <c r="Z942" s="204"/>
      <c r="AA942" s="9"/>
      <c r="AB942" s="9"/>
      <c r="AC942" s="9"/>
      <c r="AD942" s="9"/>
    </row>
    <row r="943" ht="15.75" customHeight="1">
      <c r="A943" s="9"/>
      <c r="B943" s="9"/>
      <c r="C943" s="9"/>
      <c r="D943" s="9"/>
      <c r="E943" s="223"/>
      <c r="F943" s="9"/>
      <c r="G943" s="9"/>
      <c r="H943" s="9"/>
      <c r="I943" s="9"/>
      <c r="J943" s="9"/>
      <c r="K943" s="9"/>
      <c r="L943" s="9"/>
      <c r="M943" s="9"/>
      <c r="N943" s="9"/>
      <c r="O943" s="9"/>
      <c r="P943" s="9"/>
      <c r="Q943" s="9"/>
      <c r="R943" s="9"/>
      <c r="S943" s="9"/>
      <c r="T943" s="9"/>
      <c r="U943" s="9"/>
      <c r="V943" s="9"/>
      <c r="W943" s="9"/>
      <c r="X943" s="223"/>
      <c r="Y943" s="9"/>
      <c r="Z943" s="204"/>
      <c r="AA943" s="9"/>
      <c r="AB943" s="9"/>
      <c r="AC943" s="9"/>
      <c r="AD943" s="9"/>
    </row>
    <row r="944" ht="15.75" customHeight="1">
      <c r="A944" s="9"/>
      <c r="B944" s="9"/>
      <c r="C944" s="9"/>
      <c r="D944" s="9"/>
      <c r="E944" s="223"/>
      <c r="F944" s="9"/>
      <c r="G944" s="9"/>
      <c r="H944" s="9"/>
      <c r="I944" s="9"/>
      <c r="J944" s="9"/>
      <c r="K944" s="9"/>
      <c r="L944" s="9"/>
      <c r="M944" s="9"/>
      <c r="N944" s="9"/>
      <c r="O944" s="9"/>
      <c r="P944" s="9"/>
      <c r="Q944" s="9"/>
      <c r="R944" s="9"/>
      <c r="S944" s="9"/>
      <c r="T944" s="9"/>
      <c r="U944" s="9"/>
      <c r="V944" s="9"/>
      <c r="W944" s="9"/>
      <c r="X944" s="223"/>
      <c r="Y944" s="9"/>
      <c r="Z944" s="204"/>
      <c r="AA944" s="9"/>
      <c r="AB944" s="9"/>
      <c r="AC944" s="9"/>
      <c r="AD944" s="9"/>
    </row>
    <row r="945" ht="15.75" customHeight="1">
      <c r="A945" s="9"/>
      <c r="B945" s="9"/>
      <c r="C945" s="9"/>
      <c r="D945" s="9"/>
      <c r="E945" s="223"/>
      <c r="F945" s="9"/>
      <c r="G945" s="9"/>
      <c r="H945" s="9"/>
      <c r="I945" s="9"/>
      <c r="J945" s="9"/>
      <c r="K945" s="9"/>
      <c r="L945" s="9"/>
      <c r="M945" s="9"/>
      <c r="N945" s="9"/>
      <c r="O945" s="9"/>
      <c r="P945" s="9"/>
      <c r="Q945" s="9"/>
      <c r="R945" s="9"/>
      <c r="S945" s="9"/>
      <c r="T945" s="9"/>
      <c r="U945" s="9"/>
      <c r="V945" s="9"/>
      <c r="W945" s="9"/>
      <c r="X945" s="223"/>
      <c r="Y945" s="9"/>
      <c r="Z945" s="204"/>
      <c r="AA945" s="9"/>
      <c r="AB945" s="9"/>
      <c r="AC945" s="9"/>
      <c r="AD945" s="9"/>
    </row>
    <row r="946" ht="15.75" customHeight="1">
      <c r="A946" s="9"/>
      <c r="B946" s="9"/>
      <c r="C946" s="9"/>
      <c r="D946" s="9"/>
      <c r="E946" s="223"/>
      <c r="F946" s="9"/>
      <c r="G946" s="9"/>
      <c r="H946" s="9"/>
      <c r="I946" s="9"/>
      <c r="J946" s="9"/>
      <c r="K946" s="9"/>
      <c r="L946" s="9"/>
      <c r="M946" s="9"/>
      <c r="N946" s="9"/>
      <c r="O946" s="9"/>
      <c r="P946" s="9"/>
      <c r="Q946" s="9"/>
      <c r="R946" s="9"/>
      <c r="S946" s="9"/>
      <c r="T946" s="9"/>
      <c r="U946" s="9"/>
      <c r="V946" s="9"/>
      <c r="W946" s="9"/>
      <c r="X946" s="223"/>
      <c r="Y946" s="9"/>
      <c r="Z946" s="204"/>
      <c r="AA946" s="9"/>
      <c r="AB946" s="9"/>
      <c r="AC946" s="9"/>
      <c r="AD946" s="9"/>
    </row>
    <row r="947" ht="15.75" customHeight="1">
      <c r="A947" s="9"/>
      <c r="B947" s="9"/>
      <c r="C947" s="9"/>
      <c r="D947" s="9"/>
      <c r="E947" s="223"/>
      <c r="F947" s="9"/>
      <c r="G947" s="9"/>
      <c r="H947" s="9"/>
      <c r="I947" s="9"/>
      <c r="J947" s="9"/>
      <c r="K947" s="9"/>
      <c r="L947" s="9"/>
      <c r="M947" s="9"/>
      <c r="N947" s="9"/>
      <c r="O947" s="9"/>
      <c r="P947" s="9"/>
      <c r="Q947" s="9"/>
      <c r="R947" s="9"/>
      <c r="S947" s="9"/>
      <c r="T947" s="9"/>
      <c r="U947" s="9"/>
      <c r="V947" s="9"/>
      <c r="W947" s="9"/>
      <c r="X947" s="223"/>
      <c r="Y947" s="9"/>
      <c r="Z947" s="204"/>
      <c r="AA947" s="9"/>
      <c r="AB947" s="9"/>
      <c r="AC947" s="9"/>
      <c r="AD947" s="9"/>
    </row>
    <row r="948" ht="15.75" customHeight="1">
      <c r="A948" s="9"/>
      <c r="B948" s="9"/>
      <c r="C948" s="9"/>
      <c r="D948" s="9"/>
      <c r="E948" s="223"/>
      <c r="F948" s="9"/>
      <c r="G948" s="9"/>
      <c r="H948" s="9"/>
      <c r="I948" s="9"/>
      <c r="J948" s="9"/>
      <c r="K948" s="9"/>
      <c r="L948" s="9"/>
      <c r="M948" s="9"/>
      <c r="N948" s="9"/>
      <c r="O948" s="9"/>
      <c r="P948" s="9"/>
      <c r="Q948" s="9"/>
      <c r="R948" s="9"/>
      <c r="S948" s="9"/>
      <c r="T948" s="9"/>
      <c r="U948" s="9"/>
      <c r="V948" s="9"/>
      <c r="W948" s="9"/>
      <c r="X948" s="223"/>
      <c r="Y948" s="9"/>
      <c r="Z948" s="204"/>
      <c r="AA948" s="9"/>
      <c r="AB948" s="9"/>
      <c r="AC948" s="9"/>
      <c r="AD948" s="9"/>
    </row>
    <row r="949" ht="15.75" customHeight="1">
      <c r="A949" s="9"/>
      <c r="B949" s="9"/>
      <c r="C949" s="9"/>
      <c r="D949" s="9"/>
      <c r="E949" s="223"/>
      <c r="F949" s="9"/>
      <c r="G949" s="9"/>
      <c r="H949" s="9"/>
      <c r="I949" s="9"/>
      <c r="J949" s="9"/>
      <c r="K949" s="9"/>
      <c r="L949" s="9"/>
      <c r="M949" s="9"/>
      <c r="N949" s="9"/>
      <c r="O949" s="9"/>
      <c r="P949" s="9"/>
      <c r="Q949" s="9"/>
      <c r="R949" s="9"/>
      <c r="S949" s="9"/>
      <c r="T949" s="9"/>
      <c r="U949" s="9"/>
      <c r="V949" s="9"/>
      <c r="W949" s="9"/>
      <c r="X949" s="223"/>
      <c r="Y949" s="9"/>
      <c r="Z949" s="204"/>
      <c r="AA949" s="9"/>
      <c r="AB949" s="9"/>
      <c r="AC949" s="9"/>
      <c r="AD949" s="9"/>
    </row>
    <row r="950" ht="15.75" customHeight="1">
      <c r="A950" s="9"/>
      <c r="B950" s="9"/>
      <c r="C950" s="9"/>
      <c r="D950" s="9"/>
      <c r="E950" s="223"/>
      <c r="F950" s="9"/>
      <c r="G950" s="9"/>
      <c r="H950" s="9"/>
      <c r="I950" s="9"/>
      <c r="J950" s="9"/>
      <c r="K950" s="9"/>
      <c r="L950" s="9"/>
      <c r="M950" s="9"/>
      <c r="N950" s="9"/>
      <c r="O950" s="9"/>
      <c r="P950" s="9"/>
      <c r="Q950" s="9"/>
      <c r="R950" s="9"/>
      <c r="S950" s="9"/>
      <c r="T950" s="9"/>
      <c r="U950" s="9"/>
      <c r="V950" s="9"/>
      <c r="W950" s="9"/>
      <c r="X950" s="223"/>
      <c r="Y950" s="9"/>
      <c r="Z950" s="204"/>
      <c r="AA950" s="9"/>
      <c r="AB950" s="9"/>
      <c r="AC950" s="9"/>
      <c r="AD950" s="9"/>
    </row>
    <row r="951" ht="15.75" customHeight="1">
      <c r="A951" s="9"/>
      <c r="B951" s="9"/>
      <c r="C951" s="9"/>
      <c r="D951" s="9"/>
      <c r="E951" s="223"/>
      <c r="F951" s="9"/>
      <c r="G951" s="9"/>
      <c r="H951" s="9"/>
      <c r="I951" s="9"/>
      <c r="J951" s="9"/>
      <c r="K951" s="9"/>
      <c r="L951" s="9"/>
      <c r="M951" s="9"/>
      <c r="N951" s="9"/>
      <c r="O951" s="9"/>
      <c r="P951" s="9"/>
      <c r="Q951" s="9"/>
      <c r="R951" s="9"/>
      <c r="S951" s="9"/>
      <c r="T951" s="9"/>
      <c r="U951" s="9"/>
      <c r="V951" s="9"/>
      <c r="W951" s="9"/>
      <c r="X951" s="223"/>
      <c r="Y951" s="9"/>
      <c r="Z951" s="204"/>
      <c r="AA951" s="9"/>
      <c r="AB951" s="9"/>
      <c r="AC951" s="9"/>
      <c r="AD951" s="9"/>
    </row>
    <row r="952" ht="15.75" customHeight="1">
      <c r="A952" s="9"/>
      <c r="B952" s="9"/>
      <c r="C952" s="9"/>
      <c r="D952" s="9"/>
      <c r="E952" s="223"/>
      <c r="F952" s="9"/>
      <c r="G952" s="9"/>
      <c r="H952" s="9"/>
      <c r="I952" s="9"/>
      <c r="J952" s="9"/>
      <c r="K952" s="9"/>
      <c r="L952" s="9"/>
      <c r="M952" s="9"/>
      <c r="N952" s="9"/>
      <c r="O952" s="9"/>
      <c r="P952" s="9"/>
      <c r="Q952" s="9"/>
      <c r="R952" s="9"/>
      <c r="S952" s="9"/>
      <c r="T952" s="9"/>
      <c r="U952" s="9"/>
      <c r="V952" s="9"/>
      <c r="W952" s="9"/>
      <c r="X952" s="223"/>
      <c r="Y952" s="9"/>
      <c r="Z952" s="204"/>
      <c r="AA952" s="9"/>
      <c r="AB952" s="9"/>
      <c r="AC952" s="9"/>
      <c r="AD952" s="9"/>
    </row>
    <row r="953" ht="15.75" customHeight="1">
      <c r="A953" s="9"/>
      <c r="B953" s="9"/>
      <c r="C953" s="9"/>
      <c r="D953" s="9"/>
      <c r="E953" s="223"/>
      <c r="F953" s="9"/>
      <c r="G953" s="9"/>
      <c r="H953" s="9"/>
      <c r="I953" s="9"/>
      <c r="J953" s="9"/>
      <c r="K953" s="9"/>
      <c r="L953" s="9"/>
      <c r="M953" s="9"/>
      <c r="N953" s="9"/>
      <c r="O953" s="9"/>
      <c r="P953" s="9"/>
      <c r="Q953" s="9"/>
      <c r="R953" s="9"/>
      <c r="S953" s="9"/>
      <c r="T953" s="9"/>
      <c r="U953" s="9"/>
      <c r="V953" s="9"/>
      <c r="W953" s="9"/>
      <c r="X953" s="223"/>
      <c r="Y953" s="9"/>
      <c r="Z953" s="204"/>
      <c r="AA953" s="9"/>
      <c r="AB953" s="9"/>
      <c r="AC953" s="9"/>
      <c r="AD953" s="9"/>
    </row>
    <row r="954" ht="15.75" customHeight="1">
      <c r="A954" s="9"/>
      <c r="B954" s="9"/>
      <c r="C954" s="9"/>
      <c r="D954" s="9"/>
      <c r="E954" s="223"/>
      <c r="F954" s="9"/>
      <c r="G954" s="9"/>
      <c r="H954" s="9"/>
      <c r="I954" s="9"/>
      <c r="J954" s="9"/>
      <c r="K954" s="9"/>
      <c r="L954" s="9"/>
      <c r="M954" s="9"/>
      <c r="N954" s="9"/>
      <c r="O954" s="9"/>
      <c r="P954" s="9"/>
      <c r="Q954" s="9"/>
      <c r="R954" s="9"/>
      <c r="S954" s="9"/>
      <c r="T954" s="9"/>
      <c r="U954" s="9"/>
      <c r="V954" s="9"/>
      <c r="W954" s="9"/>
      <c r="X954" s="223"/>
      <c r="Y954" s="9"/>
      <c r="Z954" s="204"/>
      <c r="AA954" s="9"/>
      <c r="AB954" s="9"/>
      <c r="AC954" s="9"/>
      <c r="AD954" s="9"/>
    </row>
    <row r="955" ht="15.75" customHeight="1">
      <c r="A955" s="9"/>
      <c r="B955" s="9"/>
      <c r="C955" s="9"/>
      <c r="D955" s="9"/>
      <c r="E955" s="223"/>
      <c r="F955" s="9"/>
      <c r="G955" s="9"/>
      <c r="H955" s="9"/>
      <c r="I955" s="9"/>
      <c r="J955" s="9"/>
      <c r="K955" s="9"/>
      <c r="L955" s="9"/>
      <c r="M955" s="9"/>
      <c r="N955" s="9"/>
      <c r="O955" s="9"/>
      <c r="P955" s="9"/>
      <c r="Q955" s="9"/>
      <c r="R955" s="9"/>
      <c r="S955" s="9"/>
      <c r="T955" s="9"/>
      <c r="U955" s="9"/>
      <c r="V955" s="9"/>
      <c r="W955" s="9"/>
      <c r="X955" s="223"/>
      <c r="Y955" s="9"/>
      <c r="Z955" s="204"/>
      <c r="AA955" s="9"/>
      <c r="AB955" s="9"/>
      <c r="AC955" s="9"/>
      <c r="AD955" s="9"/>
    </row>
    <row r="956" ht="15.75" customHeight="1">
      <c r="A956" s="9"/>
      <c r="B956" s="9"/>
      <c r="C956" s="9"/>
      <c r="D956" s="9"/>
      <c r="E956" s="223"/>
      <c r="F956" s="9"/>
      <c r="G956" s="9"/>
      <c r="H956" s="9"/>
      <c r="I956" s="9"/>
      <c r="J956" s="9"/>
      <c r="K956" s="9"/>
      <c r="L956" s="9"/>
      <c r="M956" s="9"/>
      <c r="N956" s="9"/>
      <c r="O956" s="9"/>
      <c r="P956" s="9"/>
      <c r="Q956" s="9"/>
      <c r="R956" s="9"/>
      <c r="S956" s="9"/>
      <c r="T956" s="9"/>
      <c r="U956" s="9"/>
      <c r="V956" s="9"/>
      <c r="W956" s="9"/>
      <c r="X956" s="223"/>
      <c r="Y956" s="9"/>
      <c r="Z956" s="204"/>
      <c r="AA956" s="9"/>
      <c r="AB956" s="9"/>
      <c r="AC956" s="9"/>
      <c r="AD956" s="9"/>
    </row>
    <row r="957" ht="15.75" customHeight="1">
      <c r="A957" s="9"/>
      <c r="B957" s="9"/>
      <c r="C957" s="9"/>
      <c r="D957" s="9"/>
      <c r="E957" s="223"/>
      <c r="F957" s="9"/>
      <c r="G957" s="9"/>
      <c r="H957" s="9"/>
      <c r="I957" s="9"/>
      <c r="J957" s="9"/>
      <c r="K957" s="9"/>
      <c r="L957" s="9"/>
      <c r="M957" s="9"/>
      <c r="N957" s="9"/>
      <c r="O957" s="9"/>
      <c r="P957" s="9"/>
      <c r="Q957" s="9"/>
      <c r="R957" s="9"/>
      <c r="S957" s="9"/>
      <c r="T957" s="9"/>
      <c r="U957" s="9"/>
      <c r="V957" s="9"/>
      <c r="W957" s="9"/>
      <c r="X957" s="223"/>
      <c r="Y957" s="9"/>
      <c r="Z957" s="204"/>
      <c r="AA957" s="9"/>
      <c r="AB957" s="9"/>
      <c r="AC957" s="9"/>
      <c r="AD957" s="9"/>
    </row>
    <row r="958" ht="15.75" customHeight="1">
      <c r="A958" s="9"/>
      <c r="B958" s="9"/>
      <c r="C958" s="9"/>
      <c r="D958" s="9"/>
      <c r="E958" s="223"/>
      <c r="F958" s="9"/>
      <c r="G958" s="9"/>
      <c r="H958" s="9"/>
      <c r="I958" s="9"/>
      <c r="J958" s="9"/>
      <c r="K958" s="9"/>
      <c r="L958" s="9"/>
      <c r="M958" s="9"/>
      <c r="N958" s="9"/>
      <c r="O958" s="9"/>
      <c r="P958" s="9"/>
      <c r="Q958" s="9"/>
      <c r="R958" s="9"/>
      <c r="S958" s="9"/>
      <c r="T958" s="9"/>
      <c r="U958" s="9"/>
      <c r="V958" s="9"/>
      <c r="W958" s="9"/>
      <c r="X958" s="223"/>
      <c r="Y958" s="9"/>
      <c r="Z958" s="204"/>
      <c r="AA958" s="9"/>
      <c r="AB958" s="9"/>
      <c r="AC958" s="9"/>
      <c r="AD958" s="9"/>
    </row>
    <row r="959" ht="15.75" customHeight="1">
      <c r="A959" s="9"/>
      <c r="B959" s="9"/>
      <c r="C959" s="9"/>
      <c r="D959" s="9"/>
      <c r="E959" s="223"/>
      <c r="F959" s="9"/>
      <c r="G959" s="9"/>
      <c r="H959" s="9"/>
      <c r="I959" s="9"/>
      <c r="J959" s="9"/>
      <c r="K959" s="9"/>
      <c r="L959" s="9"/>
      <c r="M959" s="9"/>
      <c r="N959" s="9"/>
      <c r="O959" s="9"/>
      <c r="P959" s="9"/>
      <c r="Q959" s="9"/>
      <c r="R959" s="9"/>
      <c r="S959" s="9"/>
      <c r="T959" s="9"/>
      <c r="U959" s="9"/>
      <c r="V959" s="9"/>
      <c r="W959" s="9"/>
      <c r="X959" s="223"/>
      <c r="Y959" s="9"/>
      <c r="Z959" s="204"/>
      <c r="AA959" s="9"/>
      <c r="AB959" s="9"/>
      <c r="AC959" s="9"/>
      <c r="AD959" s="9"/>
    </row>
    <row r="960" ht="15.75" customHeight="1">
      <c r="A960" s="9"/>
      <c r="B960" s="9"/>
      <c r="C960" s="9"/>
      <c r="D960" s="9"/>
      <c r="E960" s="223"/>
      <c r="F960" s="9"/>
      <c r="G960" s="9"/>
      <c r="H960" s="9"/>
      <c r="I960" s="9"/>
      <c r="J960" s="9"/>
      <c r="K960" s="9"/>
      <c r="L960" s="9"/>
      <c r="M960" s="9"/>
      <c r="N960" s="9"/>
      <c r="O960" s="9"/>
      <c r="P960" s="9"/>
      <c r="Q960" s="9"/>
      <c r="R960" s="9"/>
      <c r="S960" s="9"/>
      <c r="T960" s="9"/>
      <c r="U960" s="9"/>
      <c r="V960" s="9"/>
      <c r="W960" s="9"/>
      <c r="X960" s="223"/>
      <c r="Y960" s="9"/>
      <c r="Z960" s="204"/>
      <c r="AA960" s="9"/>
      <c r="AB960" s="9"/>
      <c r="AC960" s="9"/>
      <c r="AD960" s="9"/>
    </row>
    <row r="961" ht="15.75" customHeight="1">
      <c r="A961" s="9"/>
      <c r="B961" s="9"/>
      <c r="C961" s="9"/>
      <c r="D961" s="9"/>
      <c r="E961" s="223"/>
      <c r="F961" s="9"/>
      <c r="G961" s="9"/>
      <c r="H961" s="9"/>
      <c r="I961" s="9"/>
      <c r="J961" s="9"/>
      <c r="K961" s="9"/>
      <c r="L961" s="9"/>
      <c r="M961" s="9"/>
      <c r="N961" s="9"/>
      <c r="O961" s="9"/>
      <c r="P961" s="9"/>
      <c r="Q961" s="9"/>
      <c r="R961" s="9"/>
      <c r="S961" s="9"/>
      <c r="T961" s="9"/>
      <c r="U961" s="9"/>
      <c r="V961" s="9"/>
      <c r="W961" s="9"/>
      <c r="X961" s="223"/>
      <c r="Y961" s="9"/>
      <c r="Z961" s="204"/>
      <c r="AA961" s="9"/>
      <c r="AB961" s="9"/>
      <c r="AC961" s="9"/>
      <c r="AD961" s="9"/>
    </row>
    <row r="962" ht="15.75" customHeight="1">
      <c r="A962" s="9"/>
      <c r="B962" s="9"/>
      <c r="C962" s="9"/>
      <c r="D962" s="9"/>
      <c r="E962" s="223"/>
      <c r="F962" s="9"/>
      <c r="G962" s="9"/>
      <c r="H962" s="9"/>
      <c r="I962" s="9"/>
      <c r="J962" s="9"/>
      <c r="K962" s="9"/>
      <c r="L962" s="9"/>
      <c r="M962" s="9"/>
      <c r="N962" s="9"/>
      <c r="O962" s="9"/>
      <c r="P962" s="9"/>
      <c r="Q962" s="9"/>
      <c r="R962" s="9"/>
      <c r="S962" s="9"/>
      <c r="T962" s="9"/>
      <c r="U962" s="9"/>
      <c r="V962" s="9"/>
      <c r="W962" s="9"/>
      <c r="X962" s="223"/>
      <c r="Y962" s="9"/>
      <c r="Z962" s="204"/>
      <c r="AA962" s="9"/>
      <c r="AB962" s="9"/>
      <c r="AC962" s="9"/>
      <c r="AD962" s="9"/>
    </row>
    <row r="963" ht="15.75" customHeight="1">
      <c r="A963" s="9"/>
      <c r="B963" s="9"/>
      <c r="C963" s="9"/>
      <c r="D963" s="9"/>
      <c r="E963" s="223"/>
      <c r="F963" s="9"/>
      <c r="G963" s="9"/>
      <c r="H963" s="9"/>
      <c r="I963" s="9"/>
      <c r="J963" s="9"/>
      <c r="K963" s="9"/>
      <c r="L963" s="9"/>
      <c r="M963" s="9"/>
      <c r="N963" s="9"/>
      <c r="O963" s="9"/>
      <c r="P963" s="9"/>
      <c r="Q963" s="9"/>
      <c r="R963" s="9"/>
      <c r="S963" s="9"/>
      <c r="T963" s="9"/>
      <c r="U963" s="9"/>
      <c r="V963" s="9"/>
      <c r="W963" s="9"/>
      <c r="X963" s="223"/>
      <c r="Y963" s="9"/>
      <c r="Z963" s="204"/>
      <c r="AA963" s="9"/>
      <c r="AB963" s="9"/>
      <c r="AC963" s="9"/>
      <c r="AD963" s="9"/>
    </row>
    <row r="964" ht="15.75" customHeight="1">
      <c r="A964" s="9"/>
      <c r="B964" s="9"/>
      <c r="C964" s="9"/>
      <c r="D964" s="9"/>
      <c r="E964" s="223"/>
      <c r="F964" s="9"/>
      <c r="G964" s="9"/>
      <c r="H964" s="9"/>
      <c r="I964" s="9"/>
      <c r="J964" s="9"/>
      <c r="K964" s="9"/>
      <c r="L964" s="9"/>
      <c r="M964" s="9"/>
      <c r="N964" s="9"/>
      <c r="O964" s="9"/>
      <c r="P964" s="9"/>
      <c r="Q964" s="9"/>
      <c r="R964" s="9"/>
      <c r="S964" s="9"/>
      <c r="T964" s="9"/>
      <c r="U964" s="9"/>
      <c r="V964" s="9"/>
      <c r="W964" s="9"/>
      <c r="X964" s="223"/>
      <c r="Y964" s="9"/>
      <c r="Z964" s="204"/>
      <c r="AA964" s="9"/>
      <c r="AB964" s="9"/>
      <c r="AC964" s="9"/>
      <c r="AD964" s="9"/>
    </row>
    <row r="965" ht="15.75" customHeight="1">
      <c r="A965" s="9"/>
      <c r="B965" s="9"/>
      <c r="C965" s="9"/>
      <c r="D965" s="9"/>
      <c r="E965" s="223"/>
      <c r="F965" s="9"/>
      <c r="G965" s="9"/>
      <c r="H965" s="9"/>
      <c r="I965" s="9"/>
      <c r="J965" s="9"/>
      <c r="K965" s="9"/>
      <c r="L965" s="9"/>
      <c r="M965" s="9"/>
      <c r="N965" s="9"/>
      <c r="O965" s="9"/>
      <c r="P965" s="9"/>
      <c r="Q965" s="9"/>
      <c r="R965" s="9"/>
      <c r="S965" s="9"/>
      <c r="T965" s="9"/>
      <c r="U965" s="9"/>
      <c r="V965" s="9"/>
      <c r="W965" s="9"/>
      <c r="X965" s="223"/>
      <c r="Y965" s="9"/>
      <c r="Z965" s="204"/>
      <c r="AA965" s="9"/>
      <c r="AB965" s="9"/>
      <c r="AC965" s="9"/>
      <c r="AD965" s="9"/>
    </row>
    <row r="966" ht="15.75" customHeight="1">
      <c r="A966" s="9"/>
      <c r="B966" s="9"/>
      <c r="C966" s="9"/>
      <c r="D966" s="9"/>
      <c r="E966" s="223"/>
      <c r="F966" s="9"/>
      <c r="G966" s="9"/>
      <c r="H966" s="9"/>
      <c r="I966" s="9"/>
      <c r="J966" s="9"/>
      <c r="K966" s="9"/>
      <c r="L966" s="9"/>
      <c r="M966" s="9"/>
      <c r="N966" s="9"/>
      <c r="O966" s="9"/>
      <c r="P966" s="9"/>
      <c r="Q966" s="9"/>
      <c r="R966" s="9"/>
      <c r="S966" s="9"/>
      <c r="T966" s="9"/>
      <c r="U966" s="9"/>
      <c r="V966" s="9"/>
      <c r="W966" s="9"/>
      <c r="X966" s="223"/>
      <c r="Y966" s="9"/>
      <c r="Z966" s="204"/>
      <c r="AA966" s="9"/>
      <c r="AB966" s="9"/>
      <c r="AC966" s="9"/>
      <c r="AD966" s="9"/>
    </row>
    <row r="967" ht="15.75" customHeight="1">
      <c r="A967" s="9"/>
      <c r="B967" s="9"/>
      <c r="C967" s="9"/>
      <c r="D967" s="9"/>
      <c r="E967" s="223"/>
      <c r="F967" s="9"/>
      <c r="G967" s="9"/>
      <c r="H967" s="9"/>
      <c r="I967" s="9"/>
      <c r="J967" s="9"/>
      <c r="K967" s="9"/>
      <c r="L967" s="9"/>
      <c r="M967" s="9"/>
      <c r="N967" s="9"/>
      <c r="O967" s="9"/>
      <c r="P967" s="9"/>
      <c r="Q967" s="9"/>
      <c r="R967" s="9"/>
      <c r="S967" s="9"/>
      <c r="T967" s="9"/>
      <c r="U967" s="9"/>
      <c r="V967" s="9"/>
      <c r="W967" s="9"/>
      <c r="X967" s="223"/>
      <c r="Y967" s="9"/>
      <c r="Z967" s="204"/>
      <c r="AA967" s="9"/>
      <c r="AB967" s="9"/>
      <c r="AC967" s="9"/>
      <c r="AD967" s="9"/>
    </row>
    <row r="968" ht="15.75" customHeight="1">
      <c r="A968" s="9"/>
      <c r="B968" s="9"/>
      <c r="C968" s="9"/>
      <c r="D968" s="9"/>
      <c r="E968" s="223"/>
      <c r="F968" s="9"/>
      <c r="G968" s="9"/>
      <c r="H968" s="9"/>
      <c r="I968" s="9"/>
      <c r="J968" s="9"/>
      <c r="K968" s="9"/>
      <c r="L968" s="9"/>
      <c r="M968" s="9"/>
      <c r="N968" s="9"/>
      <c r="O968" s="9"/>
      <c r="P968" s="9"/>
      <c r="Q968" s="9"/>
      <c r="R968" s="9"/>
      <c r="S968" s="9"/>
      <c r="T968" s="9"/>
      <c r="U968" s="9"/>
      <c r="V968" s="9"/>
      <c r="W968" s="9"/>
      <c r="X968" s="223"/>
      <c r="Y968" s="9"/>
      <c r="Z968" s="204"/>
      <c r="AA968" s="9"/>
      <c r="AB968" s="9"/>
      <c r="AC968" s="9"/>
      <c r="AD968" s="9"/>
    </row>
    <row r="969" ht="15.75" customHeight="1">
      <c r="A969" s="9"/>
      <c r="B969" s="9"/>
      <c r="C969" s="9"/>
      <c r="D969" s="9"/>
      <c r="E969" s="223"/>
      <c r="F969" s="9"/>
      <c r="G969" s="9"/>
      <c r="H969" s="9"/>
      <c r="I969" s="9"/>
      <c r="J969" s="9"/>
      <c r="K969" s="9"/>
      <c r="L969" s="9"/>
      <c r="M969" s="9"/>
      <c r="N969" s="9"/>
      <c r="O969" s="9"/>
      <c r="P969" s="9"/>
      <c r="Q969" s="9"/>
      <c r="R969" s="9"/>
      <c r="S969" s="9"/>
      <c r="T969" s="9"/>
      <c r="U969" s="9"/>
      <c r="V969" s="9"/>
      <c r="W969" s="9"/>
      <c r="X969" s="223"/>
      <c r="Y969" s="9"/>
      <c r="Z969" s="204"/>
      <c r="AA969" s="9"/>
      <c r="AB969" s="9"/>
      <c r="AC969" s="9"/>
      <c r="AD969" s="9"/>
    </row>
    <row r="970" ht="15.75" customHeight="1">
      <c r="A970" s="9"/>
      <c r="B970" s="9"/>
      <c r="C970" s="9"/>
      <c r="D970" s="9"/>
      <c r="E970" s="223"/>
      <c r="F970" s="9"/>
      <c r="G970" s="9"/>
      <c r="H970" s="9"/>
      <c r="I970" s="9"/>
      <c r="J970" s="9"/>
      <c r="K970" s="9"/>
      <c r="L970" s="9"/>
      <c r="M970" s="9"/>
      <c r="N970" s="9"/>
      <c r="O970" s="9"/>
      <c r="P970" s="9"/>
      <c r="Q970" s="9"/>
      <c r="R970" s="9"/>
      <c r="S970" s="9"/>
      <c r="T970" s="9"/>
      <c r="U970" s="9"/>
      <c r="V970" s="9"/>
      <c r="W970" s="9"/>
      <c r="X970" s="223"/>
      <c r="Y970" s="9"/>
      <c r="Z970" s="204"/>
      <c r="AA970" s="9"/>
      <c r="AB970" s="9"/>
      <c r="AC970" s="9"/>
      <c r="AD970" s="9"/>
    </row>
    <row r="971" ht="15.75" customHeight="1">
      <c r="A971" s="9"/>
      <c r="B971" s="9"/>
      <c r="C971" s="9"/>
      <c r="D971" s="9"/>
      <c r="E971" s="223"/>
      <c r="F971" s="9"/>
      <c r="G971" s="9"/>
      <c r="H971" s="9"/>
      <c r="I971" s="9"/>
      <c r="J971" s="9"/>
      <c r="K971" s="9"/>
      <c r="L971" s="9"/>
      <c r="M971" s="9"/>
      <c r="N971" s="9"/>
      <c r="O971" s="9"/>
      <c r="P971" s="9"/>
      <c r="Q971" s="9"/>
      <c r="R971" s="9"/>
      <c r="S971" s="9"/>
      <c r="T971" s="9"/>
      <c r="U971" s="9"/>
      <c r="V971" s="9"/>
      <c r="W971" s="9"/>
      <c r="X971" s="223"/>
      <c r="Y971" s="9"/>
      <c r="Z971" s="204"/>
      <c r="AA971" s="9"/>
      <c r="AB971" s="9"/>
      <c r="AC971" s="9"/>
      <c r="AD971" s="9"/>
    </row>
    <row r="972" ht="15.75" customHeight="1">
      <c r="A972" s="9"/>
      <c r="B972" s="9"/>
      <c r="C972" s="9"/>
      <c r="D972" s="9"/>
      <c r="E972" s="223"/>
      <c r="F972" s="9"/>
      <c r="G972" s="9"/>
      <c r="H972" s="9"/>
      <c r="I972" s="9"/>
      <c r="J972" s="9"/>
      <c r="K972" s="9"/>
      <c r="L972" s="9"/>
      <c r="M972" s="9"/>
      <c r="N972" s="9"/>
      <c r="O972" s="9"/>
      <c r="P972" s="9"/>
      <c r="Q972" s="9"/>
      <c r="R972" s="9"/>
      <c r="S972" s="9"/>
      <c r="T972" s="9"/>
      <c r="U972" s="9"/>
      <c r="V972" s="9"/>
      <c r="W972" s="9"/>
      <c r="X972" s="223"/>
      <c r="Y972" s="9"/>
      <c r="Z972" s="204"/>
      <c r="AA972" s="9"/>
      <c r="AB972" s="9"/>
      <c r="AC972" s="9"/>
      <c r="AD972" s="9"/>
    </row>
    <row r="973" ht="15.75" customHeight="1">
      <c r="A973" s="9"/>
      <c r="B973" s="9"/>
      <c r="C973" s="9"/>
      <c r="D973" s="9"/>
      <c r="E973" s="223"/>
      <c r="F973" s="9"/>
      <c r="G973" s="9"/>
      <c r="H973" s="9"/>
      <c r="I973" s="9"/>
      <c r="J973" s="9"/>
      <c r="K973" s="9"/>
      <c r="L973" s="9"/>
      <c r="M973" s="9"/>
      <c r="N973" s="9"/>
      <c r="O973" s="9"/>
      <c r="P973" s="9"/>
      <c r="Q973" s="9"/>
      <c r="R973" s="9"/>
      <c r="S973" s="9"/>
      <c r="T973" s="9"/>
      <c r="U973" s="9"/>
      <c r="V973" s="9"/>
      <c r="W973" s="9"/>
      <c r="X973" s="223"/>
      <c r="Y973" s="9"/>
      <c r="Z973" s="204"/>
      <c r="AA973" s="9"/>
      <c r="AB973" s="9"/>
      <c r="AC973" s="9"/>
      <c r="AD973" s="9"/>
    </row>
    <row r="974" ht="15.75" customHeight="1">
      <c r="A974" s="9"/>
      <c r="B974" s="9"/>
      <c r="C974" s="9"/>
      <c r="D974" s="9"/>
      <c r="E974" s="223"/>
      <c r="F974" s="9"/>
      <c r="G974" s="9"/>
      <c r="H974" s="9"/>
      <c r="I974" s="9"/>
      <c r="J974" s="9"/>
      <c r="K974" s="9"/>
      <c r="L974" s="9"/>
      <c r="M974" s="9"/>
      <c r="N974" s="9"/>
      <c r="O974" s="9"/>
      <c r="P974" s="9"/>
      <c r="Q974" s="9"/>
      <c r="R974" s="9"/>
      <c r="S974" s="9"/>
      <c r="T974" s="9"/>
      <c r="U974" s="9"/>
      <c r="V974" s="9"/>
      <c r="W974" s="9"/>
      <c r="X974" s="223"/>
      <c r="Y974" s="9"/>
      <c r="Z974" s="204"/>
      <c r="AA974" s="9"/>
      <c r="AB974" s="9"/>
      <c r="AC974" s="9"/>
      <c r="AD974" s="9"/>
    </row>
    <row r="975" ht="15.75" customHeight="1">
      <c r="A975" s="9"/>
      <c r="B975" s="9"/>
      <c r="C975" s="9"/>
      <c r="D975" s="9"/>
      <c r="E975" s="223"/>
      <c r="F975" s="9"/>
      <c r="G975" s="9"/>
      <c r="H975" s="9"/>
      <c r="I975" s="9"/>
      <c r="J975" s="9"/>
      <c r="K975" s="9"/>
      <c r="L975" s="9"/>
      <c r="M975" s="9"/>
      <c r="N975" s="9"/>
      <c r="O975" s="9"/>
      <c r="P975" s="9"/>
      <c r="Q975" s="9"/>
      <c r="R975" s="9"/>
      <c r="S975" s="9"/>
      <c r="T975" s="9"/>
      <c r="U975" s="9"/>
      <c r="V975" s="9"/>
      <c r="W975" s="9"/>
      <c r="X975" s="223"/>
      <c r="Y975" s="9"/>
      <c r="Z975" s="204"/>
      <c r="AA975" s="9"/>
      <c r="AB975" s="9"/>
      <c r="AC975" s="9"/>
      <c r="AD975" s="9"/>
    </row>
    <row r="976" ht="15.75" customHeight="1">
      <c r="A976" s="9"/>
      <c r="B976" s="9"/>
      <c r="C976" s="9"/>
      <c r="D976" s="9"/>
      <c r="E976" s="223"/>
      <c r="F976" s="9"/>
      <c r="G976" s="9"/>
      <c r="H976" s="9"/>
      <c r="I976" s="9"/>
      <c r="J976" s="9"/>
      <c r="K976" s="9"/>
      <c r="L976" s="9"/>
      <c r="M976" s="9"/>
      <c r="N976" s="9"/>
      <c r="O976" s="9"/>
      <c r="P976" s="9"/>
      <c r="Q976" s="9"/>
      <c r="R976" s="9"/>
      <c r="S976" s="9"/>
      <c r="T976" s="9"/>
      <c r="U976" s="9"/>
      <c r="V976" s="9"/>
      <c r="W976" s="9"/>
      <c r="X976" s="223"/>
      <c r="Y976" s="9"/>
      <c r="Z976" s="204"/>
      <c r="AA976" s="9"/>
      <c r="AB976" s="9"/>
      <c r="AC976" s="9"/>
      <c r="AD976" s="9"/>
    </row>
    <row r="977" ht="15.75" customHeight="1">
      <c r="A977" s="9"/>
      <c r="B977" s="9"/>
      <c r="C977" s="9"/>
      <c r="D977" s="9"/>
      <c r="E977" s="223"/>
      <c r="F977" s="9"/>
      <c r="G977" s="9"/>
      <c r="H977" s="9"/>
      <c r="I977" s="9"/>
      <c r="J977" s="9"/>
      <c r="K977" s="9"/>
      <c r="L977" s="9"/>
      <c r="M977" s="9"/>
      <c r="N977" s="9"/>
      <c r="O977" s="9"/>
      <c r="P977" s="9"/>
      <c r="Q977" s="9"/>
      <c r="R977" s="9"/>
      <c r="S977" s="9"/>
      <c r="T977" s="9"/>
      <c r="U977" s="9"/>
      <c r="V977" s="9"/>
      <c r="W977" s="9"/>
      <c r="X977" s="223"/>
      <c r="Y977" s="9"/>
      <c r="Z977" s="204"/>
      <c r="AA977" s="9"/>
      <c r="AB977" s="9"/>
      <c r="AC977" s="9"/>
      <c r="AD977" s="9"/>
    </row>
    <row r="978" ht="15.75" customHeight="1">
      <c r="A978" s="9"/>
      <c r="B978" s="9"/>
      <c r="C978" s="9"/>
      <c r="D978" s="9"/>
      <c r="E978" s="223"/>
      <c r="F978" s="9"/>
      <c r="G978" s="9"/>
      <c r="H978" s="9"/>
      <c r="I978" s="9"/>
      <c r="J978" s="9"/>
      <c r="K978" s="9"/>
      <c r="L978" s="9"/>
      <c r="M978" s="9"/>
      <c r="N978" s="9"/>
      <c r="O978" s="9"/>
      <c r="P978" s="9"/>
      <c r="Q978" s="9"/>
      <c r="R978" s="9"/>
      <c r="S978" s="9"/>
      <c r="T978" s="9"/>
      <c r="U978" s="9"/>
      <c r="V978" s="9"/>
      <c r="W978" s="9"/>
      <c r="X978" s="223"/>
      <c r="Y978" s="9"/>
      <c r="Z978" s="204"/>
      <c r="AA978" s="9"/>
      <c r="AB978" s="9"/>
      <c r="AC978" s="9"/>
      <c r="AD978" s="9"/>
    </row>
    <row r="979" ht="15.75" customHeight="1">
      <c r="A979" s="9"/>
      <c r="B979" s="9"/>
      <c r="C979" s="9"/>
      <c r="D979" s="9"/>
      <c r="E979" s="223"/>
      <c r="F979" s="9"/>
      <c r="G979" s="9"/>
      <c r="H979" s="9"/>
      <c r="I979" s="9"/>
      <c r="J979" s="9"/>
      <c r="K979" s="9"/>
      <c r="L979" s="9"/>
      <c r="M979" s="9"/>
      <c r="N979" s="9"/>
      <c r="O979" s="9"/>
      <c r="P979" s="9"/>
      <c r="Q979" s="9"/>
      <c r="R979" s="9"/>
      <c r="S979" s="9"/>
      <c r="T979" s="9"/>
      <c r="U979" s="9"/>
      <c r="V979" s="9"/>
      <c r="W979" s="9"/>
      <c r="X979" s="223"/>
      <c r="Y979" s="9"/>
      <c r="Z979" s="204"/>
      <c r="AA979" s="9"/>
      <c r="AB979" s="9"/>
      <c r="AC979" s="9"/>
      <c r="AD979" s="9"/>
    </row>
    <row r="980" ht="15.75" customHeight="1">
      <c r="A980" s="9"/>
      <c r="B980" s="9"/>
      <c r="C980" s="9"/>
      <c r="D980" s="9"/>
      <c r="E980" s="223"/>
      <c r="F980" s="9"/>
      <c r="G980" s="9"/>
      <c r="H980" s="9"/>
      <c r="I980" s="9"/>
      <c r="J980" s="9"/>
      <c r="K980" s="9"/>
      <c r="L980" s="9"/>
      <c r="M980" s="9"/>
      <c r="N980" s="9"/>
      <c r="O980" s="9"/>
      <c r="P980" s="9"/>
      <c r="Q980" s="9"/>
      <c r="R980" s="9"/>
      <c r="S980" s="9"/>
      <c r="T980" s="9"/>
      <c r="U980" s="9"/>
      <c r="V980" s="9"/>
      <c r="W980" s="9"/>
      <c r="X980" s="223"/>
      <c r="Y980" s="9"/>
      <c r="Z980" s="204"/>
      <c r="AA980" s="9"/>
      <c r="AB980" s="9"/>
      <c r="AC980" s="9"/>
      <c r="AD980" s="9"/>
    </row>
    <row r="981" ht="15.75" customHeight="1">
      <c r="A981" s="9"/>
      <c r="B981" s="9"/>
      <c r="C981" s="9"/>
      <c r="D981" s="9"/>
      <c r="E981" s="223"/>
      <c r="F981" s="9"/>
      <c r="G981" s="9"/>
      <c r="H981" s="9"/>
      <c r="I981" s="9"/>
      <c r="J981" s="9"/>
      <c r="K981" s="9"/>
      <c r="L981" s="9"/>
      <c r="M981" s="9"/>
      <c r="N981" s="9"/>
      <c r="O981" s="9"/>
      <c r="P981" s="9"/>
      <c r="Q981" s="9"/>
      <c r="R981" s="9"/>
      <c r="S981" s="9"/>
      <c r="T981" s="9"/>
      <c r="U981" s="9"/>
      <c r="V981" s="9"/>
      <c r="W981" s="9"/>
      <c r="X981" s="223"/>
      <c r="Y981" s="9"/>
      <c r="Z981" s="204"/>
      <c r="AA981" s="9"/>
      <c r="AB981" s="9"/>
      <c r="AC981" s="9"/>
      <c r="AD981" s="9"/>
    </row>
    <row r="982" ht="15.75" customHeight="1">
      <c r="A982" s="9"/>
      <c r="B982" s="9"/>
      <c r="C982" s="9"/>
      <c r="D982" s="9"/>
      <c r="E982" s="223"/>
      <c r="F982" s="9"/>
      <c r="G982" s="9"/>
      <c r="H982" s="9"/>
      <c r="I982" s="9"/>
      <c r="J982" s="9"/>
      <c r="K982" s="9"/>
      <c r="L982" s="9"/>
      <c r="M982" s="9"/>
      <c r="N982" s="9"/>
      <c r="O982" s="9"/>
      <c r="P982" s="9"/>
      <c r="Q982" s="9"/>
      <c r="R982" s="9"/>
      <c r="S982" s="9"/>
      <c r="T982" s="9"/>
      <c r="U982" s="9"/>
      <c r="V982" s="9"/>
      <c r="W982" s="9"/>
      <c r="X982" s="223"/>
      <c r="Y982" s="9"/>
      <c r="Z982" s="204"/>
      <c r="AA982" s="9"/>
      <c r="AB982" s="9"/>
      <c r="AC982" s="9"/>
      <c r="AD982" s="9"/>
    </row>
    <row r="983" ht="15.75" customHeight="1">
      <c r="A983" s="9"/>
      <c r="B983" s="9"/>
      <c r="C983" s="9"/>
      <c r="D983" s="9"/>
      <c r="E983" s="223"/>
      <c r="F983" s="9"/>
      <c r="G983" s="9"/>
      <c r="H983" s="9"/>
      <c r="I983" s="9"/>
      <c r="J983" s="9"/>
      <c r="K983" s="9"/>
      <c r="L983" s="9"/>
      <c r="M983" s="9"/>
      <c r="N983" s="9"/>
      <c r="O983" s="9"/>
      <c r="P983" s="9"/>
      <c r="Q983" s="9"/>
      <c r="R983" s="9"/>
      <c r="S983" s="9"/>
      <c r="T983" s="9"/>
      <c r="U983" s="9"/>
      <c r="V983" s="9"/>
      <c r="W983" s="9"/>
      <c r="X983" s="223"/>
      <c r="Y983" s="9"/>
      <c r="Z983" s="204"/>
      <c r="AA983" s="9"/>
      <c r="AB983" s="9"/>
      <c r="AC983" s="9"/>
      <c r="AD983" s="9"/>
    </row>
    <row r="984" ht="15.75" customHeight="1">
      <c r="A984" s="9"/>
      <c r="B984" s="9"/>
      <c r="C984" s="9"/>
      <c r="D984" s="9"/>
      <c r="E984" s="223"/>
      <c r="F984" s="9"/>
      <c r="G984" s="9"/>
      <c r="H984" s="9"/>
      <c r="I984" s="9"/>
      <c r="J984" s="9"/>
      <c r="K984" s="9"/>
      <c r="L984" s="9"/>
      <c r="M984" s="9"/>
      <c r="N984" s="9"/>
      <c r="O984" s="9"/>
      <c r="P984" s="9"/>
      <c r="Q984" s="9"/>
      <c r="R984" s="9"/>
      <c r="S984" s="9"/>
      <c r="T984" s="9"/>
      <c r="U984" s="9"/>
      <c r="V984" s="9"/>
      <c r="W984" s="9"/>
      <c r="X984" s="223"/>
      <c r="Y984" s="9"/>
      <c r="Z984" s="204"/>
      <c r="AA984" s="9"/>
      <c r="AB984" s="9"/>
      <c r="AC984" s="9"/>
      <c r="AD984" s="9"/>
    </row>
    <row r="985" ht="15.75" customHeight="1">
      <c r="A985" s="9"/>
      <c r="B985" s="9"/>
      <c r="C985" s="9"/>
      <c r="D985" s="9"/>
      <c r="E985" s="223"/>
      <c r="F985" s="9"/>
      <c r="G985" s="9"/>
      <c r="H985" s="9"/>
      <c r="I985" s="9"/>
      <c r="J985" s="9"/>
      <c r="K985" s="9"/>
      <c r="L985" s="9"/>
      <c r="M985" s="9"/>
      <c r="N985" s="9"/>
      <c r="O985" s="9"/>
      <c r="P985" s="9"/>
      <c r="Q985" s="9"/>
      <c r="R985" s="9"/>
      <c r="S985" s="9"/>
      <c r="T985" s="9"/>
      <c r="U985" s="9"/>
      <c r="V985" s="9"/>
      <c r="W985" s="9"/>
      <c r="X985" s="223"/>
      <c r="Y985" s="9"/>
      <c r="Z985" s="204"/>
      <c r="AA985" s="9"/>
      <c r="AB985" s="9"/>
      <c r="AC985" s="9"/>
      <c r="AD985" s="9"/>
    </row>
    <row r="986" ht="15.75" customHeight="1">
      <c r="A986" s="9"/>
      <c r="B986" s="9"/>
      <c r="C986" s="9"/>
      <c r="D986" s="9"/>
      <c r="E986" s="223"/>
      <c r="F986" s="9"/>
      <c r="G986" s="9"/>
      <c r="H986" s="9"/>
      <c r="I986" s="9"/>
      <c r="J986" s="9"/>
      <c r="K986" s="9"/>
      <c r="L986" s="9"/>
      <c r="M986" s="9"/>
      <c r="N986" s="9"/>
      <c r="O986" s="9"/>
      <c r="P986" s="9"/>
      <c r="Q986" s="9"/>
      <c r="R986" s="9"/>
      <c r="S986" s="9"/>
      <c r="T986" s="9"/>
      <c r="U986" s="9"/>
      <c r="V986" s="9"/>
      <c r="W986" s="9"/>
      <c r="X986" s="223"/>
      <c r="Y986" s="9"/>
      <c r="Z986" s="204"/>
      <c r="AA986" s="9"/>
      <c r="AB986" s="9"/>
      <c r="AC986" s="9"/>
      <c r="AD986" s="9"/>
    </row>
    <row r="987" ht="15.75" customHeight="1">
      <c r="A987" s="9"/>
      <c r="B987" s="9"/>
      <c r="C987" s="9"/>
      <c r="D987" s="9"/>
      <c r="E987" s="223"/>
      <c r="F987" s="9"/>
      <c r="G987" s="9"/>
      <c r="H987" s="9"/>
      <c r="I987" s="9"/>
      <c r="J987" s="9"/>
      <c r="K987" s="9"/>
      <c r="L987" s="9"/>
      <c r="M987" s="9"/>
      <c r="N987" s="9"/>
      <c r="O987" s="9"/>
      <c r="P987" s="9"/>
      <c r="Q987" s="9"/>
      <c r="R987" s="9"/>
      <c r="S987" s="9"/>
      <c r="T987" s="9"/>
      <c r="U987" s="9"/>
      <c r="V987" s="9"/>
      <c r="W987" s="9"/>
      <c r="X987" s="223"/>
      <c r="Y987" s="9"/>
      <c r="Z987" s="204"/>
      <c r="AA987" s="9"/>
      <c r="AB987" s="9"/>
      <c r="AC987" s="9"/>
      <c r="AD987" s="9"/>
    </row>
    <row r="988" ht="15.75" customHeight="1">
      <c r="A988" s="9"/>
      <c r="B988" s="9"/>
      <c r="C988" s="9"/>
      <c r="D988" s="9"/>
      <c r="E988" s="223"/>
      <c r="F988" s="9"/>
      <c r="G988" s="9"/>
      <c r="H988" s="9"/>
      <c r="I988" s="9"/>
      <c r="J988" s="9"/>
      <c r="K988" s="9"/>
      <c r="L988" s="9"/>
      <c r="M988" s="9"/>
      <c r="N988" s="9"/>
      <c r="O988" s="9"/>
      <c r="P988" s="9"/>
      <c r="Q988" s="9"/>
      <c r="R988" s="9"/>
      <c r="S988" s="9"/>
      <c r="T988" s="9"/>
      <c r="U988" s="9"/>
      <c r="V988" s="9"/>
      <c r="W988" s="9"/>
      <c r="X988" s="223"/>
      <c r="Y988" s="9"/>
      <c r="Z988" s="204"/>
      <c r="AA988" s="9"/>
      <c r="AB988" s="9"/>
      <c r="AC988" s="9"/>
      <c r="AD988" s="9"/>
    </row>
    <row r="989" ht="15.75" customHeight="1">
      <c r="A989" s="9"/>
      <c r="B989" s="9"/>
      <c r="C989" s="9"/>
      <c r="D989" s="9"/>
      <c r="E989" s="223"/>
      <c r="F989" s="9"/>
      <c r="G989" s="9"/>
      <c r="H989" s="9"/>
      <c r="I989" s="9"/>
      <c r="J989" s="9"/>
      <c r="K989" s="9"/>
      <c r="L989" s="9"/>
      <c r="M989" s="9"/>
      <c r="N989" s="9"/>
      <c r="O989" s="9"/>
      <c r="P989" s="9"/>
      <c r="Q989" s="9"/>
      <c r="R989" s="9"/>
      <c r="S989" s="9"/>
      <c r="T989" s="9"/>
      <c r="U989" s="9"/>
      <c r="V989" s="9"/>
      <c r="W989" s="9"/>
      <c r="X989" s="223"/>
      <c r="Y989" s="9"/>
      <c r="Z989" s="204"/>
      <c r="AA989" s="9"/>
      <c r="AB989" s="9"/>
      <c r="AC989" s="9"/>
      <c r="AD989" s="9"/>
    </row>
    <row r="990" ht="15.75" customHeight="1">
      <c r="A990" s="9"/>
      <c r="B990" s="9"/>
      <c r="C990" s="9"/>
      <c r="D990" s="9"/>
      <c r="E990" s="223"/>
      <c r="F990" s="9"/>
      <c r="G990" s="9"/>
      <c r="H990" s="9"/>
      <c r="I990" s="9"/>
      <c r="J990" s="9"/>
      <c r="K990" s="9"/>
      <c r="L990" s="9"/>
      <c r="M990" s="9"/>
      <c r="N990" s="9"/>
      <c r="O990" s="9"/>
      <c r="P990" s="9"/>
      <c r="Q990" s="9"/>
      <c r="R990" s="9"/>
      <c r="S990" s="9"/>
      <c r="T990" s="9"/>
      <c r="U990" s="9"/>
      <c r="V990" s="9"/>
      <c r="W990" s="9"/>
      <c r="X990" s="223"/>
      <c r="Y990" s="9"/>
      <c r="Z990" s="204"/>
      <c r="AA990" s="9"/>
      <c r="AB990" s="9"/>
      <c r="AC990" s="9"/>
      <c r="AD990" s="9"/>
    </row>
    <row r="991" ht="15.75" customHeight="1">
      <c r="A991" s="9"/>
      <c r="B991" s="9"/>
      <c r="C991" s="9"/>
      <c r="D991" s="9"/>
      <c r="E991" s="223"/>
      <c r="F991" s="9"/>
      <c r="G991" s="9"/>
      <c r="H991" s="9"/>
      <c r="I991" s="9"/>
      <c r="J991" s="9"/>
      <c r="K991" s="9"/>
      <c r="L991" s="9"/>
      <c r="M991" s="9"/>
      <c r="N991" s="9"/>
      <c r="O991" s="9"/>
      <c r="P991" s="9"/>
      <c r="Q991" s="9"/>
      <c r="R991" s="9"/>
      <c r="S991" s="9"/>
      <c r="T991" s="9"/>
      <c r="U991" s="9"/>
      <c r="V991" s="9"/>
      <c r="W991" s="9"/>
      <c r="X991" s="223"/>
      <c r="Y991" s="9"/>
      <c r="Z991" s="204"/>
      <c r="AA991" s="9"/>
      <c r="AB991" s="9"/>
      <c r="AC991" s="9"/>
      <c r="AD991" s="9"/>
    </row>
    <row r="992" ht="15.75" customHeight="1">
      <c r="A992" s="9"/>
      <c r="B992" s="9"/>
      <c r="C992" s="9"/>
      <c r="D992" s="9"/>
      <c r="E992" s="223"/>
      <c r="F992" s="9"/>
      <c r="G992" s="9"/>
      <c r="H992" s="9"/>
      <c r="I992" s="9"/>
      <c r="J992" s="9"/>
      <c r="K992" s="9"/>
      <c r="L992" s="9"/>
      <c r="M992" s="9"/>
      <c r="N992" s="9"/>
      <c r="O992" s="9"/>
      <c r="P992" s="9"/>
      <c r="Q992" s="9"/>
      <c r="R992" s="9"/>
      <c r="S992" s="9"/>
      <c r="T992" s="9"/>
      <c r="U992" s="9"/>
      <c r="V992" s="9"/>
      <c r="W992" s="9"/>
      <c r="X992" s="223"/>
      <c r="Y992" s="9"/>
      <c r="Z992" s="204"/>
      <c r="AA992" s="9"/>
      <c r="AB992" s="9"/>
      <c r="AC992" s="9"/>
      <c r="AD992" s="9"/>
    </row>
    <row r="993" ht="15.75" customHeight="1">
      <c r="A993" s="9"/>
      <c r="B993" s="9"/>
      <c r="C993" s="9"/>
      <c r="D993" s="9"/>
      <c r="E993" s="223"/>
      <c r="F993" s="9"/>
      <c r="G993" s="9"/>
      <c r="H993" s="9"/>
      <c r="I993" s="9"/>
      <c r="J993" s="9"/>
      <c r="K993" s="9"/>
      <c r="L993" s="9"/>
      <c r="M993" s="9"/>
      <c r="N993" s="9"/>
      <c r="O993" s="9"/>
      <c r="P993" s="9"/>
      <c r="Q993" s="9"/>
      <c r="R993" s="9"/>
      <c r="S993" s="9"/>
      <c r="T993" s="9"/>
      <c r="U993" s="9"/>
      <c r="V993" s="9"/>
      <c r="W993" s="9"/>
      <c r="X993" s="223"/>
      <c r="Y993" s="9"/>
      <c r="Z993" s="204"/>
      <c r="AA993" s="9"/>
      <c r="AB993" s="9"/>
      <c r="AC993" s="9"/>
      <c r="AD993" s="9"/>
    </row>
    <row r="994" ht="15.75" customHeight="1">
      <c r="A994" s="9"/>
      <c r="B994" s="9"/>
      <c r="C994" s="9"/>
      <c r="D994" s="9"/>
      <c r="E994" s="223"/>
      <c r="F994" s="9"/>
      <c r="G994" s="9"/>
      <c r="H994" s="9"/>
      <c r="I994" s="9"/>
      <c r="J994" s="9"/>
      <c r="K994" s="9"/>
      <c r="L994" s="9"/>
      <c r="M994" s="9"/>
      <c r="N994" s="9"/>
      <c r="O994" s="9"/>
      <c r="P994" s="9"/>
      <c r="Q994" s="9"/>
      <c r="R994" s="9"/>
      <c r="S994" s="9"/>
      <c r="T994" s="9"/>
      <c r="U994" s="9"/>
      <c r="V994" s="9"/>
      <c r="W994" s="9"/>
      <c r="X994" s="223"/>
      <c r="Y994" s="9"/>
      <c r="Z994" s="204"/>
      <c r="AA994" s="9"/>
      <c r="AB994" s="9"/>
      <c r="AC994" s="9"/>
      <c r="AD994" s="9"/>
    </row>
    <row r="995" ht="15.75" customHeight="1">
      <c r="A995" s="9"/>
      <c r="B995" s="9"/>
      <c r="C995" s="9"/>
      <c r="D995" s="9"/>
      <c r="E995" s="223"/>
      <c r="F995" s="9"/>
      <c r="G995" s="9"/>
      <c r="H995" s="9"/>
      <c r="I995" s="9"/>
      <c r="J995" s="9"/>
      <c r="K995" s="9"/>
      <c r="L995" s="9"/>
      <c r="M995" s="9"/>
      <c r="N995" s="9"/>
      <c r="O995" s="9"/>
      <c r="P995" s="9"/>
      <c r="Q995" s="9"/>
      <c r="R995" s="9"/>
      <c r="S995" s="9"/>
      <c r="T995" s="9"/>
      <c r="U995" s="9"/>
      <c r="V995" s="9"/>
      <c r="W995" s="9"/>
      <c r="X995" s="223"/>
      <c r="Y995" s="9"/>
      <c r="Z995" s="204"/>
      <c r="AA995" s="9"/>
      <c r="AB995" s="9"/>
      <c r="AC995" s="9"/>
      <c r="AD995" s="9"/>
    </row>
    <row r="996" ht="15.75" customHeight="1">
      <c r="A996" s="9"/>
      <c r="B996" s="9"/>
      <c r="C996" s="9"/>
      <c r="D996" s="9"/>
      <c r="E996" s="223"/>
      <c r="F996" s="9"/>
      <c r="G996" s="9"/>
      <c r="H996" s="9"/>
      <c r="I996" s="9"/>
      <c r="J996" s="9"/>
      <c r="K996" s="9"/>
      <c r="L996" s="9"/>
      <c r="M996" s="9"/>
      <c r="N996" s="9"/>
      <c r="O996" s="9"/>
      <c r="P996" s="9"/>
      <c r="Q996" s="9"/>
      <c r="R996" s="9"/>
      <c r="S996" s="9"/>
      <c r="T996" s="9"/>
      <c r="U996" s="9"/>
      <c r="V996" s="9"/>
      <c r="W996" s="9"/>
      <c r="X996" s="223"/>
      <c r="Y996" s="9"/>
      <c r="Z996" s="204"/>
      <c r="AA996" s="9"/>
      <c r="AB996" s="9"/>
      <c r="AC996" s="9"/>
      <c r="AD996" s="9"/>
    </row>
    <row r="997" ht="15.75" customHeight="1">
      <c r="A997" s="9"/>
      <c r="B997" s="9"/>
      <c r="C997" s="9"/>
      <c r="D997" s="9"/>
      <c r="E997" s="223"/>
      <c r="F997" s="9"/>
      <c r="G997" s="9"/>
      <c r="H997" s="9"/>
      <c r="I997" s="9"/>
      <c r="J997" s="9"/>
      <c r="K997" s="9"/>
      <c r="L997" s="9"/>
      <c r="M997" s="9"/>
      <c r="N997" s="9"/>
      <c r="O997" s="9"/>
      <c r="P997" s="9"/>
      <c r="Q997" s="9"/>
      <c r="R997" s="9"/>
      <c r="S997" s="9"/>
      <c r="T997" s="9"/>
      <c r="U997" s="9"/>
      <c r="V997" s="9"/>
      <c r="W997" s="9"/>
      <c r="X997" s="223"/>
      <c r="Y997" s="9"/>
      <c r="Z997" s="204"/>
      <c r="AA997" s="9"/>
      <c r="AB997" s="9"/>
      <c r="AC997" s="9"/>
      <c r="AD997" s="9"/>
    </row>
    <row r="998" ht="15.75" customHeight="1">
      <c r="A998" s="9"/>
      <c r="B998" s="9"/>
      <c r="C998" s="9"/>
      <c r="D998" s="9"/>
      <c r="E998" s="223"/>
      <c r="F998" s="9"/>
      <c r="G998" s="9"/>
      <c r="H998" s="9"/>
      <c r="I998" s="9"/>
      <c r="J998" s="9"/>
      <c r="K998" s="9"/>
      <c r="L998" s="9"/>
      <c r="M998" s="9"/>
      <c r="N998" s="9"/>
      <c r="O998" s="9"/>
      <c r="P998" s="9"/>
      <c r="Q998" s="9"/>
      <c r="R998" s="9"/>
      <c r="S998" s="9"/>
      <c r="T998" s="9"/>
      <c r="U998" s="9"/>
      <c r="V998" s="9"/>
      <c r="W998" s="9"/>
      <c r="X998" s="223"/>
      <c r="Y998" s="9"/>
      <c r="Z998" s="204"/>
      <c r="AA998" s="9"/>
      <c r="AB998" s="9"/>
      <c r="AC998" s="9"/>
      <c r="AD998" s="9"/>
    </row>
    <row r="999" ht="15.75" customHeight="1">
      <c r="A999" s="9"/>
      <c r="B999" s="9"/>
      <c r="C999" s="9"/>
      <c r="D999" s="9"/>
      <c r="E999" s="223"/>
      <c r="F999" s="9"/>
      <c r="G999" s="9"/>
      <c r="H999" s="9"/>
      <c r="I999" s="9"/>
      <c r="J999" s="9"/>
      <c r="K999" s="9"/>
      <c r="L999" s="9"/>
      <c r="M999" s="9"/>
      <c r="N999" s="9"/>
      <c r="O999" s="9"/>
      <c r="P999" s="9"/>
      <c r="Q999" s="9"/>
      <c r="R999" s="9"/>
      <c r="S999" s="9"/>
      <c r="T999" s="9"/>
      <c r="U999" s="9"/>
      <c r="V999" s="9"/>
      <c r="W999" s="9"/>
      <c r="X999" s="223"/>
      <c r="Y999" s="9"/>
      <c r="Z999" s="204"/>
      <c r="AA999" s="9"/>
      <c r="AB999" s="9"/>
      <c r="AC999" s="9"/>
      <c r="AD999" s="9"/>
    </row>
    <row r="1000" ht="15.75" customHeight="1">
      <c r="A1000" s="9"/>
      <c r="B1000" s="9"/>
      <c r="C1000" s="9"/>
      <c r="D1000" s="9"/>
      <c r="E1000" s="223"/>
      <c r="F1000" s="9"/>
      <c r="G1000" s="9"/>
      <c r="H1000" s="9"/>
      <c r="I1000" s="9"/>
      <c r="J1000" s="9"/>
      <c r="K1000" s="9"/>
      <c r="L1000" s="9"/>
      <c r="M1000" s="9"/>
      <c r="N1000" s="9"/>
      <c r="O1000" s="9"/>
      <c r="P1000" s="9"/>
      <c r="Q1000" s="9"/>
      <c r="R1000" s="9"/>
      <c r="S1000" s="9"/>
      <c r="T1000" s="9"/>
      <c r="U1000" s="9"/>
      <c r="V1000" s="9"/>
      <c r="W1000" s="9"/>
      <c r="X1000" s="223"/>
      <c r="Y1000" s="9"/>
      <c r="Z1000" s="204"/>
      <c r="AA1000" s="9"/>
      <c r="AB1000" s="9"/>
      <c r="AC1000" s="9"/>
      <c r="AD1000" s="9"/>
    </row>
    <row r="1001" ht="15.75" customHeight="1">
      <c r="A1001" s="9"/>
      <c r="B1001" s="9"/>
      <c r="C1001" s="9"/>
      <c r="D1001" s="9"/>
      <c r="E1001" s="223"/>
      <c r="F1001" s="9"/>
      <c r="G1001" s="9"/>
      <c r="H1001" s="9"/>
      <c r="I1001" s="9"/>
      <c r="J1001" s="9"/>
      <c r="K1001" s="9"/>
      <c r="L1001" s="9"/>
      <c r="M1001" s="9"/>
      <c r="N1001" s="9"/>
      <c r="O1001" s="9"/>
      <c r="P1001" s="9"/>
      <c r="Q1001" s="9"/>
      <c r="R1001" s="9"/>
      <c r="S1001" s="9"/>
      <c r="T1001" s="9"/>
      <c r="U1001" s="9"/>
      <c r="V1001" s="9"/>
      <c r="W1001" s="9"/>
      <c r="X1001" s="223"/>
      <c r="Y1001" s="9"/>
      <c r="Z1001" s="204"/>
      <c r="AA1001" s="9"/>
      <c r="AB1001" s="9"/>
      <c r="AC1001" s="9"/>
      <c r="AD1001" s="9"/>
    </row>
    <row r="1002" ht="15.75" customHeight="1">
      <c r="A1002" s="9"/>
      <c r="B1002" s="9"/>
      <c r="C1002" s="9"/>
      <c r="D1002" s="9"/>
      <c r="E1002" s="223"/>
      <c r="F1002" s="9"/>
      <c r="G1002" s="9"/>
      <c r="H1002" s="9"/>
      <c r="I1002" s="9"/>
      <c r="J1002" s="9"/>
      <c r="K1002" s="9"/>
      <c r="L1002" s="9"/>
      <c r="M1002" s="9"/>
      <c r="N1002" s="9"/>
      <c r="O1002" s="9"/>
      <c r="P1002" s="9"/>
      <c r="Q1002" s="9"/>
      <c r="R1002" s="9"/>
      <c r="S1002" s="9"/>
      <c r="T1002" s="9"/>
      <c r="U1002" s="9"/>
      <c r="V1002" s="9"/>
      <c r="W1002" s="9"/>
      <c r="X1002" s="223"/>
      <c r="Y1002" s="9"/>
      <c r="Z1002" s="204"/>
      <c r="AA1002" s="9"/>
      <c r="AB1002" s="9"/>
      <c r="AC1002" s="9"/>
      <c r="AD1002" s="9"/>
    </row>
    <row r="1003" ht="15.75" customHeight="1">
      <c r="A1003" s="9"/>
      <c r="B1003" s="9"/>
      <c r="C1003" s="9"/>
      <c r="D1003" s="9"/>
      <c r="E1003" s="223"/>
      <c r="F1003" s="9"/>
      <c r="G1003" s="9"/>
      <c r="H1003" s="9"/>
      <c r="I1003" s="9"/>
      <c r="J1003" s="9"/>
      <c r="K1003" s="9"/>
      <c r="L1003" s="9"/>
      <c r="M1003" s="9"/>
      <c r="N1003" s="9"/>
      <c r="O1003" s="9"/>
      <c r="P1003" s="9"/>
      <c r="Q1003" s="9"/>
      <c r="R1003" s="9"/>
      <c r="S1003" s="9"/>
      <c r="T1003" s="9"/>
      <c r="U1003" s="9"/>
      <c r="V1003" s="9"/>
      <c r="W1003" s="9"/>
      <c r="X1003" s="223"/>
      <c r="Y1003" s="9"/>
      <c r="Z1003" s="204"/>
      <c r="AA1003" s="9"/>
      <c r="AB1003" s="9"/>
      <c r="AC1003" s="9"/>
      <c r="AD1003" s="9"/>
    </row>
    <row r="1004" ht="15.75" customHeight="1">
      <c r="A1004" s="9"/>
      <c r="B1004" s="9"/>
      <c r="C1004" s="9"/>
      <c r="D1004" s="9"/>
      <c r="E1004" s="223"/>
      <c r="F1004" s="9"/>
      <c r="G1004" s="9"/>
      <c r="H1004" s="9"/>
      <c r="I1004" s="9"/>
      <c r="J1004" s="9"/>
      <c r="K1004" s="9"/>
      <c r="L1004" s="9"/>
      <c r="M1004" s="9"/>
      <c r="N1004" s="9"/>
      <c r="O1004" s="9"/>
      <c r="P1004" s="9"/>
      <c r="Q1004" s="9"/>
      <c r="R1004" s="9"/>
      <c r="S1004" s="9"/>
      <c r="T1004" s="9"/>
      <c r="U1004" s="9"/>
      <c r="V1004" s="9"/>
      <c r="W1004" s="9"/>
      <c r="X1004" s="223"/>
      <c r="Y1004" s="9"/>
      <c r="Z1004" s="204"/>
      <c r="AA1004" s="9"/>
      <c r="AB1004" s="9"/>
      <c r="AC1004" s="9"/>
      <c r="AD1004" s="9"/>
    </row>
    <row r="1005" ht="15.75" customHeight="1">
      <c r="A1005" s="9"/>
      <c r="B1005" s="9"/>
      <c r="C1005" s="9"/>
      <c r="D1005" s="9"/>
      <c r="E1005" s="223"/>
      <c r="F1005" s="9"/>
      <c r="G1005" s="9"/>
      <c r="H1005" s="9"/>
      <c r="I1005" s="9"/>
      <c r="J1005" s="9"/>
      <c r="K1005" s="9"/>
      <c r="L1005" s="9"/>
      <c r="M1005" s="9"/>
      <c r="N1005" s="9"/>
      <c r="O1005" s="9"/>
      <c r="P1005" s="9"/>
      <c r="Q1005" s="9"/>
      <c r="R1005" s="9"/>
      <c r="S1005" s="9"/>
      <c r="T1005" s="9"/>
      <c r="U1005" s="9"/>
      <c r="V1005" s="9"/>
      <c r="W1005" s="9"/>
      <c r="X1005" s="223"/>
      <c r="Y1005" s="9"/>
      <c r="Z1005" s="204"/>
      <c r="AA1005" s="9"/>
      <c r="AB1005" s="9"/>
      <c r="AC1005" s="9"/>
      <c r="AD1005" s="9"/>
    </row>
    <row r="1006" ht="15.75" customHeight="1">
      <c r="A1006" s="9"/>
      <c r="B1006" s="9"/>
      <c r="C1006" s="9"/>
      <c r="D1006" s="9"/>
      <c r="E1006" s="223"/>
      <c r="F1006" s="9"/>
      <c r="G1006" s="9"/>
      <c r="H1006" s="9"/>
      <c r="I1006" s="9"/>
      <c r="J1006" s="9"/>
      <c r="K1006" s="9"/>
      <c r="L1006" s="9"/>
      <c r="M1006" s="9"/>
      <c r="N1006" s="9"/>
      <c r="O1006" s="9"/>
      <c r="P1006" s="9"/>
      <c r="Q1006" s="9"/>
      <c r="R1006" s="9"/>
      <c r="S1006" s="9"/>
      <c r="T1006" s="9"/>
      <c r="U1006" s="9"/>
      <c r="V1006" s="9"/>
      <c r="W1006" s="9"/>
      <c r="X1006" s="223"/>
      <c r="Y1006" s="9"/>
      <c r="Z1006" s="204"/>
      <c r="AA1006" s="9"/>
      <c r="AB1006" s="9"/>
      <c r="AC1006" s="9"/>
      <c r="AD1006" s="9"/>
    </row>
    <row r="1007" ht="15.75" customHeight="1">
      <c r="A1007" s="9"/>
      <c r="B1007" s="9"/>
      <c r="C1007" s="9"/>
      <c r="D1007" s="9"/>
      <c r="E1007" s="223"/>
      <c r="F1007" s="9"/>
      <c r="G1007" s="9"/>
      <c r="H1007" s="9"/>
      <c r="I1007" s="9"/>
      <c r="J1007" s="9"/>
      <c r="K1007" s="9"/>
      <c r="L1007" s="9"/>
      <c r="M1007" s="9"/>
      <c r="N1007" s="9"/>
      <c r="O1007" s="9"/>
      <c r="P1007" s="9"/>
      <c r="Q1007" s="9"/>
      <c r="R1007" s="9"/>
      <c r="S1007" s="9"/>
      <c r="T1007" s="9"/>
      <c r="U1007" s="9"/>
      <c r="V1007" s="9"/>
      <c r="W1007" s="9"/>
      <c r="X1007" s="223"/>
      <c r="Y1007" s="9"/>
      <c r="Z1007" s="204"/>
      <c r="AA1007" s="9"/>
      <c r="AB1007" s="9"/>
      <c r="AC1007" s="9"/>
      <c r="AD1007" s="9"/>
    </row>
    <row r="1008" ht="15.75" customHeight="1">
      <c r="A1008" s="9"/>
      <c r="B1008" s="9"/>
      <c r="C1008" s="9"/>
      <c r="D1008" s="9"/>
      <c r="E1008" s="223"/>
      <c r="F1008" s="9"/>
      <c r="G1008" s="9"/>
      <c r="H1008" s="9"/>
      <c r="I1008" s="9"/>
      <c r="J1008" s="9"/>
      <c r="K1008" s="9"/>
      <c r="L1008" s="9"/>
      <c r="M1008" s="9"/>
      <c r="N1008" s="9"/>
      <c r="O1008" s="9"/>
      <c r="P1008" s="9"/>
      <c r="Q1008" s="9"/>
      <c r="R1008" s="9"/>
      <c r="S1008" s="9"/>
      <c r="T1008" s="9"/>
      <c r="U1008" s="9"/>
      <c r="V1008" s="9"/>
      <c r="W1008" s="9"/>
      <c r="X1008" s="223"/>
      <c r="Y1008" s="9"/>
      <c r="Z1008" s="204"/>
      <c r="AA1008" s="9"/>
      <c r="AB1008" s="9"/>
      <c r="AC1008" s="9"/>
      <c r="AD1008" s="9"/>
    </row>
    <row r="1009" ht="15.75" customHeight="1">
      <c r="A1009" s="9"/>
      <c r="B1009" s="9"/>
      <c r="C1009" s="9"/>
      <c r="D1009" s="9"/>
      <c r="E1009" s="223"/>
      <c r="F1009" s="9"/>
      <c r="G1009" s="9"/>
      <c r="H1009" s="9"/>
      <c r="I1009" s="9"/>
      <c r="J1009" s="9"/>
      <c r="K1009" s="9"/>
      <c r="L1009" s="9"/>
      <c r="M1009" s="9"/>
      <c r="N1009" s="9"/>
      <c r="O1009" s="9"/>
      <c r="P1009" s="9"/>
      <c r="Q1009" s="9"/>
      <c r="R1009" s="9"/>
      <c r="S1009" s="9"/>
      <c r="T1009" s="9"/>
      <c r="U1009" s="9"/>
      <c r="V1009" s="9"/>
      <c r="W1009" s="9"/>
      <c r="X1009" s="223"/>
      <c r="Y1009" s="9"/>
      <c r="Z1009" s="204"/>
      <c r="AA1009" s="9"/>
      <c r="AB1009" s="9"/>
      <c r="AC1009" s="9"/>
      <c r="AD1009" s="9"/>
    </row>
    <row r="1010" ht="15.75" customHeight="1">
      <c r="A1010" s="9"/>
      <c r="B1010" s="9"/>
      <c r="C1010" s="9"/>
      <c r="D1010" s="9"/>
      <c r="E1010" s="223"/>
      <c r="F1010" s="9"/>
      <c r="G1010" s="9"/>
      <c r="H1010" s="9"/>
      <c r="I1010" s="9"/>
      <c r="J1010" s="9"/>
      <c r="K1010" s="9"/>
      <c r="L1010" s="9"/>
      <c r="M1010" s="9"/>
      <c r="N1010" s="9"/>
      <c r="O1010" s="9"/>
      <c r="P1010" s="9"/>
      <c r="Q1010" s="9"/>
      <c r="R1010" s="9"/>
      <c r="S1010" s="9"/>
      <c r="T1010" s="9"/>
      <c r="U1010" s="9"/>
      <c r="V1010" s="9"/>
      <c r="W1010" s="9"/>
      <c r="X1010" s="223"/>
      <c r="Y1010" s="9"/>
      <c r="Z1010" s="204"/>
      <c r="AA1010" s="9"/>
      <c r="AB1010" s="9"/>
      <c r="AC1010" s="9"/>
      <c r="AD1010" s="9"/>
    </row>
    <row r="1011" ht="15.75" customHeight="1">
      <c r="A1011" s="9"/>
      <c r="B1011" s="9"/>
      <c r="C1011" s="9"/>
      <c r="D1011" s="9"/>
      <c r="E1011" s="223"/>
      <c r="F1011" s="9"/>
      <c r="G1011" s="9"/>
      <c r="H1011" s="9"/>
      <c r="I1011" s="9"/>
      <c r="J1011" s="9"/>
      <c r="K1011" s="9"/>
      <c r="L1011" s="9"/>
      <c r="M1011" s="9"/>
      <c r="N1011" s="9"/>
      <c r="O1011" s="9"/>
      <c r="P1011" s="9"/>
      <c r="Q1011" s="9"/>
      <c r="R1011" s="9"/>
      <c r="S1011" s="9"/>
      <c r="T1011" s="9"/>
      <c r="U1011" s="9"/>
      <c r="V1011" s="9"/>
      <c r="W1011" s="9"/>
      <c r="X1011" s="223"/>
      <c r="Y1011" s="9"/>
      <c r="Z1011" s="204"/>
      <c r="AA1011" s="9"/>
      <c r="AB1011" s="9"/>
      <c r="AC1011" s="9"/>
      <c r="AD1011" s="9"/>
    </row>
    <row r="1012" ht="15.75" customHeight="1">
      <c r="A1012" s="9"/>
      <c r="B1012" s="9"/>
      <c r="C1012" s="9"/>
      <c r="D1012" s="9"/>
      <c r="E1012" s="223"/>
      <c r="F1012" s="9"/>
      <c r="G1012" s="9"/>
      <c r="H1012" s="9"/>
      <c r="I1012" s="9"/>
      <c r="J1012" s="9"/>
      <c r="K1012" s="9"/>
      <c r="L1012" s="9"/>
      <c r="M1012" s="9"/>
      <c r="N1012" s="9"/>
      <c r="O1012" s="9"/>
      <c r="P1012" s="9"/>
      <c r="Q1012" s="9"/>
      <c r="R1012" s="9"/>
      <c r="S1012" s="9"/>
      <c r="T1012" s="9"/>
      <c r="U1012" s="9"/>
      <c r="V1012" s="9"/>
      <c r="W1012" s="9"/>
      <c r="X1012" s="223"/>
      <c r="Y1012" s="9"/>
      <c r="Z1012" s="204"/>
      <c r="AA1012" s="9"/>
      <c r="AB1012" s="9"/>
      <c r="AC1012" s="9"/>
      <c r="AD1012" s="9"/>
    </row>
    <row r="1013" ht="15.75" customHeight="1">
      <c r="A1013" s="9"/>
      <c r="B1013" s="9"/>
      <c r="C1013" s="9"/>
      <c r="D1013" s="9"/>
      <c r="E1013" s="223"/>
      <c r="F1013" s="9"/>
      <c r="G1013" s="9"/>
      <c r="H1013" s="9"/>
      <c r="I1013" s="9"/>
      <c r="J1013" s="9"/>
      <c r="K1013" s="9"/>
      <c r="L1013" s="9"/>
      <c r="M1013" s="9"/>
      <c r="N1013" s="9"/>
      <c r="O1013" s="9"/>
      <c r="P1013" s="9"/>
      <c r="Q1013" s="9"/>
      <c r="R1013" s="9"/>
      <c r="S1013" s="9"/>
      <c r="T1013" s="9"/>
      <c r="U1013" s="9"/>
      <c r="V1013" s="9"/>
      <c r="W1013" s="9"/>
      <c r="X1013" s="223"/>
      <c r="Y1013" s="9"/>
      <c r="Z1013" s="204"/>
      <c r="AA1013" s="9"/>
      <c r="AB1013" s="9"/>
      <c r="AC1013" s="9"/>
      <c r="AD1013" s="9"/>
    </row>
    <row r="1014" ht="15.75" customHeight="1">
      <c r="A1014" s="9"/>
      <c r="B1014" s="9"/>
      <c r="C1014" s="9"/>
      <c r="D1014" s="9"/>
      <c r="E1014" s="223"/>
      <c r="F1014" s="9"/>
      <c r="G1014" s="9"/>
      <c r="H1014" s="9"/>
      <c r="I1014" s="9"/>
      <c r="J1014" s="9"/>
      <c r="K1014" s="9"/>
      <c r="L1014" s="9"/>
      <c r="M1014" s="9"/>
      <c r="N1014" s="9"/>
      <c r="O1014" s="9"/>
      <c r="P1014" s="9"/>
      <c r="Q1014" s="9"/>
      <c r="R1014" s="9"/>
      <c r="S1014" s="9"/>
      <c r="T1014" s="9"/>
      <c r="U1014" s="9"/>
      <c r="V1014" s="9"/>
      <c r="W1014" s="9"/>
      <c r="X1014" s="223"/>
      <c r="Y1014" s="9"/>
      <c r="Z1014" s="204"/>
      <c r="AA1014" s="9"/>
      <c r="AB1014" s="9"/>
      <c r="AC1014" s="9"/>
      <c r="AD1014" s="9"/>
    </row>
    <row r="1015" ht="15.75" customHeight="1">
      <c r="A1015" s="9"/>
      <c r="B1015" s="9"/>
      <c r="C1015" s="9"/>
      <c r="D1015" s="9"/>
      <c r="E1015" s="223"/>
      <c r="F1015" s="9"/>
      <c r="G1015" s="9"/>
      <c r="H1015" s="9"/>
      <c r="I1015" s="9"/>
      <c r="J1015" s="9"/>
      <c r="K1015" s="9"/>
      <c r="L1015" s="9"/>
      <c r="M1015" s="9"/>
      <c r="N1015" s="9"/>
      <c r="O1015" s="9"/>
      <c r="P1015" s="9"/>
      <c r="Q1015" s="9"/>
      <c r="R1015" s="9"/>
      <c r="S1015" s="9"/>
      <c r="T1015" s="9"/>
      <c r="U1015" s="9"/>
      <c r="V1015" s="9"/>
      <c r="W1015" s="9"/>
      <c r="X1015" s="223"/>
      <c r="Y1015" s="9"/>
      <c r="Z1015" s="204"/>
      <c r="AA1015" s="9"/>
      <c r="AB1015" s="9"/>
      <c r="AC1015" s="9"/>
      <c r="AD1015" s="9"/>
    </row>
    <row r="1016" ht="15.75" customHeight="1">
      <c r="A1016" s="9"/>
      <c r="B1016" s="9"/>
      <c r="C1016" s="9"/>
      <c r="D1016" s="9"/>
      <c r="E1016" s="223"/>
      <c r="F1016" s="9"/>
      <c r="G1016" s="9"/>
      <c r="H1016" s="9"/>
      <c r="I1016" s="9"/>
      <c r="J1016" s="9"/>
      <c r="K1016" s="9"/>
      <c r="L1016" s="9"/>
      <c r="M1016" s="9"/>
      <c r="N1016" s="9"/>
      <c r="O1016" s="9"/>
      <c r="P1016" s="9"/>
      <c r="Q1016" s="9"/>
      <c r="R1016" s="9"/>
      <c r="S1016" s="9"/>
      <c r="T1016" s="9"/>
      <c r="U1016" s="9"/>
      <c r="V1016" s="9"/>
      <c r="W1016" s="9"/>
      <c r="X1016" s="223"/>
      <c r="Y1016" s="9"/>
      <c r="Z1016" s="204"/>
      <c r="AA1016" s="9"/>
      <c r="AB1016" s="9"/>
      <c r="AC1016" s="9"/>
      <c r="AD1016" s="9"/>
    </row>
    <row r="1017" ht="15.75" customHeight="1">
      <c r="A1017" s="9"/>
      <c r="B1017" s="9"/>
      <c r="C1017" s="9"/>
      <c r="D1017" s="9"/>
      <c r="E1017" s="223"/>
      <c r="F1017" s="9"/>
      <c r="G1017" s="9"/>
      <c r="H1017" s="9"/>
      <c r="I1017" s="9"/>
      <c r="J1017" s="9"/>
      <c r="K1017" s="9"/>
      <c r="L1017" s="9"/>
      <c r="M1017" s="9"/>
      <c r="N1017" s="9"/>
      <c r="O1017" s="9"/>
      <c r="P1017" s="9"/>
      <c r="Q1017" s="9"/>
      <c r="R1017" s="9"/>
      <c r="S1017" s="9"/>
      <c r="T1017" s="9"/>
      <c r="U1017" s="9"/>
      <c r="V1017" s="9"/>
      <c r="W1017" s="9"/>
      <c r="X1017" s="223"/>
      <c r="Y1017" s="9"/>
      <c r="Z1017" s="204"/>
      <c r="AA1017" s="9"/>
      <c r="AB1017" s="9"/>
      <c r="AC1017" s="9"/>
      <c r="AD1017" s="9"/>
    </row>
    <row r="1018" ht="15.75" customHeight="1">
      <c r="A1018" s="9"/>
      <c r="B1018" s="9"/>
      <c r="C1018" s="9"/>
      <c r="D1018" s="9"/>
      <c r="E1018" s="223"/>
      <c r="F1018" s="9"/>
      <c r="G1018" s="9"/>
      <c r="H1018" s="9"/>
      <c r="I1018" s="9"/>
      <c r="J1018" s="9"/>
      <c r="K1018" s="9"/>
      <c r="L1018" s="9"/>
      <c r="M1018" s="9"/>
      <c r="N1018" s="9"/>
      <c r="O1018" s="9"/>
      <c r="P1018" s="9"/>
      <c r="Q1018" s="9"/>
      <c r="R1018" s="9"/>
      <c r="S1018" s="9"/>
      <c r="T1018" s="9"/>
      <c r="U1018" s="9"/>
      <c r="V1018" s="9"/>
      <c r="W1018" s="9"/>
      <c r="X1018" s="223"/>
      <c r="Y1018" s="9"/>
      <c r="Z1018" s="204"/>
      <c r="AA1018" s="9"/>
      <c r="AB1018" s="9"/>
      <c r="AC1018" s="9"/>
      <c r="AD1018" s="9"/>
    </row>
    <row r="1019" ht="15.75" customHeight="1">
      <c r="A1019" s="9"/>
      <c r="B1019" s="9"/>
      <c r="C1019" s="9"/>
      <c r="D1019" s="9"/>
      <c r="E1019" s="223"/>
      <c r="F1019" s="9"/>
      <c r="G1019" s="9"/>
      <c r="H1019" s="9"/>
      <c r="I1019" s="9"/>
      <c r="J1019" s="9"/>
      <c r="K1019" s="9"/>
      <c r="L1019" s="9"/>
      <c r="M1019" s="9"/>
      <c r="N1019" s="9"/>
      <c r="O1019" s="9"/>
      <c r="P1019" s="9"/>
      <c r="Q1019" s="9"/>
      <c r="R1019" s="9"/>
      <c r="S1019" s="9"/>
      <c r="T1019" s="9"/>
      <c r="U1019" s="9"/>
      <c r="V1019" s="9"/>
      <c r="W1019" s="9"/>
      <c r="X1019" s="223"/>
      <c r="Y1019" s="9"/>
      <c r="Z1019" s="204"/>
      <c r="AA1019" s="9"/>
      <c r="AB1019" s="9"/>
      <c r="AC1019" s="9"/>
      <c r="AD1019" s="9"/>
    </row>
    <row r="1020" ht="15.75" customHeight="1">
      <c r="A1020" s="9"/>
      <c r="B1020" s="9"/>
      <c r="C1020" s="9"/>
      <c r="D1020" s="9"/>
      <c r="E1020" s="223"/>
      <c r="F1020" s="9"/>
      <c r="G1020" s="9"/>
      <c r="H1020" s="9"/>
      <c r="I1020" s="9"/>
      <c r="J1020" s="9"/>
      <c r="K1020" s="9"/>
      <c r="L1020" s="9"/>
      <c r="M1020" s="9"/>
      <c r="N1020" s="9"/>
      <c r="O1020" s="9"/>
      <c r="P1020" s="9"/>
      <c r="Q1020" s="9"/>
      <c r="R1020" s="9"/>
      <c r="S1020" s="9"/>
      <c r="T1020" s="9"/>
      <c r="U1020" s="9"/>
      <c r="V1020" s="9"/>
      <c r="W1020" s="9"/>
      <c r="X1020" s="223"/>
      <c r="Y1020" s="9"/>
      <c r="Z1020" s="204"/>
      <c r="AA1020" s="9"/>
      <c r="AB1020" s="9"/>
      <c r="AC1020" s="9"/>
      <c r="AD1020" s="9"/>
    </row>
    <row r="1021" ht="15.75" customHeight="1">
      <c r="A1021" s="9"/>
      <c r="B1021" s="9"/>
      <c r="C1021" s="9"/>
      <c r="D1021" s="9"/>
      <c r="E1021" s="223"/>
      <c r="F1021" s="9"/>
      <c r="G1021" s="9"/>
      <c r="H1021" s="9"/>
      <c r="I1021" s="9"/>
      <c r="J1021" s="9"/>
      <c r="K1021" s="9"/>
      <c r="L1021" s="9"/>
      <c r="M1021" s="9"/>
      <c r="N1021" s="9"/>
      <c r="O1021" s="9"/>
      <c r="P1021" s="9"/>
      <c r="Q1021" s="9"/>
      <c r="R1021" s="9"/>
      <c r="S1021" s="9"/>
      <c r="T1021" s="9"/>
      <c r="U1021" s="9"/>
      <c r="V1021" s="9"/>
      <c r="W1021" s="9"/>
      <c r="X1021" s="223"/>
      <c r="Y1021" s="9"/>
      <c r="Z1021" s="204"/>
      <c r="AA1021" s="9"/>
      <c r="AB1021" s="9"/>
      <c r="AC1021" s="9"/>
      <c r="AD1021" s="9"/>
    </row>
    <row r="1022" ht="15.75" customHeight="1">
      <c r="A1022" s="9"/>
      <c r="B1022" s="9"/>
      <c r="C1022" s="9"/>
      <c r="D1022" s="9"/>
      <c r="E1022" s="223"/>
      <c r="F1022" s="9"/>
      <c r="G1022" s="9"/>
      <c r="H1022" s="9"/>
      <c r="I1022" s="9"/>
      <c r="J1022" s="9"/>
      <c r="K1022" s="9"/>
      <c r="L1022" s="9"/>
      <c r="M1022" s="9"/>
      <c r="N1022" s="9"/>
      <c r="O1022" s="9"/>
      <c r="P1022" s="9"/>
      <c r="Q1022" s="9"/>
      <c r="R1022" s="9"/>
      <c r="S1022" s="9"/>
      <c r="T1022" s="9"/>
      <c r="U1022" s="9"/>
      <c r="V1022" s="9"/>
      <c r="W1022" s="9"/>
      <c r="X1022" s="223"/>
      <c r="Y1022" s="9"/>
      <c r="Z1022" s="204"/>
      <c r="AA1022" s="9"/>
      <c r="AB1022" s="9"/>
      <c r="AC1022" s="9"/>
      <c r="AD1022" s="9"/>
    </row>
    <row r="1023" ht="15.75" customHeight="1">
      <c r="A1023" s="9"/>
      <c r="B1023" s="9"/>
      <c r="C1023" s="9"/>
      <c r="D1023" s="9"/>
      <c r="E1023" s="223"/>
      <c r="F1023" s="9"/>
      <c r="G1023" s="9"/>
      <c r="H1023" s="9"/>
      <c r="I1023" s="9"/>
      <c r="J1023" s="9"/>
      <c r="K1023" s="9"/>
      <c r="L1023" s="9"/>
      <c r="M1023" s="9"/>
      <c r="N1023" s="9"/>
      <c r="O1023" s="9"/>
      <c r="P1023" s="9"/>
      <c r="Q1023" s="9"/>
      <c r="R1023" s="9"/>
      <c r="S1023" s="9"/>
      <c r="T1023" s="9"/>
      <c r="U1023" s="9"/>
      <c r="V1023" s="9"/>
      <c r="W1023" s="9"/>
      <c r="X1023" s="223"/>
      <c r="Y1023" s="9"/>
      <c r="Z1023" s="204"/>
      <c r="AA1023" s="9"/>
      <c r="AB1023" s="9"/>
      <c r="AC1023" s="9"/>
      <c r="AD1023" s="9"/>
    </row>
    <row r="1024" ht="15.75" customHeight="1">
      <c r="A1024" s="9"/>
      <c r="B1024" s="9"/>
      <c r="C1024" s="9"/>
      <c r="D1024" s="9"/>
      <c r="E1024" s="223"/>
      <c r="F1024" s="9"/>
      <c r="G1024" s="9"/>
      <c r="H1024" s="9"/>
      <c r="I1024" s="9"/>
      <c r="J1024" s="9"/>
      <c r="K1024" s="9"/>
      <c r="L1024" s="9"/>
      <c r="M1024" s="9"/>
      <c r="N1024" s="9"/>
      <c r="O1024" s="9"/>
      <c r="P1024" s="9"/>
      <c r="Q1024" s="9"/>
      <c r="R1024" s="9"/>
      <c r="S1024" s="9"/>
      <c r="T1024" s="9"/>
      <c r="U1024" s="9"/>
      <c r="V1024" s="9"/>
      <c r="W1024" s="9"/>
      <c r="X1024" s="223"/>
      <c r="Y1024" s="9"/>
      <c r="Z1024" s="204"/>
      <c r="AA1024" s="9"/>
      <c r="AB1024" s="9"/>
      <c r="AC1024" s="9"/>
      <c r="AD1024" s="9"/>
    </row>
    <row r="1025" ht="15.75" customHeight="1">
      <c r="A1025" s="9"/>
      <c r="B1025" s="9"/>
      <c r="C1025" s="9"/>
      <c r="D1025" s="9"/>
      <c r="E1025" s="223"/>
      <c r="F1025" s="9"/>
      <c r="G1025" s="9"/>
      <c r="H1025" s="9"/>
      <c r="I1025" s="9"/>
      <c r="J1025" s="9"/>
      <c r="K1025" s="9"/>
      <c r="L1025" s="9"/>
      <c r="M1025" s="9"/>
      <c r="N1025" s="9"/>
      <c r="O1025" s="9"/>
      <c r="P1025" s="9"/>
      <c r="Q1025" s="9"/>
      <c r="R1025" s="9"/>
      <c r="S1025" s="9"/>
      <c r="T1025" s="9"/>
      <c r="U1025" s="9"/>
      <c r="V1025" s="9"/>
      <c r="W1025" s="9"/>
      <c r="X1025" s="223"/>
      <c r="Y1025" s="9"/>
      <c r="Z1025" s="204"/>
      <c r="AA1025" s="9"/>
      <c r="AB1025" s="9"/>
      <c r="AC1025" s="9"/>
      <c r="AD1025" s="9"/>
    </row>
    <row r="1026" ht="15.75" customHeight="1">
      <c r="A1026" s="9"/>
      <c r="B1026" s="9"/>
      <c r="C1026" s="9"/>
      <c r="D1026" s="9"/>
      <c r="E1026" s="223"/>
      <c r="F1026" s="9"/>
      <c r="G1026" s="9"/>
      <c r="H1026" s="9"/>
      <c r="I1026" s="9"/>
      <c r="J1026" s="9"/>
      <c r="K1026" s="9"/>
      <c r="L1026" s="9"/>
      <c r="M1026" s="9"/>
      <c r="N1026" s="9"/>
      <c r="O1026" s="9"/>
      <c r="P1026" s="9"/>
      <c r="Q1026" s="9"/>
      <c r="R1026" s="9"/>
      <c r="S1026" s="9"/>
      <c r="T1026" s="9"/>
      <c r="U1026" s="9"/>
      <c r="V1026" s="9"/>
      <c r="W1026" s="9"/>
      <c r="X1026" s="223"/>
      <c r="Y1026" s="9"/>
      <c r="Z1026" s="204"/>
      <c r="AA1026" s="9"/>
      <c r="AB1026" s="9"/>
      <c r="AC1026" s="9"/>
      <c r="AD1026" s="9"/>
    </row>
    <row r="1027" ht="15.75" customHeight="1">
      <c r="A1027" s="9"/>
      <c r="B1027" s="9"/>
      <c r="C1027" s="9"/>
      <c r="D1027" s="9"/>
      <c r="E1027" s="223"/>
      <c r="F1027" s="9"/>
      <c r="G1027" s="9"/>
      <c r="H1027" s="9"/>
      <c r="I1027" s="9"/>
      <c r="J1027" s="9"/>
      <c r="K1027" s="9"/>
      <c r="L1027" s="9"/>
      <c r="M1027" s="9"/>
      <c r="N1027" s="9"/>
      <c r="O1027" s="9"/>
      <c r="P1027" s="9"/>
      <c r="Q1027" s="9"/>
      <c r="R1027" s="9"/>
      <c r="S1027" s="9"/>
      <c r="T1027" s="9"/>
      <c r="U1027" s="9"/>
      <c r="V1027" s="9"/>
      <c r="W1027" s="9"/>
      <c r="X1027" s="223"/>
      <c r="Y1027" s="9"/>
      <c r="Z1027" s="204"/>
      <c r="AA1027" s="9"/>
      <c r="AB1027" s="9"/>
      <c r="AC1027" s="9"/>
      <c r="AD1027" s="9"/>
    </row>
    <row r="1028" ht="15.75" customHeight="1">
      <c r="A1028" s="9"/>
      <c r="B1028" s="9"/>
      <c r="C1028" s="9"/>
      <c r="D1028" s="9"/>
      <c r="E1028" s="223"/>
      <c r="F1028" s="9"/>
      <c r="G1028" s="9"/>
      <c r="H1028" s="9"/>
      <c r="I1028" s="9"/>
      <c r="J1028" s="9"/>
      <c r="K1028" s="9"/>
      <c r="L1028" s="9"/>
      <c r="M1028" s="9"/>
      <c r="N1028" s="9"/>
      <c r="O1028" s="9"/>
      <c r="P1028" s="9"/>
      <c r="Q1028" s="9"/>
      <c r="R1028" s="9"/>
      <c r="S1028" s="9"/>
      <c r="T1028" s="9"/>
      <c r="U1028" s="9"/>
      <c r="V1028" s="9"/>
      <c r="W1028" s="9"/>
      <c r="X1028" s="223"/>
      <c r="Y1028" s="9"/>
      <c r="Z1028" s="204"/>
      <c r="AA1028" s="9"/>
      <c r="AB1028" s="9"/>
      <c r="AC1028" s="9"/>
      <c r="AD1028" s="9"/>
    </row>
    <row r="1029" ht="15.75" customHeight="1">
      <c r="A1029" s="9"/>
      <c r="B1029" s="9"/>
      <c r="C1029" s="9"/>
      <c r="D1029" s="9"/>
      <c r="E1029" s="223"/>
      <c r="F1029" s="9"/>
      <c r="G1029" s="9"/>
      <c r="H1029" s="9"/>
      <c r="I1029" s="9"/>
      <c r="J1029" s="9"/>
      <c r="K1029" s="9"/>
      <c r="L1029" s="9"/>
      <c r="M1029" s="9"/>
      <c r="N1029" s="9"/>
      <c r="O1029" s="9"/>
      <c r="P1029" s="9"/>
      <c r="Q1029" s="9"/>
      <c r="R1029" s="9"/>
      <c r="S1029" s="9"/>
      <c r="T1029" s="9"/>
      <c r="U1029" s="9"/>
      <c r="V1029" s="9"/>
      <c r="W1029" s="9"/>
      <c r="X1029" s="223"/>
      <c r="Y1029" s="9"/>
      <c r="Z1029" s="204"/>
      <c r="AA1029" s="9"/>
      <c r="AB1029" s="9"/>
      <c r="AC1029" s="9"/>
      <c r="AD1029" s="9"/>
    </row>
    <row r="1030" ht="15.75" customHeight="1">
      <c r="A1030" s="9"/>
      <c r="B1030" s="9"/>
      <c r="C1030" s="9"/>
      <c r="D1030" s="9"/>
      <c r="E1030" s="223"/>
      <c r="F1030" s="9"/>
      <c r="G1030" s="9"/>
      <c r="H1030" s="9"/>
      <c r="I1030" s="9"/>
      <c r="J1030" s="9"/>
      <c r="K1030" s="9"/>
      <c r="L1030" s="9"/>
      <c r="M1030" s="9"/>
      <c r="N1030" s="9"/>
      <c r="O1030" s="9"/>
      <c r="P1030" s="9"/>
      <c r="Q1030" s="9"/>
      <c r="R1030" s="9"/>
      <c r="S1030" s="9"/>
      <c r="T1030" s="9"/>
      <c r="U1030" s="9"/>
      <c r="V1030" s="9"/>
      <c r="W1030" s="9"/>
      <c r="X1030" s="223"/>
      <c r="Y1030" s="9"/>
      <c r="Z1030" s="204"/>
      <c r="AA1030" s="9"/>
      <c r="AB1030" s="9"/>
      <c r="AC1030" s="9"/>
      <c r="AD1030" s="9"/>
    </row>
    <row r="1031" ht="15.75" customHeight="1">
      <c r="A1031" s="9"/>
      <c r="B1031" s="9"/>
      <c r="C1031" s="9"/>
      <c r="D1031" s="9"/>
      <c r="E1031" s="223"/>
      <c r="F1031" s="9"/>
      <c r="G1031" s="9"/>
      <c r="H1031" s="9"/>
      <c r="I1031" s="9"/>
      <c r="J1031" s="9"/>
      <c r="K1031" s="9"/>
      <c r="L1031" s="9"/>
      <c r="M1031" s="9"/>
      <c r="N1031" s="9"/>
      <c r="O1031" s="9"/>
      <c r="P1031" s="9"/>
      <c r="Q1031" s="9"/>
      <c r="R1031" s="9"/>
      <c r="S1031" s="9"/>
      <c r="T1031" s="9"/>
      <c r="U1031" s="9"/>
      <c r="V1031" s="9"/>
      <c r="W1031" s="9"/>
      <c r="X1031" s="223"/>
      <c r="Y1031" s="9"/>
      <c r="Z1031" s="204"/>
      <c r="AA1031" s="9"/>
      <c r="AB1031" s="9"/>
      <c r="AC1031" s="9"/>
      <c r="AD1031" s="9"/>
    </row>
    <row r="1032" ht="15.75" customHeight="1">
      <c r="A1032" s="9"/>
      <c r="B1032" s="9"/>
      <c r="C1032" s="9"/>
      <c r="D1032" s="9"/>
      <c r="E1032" s="223"/>
      <c r="F1032" s="9"/>
      <c r="G1032" s="9"/>
      <c r="H1032" s="9"/>
      <c r="I1032" s="9"/>
      <c r="J1032" s="9"/>
      <c r="K1032" s="9"/>
      <c r="L1032" s="9"/>
      <c r="M1032" s="9"/>
      <c r="N1032" s="9"/>
      <c r="O1032" s="9"/>
      <c r="P1032" s="9"/>
      <c r="Q1032" s="9"/>
      <c r="R1032" s="9"/>
      <c r="S1032" s="9"/>
      <c r="T1032" s="9"/>
      <c r="U1032" s="9"/>
      <c r="V1032" s="9"/>
      <c r="W1032" s="9"/>
      <c r="X1032" s="223"/>
      <c r="Y1032" s="9"/>
      <c r="Z1032" s="204"/>
      <c r="AA1032" s="9"/>
      <c r="AB1032" s="9"/>
      <c r="AC1032" s="9"/>
      <c r="AD1032" s="9"/>
    </row>
    <row r="1033" ht="15.75" customHeight="1">
      <c r="A1033" s="9"/>
      <c r="B1033" s="9"/>
      <c r="C1033" s="9"/>
      <c r="D1033" s="9"/>
      <c r="E1033" s="223"/>
      <c r="F1033" s="9"/>
      <c r="G1033" s="9"/>
      <c r="H1033" s="9"/>
      <c r="I1033" s="9"/>
      <c r="J1033" s="9"/>
      <c r="K1033" s="9"/>
      <c r="L1033" s="9"/>
      <c r="M1033" s="9"/>
      <c r="N1033" s="9"/>
      <c r="O1033" s="9"/>
      <c r="P1033" s="9"/>
      <c r="Q1033" s="9"/>
      <c r="R1033" s="9"/>
      <c r="S1033" s="9"/>
      <c r="T1033" s="9"/>
      <c r="U1033" s="9"/>
      <c r="V1033" s="9"/>
      <c r="W1033" s="9"/>
      <c r="X1033" s="223"/>
      <c r="Y1033" s="9"/>
      <c r="Z1033" s="204"/>
      <c r="AA1033" s="9"/>
      <c r="AB1033" s="9"/>
      <c r="AC1033" s="9"/>
      <c r="AD1033" s="9"/>
    </row>
    <row r="1034" ht="15.75" customHeight="1">
      <c r="A1034" s="9"/>
      <c r="B1034" s="9"/>
      <c r="C1034" s="9"/>
      <c r="D1034" s="9"/>
      <c r="E1034" s="223"/>
      <c r="F1034" s="9"/>
      <c r="G1034" s="9"/>
      <c r="H1034" s="9"/>
      <c r="I1034" s="9"/>
      <c r="J1034" s="9"/>
      <c r="K1034" s="9"/>
      <c r="L1034" s="9"/>
      <c r="M1034" s="9"/>
      <c r="N1034" s="9"/>
      <c r="O1034" s="9"/>
      <c r="P1034" s="9"/>
      <c r="Q1034" s="9"/>
      <c r="R1034" s="9"/>
      <c r="S1034" s="9"/>
      <c r="T1034" s="9"/>
      <c r="U1034" s="9"/>
      <c r="V1034" s="9"/>
      <c r="W1034" s="9"/>
      <c r="X1034" s="223"/>
      <c r="Y1034" s="9"/>
      <c r="Z1034" s="204"/>
      <c r="AA1034" s="9"/>
      <c r="AB1034" s="9"/>
      <c r="AC1034" s="9"/>
      <c r="AD1034" s="9"/>
    </row>
    <row r="1035" ht="15.75" customHeight="1">
      <c r="A1035" s="9"/>
      <c r="B1035" s="9"/>
      <c r="C1035" s="9"/>
      <c r="D1035" s="9"/>
      <c r="E1035" s="223"/>
      <c r="F1035" s="9"/>
      <c r="G1035" s="9"/>
      <c r="H1035" s="9"/>
      <c r="I1035" s="9"/>
      <c r="J1035" s="9"/>
      <c r="K1035" s="9"/>
      <c r="L1035" s="9"/>
      <c r="M1035" s="9"/>
      <c r="N1035" s="9"/>
      <c r="O1035" s="9"/>
      <c r="P1035" s="9"/>
      <c r="Q1035" s="9"/>
      <c r="R1035" s="9"/>
      <c r="S1035" s="9"/>
      <c r="T1035" s="9"/>
      <c r="U1035" s="9"/>
      <c r="V1035" s="9"/>
      <c r="W1035" s="9"/>
      <c r="X1035" s="223"/>
      <c r="Y1035" s="9"/>
      <c r="Z1035" s="204"/>
      <c r="AA1035" s="9"/>
      <c r="AB1035" s="9"/>
      <c r="AC1035" s="9"/>
      <c r="AD1035" s="9"/>
    </row>
    <row r="1036" ht="15.75" customHeight="1">
      <c r="A1036" s="9"/>
      <c r="B1036" s="9"/>
      <c r="C1036" s="9"/>
      <c r="D1036" s="9"/>
      <c r="E1036" s="223"/>
      <c r="F1036" s="9"/>
      <c r="G1036" s="9"/>
      <c r="H1036" s="9"/>
      <c r="I1036" s="9"/>
      <c r="J1036" s="9"/>
      <c r="K1036" s="9"/>
      <c r="L1036" s="9"/>
      <c r="M1036" s="9"/>
      <c r="N1036" s="9"/>
      <c r="O1036" s="9"/>
      <c r="P1036" s="9"/>
      <c r="Q1036" s="9"/>
      <c r="R1036" s="9"/>
      <c r="S1036" s="9"/>
      <c r="T1036" s="9"/>
      <c r="U1036" s="9"/>
      <c r="V1036" s="9"/>
      <c r="W1036" s="9"/>
      <c r="X1036" s="223"/>
      <c r="Y1036" s="9"/>
      <c r="Z1036" s="204"/>
      <c r="AA1036" s="9"/>
      <c r="AB1036" s="9"/>
      <c r="AC1036" s="9"/>
      <c r="AD1036" s="9"/>
    </row>
    <row r="1037" ht="15.75" customHeight="1">
      <c r="A1037" s="9"/>
      <c r="B1037" s="9"/>
      <c r="C1037" s="9"/>
      <c r="D1037" s="9"/>
      <c r="E1037" s="223"/>
      <c r="F1037" s="9"/>
      <c r="G1037" s="9"/>
      <c r="H1037" s="9"/>
      <c r="I1037" s="9"/>
      <c r="J1037" s="9"/>
      <c r="K1037" s="9"/>
      <c r="L1037" s="9"/>
      <c r="M1037" s="9"/>
      <c r="N1037" s="9"/>
      <c r="O1037" s="9"/>
      <c r="P1037" s="9"/>
      <c r="Q1037" s="9"/>
      <c r="R1037" s="9"/>
      <c r="S1037" s="9"/>
      <c r="T1037" s="9"/>
      <c r="U1037" s="9"/>
      <c r="V1037" s="9"/>
      <c r="W1037" s="9"/>
      <c r="X1037" s="223"/>
      <c r="Y1037" s="9"/>
      <c r="Z1037" s="204"/>
      <c r="AA1037" s="9"/>
      <c r="AB1037" s="9"/>
      <c r="AC1037" s="9"/>
      <c r="AD1037" s="9"/>
    </row>
    <row r="1038" ht="15.75" customHeight="1">
      <c r="A1038" s="9"/>
      <c r="B1038" s="9"/>
      <c r="C1038" s="9"/>
      <c r="D1038" s="9"/>
      <c r="E1038" s="223"/>
      <c r="F1038" s="9"/>
      <c r="G1038" s="9"/>
      <c r="H1038" s="9"/>
      <c r="I1038" s="9"/>
      <c r="J1038" s="9"/>
      <c r="K1038" s="9"/>
      <c r="L1038" s="9"/>
      <c r="M1038" s="9"/>
      <c r="N1038" s="9"/>
      <c r="O1038" s="9"/>
      <c r="P1038" s="9"/>
      <c r="Q1038" s="9"/>
      <c r="R1038" s="9"/>
      <c r="S1038" s="9"/>
      <c r="T1038" s="9"/>
      <c r="U1038" s="9"/>
      <c r="V1038" s="9"/>
      <c r="W1038" s="9"/>
      <c r="X1038" s="223"/>
      <c r="Y1038" s="9"/>
      <c r="Z1038" s="204"/>
      <c r="AA1038" s="9"/>
      <c r="AB1038" s="9"/>
      <c r="AC1038" s="9"/>
      <c r="AD1038" s="9"/>
    </row>
    <row r="1039" ht="15.75" customHeight="1">
      <c r="A1039" s="9"/>
      <c r="B1039" s="9"/>
      <c r="C1039" s="9"/>
      <c r="D1039" s="9"/>
      <c r="E1039" s="223"/>
      <c r="F1039" s="9"/>
      <c r="G1039" s="9"/>
      <c r="H1039" s="9"/>
      <c r="I1039" s="9"/>
      <c r="J1039" s="9"/>
      <c r="K1039" s="9"/>
      <c r="L1039" s="9"/>
      <c r="M1039" s="9"/>
      <c r="N1039" s="9"/>
      <c r="O1039" s="9"/>
      <c r="P1039" s="9"/>
      <c r="Q1039" s="9"/>
      <c r="R1039" s="9"/>
      <c r="S1039" s="9"/>
      <c r="T1039" s="9"/>
      <c r="U1039" s="9"/>
      <c r="V1039" s="9"/>
      <c r="W1039" s="9"/>
      <c r="X1039" s="223"/>
      <c r="Y1039" s="9"/>
      <c r="Z1039" s="204"/>
      <c r="AA1039" s="9"/>
      <c r="AB1039" s="9"/>
      <c r="AC1039" s="9"/>
      <c r="AD1039" s="9"/>
    </row>
    <row r="1040" ht="15.75" customHeight="1">
      <c r="A1040" s="9"/>
      <c r="B1040" s="9"/>
      <c r="C1040" s="9"/>
      <c r="D1040" s="9"/>
      <c r="E1040" s="223"/>
      <c r="F1040" s="9"/>
      <c r="G1040" s="9"/>
      <c r="H1040" s="9"/>
      <c r="I1040" s="9"/>
      <c r="J1040" s="9"/>
      <c r="K1040" s="9"/>
      <c r="L1040" s="9"/>
      <c r="M1040" s="9"/>
      <c r="N1040" s="9"/>
      <c r="O1040" s="9"/>
      <c r="P1040" s="9"/>
      <c r="Q1040" s="9"/>
      <c r="R1040" s="9"/>
      <c r="S1040" s="9"/>
      <c r="T1040" s="9"/>
      <c r="U1040" s="9"/>
      <c r="V1040" s="9"/>
      <c r="W1040" s="9"/>
      <c r="X1040" s="223"/>
      <c r="Y1040" s="9"/>
      <c r="Z1040" s="204"/>
      <c r="AA1040" s="9"/>
      <c r="AB1040" s="9"/>
      <c r="AC1040" s="9"/>
      <c r="AD1040" s="9"/>
    </row>
    <row r="1041" ht="15.75" customHeight="1">
      <c r="A1041" s="9"/>
      <c r="B1041" s="9"/>
      <c r="C1041" s="9"/>
      <c r="D1041" s="9"/>
      <c r="E1041" s="223"/>
      <c r="F1041" s="9"/>
      <c r="G1041" s="9"/>
      <c r="H1041" s="9"/>
      <c r="I1041" s="9"/>
      <c r="J1041" s="9"/>
      <c r="K1041" s="9"/>
      <c r="L1041" s="9"/>
      <c r="M1041" s="9"/>
      <c r="N1041" s="9"/>
      <c r="O1041" s="9"/>
      <c r="P1041" s="9"/>
      <c r="Q1041" s="9"/>
      <c r="R1041" s="9"/>
      <c r="S1041" s="9"/>
      <c r="T1041" s="9"/>
      <c r="U1041" s="9"/>
      <c r="V1041" s="9"/>
      <c r="W1041" s="9"/>
      <c r="X1041" s="223"/>
      <c r="Y1041" s="9"/>
      <c r="Z1041" s="204"/>
      <c r="AA1041" s="9"/>
      <c r="AB1041" s="9"/>
      <c r="AC1041" s="9"/>
      <c r="AD1041" s="9"/>
    </row>
    <row r="1042" ht="15.75" customHeight="1">
      <c r="A1042" s="9"/>
      <c r="B1042" s="9"/>
      <c r="C1042" s="9"/>
      <c r="D1042" s="9"/>
      <c r="E1042" s="223"/>
      <c r="F1042" s="9"/>
      <c r="G1042" s="9"/>
      <c r="H1042" s="9"/>
      <c r="I1042" s="9"/>
      <c r="J1042" s="9"/>
      <c r="K1042" s="9"/>
      <c r="L1042" s="9"/>
      <c r="M1042" s="9"/>
      <c r="N1042" s="9"/>
      <c r="O1042" s="9"/>
      <c r="P1042" s="9"/>
      <c r="Q1042" s="9"/>
      <c r="R1042" s="9"/>
      <c r="S1042" s="9"/>
      <c r="T1042" s="9"/>
      <c r="U1042" s="9"/>
      <c r="V1042" s="9"/>
      <c r="W1042" s="9"/>
      <c r="X1042" s="223"/>
      <c r="Y1042" s="9"/>
      <c r="Z1042" s="204"/>
      <c r="AA1042" s="9"/>
      <c r="AB1042" s="9"/>
      <c r="AC1042" s="9"/>
      <c r="AD1042" s="9"/>
    </row>
    <row r="1043" ht="15.75" customHeight="1">
      <c r="A1043" s="9"/>
      <c r="B1043" s="9"/>
      <c r="C1043" s="9"/>
      <c r="D1043" s="9"/>
      <c r="E1043" s="223"/>
      <c r="F1043" s="9"/>
      <c r="G1043" s="9"/>
      <c r="H1043" s="9"/>
      <c r="I1043" s="9"/>
      <c r="J1043" s="9"/>
      <c r="K1043" s="9"/>
      <c r="L1043" s="9"/>
      <c r="M1043" s="9"/>
      <c r="N1043" s="9"/>
      <c r="O1043" s="9"/>
      <c r="P1043" s="9"/>
      <c r="Q1043" s="9"/>
      <c r="R1043" s="9"/>
      <c r="S1043" s="9"/>
      <c r="T1043" s="9"/>
      <c r="U1043" s="9"/>
      <c r="V1043" s="9"/>
      <c r="W1043" s="9"/>
      <c r="X1043" s="223"/>
      <c r="Y1043" s="9"/>
      <c r="Z1043" s="204"/>
      <c r="AA1043" s="9"/>
      <c r="AB1043" s="9"/>
      <c r="AC1043" s="9"/>
      <c r="AD1043" s="9"/>
    </row>
    <row r="1044" ht="15.75" customHeight="1">
      <c r="A1044" s="9"/>
      <c r="B1044" s="9"/>
      <c r="C1044" s="9"/>
      <c r="D1044" s="9"/>
      <c r="E1044" s="223"/>
      <c r="F1044" s="9"/>
      <c r="G1044" s="9"/>
      <c r="H1044" s="9"/>
      <c r="I1044" s="9"/>
      <c r="J1044" s="9"/>
      <c r="K1044" s="9"/>
      <c r="L1044" s="9"/>
      <c r="M1044" s="9"/>
      <c r="N1044" s="9"/>
      <c r="O1044" s="9"/>
      <c r="P1044" s="9"/>
      <c r="Q1044" s="9"/>
      <c r="R1044" s="9"/>
      <c r="S1044" s="9"/>
      <c r="T1044" s="9"/>
      <c r="U1044" s="9"/>
      <c r="V1044" s="9"/>
      <c r="W1044" s="9"/>
      <c r="X1044" s="223"/>
      <c r="Y1044" s="9"/>
      <c r="Z1044" s="204"/>
      <c r="AA1044" s="9"/>
      <c r="AB1044" s="9"/>
      <c r="AC1044" s="9"/>
      <c r="AD1044" s="9"/>
    </row>
    <row r="1045" ht="15.75" customHeight="1">
      <c r="A1045" s="9"/>
      <c r="B1045" s="9"/>
      <c r="C1045" s="9"/>
      <c r="D1045" s="9"/>
      <c r="E1045" s="223"/>
      <c r="F1045" s="9"/>
      <c r="G1045" s="9"/>
      <c r="H1045" s="9"/>
      <c r="I1045" s="9"/>
      <c r="J1045" s="9"/>
      <c r="K1045" s="9"/>
      <c r="L1045" s="9"/>
      <c r="M1045" s="9"/>
      <c r="N1045" s="9"/>
      <c r="O1045" s="9"/>
      <c r="P1045" s="9"/>
      <c r="Q1045" s="9"/>
      <c r="R1045" s="9"/>
      <c r="S1045" s="9"/>
      <c r="T1045" s="9"/>
      <c r="U1045" s="9"/>
      <c r="V1045" s="9"/>
      <c r="W1045" s="9"/>
      <c r="X1045" s="223"/>
      <c r="Y1045" s="9"/>
      <c r="Z1045" s="204"/>
      <c r="AA1045" s="9"/>
      <c r="AB1045" s="9"/>
      <c r="AC1045" s="9"/>
      <c r="AD1045" s="9"/>
    </row>
    <row r="1046" ht="15.75" customHeight="1">
      <c r="A1046" s="9"/>
      <c r="B1046" s="9"/>
      <c r="C1046" s="9"/>
      <c r="D1046" s="9"/>
      <c r="E1046" s="223"/>
      <c r="F1046" s="9"/>
      <c r="G1046" s="9"/>
      <c r="H1046" s="9"/>
      <c r="I1046" s="9"/>
      <c r="J1046" s="9"/>
      <c r="K1046" s="9"/>
      <c r="L1046" s="9"/>
      <c r="M1046" s="9"/>
      <c r="N1046" s="9"/>
      <c r="O1046" s="9"/>
      <c r="P1046" s="9"/>
      <c r="Q1046" s="9"/>
      <c r="R1046" s="9"/>
      <c r="S1046" s="9"/>
      <c r="T1046" s="9"/>
      <c r="U1046" s="9"/>
      <c r="V1046" s="9"/>
      <c r="W1046" s="9"/>
      <c r="X1046" s="223"/>
      <c r="Y1046" s="9"/>
      <c r="Z1046" s="204"/>
      <c r="AA1046" s="9"/>
      <c r="AB1046" s="9"/>
      <c r="AC1046" s="9"/>
      <c r="AD1046" s="9"/>
    </row>
    <row r="1047" ht="15.75" customHeight="1">
      <c r="A1047" s="9"/>
      <c r="B1047" s="9"/>
      <c r="C1047" s="9"/>
      <c r="D1047" s="9"/>
      <c r="E1047" s="223"/>
      <c r="F1047" s="9"/>
      <c r="G1047" s="9"/>
      <c r="H1047" s="9"/>
      <c r="I1047" s="9"/>
      <c r="J1047" s="9"/>
      <c r="K1047" s="9"/>
      <c r="L1047" s="9"/>
      <c r="M1047" s="9"/>
      <c r="N1047" s="9"/>
      <c r="O1047" s="9"/>
      <c r="P1047" s="9"/>
      <c r="Q1047" s="9"/>
      <c r="R1047" s="9"/>
      <c r="S1047" s="9"/>
      <c r="T1047" s="9"/>
      <c r="U1047" s="9"/>
      <c r="V1047" s="9"/>
      <c r="W1047" s="9"/>
      <c r="X1047" s="223"/>
      <c r="Y1047" s="9"/>
      <c r="Z1047" s="204"/>
      <c r="AA1047" s="9"/>
      <c r="AB1047" s="9"/>
      <c r="AC1047" s="9"/>
      <c r="AD1047" s="9"/>
    </row>
    <row r="1048" ht="15.75" customHeight="1">
      <c r="A1048" s="9"/>
      <c r="B1048" s="9"/>
      <c r="C1048" s="9"/>
      <c r="D1048" s="9"/>
      <c r="E1048" s="223"/>
      <c r="F1048" s="9"/>
      <c r="G1048" s="9"/>
      <c r="H1048" s="9"/>
      <c r="I1048" s="9"/>
      <c r="J1048" s="9"/>
      <c r="K1048" s="9"/>
      <c r="L1048" s="9"/>
      <c r="M1048" s="9"/>
      <c r="N1048" s="9"/>
      <c r="O1048" s="9"/>
      <c r="P1048" s="9"/>
      <c r="Q1048" s="9"/>
      <c r="R1048" s="9"/>
      <c r="S1048" s="9"/>
      <c r="T1048" s="9"/>
      <c r="U1048" s="9"/>
      <c r="V1048" s="9"/>
      <c r="W1048" s="9"/>
      <c r="X1048" s="223"/>
      <c r="Y1048" s="9"/>
      <c r="Z1048" s="204"/>
      <c r="AA1048" s="9"/>
      <c r="AB1048" s="9"/>
      <c r="AC1048" s="9"/>
      <c r="AD1048" s="9"/>
    </row>
    <row r="1049" ht="15.75" customHeight="1">
      <c r="A1049" s="9"/>
      <c r="B1049" s="9"/>
      <c r="C1049" s="9"/>
      <c r="D1049" s="9"/>
      <c r="E1049" s="223"/>
      <c r="F1049" s="9"/>
      <c r="G1049" s="9"/>
      <c r="H1049" s="9"/>
      <c r="I1049" s="9"/>
      <c r="J1049" s="9"/>
      <c r="K1049" s="9"/>
      <c r="L1049" s="9"/>
      <c r="M1049" s="9"/>
      <c r="N1049" s="9"/>
      <c r="O1049" s="9"/>
      <c r="P1049" s="9"/>
      <c r="Q1049" s="9"/>
      <c r="R1049" s="9"/>
      <c r="S1049" s="9"/>
      <c r="T1049" s="9"/>
      <c r="U1049" s="9"/>
      <c r="V1049" s="9"/>
      <c r="W1049" s="9"/>
      <c r="X1049" s="223"/>
      <c r="Y1049" s="9"/>
      <c r="Z1049" s="204"/>
      <c r="AA1049" s="9"/>
      <c r="AB1049" s="9"/>
      <c r="AC1049" s="9"/>
      <c r="AD1049" s="9"/>
    </row>
    <row r="1050" ht="15.75" customHeight="1">
      <c r="A1050" s="9"/>
      <c r="B1050" s="9"/>
      <c r="C1050" s="9"/>
      <c r="D1050" s="9"/>
      <c r="E1050" s="223"/>
      <c r="F1050" s="9"/>
      <c r="G1050" s="9"/>
      <c r="H1050" s="9"/>
      <c r="I1050" s="9"/>
      <c r="J1050" s="9"/>
      <c r="K1050" s="9"/>
      <c r="L1050" s="9"/>
      <c r="M1050" s="9"/>
      <c r="N1050" s="9"/>
      <c r="O1050" s="9"/>
      <c r="P1050" s="9"/>
      <c r="Q1050" s="9"/>
      <c r="R1050" s="9"/>
      <c r="S1050" s="9"/>
      <c r="T1050" s="9"/>
      <c r="U1050" s="9"/>
      <c r="V1050" s="9"/>
      <c r="W1050" s="9"/>
      <c r="X1050" s="223"/>
      <c r="Y1050" s="9"/>
      <c r="Z1050" s="204"/>
      <c r="AA1050" s="9"/>
      <c r="AB1050" s="9"/>
      <c r="AC1050" s="9"/>
      <c r="AD1050" s="9"/>
    </row>
    <row r="1051" ht="15.75" customHeight="1">
      <c r="A1051" s="9"/>
      <c r="B1051" s="9"/>
      <c r="C1051" s="9"/>
      <c r="D1051" s="9"/>
      <c r="E1051" s="223"/>
      <c r="F1051" s="9"/>
      <c r="G1051" s="9"/>
      <c r="H1051" s="9"/>
      <c r="I1051" s="9"/>
      <c r="J1051" s="9"/>
      <c r="K1051" s="9"/>
      <c r="L1051" s="9"/>
      <c r="M1051" s="9"/>
      <c r="N1051" s="9"/>
      <c r="O1051" s="9"/>
      <c r="P1051" s="9"/>
      <c r="Q1051" s="9"/>
      <c r="R1051" s="9"/>
      <c r="S1051" s="9"/>
      <c r="T1051" s="9"/>
      <c r="U1051" s="9"/>
      <c r="V1051" s="9"/>
      <c r="W1051" s="9"/>
      <c r="X1051" s="223"/>
      <c r="Y1051" s="9"/>
      <c r="Z1051" s="204"/>
      <c r="AA1051" s="9"/>
      <c r="AB1051" s="9"/>
      <c r="AC1051" s="9"/>
      <c r="AD1051" s="9"/>
    </row>
    <row r="1052" ht="15.75" customHeight="1">
      <c r="A1052" s="9"/>
      <c r="B1052" s="9"/>
      <c r="C1052" s="9"/>
      <c r="D1052" s="9"/>
      <c r="E1052" s="223"/>
      <c r="F1052" s="9"/>
      <c r="G1052" s="9"/>
      <c r="H1052" s="9"/>
      <c r="I1052" s="9"/>
      <c r="J1052" s="9"/>
      <c r="K1052" s="9"/>
      <c r="L1052" s="9"/>
      <c r="M1052" s="9"/>
      <c r="N1052" s="9"/>
      <c r="O1052" s="9"/>
      <c r="P1052" s="9"/>
      <c r="Q1052" s="9"/>
      <c r="R1052" s="9"/>
      <c r="S1052" s="9"/>
      <c r="T1052" s="9"/>
      <c r="U1052" s="9"/>
      <c r="V1052" s="9"/>
      <c r="W1052" s="9"/>
      <c r="X1052" s="223"/>
      <c r="Y1052" s="9"/>
      <c r="Z1052" s="204"/>
      <c r="AA1052" s="9"/>
      <c r="AB1052" s="9"/>
      <c r="AC1052" s="9"/>
      <c r="AD1052" s="9"/>
    </row>
    <row r="1053" ht="15.75" customHeight="1">
      <c r="A1053" s="9"/>
      <c r="B1053" s="9"/>
      <c r="C1053" s="9"/>
      <c r="D1053" s="9"/>
      <c r="E1053" s="223"/>
      <c r="F1053" s="9"/>
      <c r="G1053" s="9"/>
      <c r="H1053" s="9"/>
      <c r="I1053" s="9"/>
      <c r="J1053" s="9"/>
      <c r="K1053" s="9"/>
      <c r="L1053" s="9"/>
      <c r="M1053" s="9"/>
      <c r="N1053" s="9"/>
      <c r="O1053" s="9"/>
      <c r="P1053" s="9"/>
      <c r="Q1053" s="9"/>
      <c r="R1053" s="9"/>
      <c r="S1053" s="9"/>
      <c r="T1053" s="9"/>
      <c r="U1053" s="9"/>
      <c r="V1053" s="9"/>
      <c r="W1053" s="9"/>
      <c r="X1053" s="223"/>
      <c r="Y1053" s="9"/>
      <c r="Z1053" s="204"/>
      <c r="AA1053" s="9"/>
      <c r="AB1053" s="9"/>
      <c r="AC1053" s="9"/>
      <c r="AD1053" s="9"/>
    </row>
    <row r="1054" ht="15.75" customHeight="1">
      <c r="A1054" s="9"/>
      <c r="B1054" s="9"/>
      <c r="C1054" s="9"/>
      <c r="D1054" s="9"/>
      <c r="E1054" s="223"/>
      <c r="F1054" s="9"/>
      <c r="G1054" s="9"/>
      <c r="H1054" s="9"/>
      <c r="I1054" s="9"/>
      <c r="J1054" s="9"/>
      <c r="K1054" s="9"/>
      <c r="L1054" s="9"/>
      <c r="M1054" s="9"/>
      <c r="N1054" s="9"/>
      <c r="O1054" s="9"/>
      <c r="P1054" s="9"/>
      <c r="Q1054" s="9"/>
      <c r="R1054" s="9"/>
      <c r="S1054" s="9"/>
      <c r="T1054" s="9"/>
      <c r="U1054" s="9"/>
      <c r="V1054" s="9"/>
      <c r="W1054" s="9"/>
      <c r="X1054" s="223"/>
      <c r="Y1054" s="9"/>
      <c r="Z1054" s="204"/>
      <c r="AA1054" s="9"/>
      <c r="AB1054" s="9"/>
      <c r="AC1054" s="9"/>
      <c r="AD1054" s="9"/>
    </row>
    <row r="1055" ht="15.75" customHeight="1">
      <c r="A1055" s="9"/>
      <c r="B1055" s="9"/>
      <c r="C1055" s="9"/>
      <c r="D1055" s="9"/>
      <c r="E1055" s="223"/>
      <c r="F1055" s="9"/>
      <c r="G1055" s="9"/>
      <c r="H1055" s="9"/>
      <c r="I1055" s="9"/>
      <c r="J1055" s="9"/>
      <c r="K1055" s="9"/>
      <c r="L1055" s="9"/>
      <c r="M1055" s="9"/>
      <c r="N1055" s="9"/>
      <c r="O1055" s="9"/>
      <c r="P1055" s="9"/>
      <c r="Q1055" s="9"/>
      <c r="R1055" s="9"/>
      <c r="S1055" s="9"/>
      <c r="T1055" s="9"/>
      <c r="U1055" s="9"/>
      <c r="V1055" s="9"/>
      <c r="W1055" s="9"/>
      <c r="X1055" s="223"/>
      <c r="Y1055" s="9"/>
      <c r="Z1055" s="204"/>
      <c r="AA1055" s="9"/>
      <c r="AB1055" s="9"/>
      <c r="AC1055" s="9"/>
      <c r="AD1055" s="9"/>
    </row>
    <row r="1056" ht="15.75" customHeight="1">
      <c r="A1056" s="9"/>
      <c r="B1056" s="9"/>
      <c r="C1056" s="9"/>
      <c r="D1056" s="9"/>
      <c r="E1056" s="223"/>
      <c r="F1056" s="9"/>
      <c r="G1056" s="9"/>
      <c r="H1056" s="9"/>
      <c r="I1056" s="9"/>
      <c r="J1056" s="9"/>
      <c r="K1056" s="9"/>
      <c r="L1056" s="9"/>
      <c r="M1056" s="9"/>
      <c r="N1056" s="9"/>
      <c r="O1056" s="9"/>
      <c r="P1056" s="9"/>
      <c r="Q1056" s="9"/>
      <c r="R1056" s="9"/>
      <c r="S1056" s="9"/>
      <c r="T1056" s="9"/>
      <c r="U1056" s="9"/>
      <c r="V1056" s="9"/>
      <c r="W1056" s="9"/>
      <c r="X1056" s="223"/>
      <c r="Y1056" s="9"/>
      <c r="Z1056" s="204"/>
      <c r="AA1056" s="9"/>
      <c r="AB1056" s="9"/>
      <c r="AC1056" s="9"/>
      <c r="AD1056" s="9"/>
    </row>
    <row r="1057" ht="15.75" customHeight="1">
      <c r="A1057" s="9"/>
      <c r="B1057" s="9"/>
      <c r="C1057" s="9"/>
      <c r="D1057" s="9"/>
      <c r="E1057" s="223"/>
      <c r="F1057" s="9"/>
      <c r="G1057" s="9"/>
      <c r="H1057" s="9"/>
      <c r="I1057" s="9"/>
      <c r="J1057" s="9"/>
      <c r="K1057" s="9"/>
      <c r="L1057" s="9"/>
      <c r="M1057" s="9"/>
      <c r="N1057" s="9"/>
      <c r="O1057" s="9"/>
      <c r="P1057" s="9"/>
      <c r="Q1057" s="9"/>
      <c r="R1057" s="9"/>
      <c r="S1057" s="9"/>
      <c r="T1057" s="9"/>
      <c r="U1057" s="9"/>
      <c r="V1057" s="9"/>
      <c r="W1057" s="9"/>
      <c r="X1057" s="223"/>
      <c r="Y1057" s="9"/>
      <c r="Z1057" s="204"/>
      <c r="AA1057" s="9"/>
      <c r="AB1057" s="9"/>
      <c r="AC1057" s="9"/>
      <c r="AD1057" s="9"/>
    </row>
    <row r="1058" ht="15.75" customHeight="1">
      <c r="A1058" s="9"/>
      <c r="B1058" s="9"/>
      <c r="C1058" s="9"/>
      <c r="D1058" s="9"/>
      <c r="E1058" s="223"/>
      <c r="F1058" s="9"/>
      <c r="G1058" s="9"/>
      <c r="H1058" s="9"/>
      <c r="I1058" s="9"/>
      <c r="J1058" s="9"/>
      <c r="K1058" s="9"/>
      <c r="L1058" s="9"/>
      <c r="M1058" s="9"/>
      <c r="N1058" s="9"/>
      <c r="O1058" s="9"/>
      <c r="P1058" s="9"/>
      <c r="Q1058" s="9"/>
      <c r="R1058" s="9"/>
      <c r="S1058" s="9"/>
      <c r="T1058" s="9"/>
      <c r="U1058" s="9"/>
      <c r="V1058" s="9"/>
      <c r="W1058" s="9"/>
      <c r="X1058" s="223"/>
      <c r="Y1058" s="9"/>
      <c r="Z1058" s="204"/>
      <c r="AA1058" s="9"/>
      <c r="AB1058" s="9"/>
      <c r="AC1058" s="9"/>
      <c r="AD1058" s="9"/>
    </row>
    <row r="1059" ht="15.75" customHeight="1">
      <c r="A1059" s="9"/>
      <c r="B1059" s="9"/>
      <c r="C1059" s="9"/>
      <c r="D1059" s="9"/>
      <c r="E1059" s="223"/>
      <c r="F1059" s="9"/>
      <c r="G1059" s="9"/>
      <c r="H1059" s="9"/>
      <c r="I1059" s="9"/>
      <c r="J1059" s="9"/>
      <c r="K1059" s="9"/>
      <c r="L1059" s="9"/>
      <c r="M1059" s="9"/>
      <c r="N1059" s="9"/>
      <c r="O1059" s="9"/>
      <c r="P1059" s="9"/>
      <c r="Q1059" s="9"/>
      <c r="R1059" s="9"/>
      <c r="S1059" s="9"/>
      <c r="T1059" s="9"/>
      <c r="U1059" s="9"/>
      <c r="V1059" s="9"/>
      <c r="W1059" s="9"/>
      <c r="X1059" s="223"/>
      <c r="Y1059" s="9"/>
      <c r="Z1059" s="204"/>
      <c r="AA1059" s="9"/>
      <c r="AB1059" s="9"/>
      <c r="AC1059" s="9"/>
      <c r="AD1059" s="9"/>
    </row>
    <row r="1060" ht="15.75" customHeight="1">
      <c r="A1060" s="9"/>
      <c r="B1060" s="9"/>
      <c r="C1060" s="9"/>
      <c r="D1060" s="9"/>
      <c r="E1060" s="223"/>
      <c r="F1060" s="9"/>
      <c r="G1060" s="9"/>
      <c r="H1060" s="9"/>
      <c r="I1060" s="9"/>
      <c r="J1060" s="9"/>
      <c r="K1060" s="9"/>
      <c r="L1060" s="9"/>
      <c r="M1060" s="9"/>
      <c r="N1060" s="9"/>
      <c r="O1060" s="9"/>
      <c r="P1060" s="9"/>
      <c r="Q1060" s="9"/>
      <c r="R1060" s="9"/>
      <c r="S1060" s="9"/>
      <c r="T1060" s="9"/>
      <c r="U1060" s="9"/>
      <c r="V1060" s="9"/>
      <c r="W1060" s="9"/>
      <c r="X1060" s="223"/>
      <c r="Y1060" s="9"/>
      <c r="Z1060" s="204"/>
      <c r="AA1060" s="9"/>
      <c r="AB1060" s="9"/>
      <c r="AC1060" s="9"/>
      <c r="AD1060" s="9"/>
    </row>
  </sheetData>
  <mergeCells count="567">
    <mergeCell ref="L9:L10"/>
    <mergeCell ref="M9:M10"/>
    <mergeCell ref="N9:N10"/>
    <mergeCell ref="O9:O10"/>
    <mergeCell ref="P9:P10"/>
    <mergeCell ref="Q9:Q10"/>
    <mergeCell ref="R9:R10"/>
    <mergeCell ref="A9:A10"/>
    <mergeCell ref="B9:B10"/>
    <mergeCell ref="C9:C10"/>
    <mergeCell ref="D9:D10"/>
    <mergeCell ref="E9:E10"/>
    <mergeCell ref="F9:F10"/>
    <mergeCell ref="K9:K10"/>
    <mergeCell ref="S11:S13"/>
    <mergeCell ref="T11:T13"/>
    <mergeCell ref="L11:L13"/>
    <mergeCell ref="M11:M13"/>
    <mergeCell ref="N11:N13"/>
    <mergeCell ref="O11:O13"/>
    <mergeCell ref="P11:P13"/>
    <mergeCell ref="Q11:Q13"/>
    <mergeCell ref="R11:R13"/>
    <mergeCell ref="G2:J2"/>
    <mergeCell ref="K2:Q2"/>
    <mergeCell ref="R2:T2"/>
    <mergeCell ref="U2:V2"/>
    <mergeCell ref="W2:W3"/>
    <mergeCell ref="X2:X3"/>
    <mergeCell ref="P3:Q3"/>
    <mergeCell ref="A1:G1"/>
    <mergeCell ref="A2:A3"/>
    <mergeCell ref="B2:B3"/>
    <mergeCell ref="C2:C3"/>
    <mergeCell ref="D2:D3"/>
    <mergeCell ref="E2:E3"/>
    <mergeCell ref="F2:F3"/>
    <mergeCell ref="T5:T7"/>
    <mergeCell ref="U5:U7"/>
    <mergeCell ref="V5:V7"/>
    <mergeCell ref="W5:W7"/>
    <mergeCell ref="X5:X7"/>
    <mergeCell ref="L5:L7"/>
    <mergeCell ref="N5:N7"/>
    <mergeCell ref="O5:O7"/>
    <mergeCell ref="P5:P7"/>
    <mergeCell ref="Q5:Q7"/>
    <mergeCell ref="R5:R7"/>
    <mergeCell ref="S5:S7"/>
    <mergeCell ref="M6:M7"/>
    <mergeCell ref="A5:A7"/>
    <mergeCell ref="B5:B7"/>
    <mergeCell ref="C5:C7"/>
    <mergeCell ref="D5:D7"/>
    <mergeCell ref="E5:E7"/>
    <mergeCell ref="F5:F7"/>
    <mergeCell ref="K5:K7"/>
    <mergeCell ref="V11:V13"/>
    <mergeCell ref="W11:W13"/>
    <mergeCell ref="S9:S10"/>
    <mergeCell ref="T9:T10"/>
    <mergeCell ref="U9:U10"/>
    <mergeCell ref="V9:V10"/>
    <mergeCell ref="W9:W10"/>
    <mergeCell ref="X9:X10"/>
    <mergeCell ref="U11:U13"/>
    <mergeCell ref="X11:X13"/>
    <mergeCell ref="A11:A13"/>
    <mergeCell ref="B11:B13"/>
    <mergeCell ref="C11:C13"/>
    <mergeCell ref="D11:D13"/>
    <mergeCell ref="E11:E13"/>
    <mergeCell ref="F11:F13"/>
    <mergeCell ref="K11:K13"/>
    <mergeCell ref="S14:S16"/>
    <mergeCell ref="T14:T16"/>
    <mergeCell ref="U14:U16"/>
    <mergeCell ref="V14:V16"/>
    <mergeCell ref="W14:W16"/>
    <mergeCell ref="X14:X16"/>
    <mergeCell ref="L14:L16"/>
    <mergeCell ref="M14:M16"/>
    <mergeCell ref="N14:N16"/>
    <mergeCell ref="O14:O16"/>
    <mergeCell ref="P14:P16"/>
    <mergeCell ref="Q14:Q16"/>
    <mergeCell ref="R14:R16"/>
    <mergeCell ref="A14:A16"/>
    <mergeCell ref="B14:B16"/>
    <mergeCell ref="C14:C16"/>
    <mergeCell ref="D14:D16"/>
    <mergeCell ref="E14:E16"/>
    <mergeCell ref="F14:F16"/>
    <mergeCell ref="K14:K16"/>
    <mergeCell ref="S17:S18"/>
    <mergeCell ref="T17:T18"/>
    <mergeCell ref="U17:U18"/>
    <mergeCell ref="V17:V18"/>
    <mergeCell ref="W17:W18"/>
    <mergeCell ref="X17:X18"/>
    <mergeCell ref="L17:L18"/>
    <mergeCell ref="M17:M18"/>
    <mergeCell ref="N17:N18"/>
    <mergeCell ref="O17:O18"/>
    <mergeCell ref="P17:P18"/>
    <mergeCell ref="Q17:Q18"/>
    <mergeCell ref="R17:R18"/>
    <mergeCell ref="A17:A18"/>
    <mergeCell ref="B17:B18"/>
    <mergeCell ref="C17:C18"/>
    <mergeCell ref="D17:D18"/>
    <mergeCell ref="E17:E18"/>
    <mergeCell ref="F17:F18"/>
    <mergeCell ref="K17:K18"/>
    <mergeCell ref="S23:S26"/>
    <mergeCell ref="T23:T26"/>
    <mergeCell ref="L23:L26"/>
    <mergeCell ref="M23:M26"/>
    <mergeCell ref="N23:N26"/>
    <mergeCell ref="O23:O26"/>
    <mergeCell ref="P23:P26"/>
    <mergeCell ref="Q23:Q26"/>
    <mergeCell ref="R23:R26"/>
    <mergeCell ref="S27:S28"/>
    <mergeCell ref="T27:T28"/>
    <mergeCell ref="L27:L28"/>
    <mergeCell ref="M27:M28"/>
    <mergeCell ref="N27:N28"/>
    <mergeCell ref="O27:O28"/>
    <mergeCell ref="P27:P28"/>
    <mergeCell ref="Q27:Q28"/>
    <mergeCell ref="R27:R28"/>
    <mergeCell ref="L33:L34"/>
    <mergeCell ref="M33:M34"/>
    <mergeCell ref="N33:N34"/>
    <mergeCell ref="O33:O34"/>
    <mergeCell ref="P33:P34"/>
    <mergeCell ref="Q33:Q34"/>
    <mergeCell ref="R33:R34"/>
    <mergeCell ref="A33:A34"/>
    <mergeCell ref="B33:B34"/>
    <mergeCell ref="C33:C34"/>
    <mergeCell ref="D33:D34"/>
    <mergeCell ref="E33:E34"/>
    <mergeCell ref="F33:F34"/>
    <mergeCell ref="K33:K34"/>
    <mergeCell ref="S85:S88"/>
    <mergeCell ref="T85:T88"/>
    <mergeCell ref="U85:U88"/>
    <mergeCell ref="V85:V88"/>
    <mergeCell ref="W85:W88"/>
    <mergeCell ref="X85:X88"/>
    <mergeCell ref="L85:L88"/>
    <mergeCell ref="M85:M88"/>
    <mergeCell ref="N85:N88"/>
    <mergeCell ref="O85:O88"/>
    <mergeCell ref="P85:P88"/>
    <mergeCell ref="Q85:Q88"/>
    <mergeCell ref="R85:R88"/>
    <mergeCell ref="A85:A88"/>
    <mergeCell ref="B85:B88"/>
    <mergeCell ref="C85:C88"/>
    <mergeCell ref="D85:D88"/>
    <mergeCell ref="E85:E88"/>
    <mergeCell ref="F85:F88"/>
    <mergeCell ref="K85:K88"/>
    <mergeCell ref="L89:L99"/>
    <mergeCell ref="M89:M99"/>
    <mergeCell ref="N89:N99"/>
    <mergeCell ref="O89:O99"/>
    <mergeCell ref="P89:P99"/>
    <mergeCell ref="Q89:Q99"/>
    <mergeCell ref="R89:R99"/>
    <mergeCell ref="A89:A99"/>
    <mergeCell ref="B89:B99"/>
    <mergeCell ref="C89:C99"/>
    <mergeCell ref="D89:D99"/>
    <mergeCell ref="E89:E99"/>
    <mergeCell ref="F89:F99"/>
    <mergeCell ref="K89:K99"/>
    <mergeCell ref="A100:A101"/>
    <mergeCell ref="B100:B101"/>
    <mergeCell ref="C100:C101"/>
    <mergeCell ref="D100:D101"/>
    <mergeCell ref="E100:E101"/>
    <mergeCell ref="F100:F101"/>
    <mergeCell ref="K100:K101"/>
    <mergeCell ref="V100:V101"/>
    <mergeCell ref="W100:W101"/>
    <mergeCell ref="S89:S99"/>
    <mergeCell ref="T89:T99"/>
    <mergeCell ref="U89:U99"/>
    <mergeCell ref="V89:V99"/>
    <mergeCell ref="W89:W99"/>
    <mergeCell ref="X89:X99"/>
    <mergeCell ref="U100:U101"/>
    <mergeCell ref="X100:X101"/>
    <mergeCell ref="W108:W112"/>
    <mergeCell ref="X108:X112"/>
    <mergeCell ref="P108:P112"/>
    <mergeCell ref="Q108:Q112"/>
    <mergeCell ref="R108:R112"/>
    <mergeCell ref="S108:S112"/>
    <mergeCell ref="T108:T112"/>
    <mergeCell ref="U108:U112"/>
    <mergeCell ref="V108:V112"/>
    <mergeCell ref="S100:S101"/>
    <mergeCell ref="T100:T101"/>
    <mergeCell ref="L100:L101"/>
    <mergeCell ref="M100:M101"/>
    <mergeCell ref="N100:N101"/>
    <mergeCell ref="O100:O101"/>
    <mergeCell ref="P100:P101"/>
    <mergeCell ref="Q100:Q101"/>
    <mergeCell ref="R100:R101"/>
    <mergeCell ref="S104:S107"/>
    <mergeCell ref="T104:T107"/>
    <mergeCell ref="U104:U107"/>
    <mergeCell ref="V104:V107"/>
    <mergeCell ref="W104:W107"/>
    <mergeCell ref="X104:X107"/>
    <mergeCell ref="L104:L107"/>
    <mergeCell ref="M104:M107"/>
    <mergeCell ref="N104:N107"/>
    <mergeCell ref="O104:O107"/>
    <mergeCell ref="P104:P107"/>
    <mergeCell ref="Q104:Q107"/>
    <mergeCell ref="R104:R107"/>
    <mergeCell ref="A104:A107"/>
    <mergeCell ref="B104:B107"/>
    <mergeCell ref="C104:C107"/>
    <mergeCell ref="D104:D107"/>
    <mergeCell ref="E104:E107"/>
    <mergeCell ref="F104:F107"/>
    <mergeCell ref="K104:K107"/>
    <mergeCell ref="I108:I112"/>
    <mergeCell ref="J108:J112"/>
    <mergeCell ref="K108:K112"/>
    <mergeCell ref="L108:L112"/>
    <mergeCell ref="M108:M112"/>
    <mergeCell ref="N108:N112"/>
    <mergeCell ref="O108:O112"/>
    <mergeCell ref="A108:A112"/>
    <mergeCell ref="B108:B112"/>
    <mergeCell ref="C108:C112"/>
    <mergeCell ref="D108:D112"/>
    <mergeCell ref="E108:E112"/>
    <mergeCell ref="F108:F112"/>
    <mergeCell ref="H108:H112"/>
    <mergeCell ref="B130:B145"/>
    <mergeCell ref="B146:B168"/>
    <mergeCell ref="B169:H169"/>
    <mergeCell ref="B170:H170"/>
    <mergeCell ref="K170:N170"/>
    <mergeCell ref="B171:H171"/>
    <mergeCell ref="B172:D172"/>
    <mergeCell ref="O181:P181"/>
    <mergeCell ref="O182:P182"/>
    <mergeCell ref="O183:P183"/>
    <mergeCell ref="O184:P184"/>
    <mergeCell ref="B185:J185"/>
    <mergeCell ref="O185:P185"/>
    <mergeCell ref="B189:D189"/>
    <mergeCell ref="B195:D195"/>
    <mergeCell ref="E172:H172"/>
    <mergeCell ref="B173:H173"/>
    <mergeCell ref="B174:H174"/>
    <mergeCell ref="B175:H175"/>
    <mergeCell ref="B176:H176"/>
    <mergeCell ref="B177:H177"/>
    <mergeCell ref="A179:D179"/>
    <mergeCell ref="S114:S115"/>
    <mergeCell ref="T114:T115"/>
    <mergeCell ref="U114:U115"/>
    <mergeCell ref="V114:V115"/>
    <mergeCell ref="W114:W115"/>
    <mergeCell ref="X114:X115"/>
    <mergeCell ref="L114:L115"/>
    <mergeCell ref="M114:M115"/>
    <mergeCell ref="N114:N115"/>
    <mergeCell ref="O114:O115"/>
    <mergeCell ref="P114:P115"/>
    <mergeCell ref="Q114:Q115"/>
    <mergeCell ref="R114:R115"/>
    <mergeCell ref="A114:A115"/>
    <mergeCell ref="B114:B115"/>
    <mergeCell ref="C114:C115"/>
    <mergeCell ref="D114:D115"/>
    <mergeCell ref="E114:E115"/>
    <mergeCell ref="F114:F115"/>
    <mergeCell ref="K114:K115"/>
    <mergeCell ref="S116:S118"/>
    <mergeCell ref="T116:T118"/>
    <mergeCell ref="U116:U118"/>
    <mergeCell ref="V116:V118"/>
    <mergeCell ref="W116:W118"/>
    <mergeCell ref="X116:X118"/>
    <mergeCell ref="L116:L118"/>
    <mergeCell ref="M116:M118"/>
    <mergeCell ref="N116:N118"/>
    <mergeCell ref="O116:O118"/>
    <mergeCell ref="P116:P118"/>
    <mergeCell ref="Q116:Q118"/>
    <mergeCell ref="R116:R118"/>
    <mergeCell ref="B121:I121"/>
    <mergeCell ref="B122:I122"/>
    <mergeCell ref="B123:I123"/>
    <mergeCell ref="B124:I124"/>
    <mergeCell ref="B125:I125"/>
    <mergeCell ref="B128:D128"/>
    <mergeCell ref="E128:J128"/>
    <mergeCell ref="N128:T128"/>
    <mergeCell ref="A116:A118"/>
    <mergeCell ref="B116:B118"/>
    <mergeCell ref="C116:C118"/>
    <mergeCell ref="D116:D118"/>
    <mergeCell ref="E116:E118"/>
    <mergeCell ref="F116:F118"/>
    <mergeCell ref="K116:K118"/>
    <mergeCell ref="S19:S20"/>
    <mergeCell ref="T19:T20"/>
    <mergeCell ref="U19:U20"/>
    <mergeCell ref="V19:V20"/>
    <mergeCell ref="W19:W20"/>
    <mergeCell ref="X19:X20"/>
    <mergeCell ref="L19:L20"/>
    <mergeCell ref="M19:M20"/>
    <mergeCell ref="N19:N20"/>
    <mergeCell ref="O19:O20"/>
    <mergeCell ref="P19:P20"/>
    <mergeCell ref="Q19:Q20"/>
    <mergeCell ref="R19:R20"/>
    <mergeCell ref="A19:A20"/>
    <mergeCell ref="B19:B20"/>
    <mergeCell ref="C19:C20"/>
    <mergeCell ref="D19:D20"/>
    <mergeCell ref="E19:E20"/>
    <mergeCell ref="F19:F20"/>
    <mergeCell ref="K19:K20"/>
    <mergeCell ref="L21:L22"/>
    <mergeCell ref="M21:M22"/>
    <mergeCell ref="N21:N22"/>
    <mergeCell ref="O21:O22"/>
    <mergeCell ref="P21:P22"/>
    <mergeCell ref="Q21:Q22"/>
    <mergeCell ref="R21:R22"/>
    <mergeCell ref="V23:V26"/>
    <mergeCell ref="W23:W26"/>
    <mergeCell ref="U27:U28"/>
    <mergeCell ref="V27:V28"/>
    <mergeCell ref="W27:W28"/>
    <mergeCell ref="X27:X28"/>
    <mergeCell ref="S21:S22"/>
    <mergeCell ref="T21:T22"/>
    <mergeCell ref="U21:U22"/>
    <mergeCell ref="V21:V22"/>
    <mergeCell ref="W21:W22"/>
    <mergeCell ref="X21:X22"/>
    <mergeCell ref="U23:U26"/>
    <mergeCell ref="X23:X26"/>
    <mergeCell ref="A27:A28"/>
    <mergeCell ref="B27:B28"/>
    <mergeCell ref="C27:C28"/>
    <mergeCell ref="D27:D28"/>
    <mergeCell ref="E27:E28"/>
    <mergeCell ref="F27:F28"/>
    <mergeCell ref="K27:K28"/>
    <mergeCell ref="S35:S36"/>
    <mergeCell ref="T35:T36"/>
    <mergeCell ref="L35:L36"/>
    <mergeCell ref="M35:M36"/>
    <mergeCell ref="N35:N36"/>
    <mergeCell ref="O35:O36"/>
    <mergeCell ref="P35:P36"/>
    <mergeCell ref="Q35:Q36"/>
    <mergeCell ref="R35:R36"/>
    <mergeCell ref="A21:A22"/>
    <mergeCell ref="B21:B22"/>
    <mergeCell ref="C21:C22"/>
    <mergeCell ref="D21:D22"/>
    <mergeCell ref="E21:E22"/>
    <mergeCell ref="F21:F22"/>
    <mergeCell ref="K21:K22"/>
    <mergeCell ref="A23:A26"/>
    <mergeCell ref="B23:B26"/>
    <mergeCell ref="C23:C26"/>
    <mergeCell ref="D23:D26"/>
    <mergeCell ref="E23:E26"/>
    <mergeCell ref="F23:F26"/>
    <mergeCell ref="K23:K26"/>
    <mergeCell ref="S29:S32"/>
    <mergeCell ref="T29:T32"/>
    <mergeCell ref="U29:U32"/>
    <mergeCell ref="V29:V32"/>
    <mergeCell ref="W29:W32"/>
    <mergeCell ref="X29:X32"/>
    <mergeCell ref="L29:L32"/>
    <mergeCell ref="M29:M32"/>
    <mergeCell ref="N29:N32"/>
    <mergeCell ref="O29:O32"/>
    <mergeCell ref="P29:P32"/>
    <mergeCell ref="Q29:Q32"/>
    <mergeCell ref="R29:R32"/>
    <mergeCell ref="A29:A32"/>
    <mergeCell ref="B29:B32"/>
    <mergeCell ref="C29:C32"/>
    <mergeCell ref="D29:D32"/>
    <mergeCell ref="E29:E32"/>
    <mergeCell ref="F29:F32"/>
    <mergeCell ref="K29:K32"/>
    <mergeCell ref="V35:V36"/>
    <mergeCell ref="W35:W36"/>
    <mergeCell ref="S33:S34"/>
    <mergeCell ref="T33:T34"/>
    <mergeCell ref="U33:U34"/>
    <mergeCell ref="V33:V34"/>
    <mergeCell ref="W33:W34"/>
    <mergeCell ref="X33:X34"/>
    <mergeCell ref="U35:U36"/>
    <mergeCell ref="X35:X36"/>
    <mergeCell ref="A35:A36"/>
    <mergeCell ref="B35:B36"/>
    <mergeCell ref="C35:C36"/>
    <mergeCell ref="D35:D36"/>
    <mergeCell ref="E35:E36"/>
    <mergeCell ref="F35:F36"/>
    <mergeCell ref="K35:K36"/>
    <mergeCell ref="S37:S38"/>
    <mergeCell ref="T37:T38"/>
    <mergeCell ref="U37:U38"/>
    <mergeCell ref="V37:V38"/>
    <mergeCell ref="W37:W38"/>
    <mergeCell ref="X37:X38"/>
    <mergeCell ref="L37:L38"/>
    <mergeCell ref="M37:M38"/>
    <mergeCell ref="N37:N38"/>
    <mergeCell ref="O37:O38"/>
    <mergeCell ref="P37:P38"/>
    <mergeCell ref="Q37:Q38"/>
    <mergeCell ref="R37:R38"/>
    <mergeCell ref="A37:A38"/>
    <mergeCell ref="B37:B38"/>
    <mergeCell ref="C37:C38"/>
    <mergeCell ref="D37:D38"/>
    <mergeCell ref="E37:E38"/>
    <mergeCell ref="F37:F38"/>
    <mergeCell ref="K37:K38"/>
    <mergeCell ref="S39:S41"/>
    <mergeCell ref="T39:T41"/>
    <mergeCell ref="U39:U41"/>
    <mergeCell ref="V39:V41"/>
    <mergeCell ref="W39:W41"/>
    <mergeCell ref="X39:X41"/>
    <mergeCell ref="L39:L41"/>
    <mergeCell ref="M39:M41"/>
    <mergeCell ref="N39:N41"/>
    <mergeCell ref="O39:O41"/>
    <mergeCell ref="P39:P41"/>
    <mergeCell ref="Q39:Q41"/>
    <mergeCell ref="R39:R41"/>
    <mergeCell ref="A39:A41"/>
    <mergeCell ref="B39:B41"/>
    <mergeCell ref="C39:C41"/>
    <mergeCell ref="D39:D41"/>
    <mergeCell ref="E39:E41"/>
    <mergeCell ref="F39:F41"/>
    <mergeCell ref="K39:K41"/>
    <mergeCell ref="S63:S66"/>
    <mergeCell ref="T63:T66"/>
    <mergeCell ref="L63:L66"/>
    <mergeCell ref="M63:M66"/>
    <mergeCell ref="N63:N66"/>
    <mergeCell ref="O63:O66"/>
    <mergeCell ref="P63:P66"/>
    <mergeCell ref="Q63:Q66"/>
    <mergeCell ref="R63:R66"/>
    <mergeCell ref="S42:S51"/>
    <mergeCell ref="T42:T51"/>
    <mergeCell ref="U42:U51"/>
    <mergeCell ref="V42:V51"/>
    <mergeCell ref="W42:W51"/>
    <mergeCell ref="X42:X51"/>
    <mergeCell ref="L42:L51"/>
    <mergeCell ref="M42:M51"/>
    <mergeCell ref="N42:N51"/>
    <mergeCell ref="O42:O51"/>
    <mergeCell ref="P42:P51"/>
    <mergeCell ref="Q42:Q51"/>
    <mergeCell ref="R42:R51"/>
    <mergeCell ref="A42:A51"/>
    <mergeCell ref="B42:B51"/>
    <mergeCell ref="C42:C51"/>
    <mergeCell ref="D42:D51"/>
    <mergeCell ref="E42:E51"/>
    <mergeCell ref="F42:F51"/>
    <mergeCell ref="K42:K51"/>
    <mergeCell ref="S55:S57"/>
    <mergeCell ref="T55:T57"/>
    <mergeCell ref="U55:U57"/>
    <mergeCell ref="V55:V57"/>
    <mergeCell ref="W55:W57"/>
    <mergeCell ref="X55:X57"/>
    <mergeCell ref="L55:L57"/>
    <mergeCell ref="M55:M57"/>
    <mergeCell ref="N55:N57"/>
    <mergeCell ref="O55:O57"/>
    <mergeCell ref="P55:P57"/>
    <mergeCell ref="Q55:Q57"/>
    <mergeCell ref="R55:R57"/>
    <mergeCell ref="A55:A57"/>
    <mergeCell ref="B55:B57"/>
    <mergeCell ref="C55:C57"/>
    <mergeCell ref="D55:D57"/>
    <mergeCell ref="E55:E57"/>
    <mergeCell ref="F55:F57"/>
    <mergeCell ref="K55:K57"/>
    <mergeCell ref="U63:U66"/>
    <mergeCell ref="V63:V66"/>
    <mergeCell ref="W63:W66"/>
    <mergeCell ref="X63:X66"/>
    <mergeCell ref="A63:A66"/>
    <mergeCell ref="B63:B66"/>
    <mergeCell ref="C63:C66"/>
    <mergeCell ref="D63:D66"/>
    <mergeCell ref="E63:E66"/>
    <mergeCell ref="F63:F66"/>
    <mergeCell ref="K63:K66"/>
    <mergeCell ref="S67:S69"/>
    <mergeCell ref="T67:T69"/>
    <mergeCell ref="U67:U69"/>
    <mergeCell ref="V67:V69"/>
    <mergeCell ref="W67:W69"/>
    <mergeCell ref="X67:X69"/>
    <mergeCell ref="L67:L69"/>
    <mergeCell ref="M67:M69"/>
    <mergeCell ref="N67:N69"/>
    <mergeCell ref="O67:O69"/>
    <mergeCell ref="P67:P69"/>
    <mergeCell ref="Q67:Q69"/>
    <mergeCell ref="R67:R69"/>
    <mergeCell ref="A67:A69"/>
    <mergeCell ref="B67:B69"/>
    <mergeCell ref="C67:C69"/>
    <mergeCell ref="D67:D69"/>
    <mergeCell ref="E67:E69"/>
    <mergeCell ref="F67:F69"/>
    <mergeCell ref="K67:K69"/>
    <mergeCell ref="S77:S78"/>
    <mergeCell ref="T77:T78"/>
    <mergeCell ref="U77:U78"/>
    <mergeCell ref="V77:V78"/>
    <mergeCell ref="W77:W78"/>
    <mergeCell ref="X77:X78"/>
    <mergeCell ref="L77:L78"/>
    <mergeCell ref="M77:M78"/>
    <mergeCell ref="N77:N78"/>
    <mergeCell ref="O77:O78"/>
    <mergeCell ref="P77:P78"/>
    <mergeCell ref="Q77:Q78"/>
    <mergeCell ref="R77:R78"/>
    <mergeCell ref="A77:A78"/>
    <mergeCell ref="B77:B78"/>
    <mergeCell ref="C77:C78"/>
    <mergeCell ref="D77:D78"/>
    <mergeCell ref="E77:E78"/>
    <mergeCell ref="F77:F78"/>
    <mergeCell ref="K77:K78"/>
  </mergeCells>
  <dataValidations>
    <dataValidation type="list" allowBlank="1" showErrorMessage="1" sqref="S4:S5 S8:S9 S11 S14 S17 S19 S21 S23 S27 S29 S33 S35 S37 S39 S42 S52:S55 S58:S63 S67 S70:S77 S79:S85 S89 S100 S102:S104 S108 S113:S114 S116 S119:S120">
      <formula1>"Cty trả ship"</formula1>
    </dataValidation>
    <dataValidation type="list" allowBlank="1" showErrorMessage="1" sqref="Q4:Q5 Q8:Q9 Q11 Q14 Q17 Q19 Q21 Q23 Q27 Q29 Q33 Q35 Q37 Q39 Q42 Q52:Q55 Q58:Q63 Q67 Q70:Q77 Q79:Q85 Q89 Q100 Q102:Q104 Q108 Q113:Q114 Q116 Q119:Q120">
      <formula1>"Chưa thu,Đã thu"</formula1>
    </dataValidation>
    <dataValidation type="list" allowBlank="1" showErrorMessage="1" sqref="P4:P5 P8:P9 P11 P14 P17 P19 P21 P23 P27 P29 P33 P35 P37 P39 P42 P52:P55 P58:P63 P67 P70:P77 P79:P85 P89 P100 P102:P104 P108 P113:P114 P116 P119:P120">
      <formula1>"Chưa giao,Đã giao"</formula1>
    </dataValidation>
  </dataValidation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4.0" ySplit="3.0" topLeftCell="E4" activePane="bottomRight" state="frozen"/>
      <selection activeCell="E1" sqref="E1" pane="topRight"/>
      <selection activeCell="A4" sqref="A4" pane="bottomLeft"/>
      <selection activeCell="E4" sqref="E4" pane="bottomRight"/>
    </sheetView>
  </sheetViews>
  <sheetFormatPr customHeight="1" defaultColWidth="12.63" defaultRowHeight="15.0"/>
  <cols>
    <col customWidth="1" min="1" max="1" width="7.63"/>
    <col customWidth="1" min="2" max="2" width="12.63"/>
    <col customWidth="1" min="3" max="3" width="21.25"/>
    <col customWidth="1" min="4" max="4" width="23.38"/>
    <col customWidth="1" min="5" max="5" width="15.63"/>
    <col customWidth="1" min="6" max="6" width="53.63"/>
    <col customWidth="1" min="7" max="7" width="22.0"/>
    <col customWidth="1" min="8" max="8" width="16.63"/>
    <col customWidth="1" min="9" max="9" width="17.38"/>
    <col customWidth="1" min="10" max="10" width="16.88"/>
    <col customWidth="1" min="11" max="11" width="16.13"/>
    <col customWidth="1" min="12" max="13" width="18.75"/>
    <col customWidth="1" min="14" max="14" width="21.38"/>
    <col customWidth="1" min="15" max="15" width="18.13"/>
    <col customWidth="1" min="16" max="16" width="19.75"/>
    <col customWidth="1" min="17" max="17" width="17.88"/>
    <col customWidth="1" min="18" max="18" width="17.25"/>
    <col customWidth="1" min="19" max="19" width="24.0"/>
    <col customWidth="1" min="20" max="20" width="20.38"/>
    <col customWidth="1" min="21" max="21" width="15.63"/>
    <col customWidth="1" min="22" max="23" width="32.75"/>
    <col customWidth="1" min="24" max="24" width="8.63"/>
    <col customWidth="1" min="25" max="25" width="21.13"/>
    <col customWidth="1" min="26" max="26" width="16.63"/>
    <col customWidth="1" min="27" max="30" width="12.63"/>
  </cols>
  <sheetData>
    <row r="1" ht="25.5" customHeight="1">
      <c r="A1" s="1" t="s">
        <v>1932</v>
      </c>
      <c r="B1" s="2"/>
      <c r="C1" s="2"/>
      <c r="D1" s="2"/>
      <c r="E1" s="2"/>
      <c r="F1" s="2"/>
      <c r="G1" s="3"/>
      <c r="H1" s="5"/>
      <c r="I1" s="4"/>
      <c r="J1" s="4"/>
      <c r="K1" s="4"/>
      <c r="L1" s="4"/>
      <c r="M1" s="4"/>
      <c r="N1" s="4"/>
      <c r="O1" s="4"/>
      <c r="P1" s="4"/>
      <c r="Q1" s="5"/>
      <c r="R1" s="4"/>
      <c r="S1" s="4"/>
      <c r="T1" s="4"/>
      <c r="U1" s="4"/>
      <c r="V1" s="4"/>
      <c r="W1" s="1195"/>
      <c r="X1" s="6"/>
      <c r="Y1" s="6"/>
      <c r="Z1" s="7"/>
      <c r="AA1" s="8"/>
      <c r="AB1" s="8"/>
      <c r="AC1" s="8"/>
      <c r="AD1" s="9"/>
    </row>
    <row r="2" ht="15.75" customHeight="1">
      <c r="A2" s="10" t="s">
        <v>1</v>
      </c>
      <c r="B2" s="11" t="s">
        <v>2</v>
      </c>
      <c r="C2" s="12" t="s">
        <v>3</v>
      </c>
      <c r="D2" s="13" t="s">
        <v>4</v>
      </c>
      <c r="E2" s="14" t="s">
        <v>5</v>
      </c>
      <c r="F2" s="13" t="s">
        <v>6</v>
      </c>
      <c r="G2" s="15" t="s">
        <v>7</v>
      </c>
      <c r="H2" s="16"/>
      <c r="I2" s="16"/>
      <c r="J2" s="17"/>
      <c r="K2" s="18" t="s">
        <v>8</v>
      </c>
      <c r="L2" s="16"/>
      <c r="M2" s="16"/>
      <c r="N2" s="16"/>
      <c r="O2" s="16"/>
      <c r="P2" s="17"/>
      <c r="Q2" s="19" t="s">
        <v>9</v>
      </c>
      <c r="R2" s="16"/>
      <c r="S2" s="17"/>
      <c r="T2" s="20" t="s">
        <v>10</v>
      </c>
      <c r="U2" s="17"/>
      <c r="V2" s="21" t="s">
        <v>11</v>
      </c>
      <c r="W2" s="1196" t="s">
        <v>1548</v>
      </c>
      <c r="X2" s="22"/>
      <c r="Y2" s="23"/>
      <c r="Z2" s="24"/>
      <c r="AA2" s="25"/>
      <c r="AB2" s="25"/>
      <c r="AC2" s="25"/>
      <c r="AD2" s="22"/>
    </row>
    <row r="3" ht="47.25" customHeight="1">
      <c r="A3" s="26"/>
      <c r="B3" s="26"/>
      <c r="C3" s="26"/>
      <c r="D3" s="26"/>
      <c r="E3" s="26"/>
      <c r="F3" s="26"/>
      <c r="G3" s="27" t="s">
        <v>12</v>
      </c>
      <c r="H3" s="27" t="s">
        <v>13</v>
      </c>
      <c r="I3" s="28" t="s">
        <v>14</v>
      </c>
      <c r="J3" s="29" t="s">
        <v>15</v>
      </c>
      <c r="K3" s="30" t="s">
        <v>16</v>
      </c>
      <c r="L3" s="31" t="s">
        <v>17</v>
      </c>
      <c r="M3" s="33" t="s">
        <v>19</v>
      </c>
      <c r="N3" s="34" t="s">
        <v>20</v>
      </c>
      <c r="O3" s="558" t="s">
        <v>21</v>
      </c>
      <c r="P3" s="408"/>
      <c r="Q3" s="36" t="s">
        <v>22</v>
      </c>
      <c r="R3" s="37" t="s">
        <v>23</v>
      </c>
      <c r="S3" s="37" t="s">
        <v>1933</v>
      </c>
      <c r="T3" s="38" t="s">
        <v>25</v>
      </c>
      <c r="U3" s="38" t="s">
        <v>26</v>
      </c>
      <c r="V3" s="26"/>
      <c r="W3" s="67"/>
      <c r="X3" s="22"/>
      <c r="Y3" s="23"/>
      <c r="Z3" s="24"/>
      <c r="AA3" s="25"/>
      <c r="AB3" s="25"/>
      <c r="AC3" s="25"/>
      <c r="AD3" s="22"/>
    </row>
    <row r="4" ht="34.5" customHeight="1">
      <c r="A4" s="39">
        <v>1.0</v>
      </c>
      <c r="B4" s="1197">
        <v>45012.0</v>
      </c>
      <c r="C4" s="1198"/>
      <c r="D4" s="42" t="s">
        <v>1934</v>
      </c>
      <c r="E4" s="43" t="s">
        <v>1935</v>
      </c>
      <c r="F4" s="44" t="s">
        <v>1936</v>
      </c>
      <c r="G4" s="45" t="s">
        <v>58</v>
      </c>
      <c r="H4" s="46">
        <v>1.0</v>
      </c>
      <c r="I4" s="47">
        <v>220000.0</v>
      </c>
      <c r="J4" s="48">
        <f t="shared" ref="J4:J14" si="1">I4*H4</f>
        <v>220000</v>
      </c>
      <c r="K4" s="49">
        <f>sum(J4:J5)</f>
        <v>265000</v>
      </c>
      <c r="L4" s="560"/>
      <c r="M4" s="562"/>
      <c r="N4" s="53">
        <f>K4+L4-M4</f>
        <v>265000</v>
      </c>
      <c r="O4" s="99" t="s">
        <v>449</v>
      </c>
      <c r="P4" s="99" t="s">
        <v>31</v>
      </c>
      <c r="Q4" s="1199"/>
      <c r="R4" s="119"/>
      <c r="S4" s="57" t="s">
        <v>33</v>
      </c>
      <c r="T4" s="59"/>
      <c r="U4" s="59"/>
      <c r="V4" s="679" t="s">
        <v>1937</v>
      </c>
      <c r="W4" s="587"/>
      <c r="X4" s="22"/>
      <c r="Y4" s="60" t="s">
        <v>34</v>
      </c>
      <c r="Z4" s="61">
        <v>65000.0</v>
      </c>
      <c r="AA4" s="25"/>
      <c r="AB4" s="25"/>
      <c r="AC4" s="25"/>
      <c r="AD4" s="22"/>
    </row>
    <row r="5" ht="23.25" customHeight="1">
      <c r="A5" s="67"/>
      <c r="B5" s="67"/>
      <c r="C5" s="67"/>
      <c r="D5" s="67"/>
      <c r="E5" s="67"/>
      <c r="F5" s="67"/>
      <c r="G5" s="63" t="s">
        <v>457</v>
      </c>
      <c r="H5" s="64">
        <v>1.0</v>
      </c>
      <c r="I5" s="1200">
        <v>45000.0</v>
      </c>
      <c r="J5" s="48">
        <f t="shared" si="1"/>
        <v>45000</v>
      </c>
      <c r="K5" s="67"/>
      <c r="L5" s="67"/>
      <c r="M5" s="67"/>
      <c r="N5" s="67"/>
      <c r="O5" s="67"/>
      <c r="P5" s="67"/>
      <c r="Q5" s="67"/>
      <c r="R5" s="67"/>
      <c r="S5" s="67"/>
      <c r="T5" s="67"/>
      <c r="U5" s="67"/>
      <c r="V5" s="67"/>
      <c r="W5" s="67"/>
      <c r="X5" s="22"/>
      <c r="Y5" s="65" t="s">
        <v>36</v>
      </c>
      <c r="Z5" s="66">
        <v>180000.0</v>
      </c>
      <c r="AA5" s="25"/>
      <c r="AB5" s="25"/>
      <c r="AC5" s="25"/>
      <c r="AD5" s="22"/>
    </row>
    <row r="6" ht="23.25" customHeight="1">
      <c r="A6" s="94">
        <v>2.0</v>
      </c>
      <c r="B6" s="95">
        <v>45013.0</v>
      </c>
      <c r="C6" s="94">
        <v>1.703875840242E12</v>
      </c>
      <c r="D6" s="417" t="s">
        <v>1938</v>
      </c>
      <c r="E6" s="97" t="s">
        <v>1939</v>
      </c>
      <c r="F6" s="417" t="s">
        <v>1940</v>
      </c>
      <c r="G6" s="68" t="s">
        <v>122</v>
      </c>
      <c r="H6" s="69">
        <v>1.0</v>
      </c>
      <c r="I6" s="975">
        <v>220000.0</v>
      </c>
      <c r="J6" s="48">
        <f t="shared" si="1"/>
        <v>220000</v>
      </c>
      <c r="K6" s="49">
        <f>SUM(J6:J7)</f>
        <v>440000</v>
      </c>
      <c r="L6" s="116">
        <v>50999.0</v>
      </c>
      <c r="M6" s="1149">
        <v>20999.0</v>
      </c>
      <c r="N6" s="53">
        <f>K6+L6-M6</f>
        <v>470000</v>
      </c>
      <c r="O6" s="99" t="s">
        <v>449</v>
      </c>
      <c r="P6" s="99" t="s">
        <v>31</v>
      </c>
      <c r="Q6" s="1201"/>
      <c r="R6" s="119"/>
      <c r="S6" s="57" t="s">
        <v>33</v>
      </c>
      <c r="T6" s="100"/>
      <c r="U6" s="977"/>
      <c r="V6" s="1202"/>
      <c r="W6" s="301"/>
      <c r="X6" s="22"/>
      <c r="Y6" s="65" t="s">
        <v>38</v>
      </c>
      <c r="Z6" s="66">
        <v>160000.0</v>
      </c>
      <c r="AA6" s="25"/>
      <c r="AB6" s="25"/>
      <c r="AC6" s="25"/>
      <c r="AD6" s="22"/>
    </row>
    <row r="7" ht="23.25" customHeight="1">
      <c r="A7" s="67"/>
      <c r="B7" s="67"/>
      <c r="C7" s="67"/>
      <c r="D7" s="67"/>
      <c r="E7" s="67"/>
      <c r="F7" s="67"/>
      <c r="G7" s="68" t="s">
        <v>35</v>
      </c>
      <c r="H7" s="69">
        <v>1.0</v>
      </c>
      <c r="I7" s="975">
        <v>220000.0</v>
      </c>
      <c r="J7" s="48">
        <f t="shared" si="1"/>
        <v>220000</v>
      </c>
      <c r="K7" s="67"/>
      <c r="L7" s="67"/>
      <c r="M7" s="67"/>
      <c r="N7" s="67"/>
      <c r="O7" s="67"/>
      <c r="P7" s="67"/>
      <c r="Q7" s="67"/>
      <c r="R7" s="67"/>
      <c r="S7" s="67"/>
      <c r="T7" s="67"/>
      <c r="U7" s="67"/>
      <c r="V7" s="67"/>
      <c r="W7" s="67"/>
      <c r="X7" s="22"/>
      <c r="Y7" s="65" t="s">
        <v>43</v>
      </c>
      <c r="Z7" s="66">
        <v>80000.0</v>
      </c>
      <c r="AA7" s="25"/>
      <c r="AB7" s="25"/>
      <c r="AC7" s="25"/>
      <c r="AD7" s="22"/>
    </row>
    <row r="8" ht="23.25" customHeight="1">
      <c r="A8" s="94">
        <v>3.0</v>
      </c>
      <c r="B8" s="95">
        <v>45013.0</v>
      </c>
      <c r="C8" s="94">
        <v>1.703952517321E12</v>
      </c>
      <c r="D8" s="417" t="s">
        <v>1101</v>
      </c>
      <c r="E8" s="1203" t="s">
        <v>1102</v>
      </c>
      <c r="F8" s="417" t="s">
        <v>1941</v>
      </c>
      <c r="G8" s="68" t="s">
        <v>30</v>
      </c>
      <c r="H8" s="69">
        <v>2.0</v>
      </c>
      <c r="I8" s="975">
        <v>220000.0</v>
      </c>
      <c r="J8" s="48">
        <f t="shared" si="1"/>
        <v>440000</v>
      </c>
      <c r="K8" s="49">
        <f>SUM(J8:J9)</f>
        <v>660000</v>
      </c>
      <c r="L8" s="418"/>
      <c r="M8" s="562"/>
      <c r="N8" s="53">
        <f>K8+L8-M8</f>
        <v>660000</v>
      </c>
      <c r="O8" s="99" t="s">
        <v>449</v>
      </c>
      <c r="P8" s="99" t="s">
        <v>31</v>
      </c>
      <c r="Q8" s="1199">
        <v>53999.0</v>
      </c>
      <c r="R8" s="56" t="s">
        <v>32</v>
      </c>
      <c r="S8" s="57" t="s">
        <v>33</v>
      </c>
      <c r="T8" s="100"/>
      <c r="U8" s="977"/>
      <c r="V8" s="58"/>
      <c r="W8" s="587">
        <v>1.0</v>
      </c>
      <c r="X8" s="22"/>
      <c r="Y8" s="65" t="s">
        <v>48</v>
      </c>
      <c r="Z8" s="66">
        <v>55000.0</v>
      </c>
      <c r="AA8" s="25"/>
      <c r="AB8" s="25"/>
      <c r="AC8" s="25"/>
      <c r="AD8" s="22"/>
    </row>
    <row r="9" ht="23.25" customHeight="1">
      <c r="A9" s="67"/>
      <c r="B9" s="67"/>
      <c r="C9" s="67"/>
      <c r="D9" s="67"/>
      <c r="E9" s="102"/>
      <c r="F9" s="67"/>
      <c r="G9" s="68" t="s">
        <v>122</v>
      </c>
      <c r="H9" s="69">
        <v>1.0</v>
      </c>
      <c r="I9" s="975">
        <v>220000.0</v>
      </c>
      <c r="J9" s="48">
        <f t="shared" si="1"/>
        <v>220000</v>
      </c>
      <c r="K9" s="67"/>
      <c r="L9" s="67"/>
      <c r="M9" s="67"/>
      <c r="N9" s="67"/>
      <c r="O9" s="67"/>
      <c r="P9" s="67"/>
      <c r="Q9" s="67"/>
      <c r="R9" s="67"/>
      <c r="S9" s="67"/>
      <c r="T9" s="67"/>
      <c r="U9" s="67"/>
      <c r="V9" s="67"/>
      <c r="W9" s="67"/>
      <c r="X9" s="22"/>
      <c r="Y9" s="65" t="s">
        <v>60</v>
      </c>
      <c r="Z9" s="66">
        <v>45000.0</v>
      </c>
      <c r="AA9" s="25"/>
      <c r="AB9" s="25"/>
      <c r="AC9" s="25"/>
      <c r="AD9" s="22"/>
    </row>
    <row r="10" ht="23.25" customHeight="1">
      <c r="A10" s="111">
        <v>4.0</v>
      </c>
      <c r="B10" s="95">
        <v>45013.0</v>
      </c>
      <c r="C10" s="111">
        <v>1.704023510995E12</v>
      </c>
      <c r="D10" s="142" t="s">
        <v>734</v>
      </c>
      <c r="E10" s="143" t="s">
        <v>735</v>
      </c>
      <c r="F10" s="142" t="s">
        <v>1942</v>
      </c>
      <c r="G10" s="68" t="s">
        <v>122</v>
      </c>
      <c r="H10" s="69">
        <v>2.0</v>
      </c>
      <c r="I10" s="975">
        <v>220000.0</v>
      </c>
      <c r="J10" s="48">
        <f t="shared" si="1"/>
        <v>440000</v>
      </c>
      <c r="K10" s="49">
        <f>SUM(J10:J11)</f>
        <v>660000</v>
      </c>
      <c r="L10" s="147"/>
      <c r="M10" s="562"/>
      <c r="N10" s="53">
        <f>K10+L10-M10</f>
        <v>660000</v>
      </c>
      <c r="O10" s="99" t="s">
        <v>449</v>
      </c>
      <c r="P10" s="99" t="s">
        <v>31</v>
      </c>
      <c r="Q10" s="1204">
        <v>62000.0</v>
      </c>
      <c r="R10" s="56" t="s">
        <v>32</v>
      </c>
      <c r="S10" s="57" t="s">
        <v>33</v>
      </c>
      <c r="T10" s="147"/>
      <c r="U10" s="147"/>
      <c r="V10" s="147"/>
      <c r="W10" s="1205">
        <v>1.0</v>
      </c>
      <c r="X10" s="106"/>
      <c r="Y10" s="65" t="s">
        <v>679</v>
      </c>
      <c r="Z10" s="66">
        <v>110000.0</v>
      </c>
      <c r="AA10" s="107"/>
      <c r="AB10" s="107"/>
      <c r="AC10" s="107"/>
      <c r="AD10" s="106"/>
    </row>
    <row r="11" ht="23.25" customHeight="1">
      <c r="A11" s="67"/>
      <c r="B11" s="67"/>
      <c r="C11" s="67"/>
      <c r="D11" s="67"/>
      <c r="E11" s="67"/>
      <c r="F11" s="67"/>
      <c r="G11" s="63" t="s">
        <v>37</v>
      </c>
      <c r="H11" s="64">
        <v>1.0</v>
      </c>
      <c r="I11" s="975">
        <v>220000.0</v>
      </c>
      <c r="J11" s="48">
        <f t="shared" si="1"/>
        <v>220000</v>
      </c>
      <c r="K11" s="67"/>
      <c r="L11" s="67"/>
      <c r="M11" s="67"/>
      <c r="N11" s="67"/>
      <c r="O11" s="67"/>
      <c r="P11" s="67"/>
      <c r="Q11" s="67"/>
      <c r="R11" s="67"/>
      <c r="S11" s="67"/>
      <c r="T11" s="67"/>
      <c r="U11" s="67"/>
      <c r="V11" s="67"/>
      <c r="W11" s="67"/>
      <c r="X11" s="106"/>
      <c r="Y11" s="65" t="s">
        <v>66</v>
      </c>
      <c r="Z11" s="66">
        <v>205000.0</v>
      </c>
      <c r="AA11" s="107"/>
      <c r="AB11" s="107"/>
      <c r="AC11" s="107"/>
      <c r="AD11" s="106"/>
    </row>
    <row r="12" ht="23.25" customHeight="1">
      <c r="A12" s="111">
        <v>5.0</v>
      </c>
      <c r="B12" s="95">
        <v>45014.0</v>
      </c>
      <c r="C12" s="111">
        <v>1.703770817351E12</v>
      </c>
      <c r="D12" s="142" t="s">
        <v>1943</v>
      </c>
      <c r="E12" s="143" t="s">
        <v>1944</v>
      </c>
      <c r="F12" s="44" t="s">
        <v>1945</v>
      </c>
      <c r="G12" s="63" t="s">
        <v>37</v>
      </c>
      <c r="H12" s="64">
        <v>2.0</v>
      </c>
      <c r="I12" s="975">
        <v>220000.0</v>
      </c>
      <c r="J12" s="48">
        <f t="shared" si="1"/>
        <v>440000</v>
      </c>
      <c r="K12" s="49">
        <f>SUM(J12:J14)</f>
        <v>1260000</v>
      </c>
      <c r="L12" s="147"/>
      <c r="M12" s="562"/>
      <c r="N12" s="53">
        <f>K12+L12-M12</f>
        <v>1260000</v>
      </c>
      <c r="O12" s="99" t="s">
        <v>449</v>
      </c>
      <c r="P12" s="99" t="s">
        <v>31</v>
      </c>
      <c r="Q12" s="1204">
        <v>86499.0</v>
      </c>
      <c r="R12" s="56" t="s">
        <v>32</v>
      </c>
      <c r="S12" s="57" t="s">
        <v>33</v>
      </c>
      <c r="T12" s="147"/>
      <c r="U12" s="147"/>
      <c r="V12" s="147"/>
      <c r="W12" s="501"/>
      <c r="X12" s="106"/>
      <c r="Y12" s="65" t="s">
        <v>684</v>
      </c>
      <c r="Z12" s="66">
        <v>150000.0</v>
      </c>
      <c r="AA12" s="107"/>
      <c r="AB12" s="107"/>
      <c r="AC12" s="107"/>
      <c r="AD12" s="106"/>
    </row>
    <row r="13" ht="23.25" customHeight="1">
      <c r="A13" s="62"/>
      <c r="B13" s="62"/>
      <c r="C13" s="62"/>
      <c r="D13" s="62"/>
      <c r="E13" s="62"/>
      <c r="F13" s="62"/>
      <c r="G13" s="63" t="s">
        <v>165</v>
      </c>
      <c r="H13" s="64">
        <v>2.0</v>
      </c>
      <c r="I13" s="975">
        <v>220000.0</v>
      </c>
      <c r="J13" s="48">
        <f t="shared" si="1"/>
        <v>440000</v>
      </c>
      <c r="K13" s="62"/>
      <c r="L13" s="62"/>
      <c r="M13" s="62"/>
      <c r="N13" s="62"/>
      <c r="O13" s="62"/>
      <c r="P13" s="62"/>
      <c r="Q13" s="62"/>
      <c r="R13" s="62"/>
      <c r="S13" s="62"/>
      <c r="T13" s="62"/>
      <c r="U13" s="62"/>
      <c r="V13" s="62"/>
      <c r="W13" s="62"/>
      <c r="X13" s="106"/>
      <c r="Y13" s="110" t="s">
        <v>71</v>
      </c>
      <c r="Z13" s="66">
        <v>85000.0</v>
      </c>
      <c r="AA13" s="107"/>
      <c r="AB13" s="107"/>
      <c r="AC13" s="107"/>
      <c r="AD13" s="106"/>
    </row>
    <row r="14" ht="23.25" customHeight="1">
      <c r="A14" s="67"/>
      <c r="B14" s="67"/>
      <c r="C14" s="67"/>
      <c r="D14" s="67"/>
      <c r="E14" s="67"/>
      <c r="F14" s="67"/>
      <c r="G14" s="72" t="s">
        <v>1946</v>
      </c>
      <c r="H14" s="73">
        <v>4.0</v>
      </c>
      <c r="I14" s="979">
        <v>95000.0</v>
      </c>
      <c r="J14" s="75">
        <f t="shared" si="1"/>
        <v>380000</v>
      </c>
      <c r="K14" s="67"/>
      <c r="L14" s="67"/>
      <c r="M14" s="67"/>
      <c r="N14" s="67"/>
      <c r="O14" s="67"/>
      <c r="P14" s="67"/>
      <c r="Q14" s="67"/>
      <c r="R14" s="67"/>
      <c r="S14" s="67"/>
      <c r="T14" s="67"/>
      <c r="U14" s="67"/>
      <c r="V14" s="67"/>
      <c r="W14" s="67"/>
      <c r="X14" s="106"/>
      <c r="Y14" s="65" t="s">
        <v>76</v>
      </c>
      <c r="Z14" s="66">
        <v>90000.0</v>
      </c>
      <c r="AA14" s="107"/>
      <c r="AB14" s="107"/>
      <c r="AC14" s="107"/>
      <c r="AD14" s="106"/>
    </row>
    <row r="15" ht="23.25" customHeight="1">
      <c r="A15" s="194">
        <v>6.0</v>
      </c>
      <c r="B15" s="1206">
        <v>45015.0</v>
      </c>
      <c r="C15" s="194">
        <v>1.706212305767E12</v>
      </c>
      <c r="D15" s="1207" t="s">
        <v>1947</v>
      </c>
      <c r="E15" s="1208" t="s">
        <v>1948</v>
      </c>
      <c r="F15" s="1207" t="s">
        <v>1949</v>
      </c>
      <c r="G15" s="164" t="s">
        <v>122</v>
      </c>
      <c r="H15" s="158">
        <v>1.0</v>
      </c>
      <c r="I15" s="986"/>
      <c r="J15" s="166"/>
      <c r="K15" s="1209"/>
      <c r="L15" s="1210"/>
      <c r="M15" s="1211"/>
      <c r="N15" s="1212"/>
      <c r="O15" s="1213"/>
      <c r="P15" s="1213"/>
      <c r="Q15" s="1214"/>
      <c r="R15" s="1213"/>
      <c r="S15" s="1215"/>
      <c r="T15" s="1216"/>
      <c r="U15" s="1216"/>
      <c r="V15" s="1207" t="s">
        <v>875</v>
      </c>
      <c r="W15" s="1217"/>
      <c r="X15" s="22"/>
      <c r="Y15" s="65" t="s">
        <v>80</v>
      </c>
      <c r="Z15" s="66">
        <v>85000.0</v>
      </c>
      <c r="AA15" s="25"/>
      <c r="AB15" s="25"/>
      <c r="AC15" s="25"/>
      <c r="AD15" s="22"/>
    </row>
    <row r="16" ht="23.25" customHeight="1">
      <c r="A16" s="67"/>
      <c r="B16" s="67"/>
      <c r="C16" s="67"/>
      <c r="D16" s="67"/>
      <c r="E16" s="67"/>
      <c r="F16" s="67"/>
      <c r="G16" s="164" t="s">
        <v>144</v>
      </c>
      <c r="H16" s="158">
        <v>1.0</v>
      </c>
      <c r="I16" s="986"/>
      <c r="J16" s="166"/>
      <c r="K16" s="67"/>
      <c r="L16" s="67"/>
      <c r="M16" s="67"/>
      <c r="N16" s="67"/>
      <c r="O16" s="67"/>
      <c r="P16" s="67"/>
      <c r="Q16" s="67"/>
      <c r="R16" s="67"/>
      <c r="S16" s="67"/>
      <c r="T16" s="67"/>
      <c r="U16" s="67"/>
      <c r="V16" s="67"/>
      <c r="W16" s="67"/>
      <c r="X16" s="22"/>
      <c r="Y16" s="65" t="s">
        <v>81</v>
      </c>
      <c r="Z16" s="66">
        <v>150000.0</v>
      </c>
      <c r="AA16" s="25"/>
      <c r="AB16" s="25"/>
      <c r="AC16" s="25"/>
      <c r="AD16" s="22"/>
    </row>
    <row r="17" ht="32.25" customHeight="1">
      <c r="A17" s="69">
        <v>7.0</v>
      </c>
      <c r="B17" s="70">
        <v>45016.0</v>
      </c>
      <c r="C17" s="1218">
        <v>1.688875874258E12</v>
      </c>
      <c r="D17" s="68" t="s">
        <v>1118</v>
      </c>
      <c r="E17" s="71" t="s">
        <v>1119</v>
      </c>
      <c r="F17" s="68" t="s">
        <v>1950</v>
      </c>
      <c r="G17" s="63" t="s">
        <v>30</v>
      </c>
      <c r="H17" s="64">
        <v>8.0</v>
      </c>
      <c r="I17" s="975">
        <v>220000.0</v>
      </c>
      <c r="J17" s="48">
        <f t="shared" ref="J17:J42" si="2">I17*H17</f>
        <v>1760000</v>
      </c>
      <c r="K17" s="76">
        <f>SUM(J17)</f>
        <v>1760000</v>
      </c>
      <c r="L17" s="77"/>
      <c r="M17" s="136"/>
      <c r="N17" s="80">
        <f t="shared" ref="N17:N18" si="3">K17+L17-M17</f>
        <v>1760000</v>
      </c>
      <c r="O17" s="81" t="s">
        <v>449</v>
      </c>
      <c r="P17" s="81" t="s">
        <v>31</v>
      </c>
      <c r="Q17" s="1219">
        <v>79498.0</v>
      </c>
      <c r="R17" s="83" t="s">
        <v>32</v>
      </c>
      <c r="S17" s="84" t="s">
        <v>33</v>
      </c>
      <c r="T17" s="85"/>
      <c r="U17" s="414"/>
      <c r="V17" s="86"/>
      <c r="W17" s="566"/>
      <c r="X17" s="22"/>
      <c r="Y17" s="65" t="s">
        <v>85</v>
      </c>
      <c r="Z17" s="66">
        <v>125000.0</v>
      </c>
      <c r="AA17" s="25"/>
      <c r="AB17" s="25"/>
      <c r="AC17" s="25"/>
      <c r="AD17" s="22"/>
    </row>
    <row r="18" ht="36.0" customHeight="1">
      <c r="A18" s="94">
        <v>8.0</v>
      </c>
      <c r="B18" s="95">
        <v>45016.0</v>
      </c>
      <c r="C18" s="94">
        <v>1.691770668699E12</v>
      </c>
      <c r="D18" s="417" t="s">
        <v>1173</v>
      </c>
      <c r="E18" s="97" t="s">
        <v>1174</v>
      </c>
      <c r="F18" s="417" t="s">
        <v>1951</v>
      </c>
      <c r="G18" s="63" t="s">
        <v>516</v>
      </c>
      <c r="H18" s="64">
        <v>1.0</v>
      </c>
      <c r="I18" s="975">
        <v>220000.0</v>
      </c>
      <c r="J18" s="48">
        <f t="shared" si="2"/>
        <v>220000</v>
      </c>
      <c r="K18" s="49">
        <f>sum(J18:J21)</f>
        <v>880000</v>
      </c>
      <c r="L18" s="50"/>
      <c r="M18" s="562"/>
      <c r="N18" s="53">
        <f t="shared" si="3"/>
        <v>880000</v>
      </c>
      <c r="O18" s="99" t="s">
        <v>449</v>
      </c>
      <c r="P18" s="99" t="s">
        <v>31</v>
      </c>
      <c r="Q18" s="1199">
        <v>59998.0</v>
      </c>
      <c r="R18" s="56" t="s">
        <v>32</v>
      </c>
      <c r="S18" s="57" t="s">
        <v>33</v>
      </c>
      <c r="T18" s="100"/>
      <c r="U18" s="977"/>
      <c r="V18" s="58"/>
      <c r="W18" s="1220"/>
      <c r="X18" s="22"/>
      <c r="Y18" s="65" t="s">
        <v>89</v>
      </c>
      <c r="Z18" s="66">
        <v>35000.0</v>
      </c>
      <c r="AA18" s="25"/>
      <c r="AB18" s="25"/>
      <c r="AC18" s="25"/>
      <c r="AD18" s="22"/>
    </row>
    <row r="19" ht="23.25" customHeight="1">
      <c r="A19" s="62"/>
      <c r="B19" s="62"/>
      <c r="C19" s="62"/>
      <c r="D19" s="62"/>
      <c r="E19" s="62"/>
      <c r="F19" s="62"/>
      <c r="G19" s="682" t="s">
        <v>35</v>
      </c>
      <c r="H19" s="64">
        <v>1.0</v>
      </c>
      <c r="I19" s="975">
        <v>220000.0</v>
      </c>
      <c r="J19" s="48">
        <f t="shared" si="2"/>
        <v>220000</v>
      </c>
      <c r="K19" s="62"/>
      <c r="L19" s="62"/>
      <c r="M19" s="62"/>
      <c r="N19" s="62"/>
      <c r="O19" s="62"/>
      <c r="P19" s="62"/>
      <c r="Q19" s="62"/>
      <c r="R19" s="62"/>
      <c r="S19" s="62"/>
      <c r="T19" s="62"/>
      <c r="U19" s="62"/>
      <c r="V19" s="62"/>
      <c r="W19" s="62"/>
      <c r="X19" s="22"/>
      <c r="Y19" s="65" t="s">
        <v>93</v>
      </c>
      <c r="Z19" s="66">
        <v>90000.0</v>
      </c>
      <c r="AA19" s="25"/>
      <c r="AB19" s="25"/>
      <c r="AC19" s="25"/>
      <c r="AD19" s="22"/>
    </row>
    <row r="20" ht="23.25" customHeight="1">
      <c r="A20" s="62"/>
      <c r="B20" s="62"/>
      <c r="C20" s="62"/>
      <c r="D20" s="62"/>
      <c r="E20" s="62"/>
      <c r="F20" s="62"/>
      <c r="G20" s="63" t="s">
        <v>30</v>
      </c>
      <c r="H20" s="64">
        <v>1.0</v>
      </c>
      <c r="I20" s="975">
        <v>220000.0</v>
      </c>
      <c r="J20" s="48">
        <f t="shared" si="2"/>
        <v>220000</v>
      </c>
      <c r="K20" s="62"/>
      <c r="L20" s="62"/>
      <c r="M20" s="62"/>
      <c r="N20" s="62"/>
      <c r="O20" s="62"/>
      <c r="P20" s="62"/>
      <c r="Q20" s="62"/>
      <c r="R20" s="62"/>
      <c r="S20" s="62"/>
      <c r="T20" s="62"/>
      <c r="U20" s="62"/>
      <c r="V20" s="62"/>
      <c r="W20" s="62"/>
      <c r="X20" s="22"/>
      <c r="Y20" s="65" t="s">
        <v>94</v>
      </c>
      <c r="Z20" s="66">
        <v>140000.0</v>
      </c>
      <c r="AA20" s="25"/>
      <c r="AB20" s="25"/>
      <c r="AC20" s="25"/>
      <c r="AD20" s="22"/>
    </row>
    <row r="21" ht="23.25" customHeight="1">
      <c r="A21" s="67"/>
      <c r="B21" s="67"/>
      <c r="C21" s="67"/>
      <c r="D21" s="67"/>
      <c r="E21" s="67"/>
      <c r="F21" s="67"/>
      <c r="G21" s="63" t="s">
        <v>58</v>
      </c>
      <c r="H21" s="64">
        <v>1.0</v>
      </c>
      <c r="I21" s="975">
        <v>220000.0</v>
      </c>
      <c r="J21" s="48">
        <f t="shared" si="2"/>
        <v>220000</v>
      </c>
      <c r="K21" s="67"/>
      <c r="L21" s="67"/>
      <c r="M21" s="67"/>
      <c r="N21" s="67"/>
      <c r="O21" s="67"/>
      <c r="P21" s="67"/>
      <c r="Q21" s="67"/>
      <c r="R21" s="67"/>
      <c r="S21" s="67"/>
      <c r="T21" s="67"/>
      <c r="U21" s="67"/>
      <c r="V21" s="67"/>
      <c r="W21" s="67"/>
      <c r="X21" s="22"/>
      <c r="Y21" s="65" t="s">
        <v>97</v>
      </c>
      <c r="Z21" s="66">
        <v>95000.0</v>
      </c>
      <c r="AA21" s="25"/>
      <c r="AB21" s="25"/>
      <c r="AC21" s="25"/>
      <c r="AD21" s="22"/>
    </row>
    <row r="22" ht="31.5" customHeight="1">
      <c r="A22" s="93">
        <v>9.0</v>
      </c>
      <c r="B22" s="103">
        <v>45016.0</v>
      </c>
      <c r="C22" s="1152">
        <v>1.705626177284E12</v>
      </c>
      <c r="D22" s="155" t="s">
        <v>1952</v>
      </c>
      <c r="E22" s="105" t="s">
        <v>1018</v>
      </c>
      <c r="F22" s="156" t="s">
        <v>1019</v>
      </c>
      <c r="G22" s="63" t="s">
        <v>30</v>
      </c>
      <c r="H22" s="64">
        <v>1.0</v>
      </c>
      <c r="I22" s="1221">
        <v>220000.0</v>
      </c>
      <c r="J22" s="1222">
        <f t="shared" si="2"/>
        <v>220000</v>
      </c>
      <c r="K22" s="1223">
        <f t="shared" ref="K22:K23" si="4">SUM(J22)</f>
        <v>220000</v>
      </c>
      <c r="L22" s="1224">
        <v>45000.0</v>
      </c>
      <c r="M22" s="1225">
        <v>25000.0</v>
      </c>
      <c r="N22" s="1226">
        <f t="shared" ref="N22:N24" si="5">K22+L22-M22</f>
        <v>240000</v>
      </c>
      <c r="O22" s="981" t="s">
        <v>449</v>
      </c>
      <c r="P22" s="981" t="s">
        <v>31</v>
      </c>
      <c r="Q22" s="1227"/>
      <c r="R22" s="1228"/>
      <c r="S22" s="84" t="s">
        <v>33</v>
      </c>
      <c r="T22" s="284"/>
      <c r="U22" s="284"/>
      <c r="V22" s="284"/>
      <c r="W22" s="284"/>
      <c r="X22" s="1229"/>
      <c r="Y22" s="65" t="s">
        <v>99</v>
      </c>
      <c r="Z22" s="1230">
        <v>140000.0</v>
      </c>
      <c r="AA22" s="511"/>
      <c r="AB22" s="511"/>
      <c r="AC22" s="511"/>
      <c r="AD22" s="1229"/>
    </row>
    <row r="23" ht="35.25" customHeight="1">
      <c r="A23" s="93">
        <v>10.0</v>
      </c>
      <c r="B23" s="1231">
        <v>45017.0</v>
      </c>
      <c r="C23" s="1152">
        <v>1.689809405378E12</v>
      </c>
      <c r="D23" s="93" t="s">
        <v>348</v>
      </c>
      <c r="E23" s="105" t="s">
        <v>349</v>
      </c>
      <c r="F23" s="1232" t="s">
        <v>1953</v>
      </c>
      <c r="G23" s="63" t="s">
        <v>35</v>
      </c>
      <c r="H23" s="64">
        <v>5.0</v>
      </c>
      <c r="I23" s="1221">
        <v>220000.0</v>
      </c>
      <c r="J23" s="48">
        <f t="shared" si="2"/>
        <v>1100000</v>
      </c>
      <c r="K23" s="76">
        <f t="shared" si="4"/>
        <v>1100000</v>
      </c>
      <c r="L23" s="122"/>
      <c r="M23" s="136"/>
      <c r="N23" s="80">
        <f t="shared" si="5"/>
        <v>1100000</v>
      </c>
      <c r="O23" s="81" t="s">
        <v>449</v>
      </c>
      <c r="P23" s="81" t="s">
        <v>31</v>
      </c>
      <c r="Q23" s="1233">
        <v>62998.0</v>
      </c>
      <c r="R23" s="83" t="s">
        <v>32</v>
      </c>
      <c r="S23" s="84" t="s">
        <v>33</v>
      </c>
      <c r="T23" s="122"/>
      <c r="U23" s="122"/>
      <c r="V23" s="122"/>
      <c r="W23" s="284"/>
      <c r="X23" s="106"/>
      <c r="Y23" s="65" t="s">
        <v>101</v>
      </c>
      <c r="Z23" s="66">
        <v>150000.0</v>
      </c>
      <c r="AA23" s="107"/>
      <c r="AB23" s="107"/>
      <c r="AC23" s="107"/>
      <c r="AD23" s="106"/>
    </row>
    <row r="24" ht="30.75" customHeight="1">
      <c r="A24" s="111">
        <v>11.0</v>
      </c>
      <c r="B24" s="1234">
        <v>45017.0</v>
      </c>
      <c r="C24" s="1135">
        <v>1.701854679729E12</v>
      </c>
      <c r="D24" s="148" t="s">
        <v>39</v>
      </c>
      <c r="E24" s="143" t="s">
        <v>40</v>
      </c>
      <c r="F24" s="1145" t="s">
        <v>1085</v>
      </c>
      <c r="G24" s="68" t="s">
        <v>290</v>
      </c>
      <c r="H24" s="69">
        <v>20.0</v>
      </c>
      <c r="I24" s="1221">
        <v>220000.0</v>
      </c>
      <c r="J24" s="577">
        <f t="shared" si="2"/>
        <v>4400000</v>
      </c>
      <c r="K24" s="49">
        <f>SUM(J24:J29)</f>
        <v>10240000</v>
      </c>
      <c r="L24" s="147"/>
      <c r="M24" s="562"/>
      <c r="N24" s="53">
        <f t="shared" si="5"/>
        <v>10240000</v>
      </c>
      <c r="O24" s="99" t="s">
        <v>449</v>
      </c>
      <c r="P24" s="99" t="s">
        <v>31</v>
      </c>
      <c r="Q24" s="1204">
        <v>410331.0</v>
      </c>
      <c r="R24" s="56" t="s">
        <v>32</v>
      </c>
      <c r="S24" s="57" t="s">
        <v>33</v>
      </c>
      <c r="T24" s="147"/>
      <c r="U24" s="147"/>
      <c r="V24" s="147"/>
      <c r="W24" s="501"/>
      <c r="X24" s="1235"/>
      <c r="Y24" s="65" t="s">
        <v>109</v>
      </c>
      <c r="Z24" s="66">
        <v>125000.0</v>
      </c>
      <c r="AA24" s="25"/>
      <c r="AB24" s="25"/>
      <c r="AC24" s="25"/>
      <c r="AD24" s="22"/>
    </row>
    <row r="25" ht="23.25" customHeight="1">
      <c r="A25" s="62"/>
      <c r="B25" s="62"/>
      <c r="C25" s="62"/>
      <c r="D25" s="62"/>
      <c r="E25" s="62"/>
      <c r="F25" s="62"/>
      <c r="G25" s="68" t="s">
        <v>35</v>
      </c>
      <c r="H25" s="69">
        <v>16.0</v>
      </c>
      <c r="I25" s="1221">
        <v>220000.0</v>
      </c>
      <c r="J25" s="577">
        <f t="shared" si="2"/>
        <v>3520000</v>
      </c>
      <c r="K25" s="62"/>
      <c r="L25" s="62"/>
      <c r="M25" s="62"/>
      <c r="N25" s="62"/>
      <c r="O25" s="62"/>
      <c r="P25" s="62"/>
      <c r="Q25" s="62"/>
      <c r="R25" s="62"/>
      <c r="S25" s="62"/>
      <c r="T25" s="62"/>
      <c r="U25" s="62"/>
      <c r="V25" s="62"/>
      <c r="W25" s="62"/>
      <c r="X25" s="1235"/>
      <c r="Y25" s="65" t="s">
        <v>113</v>
      </c>
      <c r="Z25" s="66">
        <v>75000.0</v>
      </c>
      <c r="AA25" s="25"/>
      <c r="AB25" s="25"/>
      <c r="AC25" s="25"/>
      <c r="AD25" s="22"/>
    </row>
    <row r="26" ht="23.25" customHeight="1">
      <c r="A26" s="62"/>
      <c r="B26" s="62"/>
      <c r="C26" s="62"/>
      <c r="D26" s="62"/>
      <c r="E26" s="62"/>
      <c r="F26" s="62"/>
      <c r="G26" s="1236" t="s">
        <v>61</v>
      </c>
      <c r="H26" s="1237">
        <v>8.0</v>
      </c>
      <c r="I26" s="1238">
        <v>90000.0</v>
      </c>
      <c r="J26" s="1239">
        <f t="shared" si="2"/>
        <v>720000</v>
      </c>
      <c r="K26" s="62"/>
      <c r="L26" s="62"/>
      <c r="M26" s="62"/>
      <c r="N26" s="62"/>
      <c r="O26" s="62"/>
      <c r="P26" s="62"/>
      <c r="Q26" s="62"/>
      <c r="R26" s="62"/>
      <c r="S26" s="62"/>
      <c r="T26" s="62"/>
      <c r="U26" s="62"/>
      <c r="V26" s="62"/>
      <c r="W26" s="62"/>
      <c r="X26" s="22"/>
      <c r="Y26" s="65" t="s">
        <v>116</v>
      </c>
      <c r="Z26" s="66">
        <v>475000.0</v>
      </c>
      <c r="AA26" s="25"/>
      <c r="AB26" s="25"/>
      <c r="AC26" s="25"/>
      <c r="AD26" s="22"/>
    </row>
    <row r="27" ht="23.25" customHeight="1">
      <c r="A27" s="62"/>
      <c r="B27" s="62"/>
      <c r="C27" s="62"/>
      <c r="D27" s="62"/>
      <c r="E27" s="62"/>
      <c r="F27" s="62"/>
      <c r="G27" s="1236" t="s">
        <v>478</v>
      </c>
      <c r="H27" s="1237">
        <v>8.0</v>
      </c>
      <c r="I27" s="1238">
        <v>80000.0</v>
      </c>
      <c r="J27" s="1239">
        <f t="shared" si="2"/>
        <v>640000</v>
      </c>
      <c r="K27" s="62"/>
      <c r="L27" s="62"/>
      <c r="M27" s="62"/>
      <c r="N27" s="62"/>
      <c r="O27" s="62"/>
      <c r="P27" s="62"/>
      <c r="Q27" s="62"/>
      <c r="R27" s="62"/>
      <c r="S27" s="62"/>
      <c r="T27" s="62"/>
      <c r="U27" s="62"/>
      <c r="V27" s="62"/>
      <c r="W27" s="62"/>
      <c r="X27" s="22"/>
      <c r="Y27" s="85" t="s">
        <v>121</v>
      </c>
      <c r="Z27" s="128">
        <v>220000.0</v>
      </c>
      <c r="AA27" s="25"/>
      <c r="AB27" s="25"/>
      <c r="AC27" s="25"/>
      <c r="AD27" s="22"/>
    </row>
    <row r="28" ht="23.25" customHeight="1">
      <c r="A28" s="62"/>
      <c r="B28" s="62"/>
      <c r="C28" s="62"/>
      <c r="D28" s="62"/>
      <c r="E28" s="62"/>
      <c r="F28" s="62"/>
      <c r="G28" s="1236" t="s">
        <v>476</v>
      </c>
      <c r="H28" s="1237">
        <v>8.0</v>
      </c>
      <c r="I28" s="1238">
        <v>55000.0</v>
      </c>
      <c r="J28" s="1239">
        <f t="shared" si="2"/>
        <v>440000</v>
      </c>
      <c r="K28" s="62"/>
      <c r="L28" s="62"/>
      <c r="M28" s="62"/>
      <c r="N28" s="62"/>
      <c r="O28" s="62"/>
      <c r="P28" s="62"/>
      <c r="Q28" s="62"/>
      <c r="R28" s="62"/>
      <c r="S28" s="62"/>
      <c r="T28" s="62"/>
      <c r="U28" s="62"/>
      <c r="V28" s="62"/>
      <c r="W28" s="62"/>
      <c r="X28" s="22"/>
      <c r="Y28" s="85" t="s">
        <v>123</v>
      </c>
      <c r="Z28" s="128">
        <v>220000.0</v>
      </c>
      <c r="AA28" s="25"/>
      <c r="AB28" s="25"/>
      <c r="AC28" s="25"/>
      <c r="AD28" s="22"/>
    </row>
    <row r="29" ht="27.75" customHeight="1">
      <c r="A29" s="67"/>
      <c r="B29" s="67"/>
      <c r="C29" s="67"/>
      <c r="D29" s="67"/>
      <c r="E29" s="67"/>
      <c r="F29" s="67"/>
      <c r="G29" s="1236" t="s">
        <v>477</v>
      </c>
      <c r="H29" s="1237">
        <v>8.0</v>
      </c>
      <c r="I29" s="1238">
        <v>65000.0</v>
      </c>
      <c r="J29" s="1239">
        <f t="shared" si="2"/>
        <v>520000</v>
      </c>
      <c r="K29" s="67"/>
      <c r="L29" s="67"/>
      <c r="M29" s="67"/>
      <c r="N29" s="67"/>
      <c r="O29" s="67"/>
      <c r="P29" s="67"/>
      <c r="Q29" s="67"/>
      <c r="R29" s="67"/>
      <c r="S29" s="67"/>
      <c r="T29" s="67"/>
      <c r="U29" s="67"/>
      <c r="V29" s="67"/>
      <c r="W29" s="67"/>
      <c r="X29" s="22"/>
      <c r="Y29" s="85" t="s">
        <v>124</v>
      </c>
      <c r="Z29" s="128">
        <v>220000.0</v>
      </c>
      <c r="AA29" s="25"/>
      <c r="AB29" s="25"/>
      <c r="AC29" s="25"/>
      <c r="AD29" s="22"/>
    </row>
    <row r="30" ht="23.25" customHeight="1">
      <c r="A30" s="39">
        <v>12.0</v>
      </c>
      <c r="B30" s="125">
        <v>45019.0</v>
      </c>
      <c r="C30" s="1146">
        <v>1.703281239796E12</v>
      </c>
      <c r="D30" s="126" t="s">
        <v>517</v>
      </c>
      <c r="E30" s="175" t="s">
        <v>518</v>
      </c>
      <c r="F30" s="424" t="s">
        <v>1954</v>
      </c>
      <c r="G30" s="63" t="s">
        <v>30</v>
      </c>
      <c r="H30" s="64">
        <v>2.0</v>
      </c>
      <c r="I30" s="975">
        <v>220000.0</v>
      </c>
      <c r="J30" s="48">
        <f t="shared" si="2"/>
        <v>440000</v>
      </c>
      <c r="K30" s="49">
        <f>SUM(J30:J34)</f>
        <v>1700000</v>
      </c>
      <c r="L30" s="822"/>
      <c r="M30" s="562"/>
      <c r="N30" s="53">
        <f>K30+L30-M30</f>
        <v>1700000</v>
      </c>
      <c r="O30" s="99" t="s">
        <v>449</v>
      </c>
      <c r="P30" s="99" t="s">
        <v>31</v>
      </c>
      <c r="Q30" s="1199">
        <v>61997.0</v>
      </c>
      <c r="R30" s="56" t="s">
        <v>32</v>
      </c>
      <c r="S30" s="57" t="s">
        <v>33</v>
      </c>
      <c r="T30" s="113"/>
      <c r="U30" s="113"/>
      <c r="V30" s="59"/>
      <c r="W30" s="564"/>
      <c r="X30" s="22"/>
      <c r="Y30" s="129" t="s">
        <v>125</v>
      </c>
      <c r="Z30" s="80">
        <v>220000.0</v>
      </c>
      <c r="AA30" s="25"/>
      <c r="AB30" s="25"/>
      <c r="AC30" s="25"/>
      <c r="AD30" s="22"/>
    </row>
    <row r="31" ht="23.25" customHeight="1">
      <c r="A31" s="62"/>
      <c r="B31" s="62"/>
      <c r="C31" s="62"/>
      <c r="D31" s="62"/>
      <c r="E31" s="62"/>
      <c r="F31" s="62"/>
      <c r="G31" s="63" t="s">
        <v>147</v>
      </c>
      <c r="H31" s="64">
        <v>2.0</v>
      </c>
      <c r="I31" s="975">
        <v>80000.0</v>
      </c>
      <c r="J31" s="48">
        <f t="shared" si="2"/>
        <v>160000</v>
      </c>
      <c r="K31" s="62"/>
      <c r="L31" s="62"/>
      <c r="M31" s="62"/>
      <c r="N31" s="62"/>
      <c r="O31" s="62"/>
      <c r="P31" s="62"/>
      <c r="Q31" s="62"/>
      <c r="R31" s="62"/>
      <c r="S31" s="62"/>
      <c r="T31" s="62"/>
      <c r="U31" s="62"/>
      <c r="V31" s="62"/>
      <c r="W31" s="62"/>
      <c r="X31" s="22"/>
      <c r="Y31" s="129" t="s">
        <v>129</v>
      </c>
      <c r="Z31" s="80">
        <v>220000.0</v>
      </c>
      <c r="AA31" s="25"/>
      <c r="AB31" s="25"/>
      <c r="AC31" s="25"/>
      <c r="AD31" s="22"/>
    </row>
    <row r="32" ht="23.25" customHeight="1">
      <c r="A32" s="62"/>
      <c r="B32" s="62"/>
      <c r="C32" s="62"/>
      <c r="D32" s="62"/>
      <c r="E32" s="62"/>
      <c r="F32" s="62"/>
      <c r="G32" s="63" t="s">
        <v>37</v>
      </c>
      <c r="H32" s="64">
        <v>1.0</v>
      </c>
      <c r="I32" s="975">
        <v>220000.0</v>
      </c>
      <c r="J32" s="48">
        <f t="shared" si="2"/>
        <v>220000</v>
      </c>
      <c r="K32" s="62"/>
      <c r="L32" s="62"/>
      <c r="M32" s="62"/>
      <c r="N32" s="62"/>
      <c r="O32" s="62"/>
      <c r="P32" s="62"/>
      <c r="Q32" s="62"/>
      <c r="R32" s="62"/>
      <c r="S32" s="62"/>
      <c r="T32" s="62"/>
      <c r="U32" s="62"/>
      <c r="V32" s="62"/>
      <c r="W32" s="62"/>
      <c r="X32" s="22"/>
      <c r="Y32" s="85" t="s">
        <v>133</v>
      </c>
      <c r="Z32" s="128">
        <v>220000.0</v>
      </c>
      <c r="AA32" s="25"/>
      <c r="AB32" s="25"/>
      <c r="AC32" s="25"/>
      <c r="AD32" s="22"/>
    </row>
    <row r="33" ht="23.25" customHeight="1">
      <c r="A33" s="62"/>
      <c r="B33" s="62"/>
      <c r="C33" s="62"/>
      <c r="D33" s="62"/>
      <c r="E33" s="62"/>
      <c r="F33" s="62"/>
      <c r="G33" s="63" t="s">
        <v>144</v>
      </c>
      <c r="H33" s="64">
        <v>2.0</v>
      </c>
      <c r="I33" s="975">
        <v>220000.0</v>
      </c>
      <c r="J33" s="48">
        <f t="shared" si="2"/>
        <v>440000</v>
      </c>
      <c r="K33" s="62"/>
      <c r="L33" s="62"/>
      <c r="M33" s="62"/>
      <c r="N33" s="62"/>
      <c r="O33" s="62"/>
      <c r="P33" s="62"/>
      <c r="Q33" s="62"/>
      <c r="R33" s="62"/>
      <c r="S33" s="62"/>
      <c r="T33" s="62"/>
      <c r="U33" s="62"/>
      <c r="V33" s="62"/>
      <c r="W33" s="62"/>
      <c r="X33" s="22"/>
      <c r="Y33" s="85" t="s">
        <v>135</v>
      </c>
      <c r="Z33" s="128">
        <v>220000.0</v>
      </c>
      <c r="AA33" s="25"/>
      <c r="AB33" s="25"/>
      <c r="AC33" s="25"/>
      <c r="AD33" s="22"/>
    </row>
    <row r="34" ht="23.25" customHeight="1">
      <c r="A34" s="67"/>
      <c r="B34" s="67"/>
      <c r="C34" s="67"/>
      <c r="D34" s="67"/>
      <c r="E34" s="67"/>
      <c r="F34" s="67"/>
      <c r="G34" s="63" t="s">
        <v>122</v>
      </c>
      <c r="H34" s="64">
        <v>2.0</v>
      </c>
      <c r="I34" s="975">
        <v>220000.0</v>
      </c>
      <c r="J34" s="48">
        <f t="shared" si="2"/>
        <v>440000</v>
      </c>
      <c r="K34" s="67"/>
      <c r="L34" s="67"/>
      <c r="M34" s="67"/>
      <c r="N34" s="67"/>
      <c r="O34" s="67"/>
      <c r="P34" s="67"/>
      <c r="Q34" s="67"/>
      <c r="R34" s="67"/>
      <c r="S34" s="67"/>
      <c r="T34" s="67"/>
      <c r="U34" s="67"/>
      <c r="V34" s="67"/>
      <c r="W34" s="67"/>
      <c r="X34" s="22"/>
      <c r="Y34" s="85" t="s">
        <v>139</v>
      </c>
      <c r="Z34" s="128">
        <v>80000.0</v>
      </c>
      <c r="AA34" s="25"/>
      <c r="AB34" s="25"/>
      <c r="AC34" s="25"/>
      <c r="AD34" s="22"/>
    </row>
    <row r="35" ht="23.25" customHeight="1">
      <c r="A35" s="39">
        <v>13.0</v>
      </c>
      <c r="B35" s="125">
        <v>45019.0</v>
      </c>
      <c r="C35" s="39">
        <v>1.703732674489E12</v>
      </c>
      <c r="D35" s="126" t="s">
        <v>1955</v>
      </c>
      <c r="E35" s="175" t="s">
        <v>1956</v>
      </c>
      <c r="F35" s="424" t="s">
        <v>1957</v>
      </c>
      <c r="G35" s="63" t="s">
        <v>30</v>
      </c>
      <c r="H35" s="64">
        <v>2.0</v>
      </c>
      <c r="I35" s="975">
        <v>220000.0</v>
      </c>
      <c r="J35" s="48">
        <f t="shared" si="2"/>
        <v>440000</v>
      </c>
      <c r="K35" s="49">
        <f>SUM(J35:J36)</f>
        <v>660000</v>
      </c>
      <c r="L35" s="560"/>
      <c r="M35" s="562"/>
      <c r="N35" s="53">
        <f>K35+L35-M35</f>
        <v>660000</v>
      </c>
      <c r="O35" s="99" t="s">
        <v>449</v>
      </c>
      <c r="P35" s="99" t="s">
        <v>31</v>
      </c>
      <c r="Q35" s="1199">
        <v>53999.0</v>
      </c>
      <c r="R35" s="56" t="s">
        <v>32</v>
      </c>
      <c r="S35" s="57" t="s">
        <v>33</v>
      </c>
      <c r="T35" s="113"/>
      <c r="U35" s="113"/>
      <c r="V35" s="59"/>
      <c r="W35" s="1220">
        <v>1.0</v>
      </c>
      <c r="X35" s="22"/>
      <c r="Y35" s="85" t="s">
        <v>142</v>
      </c>
      <c r="Z35" s="128">
        <v>220000.0</v>
      </c>
      <c r="AA35" s="25"/>
      <c r="AB35" s="25"/>
      <c r="AC35" s="25"/>
      <c r="AD35" s="22"/>
    </row>
    <row r="36" ht="23.25" customHeight="1">
      <c r="A36" s="67"/>
      <c r="B36" s="67"/>
      <c r="C36" s="67"/>
      <c r="D36" s="67"/>
      <c r="E36" s="67"/>
      <c r="F36" s="67"/>
      <c r="G36" s="63" t="s">
        <v>35</v>
      </c>
      <c r="H36" s="64">
        <v>1.0</v>
      </c>
      <c r="I36" s="975">
        <v>220000.0</v>
      </c>
      <c r="J36" s="48">
        <f t="shared" si="2"/>
        <v>220000</v>
      </c>
      <c r="K36" s="67"/>
      <c r="L36" s="67"/>
      <c r="M36" s="67"/>
      <c r="N36" s="67"/>
      <c r="O36" s="67"/>
      <c r="P36" s="67"/>
      <c r="Q36" s="67"/>
      <c r="R36" s="67"/>
      <c r="S36" s="67"/>
      <c r="T36" s="67"/>
      <c r="U36" s="67"/>
      <c r="V36" s="67"/>
      <c r="W36" s="67"/>
      <c r="X36" s="22"/>
      <c r="Y36" s="85" t="s">
        <v>145</v>
      </c>
      <c r="Z36" s="128">
        <v>220000.0</v>
      </c>
      <c r="AA36" s="25"/>
      <c r="AB36" s="25"/>
      <c r="AC36" s="25"/>
      <c r="AD36" s="22"/>
    </row>
    <row r="37" ht="36.0" customHeight="1">
      <c r="A37" s="93">
        <v>14.0</v>
      </c>
      <c r="B37" s="120">
        <v>44990.0</v>
      </c>
      <c r="C37" s="1152">
        <v>1.705619996146E12</v>
      </c>
      <c r="D37" s="155" t="s">
        <v>326</v>
      </c>
      <c r="E37" s="105" t="s">
        <v>327</v>
      </c>
      <c r="F37" s="1132" t="s">
        <v>1701</v>
      </c>
      <c r="G37" s="63" t="s">
        <v>147</v>
      </c>
      <c r="H37" s="64">
        <v>2.0</v>
      </c>
      <c r="I37" s="975">
        <v>80000.0</v>
      </c>
      <c r="J37" s="48">
        <f t="shared" si="2"/>
        <v>160000</v>
      </c>
      <c r="K37" s="76">
        <f t="shared" ref="K37:K38" si="6">SUM(J37)</f>
        <v>160000</v>
      </c>
      <c r="L37" s="92"/>
      <c r="M37" s="136"/>
      <c r="N37" s="80">
        <f t="shared" ref="N37:N39" si="7">K37+L37-M37</f>
        <v>160000</v>
      </c>
      <c r="O37" s="81" t="s">
        <v>449</v>
      </c>
      <c r="P37" s="81" t="s">
        <v>31</v>
      </c>
      <c r="Q37" s="1227"/>
      <c r="R37" s="91"/>
      <c r="S37" s="84" t="s">
        <v>33</v>
      </c>
      <c r="T37" s="122"/>
      <c r="U37" s="122"/>
      <c r="V37" s="122"/>
      <c r="W37" s="284"/>
      <c r="X37" s="106"/>
      <c r="Y37" s="85" t="s">
        <v>153</v>
      </c>
      <c r="Z37" s="128">
        <v>45000.0</v>
      </c>
      <c r="AA37" s="107"/>
      <c r="AB37" s="107"/>
      <c r="AC37" s="107"/>
      <c r="AD37" s="106"/>
    </row>
    <row r="38" ht="23.25" customHeight="1">
      <c r="A38" s="64">
        <v>15.0</v>
      </c>
      <c r="B38" s="132">
        <v>45023.0</v>
      </c>
      <c r="C38" s="1240">
        <v>1.702711352205E12</v>
      </c>
      <c r="D38" s="63" t="s">
        <v>206</v>
      </c>
      <c r="E38" s="131" t="s">
        <v>1079</v>
      </c>
      <c r="F38" s="1241" t="s">
        <v>1080</v>
      </c>
      <c r="G38" s="63" t="s">
        <v>30</v>
      </c>
      <c r="H38" s="64">
        <v>4.0</v>
      </c>
      <c r="I38" s="975">
        <v>220000.0</v>
      </c>
      <c r="J38" s="48">
        <f t="shared" si="2"/>
        <v>880000</v>
      </c>
      <c r="K38" s="76">
        <f t="shared" si="6"/>
        <v>880000</v>
      </c>
      <c r="L38" s="138"/>
      <c r="M38" s="136"/>
      <c r="N38" s="80">
        <f t="shared" si="7"/>
        <v>880000</v>
      </c>
      <c r="O38" s="81" t="s">
        <v>449</v>
      </c>
      <c r="P38" s="81" t="s">
        <v>31</v>
      </c>
      <c r="Q38" s="1219">
        <v>59998.0</v>
      </c>
      <c r="R38" s="91"/>
      <c r="S38" s="84" t="s">
        <v>33</v>
      </c>
      <c r="T38" s="419"/>
      <c r="U38" s="419"/>
      <c r="V38" s="412"/>
      <c r="W38" s="566"/>
      <c r="X38" s="22"/>
      <c r="Y38" s="139" t="s">
        <v>151</v>
      </c>
      <c r="Z38" s="140">
        <v>220000.0</v>
      </c>
      <c r="AA38" s="25"/>
      <c r="AB38" s="25"/>
      <c r="AC38" s="25"/>
      <c r="AD38" s="22"/>
    </row>
    <row r="39" ht="23.25" customHeight="1">
      <c r="A39" s="111">
        <v>16.0</v>
      </c>
      <c r="B39" s="112">
        <v>45024.0</v>
      </c>
      <c r="C39" s="1135">
        <v>1.704249665252E12</v>
      </c>
      <c r="D39" s="148" t="s">
        <v>348</v>
      </c>
      <c r="E39" s="143" t="s">
        <v>349</v>
      </c>
      <c r="F39" s="1136" t="s">
        <v>496</v>
      </c>
      <c r="G39" s="63" t="s">
        <v>165</v>
      </c>
      <c r="H39" s="64">
        <v>1.0</v>
      </c>
      <c r="I39" s="975">
        <v>220000.0</v>
      </c>
      <c r="J39" s="48">
        <f t="shared" si="2"/>
        <v>220000</v>
      </c>
      <c r="K39" s="49">
        <f>SUM(J39:J40)</f>
        <v>440000</v>
      </c>
      <c r="L39" s="1242">
        <v>50999.0</v>
      </c>
      <c r="M39" s="1149">
        <v>20999.0</v>
      </c>
      <c r="N39" s="53">
        <f t="shared" si="7"/>
        <v>470000</v>
      </c>
      <c r="O39" s="99" t="s">
        <v>449</v>
      </c>
      <c r="P39" s="99" t="s">
        <v>31</v>
      </c>
      <c r="Q39" s="1243"/>
      <c r="R39" s="119"/>
      <c r="S39" s="57" t="s">
        <v>33</v>
      </c>
      <c r="T39" s="147"/>
      <c r="U39" s="147"/>
      <c r="V39" s="147"/>
      <c r="W39" s="501"/>
      <c r="X39" s="106"/>
      <c r="Y39" s="65" t="s">
        <v>148</v>
      </c>
      <c r="Z39" s="66">
        <v>220000.0</v>
      </c>
      <c r="AA39" s="107"/>
      <c r="AB39" s="107"/>
      <c r="AC39" s="107"/>
      <c r="AD39" s="106"/>
    </row>
    <row r="40" ht="23.25" customHeight="1">
      <c r="A40" s="67"/>
      <c r="B40" s="67"/>
      <c r="C40" s="67"/>
      <c r="D40" s="67"/>
      <c r="E40" s="67"/>
      <c r="F40" s="67"/>
      <c r="G40" s="63" t="s">
        <v>516</v>
      </c>
      <c r="H40" s="64">
        <v>1.0</v>
      </c>
      <c r="I40" s="975">
        <v>220000.0</v>
      </c>
      <c r="J40" s="48">
        <f t="shared" si="2"/>
        <v>220000</v>
      </c>
      <c r="K40" s="67"/>
      <c r="L40" s="67"/>
      <c r="M40" s="67"/>
      <c r="N40" s="67"/>
      <c r="O40" s="67"/>
      <c r="P40" s="67"/>
      <c r="Q40" s="67"/>
      <c r="R40" s="67"/>
      <c r="S40" s="67"/>
      <c r="T40" s="67"/>
      <c r="U40" s="67"/>
      <c r="V40" s="67"/>
      <c r="W40" s="67"/>
      <c r="X40" s="106"/>
      <c r="Y40" s="93" t="s">
        <v>488</v>
      </c>
      <c r="Z40" s="87">
        <v>45000.0</v>
      </c>
      <c r="AA40" s="107"/>
      <c r="AB40" s="107"/>
      <c r="AC40" s="107"/>
      <c r="AD40" s="106"/>
    </row>
    <row r="41" ht="23.25" customHeight="1">
      <c r="A41" s="111">
        <v>17.0</v>
      </c>
      <c r="B41" s="112">
        <v>45026.0</v>
      </c>
      <c r="C41" s="906">
        <v>1.691090655079E12</v>
      </c>
      <c r="D41" s="148" t="s">
        <v>1958</v>
      </c>
      <c r="E41" s="143" t="s">
        <v>1959</v>
      </c>
      <c r="F41" s="578" t="s">
        <v>1960</v>
      </c>
      <c r="G41" s="63" t="s">
        <v>30</v>
      </c>
      <c r="H41" s="64">
        <v>3.0</v>
      </c>
      <c r="I41" s="975">
        <v>220000.0</v>
      </c>
      <c r="J41" s="48">
        <f t="shared" si="2"/>
        <v>660000</v>
      </c>
      <c r="K41" s="49">
        <f>sum(J41:J43)</f>
        <v>960000</v>
      </c>
      <c r="L41" s="147"/>
      <c r="M41" s="562"/>
      <c r="N41" s="53">
        <f>K41+L41-M41</f>
        <v>960000</v>
      </c>
      <c r="O41" s="99" t="s">
        <v>449</v>
      </c>
      <c r="P41" s="99" t="s">
        <v>31</v>
      </c>
      <c r="Q41" s="1204">
        <v>59998.0</v>
      </c>
      <c r="R41" s="56" t="s">
        <v>32</v>
      </c>
      <c r="S41" s="57" t="s">
        <v>33</v>
      </c>
      <c r="T41" s="147"/>
      <c r="U41" s="147"/>
      <c r="V41" s="147"/>
      <c r="W41" s="501"/>
      <c r="X41" s="106"/>
      <c r="Y41" s="93" t="s">
        <v>157</v>
      </c>
      <c r="Z41" s="87">
        <v>45000.0</v>
      </c>
      <c r="AA41" s="107"/>
      <c r="AB41" s="107"/>
      <c r="AC41" s="107"/>
      <c r="AD41" s="106"/>
    </row>
    <row r="42" ht="23.25" customHeight="1">
      <c r="A42" s="62"/>
      <c r="B42" s="62"/>
      <c r="C42" s="423"/>
      <c r="D42" s="62"/>
      <c r="E42" s="62"/>
      <c r="F42" s="423"/>
      <c r="G42" s="63" t="s">
        <v>382</v>
      </c>
      <c r="H42" s="64">
        <v>1.0</v>
      </c>
      <c r="I42" s="975">
        <v>220000.0</v>
      </c>
      <c r="J42" s="48">
        <f t="shared" si="2"/>
        <v>220000</v>
      </c>
      <c r="K42" s="62"/>
      <c r="L42" s="62"/>
      <c r="M42" s="62"/>
      <c r="N42" s="62"/>
      <c r="O42" s="62"/>
      <c r="P42" s="62"/>
      <c r="Q42" s="62"/>
      <c r="R42" s="62"/>
      <c r="S42" s="62"/>
      <c r="T42" s="62"/>
      <c r="U42" s="62"/>
      <c r="V42" s="62"/>
      <c r="W42" s="62"/>
      <c r="X42" s="106"/>
      <c r="Y42" s="93" t="s">
        <v>161</v>
      </c>
      <c r="Z42" s="87">
        <v>220000.0</v>
      </c>
      <c r="AA42" s="107"/>
      <c r="AB42" s="107"/>
      <c r="AC42" s="107"/>
      <c r="AD42" s="106"/>
    </row>
    <row r="43" ht="23.25" customHeight="1">
      <c r="A43" s="67"/>
      <c r="B43" s="67"/>
      <c r="C43" s="102"/>
      <c r="D43" s="67"/>
      <c r="E43" s="67"/>
      <c r="F43" s="102"/>
      <c r="G43" s="63" t="s">
        <v>147</v>
      </c>
      <c r="H43" s="64">
        <v>1.0</v>
      </c>
      <c r="I43" s="975">
        <v>80000.0</v>
      </c>
      <c r="J43" s="48">
        <f>I43*$H$43</f>
        <v>80000</v>
      </c>
      <c r="K43" s="67"/>
      <c r="L43" s="67"/>
      <c r="M43" s="67"/>
      <c r="N43" s="67"/>
      <c r="O43" s="67"/>
      <c r="P43" s="67"/>
      <c r="Q43" s="67"/>
      <c r="R43" s="67"/>
      <c r="S43" s="67"/>
      <c r="T43" s="67"/>
      <c r="U43" s="67"/>
      <c r="V43" s="67"/>
      <c r="W43" s="67"/>
      <c r="X43" s="106"/>
      <c r="Y43" s="93" t="s">
        <v>157</v>
      </c>
      <c r="Z43" s="87">
        <v>45000.0</v>
      </c>
      <c r="AA43" s="107"/>
      <c r="AB43" s="107"/>
      <c r="AC43" s="107"/>
      <c r="AD43" s="106"/>
    </row>
    <row r="44" ht="23.25" customHeight="1">
      <c r="A44" s="111">
        <v>18.0</v>
      </c>
      <c r="B44" s="112">
        <v>45026.0</v>
      </c>
      <c r="C44" s="1244">
        <v>1.703142280359E12</v>
      </c>
      <c r="D44" s="148" t="s">
        <v>1943</v>
      </c>
      <c r="E44" s="143" t="s">
        <v>1961</v>
      </c>
      <c r="F44" s="422" t="s">
        <v>1962</v>
      </c>
      <c r="G44" s="63" t="s">
        <v>58</v>
      </c>
      <c r="H44" s="64">
        <v>3.0</v>
      </c>
      <c r="I44" s="975">
        <v>220000.0</v>
      </c>
      <c r="J44" s="48">
        <f t="shared" ref="J44:J51" si="8">I44*H44</f>
        <v>660000</v>
      </c>
      <c r="K44" s="49">
        <f>SUM(J44:J45)</f>
        <v>1320000</v>
      </c>
      <c r="L44" s="147"/>
      <c r="M44" s="562"/>
      <c r="N44" s="53">
        <f>K44+L44-M44</f>
        <v>1320000</v>
      </c>
      <c r="O44" s="99" t="s">
        <v>449</v>
      </c>
      <c r="P44" s="99" t="s">
        <v>31</v>
      </c>
      <c r="Q44" s="1204">
        <v>68998.0</v>
      </c>
      <c r="R44" s="56" t="s">
        <v>32</v>
      </c>
      <c r="S44" s="57" t="s">
        <v>33</v>
      </c>
      <c r="T44" s="147"/>
      <c r="U44" s="147"/>
      <c r="V44" s="147"/>
      <c r="W44" s="1245">
        <v>2.0</v>
      </c>
      <c r="X44" s="106"/>
      <c r="Y44" s="93"/>
      <c r="Z44" s="87"/>
      <c r="AA44" s="107"/>
      <c r="AB44" s="107"/>
      <c r="AC44" s="107"/>
      <c r="AD44" s="106"/>
    </row>
    <row r="45" ht="23.25" customHeight="1">
      <c r="A45" s="67"/>
      <c r="B45" s="67"/>
      <c r="C45" s="102"/>
      <c r="D45" s="67"/>
      <c r="E45" s="67"/>
      <c r="F45" s="102"/>
      <c r="G45" s="63" t="s">
        <v>47</v>
      </c>
      <c r="H45" s="64">
        <v>3.0</v>
      </c>
      <c r="I45" s="975">
        <v>220000.0</v>
      </c>
      <c r="J45" s="48">
        <f t="shared" si="8"/>
        <v>660000</v>
      </c>
      <c r="K45" s="67"/>
      <c r="L45" s="67"/>
      <c r="M45" s="67"/>
      <c r="N45" s="67"/>
      <c r="O45" s="67"/>
      <c r="P45" s="67"/>
      <c r="Q45" s="67"/>
      <c r="R45" s="67"/>
      <c r="S45" s="67"/>
      <c r="T45" s="67"/>
      <c r="U45" s="67"/>
      <c r="V45" s="67"/>
      <c r="W45" s="67"/>
      <c r="X45" s="106"/>
      <c r="Y45" s="93"/>
      <c r="Z45" s="87"/>
      <c r="AA45" s="107"/>
      <c r="AB45" s="107"/>
      <c r="AC45" s="107"/>
      <c r="AD45" s="106"/>
    </row>
    <row r="46" ht="24.75" customHeight="1">
      <c r="A46" s="942">
        <v>19.0</v>
      </c>
      <c r="B46" s="1022">
        <v>45027.0</v>
      </c>
      <c r="C46" s="1246">
        <v>1.703124060056E12</v>
      </c>
      <c r="D46" s="1247" t="s">
        <v>44</v>
      </c>
      <c r="E46" s="944" t="s">
        <v>45</v>
      </c>
      <c r="F46" s="1248" t="s">
        <v>324</v>
      </c>
      <c r="G46" s="1249" t="s">
        <v>37</v>
      </c>
      <c r="H46" s="64">
        <v>2.0</v>
      </c>
      <c r="I46" s="1250">
        <v>220000.0</v>
      </c>
      <c r="J46" s="48">
        <f t="shared" si="8"/>
        <v>440000</v>
      </c>
      <c r="K46" s="1251">
        <f>sum(J46:J47)</f>
        <v>520000</v>
      </c>
      <c r="L46" s="1252"/>
      <c r="M46" s="1253"/>
      <c r="N46" s="53">
        <f>K46+L46-M46</f>
        <v>520000</v>
      </c>
      <c r="O46" s="99" t="s">
        <v>449</v>
      </c>
      <c r="P46" s="99" t="s">
        <v>31</v>
      </c>
      <c r="Q46" s="1252">
        <v>50999.0</v>
      </c>
      <c r="R46" s="1029" t="s">
        <v>32</v>
      </c>
      <c r="S46" s="1254" t="s">
        <v>33</v>
      </c>
      <c r="T46" s="1255"/>
      <c r="U46" s="1255"/>
      <c r="V46" s="1255"/>
      <c r="W46" s="1256">
        <v>1.0</v>
      </c>
      <c r="X46" s="106"/>
      <c r="Y46" s="106"/>
      <c r="Z46" s="427"/>
      <c r="AA46" s="106"/>
      <c r="AB46" s="106"/>
      <c r="AC46" s="106"/>
      <c r="AD46" s="106"/>
    </row>
    <row r="47" ht="24.75" customHeight="1">
      <c r="A47" s="67"/>
      <c r="B47" s="67"/>
      <c r="C47" s="102"/>
      <c r="D47" s="67"/>
      <c r="E47" s="67"/>
      <c r="F47" s="67"/>
      <c r="G47" s="1249" t="s">
        <v>147</v>
      </c>
      <c r="H47" s="64">
        <v>1.0</v>
      </c>
      <c r="I47" s="1250">
        <v>80000.0</v>
      </c>
      <c r="J47" s="48">
        <f t="shared" si="8"/>
        <v>80000</v>
      </c>
      <c r="K47" s="67"/>
      <c r="L47" s="67"/>
      <c r="M47" s="67"/>
      <c r="N47" s="67"/>
      <c r="O47" s="67"/>
      <c r="P47" s="67"/>
      <c r="Q47" s="67"/>
      <c r="R47" s="67"/>
      <c r="S47" s="67"/>
      <c r="T47" s="67"/>
      <c r="U47" s="67"/>
      <c r="V47" s="67"/>
      <c r="W47" s="67"/>
      <c r="X47" s="106"/>
      <c r="Y47" s="106"/>
      <c r="Z47" s="427"/>
      <c r="AA47" s="106"/>
      <c r="AB47" s="106"/>
      <c r="AC47" s="106"/>
      <c r="AD47" s="106"/>
    </row>
    <row r="48" ht="24.75" customHeight="1">
      <c r="A48" s="942">
        <v>20.0</v>
      </c>
      <c r="B48" s="1022">
        <v>45027.0</v>
      </c>
      <c r="C48" s="1246">
        <v>1.703321304403E12</v>
      </c>
      <c r="D48" s="1247" t="s">
        <v>1729</v>
      </c>
      <c r="E48" s="944" t="s">
        <v>1730</v>
      </c>
      <c r="F48" s="1257" t="s">
        <v>1731</v>
      </c>
      <c r="G48" s="1249" t="s">
        <v>122</v>
      </c>
      <c r="H48" s="64">
        <v>3.0</v>
      </c>
      <c r="I48" s="1250">
        <v>220000.0</v>
      </c>
      <c r="J48" s="48">
        <f t="shared" si="8"/>
        <v>660000</v>
      </c>
      <c r="K48" s="1251">
        <f>SUM(J48:J50)</f>
        <v>1760000</v>
      </c>
      <c r="L48" s="1255"/>
      <c r="M48" s="1253"/>
      <c r="N48" s="53">
        <f>K48+L48-M48</f>
        <v>1760000</v>
      </c>
      <c r="O48" s="99" t="s">
        <v>449</v>
      </c>
      <c r="P48" s="99" t="s">
        <v>31</v>
      </c>
      <c r="Q48" s="1252">
        <v>79498.0</v>
      </c>
      <c r="R48" s="1029" t="s">
        <v>32</v>
      </c>
      <c r="S48" s="1254" t="s">
        <v>33</v>
      </c>
      <c r="T48" s="1255"/>
      <c r="U48" s="1255"/>
      <c r="V48" s="1255"/>
      <c r="W48" s="1258"/>
      <c r="X48" s="106"/>
      <c r="Y48" s="106"/>
      <c r="Z48" s="427"/>
      <c r="AA48" s="106"/>
      <c r="AB48" s="106"/>
      <c r="AC48" s="106"/>
      <c r="AD48" s="106"/>
    </row>
    <row r="49" ht="24.75" customHeight="1">
      <c r="A49" s="62"/>
      <c r="B49" s="62"/>
      <c r="C49" s="423"/>
      <c r="D49" s="62"/>
      <c r="E49" s="62"/>
      <c r="F49" s="423"/>
      <c r="G49" s="1249" t="s">
        <v>382</v>
      </c>
      <c r="H49" s="64">
        <v>3.0</v>
      </c>
      <c r="I49" s="1250">
        <v>220000.0</v>
      </c>
      <c r="J49" s="48">
        <f t="shared" si="8"/>
        <v>660000</v>
      </c>
      <c r="K49" s="62"/>
      <c r="L49" s="62"/>
      <c r="M49" s="62"/>
      <c r="N49" s="62"/>
      <c r="O49" s="62"/>
      <c r="P49" s="62"/>
      <c r="Q49" s="62"/>
      <c r="R49" s="62"/>
      <c r="S49" s="62"/>
      <c r="T49" s="62"/>
      <c r="U49" s="62"/>
      <c r="V49" s="62"/>
      <c r="W49" s="62"/>
      <c r="X49" s="106"/>
      <c r="Y49" s="106"/>
      <c r="Z49" s="427"/>
      <c r="AA49" s="106"/>
      <c r="AB49" s="106"/>
      <c r="AC49" s="106"/>
      <c r="AD49" s="106"/>
    </row>
    <row r="50" ht="24.75" customHeight="1">
      <c r="A50" s="67"/>
      <c r="B50" s="67"/>
      <c r="C50" s="102"/>
      <c r="D50" s="67"/>
      <c r="E50" s="67"/>
      <c r="F50" s="102"/>
      <c r="G50" s="1249" t="s">
        <v>37</v>
      </c>
      <c r="H50" s="64">
        <v>2.0</v>
      </c>
      <c r="I50" s="1250">
        <v>220000.0</v>
      </c>
      <c r="J50" s="48">
        <f t="shared" si="8"/>
        <v>440000</v>
      </c>
      <c r="K50" s="67"/>
      <c r="L50" s="67"/>
      <c r="M50" s="67"/>
      <c r="N50" s="67"/>
      <c r="O50" s="67"/>
      <c r="P50" s="67"/>
      <c r="Q50" s="67"/>
      <c r="R50" s="67"/>
      <c r="S50" s="67"/>
      <c r="T50" s="67"/>
      <c r="U50" s="67"/>
      <c r="V50" s="67"/>
      <c r="W50" s="67"/>
      <c r="X50" s="106"/>
      <c r="Y50" s="106"/>
      <c r="Z50" s="427"/>
      <c r="AA50" s="106"/>
      <c r="AB50" s="106"/>
      <c r="AC50" s="106"/>
      <c r="AD50" s="106"/>
    </row>
    <row r="51" ht="28.5" customHeight="1">
      <c r="A51" s="942">
        <v>21.0</v>
      </c>
      <c r="B51" s="1022">
        <v>45027.0</v>
      </c>
      <c r="C51" s="1259"/>
      <c r="D51" s="1247" t="s">
        <v>1963</v>
      </c>
      <c r="E51" s="944" t="s">
        <v>1964</v>
      </c>
      <c r="F51" s="1260" t="s">
        <v>1965</v>
      </c>
      <c r="G51" s="1249" t="s">
        <v>58</v>
      </c>
      <c r="H51" s="64">
        <v>1.0</v>
      </c>
      <c r="I51" s="1250">
        <v>220000.0</v>
      </c>
      <c r="J51" s="1261">
        <f t="shared" si="8"/>
        <v>220000</v>
      </c>
      <c r="K51" s="1262">
        <f>sum(J51:J52)</f>
        <v>310000</v>
      </c>
      <c r="L51" s="1263"/>
      <c r="M51" s="1264"/>
      <c r="N51" s="1265">
        <f>K51+L51-M51</f>
        <v>310000</v>
      </c>
      <c r="O51" s="1060" t="s">
        <v>449</v>
      </c>
      <c r="P51" s="1060" t="s">
        <v>31</v>
      </c>
      <c r="Q51" s="1255"/>
      <c r="R51" s="1266"/>
      <c r="S51" s="1254" t="s">
        <v>33</v>
      </c>
      <c r="T51" s="1263"/>
      <c r="U51" s="1263"/>
      <c r="V51" s="1267" t="s">
        <v>1966</v>
      </c>
      <c r="W51" s="1258"/>
      <c r="X51" s="1229"/>
      <c r="Y51" s="1229"/>
      <c r="Z51" s="1268"/>
      <c r="AA51" s="1229"/>
      <c r="AB51" s="1229"/>
      <c r="AC51" s="1229"/>
      <c r="AD51" s="1229"/>
    </row>
    <row r="52" ht="24.75" customHeight="1">
      <c r="A52" s="67"/>
      <c r="B52" s="67"/>
      <c r="C52" s="102"/>
      <c r="D52" s="67"/>
      <c r="E52" s="67"/>
      <c r="F52" s="102"/>
      <c r="G52" s="1249" t="s">
        <v>457</v>
      </c>
      <c r="H52" s="64">
        <v>2.0</v>
      </c>
      <c r="I52" s="1269">
        <v>45000.0</v>
      </c>
      <c r="J52" s="1261">
        <f>I52*$H$52</f>
        <v>90000</v>
      </c>
      <c r="K52" s="67"/>
      <c r="L52" s="67"/>
      <c r="M52" s="67"/>
      <c r="N52" s="67"/>
      <c r="O52" s="67"/>
      <c r="P52" s="67"/>
      <c r="Q52" s="67"/>
      <c r="R52" s="67"/>
      <c r="S52" s="67"/>
      <c r="T52" s="67"/>
      <c r="U52" s="67"/>
      <c r="V52" s="67"/>
      <c r="W52" s="67"/>
      <c r="X52" s="1229"/>
      <c r="Y52" s="1229"/>
      <c r="Z52" s="1268"/>
      <c r="AA52" s="1229"/>
      <c r="AB52" s="1229"/>
      <c r="AC52" s="1229"/>
      <c r="AD52" s="1229"/>
    </row>
    <row r="53" ht="24.75" customHeight="1">
      <c r="A53" s="942">
        <v>22.0</v>
      </c>
      <c r="B53" s="1022">
        <v>45028.0</v>
      </c>
      <c r="C53" s="1270">
        <v>1.712654942175E12</v>
      </c>
      <c r="D53" s="1271" t="s">
        <v>1967</v>
      </c>
      <c r="E53" s="944" t="s">
        <v>1968</v>
      </c>
      <c r="F53" s="1257" t="s">
        <v>1969</v>
      </c>
      <c r="G53" s="1249" t="s">
        <v>165</v>
      </c>
      <c r="H53" s="64">
        <v>2.0</v>
      </c>
      <c r="I53" s="1250">
        <v>220000.0</v>
      </c>
      <c r="J53" s="1261">
        <f t="shared" ref="J53:J102" si="9">I53*H53</f>
        <v>440000</v>
      </c>
      <c r="K53" s="1251">
        <f>SUM(J53:J54)</f>
        <v>1100000</v>
      </c>
      <c r="L53" s="1255"/>
      <c r="M53" s="1253"/>
      <c r="N53" s="53">
        <f>K53+L53-M53</f>
        <v>1100000</v>
      </c>
      <c r="O53" s="1060" t="s">
        <v>449</v>
      </c>
      <c r="P53" s="1060" t="s">
        <v>31</v>
      </c>
      <c r="Q53" s="1252">
        <v>62998.0</v>
      </c>
      <c r="R53" s="1029" t="s">
        <v>32</v>
      </c>
      <c r="S53" s="1254" t="s">
        <v>33</v>
      </c>
      <c r="T53" s="1255"/>
      <c r="U53" s="1255"/>
      <c r="V53" s="1255"/>
      <c r="W53" s="1272">
        <v>1.0</v>
      </c>
      <c r="X53" s="106"/>
      <c r="Y53" s="106"/>
      <c r="Z53" s="427"/>
      <c r="AA53" s="107"/>
      <c r="AB53" s="107"/>
      <c r="AC53" s="107"/>
      <c r="AD53" s="106"/>
    </row>
    <row r="54" ht="24.75" customHeight="1">
      <c r="A54" s="67"/>
      <c r="B54" s="67"/>
      <c r="C54" s="102"/>
      <c r="D54" s="67"/>
      <c r="E54" s="67"/>
      <c r="F54" s="102"/>
      <c r="G54" s="1249" t="s">
        <v>516</v>
      </c>
      <c r="H54" s="64">
        <v>3.0</v>
      </c>
      <c r="I54" s="1250">
        <v>220000.0</v>
      </c>
      <c r="J54" s="1261">
        <f t="shared" si="9"/>
        <v>660000</v>
      </c>
      <c r="K54" s="67"/>
      <c r="L54" s="67"/>
      <c r="M54" s="67"/>
      <c r="N54" s="67"/>
      <c r="O54" s="67"/>
      <c r="P54" s="67"/>
      <c r="Q54" s="67"/>
      <c r="R54" s="67"/>
      <c r="S54" s="67"/>
      <c r="T54" s="67"/>
      <c r="U54" s="67"/>
      <c r="V54" s="67"/>
      <c r="W54" s="67"/>
      <c r="X54" s="106"/>
      <c r="Y54" s="106"/>
      <c r="Z54" s="427"/>
      <c r="AA54" s="107"/>
      <c r="AB54" s="107"/>
      <c r="AC54" s="107"/>
      <c r="AD54" s="106"/>
    </row>
    <row r="55" ht="24.75" customHeight="1">
      <c r="A55" s="942">
        <v>23.0</v>
      </c>
      <c r="B55" s="1022">
        <v>45029.0</v>
      </c>
      <c r="C55" s="1273">
        <v>1.704779529572E12</v>
      </c>
      <c r="D55" s="1271" t="s">
        <v>1970</v>
      </c>
      <c r="E55" s="944" t="s">
        <v>1971</v>
      </c>
      <c r="F55" s="1260" t="s">
        <v>1972</v>
      </c>
      <c r="G55" s="1249" t="s">
        <v>144</v>
      </c>
      <c r="H55" s="64">
        <v>2.0</v>
      </c>
      <c r="I55" s="1250">
        <v>220000.0</v>
      </c>
      <c r="J55" s="1261">
        <f t="shared" si="9"/>
        <v>440000</v>
      </c>
      <c r="K55" s="1251">
        <f>sum(J55:J58)</f>
        <v>960000</v>
      </c>
      <c r="L55" s="1255"/>
      <c r="M55" s="1253"/>
      <c r="N55" s="53">
        <f>K55+L55-M55</f>
        <v>960000</v>
      </c>
      <c r="O55" s="1060" t="s">
        <v>449</v>
      </c>
      <c r="P55" s="1060" t="s">
        <v>31</v>
      </c>
      <c r="Q55" s="1252">
        <v>59998.0</v>
      </c>
      <c r="R55" s="1029" t="s">
        <v>32</v>
      </c>
      <c r="S55" s="1254" t="s">
        <v>33</v>
      </c>
      <c r="T55" s="1255"/>
      <c r="U55" s="1255"/>
      <c r="V55" s="1255"/>
      <c r="W55" s="1258"/>
      <c r="X55" s="106"/>
      <c r="Y55" s="106"/>
      <c r="Z55" s="427"/>
      <c r="AA55" s="107"/>
      <c r="AB55" s="107"/>
      <c r="AC55" s="107"/>
      <c r="AD55" s="106"/>
    </row>
    <row r="56" ht="24.75" customHeight="1">
      <c r="A56" s="62"/>
      <c r="B56" s="62"/>
      <c r="C56" s="423"/>
      <c r="D56" s="62"/>
      <c r="E56" s="62"/>
      <c r="F56" s="423"/>
      <c r="G56" s="1249" t="s">
        <v>122</v>
      </c>
      <c r="H56" s="64">
        <v>1.0</v>
      </c>
      <c r="I56" s="1250">
        <v>220000.0</v>
      </c>
      <c r="J56" s="1261">
        <f t="shared" si="9"/>
        <v>220000</v>
      </c>
      <c r="K56" s="62"/>
      <c r="L56" s="62"/>
      <c r="M56" s="62"/>
      <c r="N56" s="62"/>
      <c r="O56" s="62"/>
      <c r="P56" s="62"/>
      <c r="Q56" s="62"/>
      <c r="R56" s="62"/>
      <c r="S56" s="62"/>
      <c r="T56" s="62"/>
      <c r="U56" s="62"/>
      <c r="V56" s="62"/>
      <c r="W56" s="62"/>
      <c r="X56" s="106"/>
      <c r="Y56" s="106"/>
      <c r="Z56" s="427"/>
      <c r="AA56" s="107"/>
      <c r="AB56" s="107"/>
      <c r="AC56" s="107"/>
      <c r="AD56" s="106"/>
    </row>
    <row r="57" ht="24.75" customHeight="1">
      <c r="A57" s="62"/>
      <c r="B57" s="62"/>
      <c r="C57" s="423"/>
      <c r="D57" s="62"/>
      <c r="E57" s="62"/>
      <c r="F57" s="423"/>
      <c r="G57" s="1249" t="s">
        <v>37</v>
      </c>
      <c r="H57" s="64">
        <v>1.0</v>
      </c>
      <c r="I57" s="1250">
        <v>220000.0</v>
      </c>
      <c r="J57" s="1261">
        <f t="shared" si="9"/>
        <v>220000</v>
      </c>
      <c r="K57" s="62"/>
      <c r="L57" s="62"/>
      <c r="M57" s="62"/>
      <c r="N57" s="62"/>
      <c r="O57" s="62"/>
      <c r="P57" s="62"/>
      <c r="Q57" s="62"/>
      <c r="R57" s="62"/>
      <c r="S57" s="62"/>
      <c r="T57" s="62"/>
      <c r="U57" s="62"/>
      <c r="V57" s="62"/>
      <c r="W57" s="62"/>
      <c r="X57" s="106"/>
      <c r="Y57" s="106"/>
      <c r="Z57" s="427"/>
      <c r="AA57" s="107"/>
      <c r="AB57" s="107"/>
      <c r="AC57" s="107"/>
      <c r="AD57" s="106"/>
    </row>
    <row r="58" ht="24.75" customHeight="1">
      <c r="A58" s="67"/>
      <c r="B58" s="67"/>
      <c r="C58" s="102"/>
      <c r="D58" s="67"/>
      <c r="E58" s="67"/>
      <c r="F58" s="102"/>
      <c r="G58" s="1249" t="s">
        <v>147</v>
      </c>
      <c r="H58" s="64">
        <v>1.0</v>
      </c>
      <c r="I58" s="1250">
        <v>80000.0</v>
      </c>
      <c r="J58" s="1261">
        <f t="shared" si="9"/>
        <v>80000</v>
      </c>
      <c r="K58" s="67"/>
      <c r="L58" s="67"/>
      <c r="M58" s="67"/>
      <c r="N58" s="67"/>
      <c r="O58" s="67"/>
      <c r="P58" s="67"/>
      <c r="Q58" s="67"/>
      <c r="R58" s="67"/>
      <c r="S58" s="67"/>
      <c r="T58" s="67"/>
      <c r="U58" s="67"/>
      <c r="V58" s="67"/>
      <c r="W58" s="67"/>
      <c r="X58" s="106"/>
      <c r="Y58" s="106"/>
      <c r="Z58" s="427"/>
      <c r="AA58" s="107"/>
      <c r="AB58" s="107"/>
      <c r="AC58" s="107"/>
      <c r="AD58" s="106"/>
    </row>
    <row r="59" ht="24.75" customHeight="1">
      <c r="A59" s="942">
        <v>24.0</v>
      </c>
      <c r="B59" s="1022">
        <v>45029.0</v>
      </c>
      <c r="C59" s="1273">
        <v>1.704878444992E12</v>
      </c>
      <c r="D59" s="1247" t="s">
        <v>247</v>
      </c>
      <c r="E59" s="944" t="s">
        <v>248</v>
      </c>
      <c r="F59" s="1274" t="s">
        <v>1973</v>
      </c>
      <c r="G59" s="1275" t="s">
        <v>35</v>
      </c>
      <c r="H59" s="64">
        <v>1.0</v>
      </c>
      <c r="I59" s="1250">
        <v>220000.0</v>
      </c>
      <c r="J59" s="380">
        <f t="shared" si="9"/>
        <v>220000</v>
      </c>
      <c r="K59" s="1083">
        <f>sum(J59:J61)</f>
        <v>680000</v>
      </c>
      <c r="L59" s="1255"/>
      <c r="M59" s="1253"/>
      <c r="N59" s="53">
        <f>K59+L59-M59</f>
        <v>680000</v>
      </c>
      <c r="O59" s="1060" t="s">
        <v>449</v>
      </c>
      <c r="P59" s="1060" t="s">
        <v>31</v>
      </c>
      <c r="Q59" s="1276">
        <v>53999.0</v>
      </c>
      <c r="R59" s="1029" t="s">
        <v>32</v>
      </c>
      <c r="S59" s="1254" t="s">
        <v>33</v>
      </c>
      <c r="T59" s="1255"/>
      <c r="U59" s="1255"/>
      <c r="V59" s="1255"/>
      <c r="W59" s="1272">
        <v>1.0</v>
      </c>
      <c r="X59" s="106"/>
      <c r="Y59" s="106"/>
      <c r="Z59" s="427"/>
      <c r="AA59" s="107"/>
      <c r="AB59" s="107"/>
      <c r="AC59" s="107"/>
      <c r="AD59" s="106"/>
    </row>
    <row r="60" ht="24.75" customHeight="1">
      <c r="A60" s="62"/>
      <c r="B60" s="62"/>
      <c r="C60" s="423"/>
      <c r="D60" s="62"/>
      <c r="E60" s="62"/>
      <c r="F60" s="62"/>
      <c r="G60" s="1249" t="s">
        <v>516</v>
      </c>
      <c r="H60" s="64">
        <v>1.0</v>
      </c>
      <c r="I60" s="1250">
        <v>220000.0</v>
      </c>
      <c r="J60" s="380">
        <f t="shared" si="9"/>
        <v>220000</v>
      </c>
      <c r="K60" s="62"/>
      <c r="L60" s="62"/>
      <c r="M60" s="62"/>
      <c r="N60" s="62"/>
      <c r="O60" s="62"/>
      <c r="P60" s="62"/>
      <c r="Q60" s="62"/>
      <c r="R60" s="62"/>
      <c r="S60" s="62"/>
      <c r="T60" s="62"/>
      <c r="U60" s="62"/>
      <c r="V60" s="62"/>
      <c r="W60" s="62"/>
      <c r="X60" s="106"/>
      <c r="Y60" s="106"/>
      <c r="Z60" s="427"/>
      <c r="AA60" s="107"/>
      <c r="AB60" s="107"/>
      <c r="AC60" s="107"/>
      <c r="AD60" s="106"/>
    </row>
    <row r="61" ht="24.75" customHeight="1">
      <c r="A61" s="67"/>
      <c r="B61" s="67"/>
      <c r="C61" s="102"/>
      <c r="D61" s="67"/>
      <c r="E61" s="67"/>
      <c r="F61" s="67"/>
      <c r="G61" s="1249" t="s">
        <v>147</v>
      </c>
      <c r="H61" s="64">
        <v>3.0</v>
      </c>
      <c r="I61" s="1250">
        <v>80000.0</v>
      </c>
      <c r="J61" s="380">
        <f t="shared" si="9"/>
        <v>240000</v>
      </c>
      <c r="K61" s="67"/>
      <c r="L61" s="67"/>
      <c r="M61" s="67"/>
      <c r="N61" s="67"/>
      <c r="O61" s="67"/>
      <c r="P61" s="67"/>
      <c r="Q61" s="67"/>
      <c r="R61" s="67"/>
      <c r="S61" s="67"/>
      <c r="T61" s="67"/>
      <c r="U61" s="67"/>
      <c r="V61" s="67"/>
      <c r="W61" s="67"/>
      <c r="X61" s="106"/>
      <c r="Y61" s="106"/>
      <c r="Z61" s="427"/>
      <c r="AA61" s="107"/>
      <c r="AB61" s="107"/>
      <c r="AC61" s="107"/>
      <c r="AD61" s="106"/>
    </row>
    <row r="62" ht="24.75" customHeight="1">
      <c r="A62" s="942">
        <v>25.0</v>
      </c>
      <c r="B62" s="1022">
        <v>45029.0</v>
      </c>
      <c r="C62" s="1273">
        <v>1.704981434782E12</v>
      </c>
      <c r="D62" s="1247" t="s">
        <v>606</v>
      </c>
      <c r="E62" s="944" t="s">
        <v>607</v>
      </c>
      <c r="F62" s="1274" t="s">
        <v>1974</v>
      </c>
      <c r="G62" s="1275" t="s">
        <v>35</v>
      </c>
      <c r="H62" s="64">
        <v>2.0</v>
      </c>
      <c r="I62" s="1250">
        <v>220000.0</v>
      </c>
      <c r="J62" s="380">
        <f t="shared" si="9"/>
        <v>440000</v>
      </c>
      <c r="K62" s="1251">
        <f>sum(J62:J65)</f>
        <v>960000</v>
      </c>
      <c r="L62" s="1255"/>
      <c r="M62" s="1253"/>
      <c r="N62" s="53">
        <f>K62+L62-M62</f>
        <v>960000</v>
      </c>
      <c r="O62" s="1060" t="s">
        <v>449</v>
      </c>
      <c r="P62" s="1060" t="s">
        <v>31</v>
      </c>
      <c r="Q62" s="1276">
        <v>59998.0</v>
      </c>
      <c r="R62" s="1029" t="s">
        <v>32</v>
      </c>
      <c r="S62" s="1254" t="s">
        <v>33</v>
      </c>
      <c r="T62" s="1255"/>
      <c r="U62" s="1255"/>
      <c r="V62" s="1255"/>
      <c r="W62" s="1258"/>
      <c r="X62" s="106"/>
      <c r="Y62" s="106"/>
      <c r="Z62" s="427"/>
      <c r="AA62" s="107"/>
      <c r="AB62" s="107"/>
      <c r="AC62" s="107"/>
      <c r="AD62" s="106"/>
    </row>
    <row r="63" ht="24.75" customHeight="1">
      <c r="A63" s="62"/>
      <c r="B63" s="62"/>
      <c r="C63" s="423"/>
      <c r="D63" s="62"/>
      <c r="E63" s="62"/>
      <c r="F63" s="62"/>
      <c r="G63" s="1249" t="s">
        <v>122</v>
      </c>
      <c r="H63" s="64">
        <v>1.0</v>
      </c>
      <c r="I63" s="1250">
        <v>220000.0</v>
      </c>
      <c r="J63" s="380">
        <f t="shared" si="9"/>
        <v>220000</v>
      </c>
      <c r="K63" s="62"/>
      <c r="L63" s="62"/>
      <c r="M63" s="62"/>
      <c r="N63" s="62"/>
      <c r="O63" s="62"/>
      <c r="P63" s="62"/>
      <c r="Q63" s="62"/>
      <c r="R63" s="62"/>
      <c r="S63" s="62"/>
      <c r="T63" s="62"/>
      <c r="U63" s="62"/>
      <c r="V63" s="62"/>
      <c r="W63" s="62"/>
      <c r="X63" s="106"/>
      <c r="Y63" s="106"/>
      <c r="Z63" s="427"/>
      <c r="AA63" s="107"/>
      <c r="AB63" s="107"/>
      <c r="AC63" s="107"/>
      <c r="AD63" s="106"/>
    </row>
    <row r="64" ht="24.75" customHeight="1">
      <c r="A64" s="62"/>
      <c r="B64" s="62"/>
      <c r="C64" s="423"/>
      <c r="D64" s="62"/>
      <c r="E64" s="62"/>
      <c r="F64" s="62"/>
      <c r="G64" s="1249" t="s">
        <v>144</v>
      </c>
      <c r="H64" s="64">
        <v>1.0</v>
      </c>
      <c r="I64" s="1250">
        <v>220000.0</v>
      </c>
      <c r="J64" s="380">
        <f t="shared" si="9"/>
        <v>220000</v>
      </c>
      <c r="K64" s="62"/>
      <c r="L64" s="62"/>
      <c r="M64" s="62"/>
      <c r="N64" s="62"/>
      <c r="O64" s="62"/>
      <c r="P64" s="62"/>
      <c r="Q64" s="62"/>
      <c r="R64" s="62"/>
      <c r="S64" s="62"/>
      <c r="T64" s="62"/>
      <c r="U64" s="62"/>
      <c r="V64" s="62"/>
      <c r="W64" s="62"/>
      <c r="X64" s="106"/>
      <c r="Y64" s="106"/>
      <c r="Z64" s="427"/>
      <c r="AA64" s="107"/>
      <c r="AB64" s="107"/>
      <c r="AC64" s="107"/>
      <c r="AD64" s="106"/>
    </row>
    <row r="65" ht="24.75" customHeight="1">
      <c r="A65" s="67"/>
      <c r="B65" s="67"/>
      <c r="C65" s="102"/>
      <c r="D65" s="67"/>
      <c r="E65" s="67"/>
      <c r="F65" s="67"/>
      <c r="G65" s="1249" t="s">
        <v>147</v>
      </c>
      <c r="H65" s="64">
        <v>1.0</v>
      </c>
      <c r="I65" s="1250">
        <v>80000.0</v>
      </c>
      <c r="J65" s="380">
        <f t="shared" si="9"/>
        <v>80000</v>
      </c>
      <c r="K65" s="67"/>
      <c r="L65" s="67"/>
      <c r="M65" s="67"/>
      <c r="N65" s="67"/>
      <c r="O65" s="67"/>
      <c r="P65" s="67"/>
      <c r="Q65" s="67"/>
      <c r="R65" s="67"/>
      <c r="S65" s="67"/>
      <c r="T65" s="67"/>
      <c r="U65" s="67"/>
      <c r="V65" s="67"/>
      <c r="W65" s="67"/>
      <c r="X65" s="106"/>
      <c r="Y65" s="106"/>
      <c r="Z65" s="427"/>
      <c r="AA65" s="107"/>
      <c r="AB65" s="107"/>
      <c r="AC65" s="107"/>
      <c r="AD65" s="106"/>
    </row>
    <row r="66" ht="24.75" customHeight="1">
      <c r="A66" s="942">
        <v>26.0</v>
      </c>
      <c r="B66" s="1022">
        <v>45029.0</v>
      </c>
      <c r="C66" s="1273">
        <v>1.705078957905E12</v>
      </c>
      <c r="D66" s="1271" t="s">
        <v>1975</v>
      </c>
      <c r="E66" s="944" t="s">
        <v>1976</v>
      </c>
      <c r="F66" s="1260" t="s">
        <v>1977</v>
      </c>
      <c r="G66" s="1249" t="s">
        <v>147</v>
      </c>
      <c r="H66" s="64">
        <v>4.0</v>
      </c>
      <c r="I66" s="1250">
        <v>80000.0</v>
      </c>
      <c r="J66" s="380">
        <f t="shared" si="9"/>
        <v>320000</v>
      </c>
      <c r="K66" s="1251">
        <f>sum(J66:J67)</f>
        <v>870000</v>
      </c>
      <c r="L66" s="1255"/>
      <c r="M66" s="1253"/>
      <c r="N66" s="53">
        <f>K66+L66-M66</f>
        <v>870000</v>
      </c>
      <c r="O66" s="1060" t="s">
        <v>449</v>
      </c>
      <c r="P66" s="1060" t="s">
        <v>31</v>
      </c>
      <c r="Q66" s="1276">
        <v>48500.0</v>
      </c>
      <c r="R66" s="1029" t="s">
        <v>32</v>
      </c>
      <c r="S66" s="1254" t="s">
        <v>33</v>
      </c>
      <c r="T66" s="1255"/>
      <c r="U66" s="1255"/>
      <c r="V66" s="1255"/>
      <c r="W66" s="1258"/>
      <c r="X66" s="106"/>
      <c r="Y66" s="106"/>
      <c r="Z66" s="427"/>
      <c r="AA66" s="107"/>
      <c r="AB66" s="107"/>
      <c r="AC66" s="107"/>
      <c r="AD66" s="106"/>
    </row>
    <row r="67" ht="24.75" customHeight="1">
      <c r="A67" s="67"/>
      <c r="B67" s="67"/>
      <c r="C67" s="102"/>
      <c r="D67" s="67"/>
      <c r="E67" s="67"/>
      <c r="F67" s="102"/>
      <c r="G67" s="1277" t="s">
        <v>476</v>
      </c>
      <c r="H67" s="73">
        <v>10.0</v>
      </c>
      <c r="I67" s="1278">
        <v>55000.0</v>
      </c>
      <c r="J67" s="1279">
        <f t="shared" si="9"/>
        <v>550000</v>
      </c>
      <c r="K67" s="67"/>
      <c r="L67" s="67"/>
      <c r="M67" s="67"/>
      <c r="N67" s="67"/>
      <c r="O67" s="67"/>
      <c r="P67" s="67"/>
      <c r="Q67" s="67"/>
      <c r="R67" s="67"/>
      <c r="S67" s="67"/>
      <c r="T67" s="67"/>
      <c r="U67" s="67"/>
      <c r="V67" s="67"/>
      <c r="W67" s="67"/>
      <c r="X67" s="106"/>
      <c r="Y67" s="106"/>
      <c r="Z67" s="427"/>
      <c r="AA67" s="107"/>
      <c r="AB67" s="107"/>
      <c r="AC67" s="107"/>
      <c r="AD67" s="106"/>
    </row>
    <row r="68" ht="36.0" customHeight="1">
      <c r="A68" s="694">
        <v>27.0</v>
      </c>
      <c r="B68" s="1032">
        <v>45031.0</v>
      </c>
      <c r="C68" s="1280">
        <v>1.689455142533E12</v>
      </c>
      <c r="D68" s="1249" t="s">
        <v>1978</v>
      </c>
      <c r="E68" s="684" t="s">
        <v>1979</v>
      </c>
      <c r="F68" s="1281" t="s">
        <v>1980</v>
      </c>
      <c r="G68" s="1249" t="s">
        <v>147</v>
      </c>
      <c r="H68" s="64">
        <v>2.0</v>
      </c>
      <c r="I68" s="1250">
        <v>80000.0</v>
      </c>
      <c r="J68" s="1261">
        <f t="shared" si="9"/>
        <v>160000</v>
      </c>
      <c r="K68" s="1282">
        <f>sum(J68)</f>
        <v>160000</v>
      </c>
      <c r="L68" s="1283"/>
      <c r="M68" s="1284"/>
      <c r="N68" s="80">
        <f t="shared" ref="N68:N69" si="10">K68+L68-M68</f>
        <v>160000</v>
      </c>
      <c r="O68" s="690" t="s">
        <v>449</v>
      </c>
      <c r="P68" s="690" t="s">
        <v>31</v>
      </c>
      <c r="Q68" s="1285"/>
      <c r="R68" s="1017"/>
      <c r="S68" s="1286" t="s">
        <v>33</v>
      </c>
      <c r="T68" s="1283"/>
      <c r="U68" s="1283"/>
      <c r="V68" s="1283"/>
      <c r="W68" s="1287"/>
      <c r="X68" s="106"/>
      <c r="Y68" s="106"/>
      <c r="Z68" s="427"/>
      <c r="AA68" s="107"/>
      <c r="AB68" s="107"/>
      <c r="AC68" s="107"/>
      <c r="AD68" s="106"/>
    </row>
    <row r="69" ht="24.75" customHeight="1">
      <c r="A69" s="942">
        <v>28.0</v>
      </c>
      <c r="B69" s="1022">
        <v>45031.0</v>
      </c>
      <c r="C69" s="1246">
        <v>1.689597998596E12</v>
      </c>
      <c r="D69" s="1247" t="s">
        <v>209</v>
      </c>
      <c r="E69" s="944" t="s">
        <v>210</v>
      </c>
      <c r="F69" s="1288" t="s">
        <v>211</v>
      </c>
      <c r="G69" s="1249" t="s">
        <v>122</v>
      </c>
      <c r="H69" s="64">
        <v>2.0</v>
      </c>
      <c r="I69" s="1250">
        <v>220000.0</v>
      </c>
      <c r="J69" s="1261">
        <f t="shared" si="9"/>
        <v>440000</v>
      </c>
      <c r="K69" s="1251">
        <f>SUM(J69:J71)</f>
        <v>1120000</v>
      </c>
      <c r="L69" s="1255"/>
      <c r="M69" s="1253"/>
      <c r="N69" s="53">
        <f t="shared" si="10"/>
        <v>1120000</v>
      </c>
      <c r="O69" s="1060" t="s">
        <v>449</v>
      </c>
      <c r="P69" s="1060" t="s">
        <v>31</v>
      </c>
      <c r="Q69" s="1276">
        <v>55998.0</v>
      </c>
      <c r="R69" s="1029" t="s">
        <v>32</v>
      </c>
      <c r="S69" s="1254" t="s">
        <v>33</v>
      </c>
      <c r="T69" s="1255"/>
      <c r="U69" s="1255"/>
      <c r="V69" s="1255"/>
      <c r="W69" s="1258"/>
      <c r="X69" s="106"/>
      <c r="Y69" s="106"/>
      <c r="Z69" s="427"/>
      <c r="AA69" s="107"/>
      <c r="AB69" s="107"/>
      <c r="AC69" s="107"/>
      <c r="AD69" s="106"/>
    </row>
    <row r="70" ht="24.75" customHeight="1">
      <c r="A70" s="62"/>
      <c r="B70" s="62"/>
      <c r="C70" s="423"/>
      <c r="D70" s="62"/>
      <c r="E70" s="62"/>
      <c r="F70" s="423"/>
      <c r="G70" s="1249" t="s">
        <v>144</v>
      </c>
      <c r="H70" s="64">
        <v>2.0</v>
      </c>
      <c r="I70" s="1250">
        <v>220000.0</v>
      </c>
      <c r="J70" s="1261">
        <f t="shared" si="9"/>
        <v>440000</v>
      </c>
      <c r="K70" s="62"/>
      <c r="L70" s="62"/>
      <c r="M70" s="62"/>
      <c r="N70" s="62"/>
      <c r="O70" s="62"/>
      <c r="P70" s="62"/>
      <c r="Q70" s="62"/>
      <c r="R70" s="62"/>
      <c r="S70" s="62"/>
      <c r="T70" s="62"/>
      <c r="U70" s="62"/>
      <c r="V70" s="62"/>
      <c r="W70" s="62"/>
      <c r="X70" s="106"/>
      <c r="Y70" s="106"/>
      <c r="Z70" s="427"/>
      <c r="AA70" s="107"/>
      <c r="AB70" s="107"/>
      <c r="AC70" s="107"/>
      <c r="AD70" s="106"/>
    </row>
    <row r="71" ht="24.75" customHeight="1">
      <c r="A71" s="67"/>
      <c r="B71" s="67"/>
      <c r="C71" s="102"/>
      <c r="D71" s="67"/>
      <c r="E71" s="67"/>
      <c r="F71" s="102"/>
      <c r="G71" s="1249" t="s">
        <v>147</v>
      </c>
      <c r="H71" s="64">
        <v>3.0</v>
      </c>
      <c r="I71" s="1250">
        <v>80000.0</v>
      </c>
      <c r="J71" s="1261">
        <f t="shared" si="9"/>
        <v>240000</v>
      </c>
      <c r="K71" s="67"/>
      <c r="L71" s="67"/>
      <c r="M71" s="67"/>
      <c r="N71" s="67"/>
      <c r="O71" s="67"/>
      <c r="P71" s="67"/>
      <c r="Q71" s="67"/>
      <c r="R71" s="67"/>
      <c r="S71" s="67"/>
      <c r="T71" s="67"/>
      <c r="U71" s="67"/>
      <c r="V71" s="67"/>
      <c r="W71" s="67"/>
      <c r="X71" s="106"/>
      <c r="Y71" s="106"/>
      <c r="Z71" s="427"/>
      <c r="AA71" s="107"/>
      <c r="AB71" s="107"/>
      <c r="AC71" s="107"/>
      <c r="AD71" s="106"/>
    </row>
    <row r="72" ht="24.75" customHeight="1">
      <c r="A72" s="694">
        <v>29.0</v>
      </c>
      <c r="B72" s="1032">
        <v>45033.0</v>
      </c>
      <c r="C72" s="1280">
        <v>1.683076400366E12</v>
      </c>
      <c r="D72" s="1249" t="s">
        <v>1981</v>
      </c>
      <c r="E72" s="1289" t="s">
        <v>1982</v>
      </c>
      <c r="F72" s="1281" t="s">
        <v>1983</v>
      </c>
      <c r="G72" s="1249" t="s">
        <v>165</v>
      </c>
      <c r="H72" s="64">
        <v>10.0</v>
      </c>
      <c r="I72" s="1250">
        <v>220000.0</v>
      </c>
      <c r="J72" s="1261">
        <f t="shared" si="9"/>
        <v>2200000</v>
      </c>
      <c r="K72" s="1282">
        <f>SUM(J72)</f>
        <v>2200000</v>
      </c>
      <c r="L72" s="1283"/>
      <c r="M72" s="1284"/>
      <c r="N72" s="80">
        <f t="shared" ref="N72:N73" si="11">K72+L72-M72</f>
        <v>2200000</v>
      </c>
      <c r="O72" s="690" t="s">
        <v>449</v>
      </c>
      <c r="P72" s="690" t="s">
        <v>31</v>
      </c>
      <c r="Q72" s="1290">
        <v>79995.0</v>
      </c>
      <c r="R72" s="1017" t="s">
        <v>32</v>
      </c>
      <c r="S72" s="1286" t="s">
        <v>33</v>
      </c>
      <c r="T72" s="1283"/>
      <c r="U72" s="1283"/>
      <c r="V72" s="1283"/>
      <c r="W72" s="1287"/>
      <c r="X72" s="106"/>
      <c r="Y72" s="106"/>
      <c r="Z72" s="427"/>
      <c r="AA72" s="107"/>
      <c r="AB72" s="107"/>
      <c r="AC72" s="107"/>
      <c r="AD72" s="106"/>
    </row>
    <row r="73" ht="24.75" customHeight="1">
      <c r="A73" s="942">
        <v>30.0</v>
      </c>
      <c r="B73" s="1022">
        <v>45033.0</v>
      </c>
      <c r="C73" s="1246">
        <v>1.683187374425E12</v>
      </c>
      <c r="D73" s="1247" t="s">
        <v>1984</v>
      </c>
      <c r="E73" s="944" t="s">
        <v>1985</v>
      </c>
      <c r="F73" s="1260" t="s">
        <v>1986</v>
      </c>
      <c r="G73" s="1249" t="s">
        <v>35</v>
      </c>
      <c r="H73" s="64">
        <v>1.0</v>
      </c>
      <c r="I73" s="1250">
        <v>220000.0</v>
      </c>
      <c r="J73" s="1261">
        <f t="shared" si="9"/>
        <v>220000</v>
      </c>
      <c r="K73" s="1251">
        <f>SUM(J73:J75)</f>
        <v>660000</v>
      </c>
      <c r="L73" s="1255"/>
      <c r="M73" s="1253"/>
      <c r="N73" s="53">
        <f t="shared" si="11"/>
        <v>660000</v>
      </c>
      <c r="O73" s="1060" t="s">
        <v>449</v>
      </c>
      <c r="P73" s="1060" t="s">
        <v>31</v>
      </c>
      <c r="Q73" s="1252">
        <v>53999.0</v>
      </c>
      <c r="R73" s="1029" t="s">
        <v>32</v>
      </c>
      <c r="S73" s="1254" t="s">
        <v>33</v>
      </c>
      <c r="T73" s="1255"/>
      <c r="U73" s="1255"/>
      <c r="V73" s="1255"/>
      <c r="W73" s="1258"/>
      <c r="X73" s="106"/>
      <c r="Y73" s="106"/>
      <c r="Z73" s="427"/>
      <c r="AA73" s="107"/>
      <c r="AB73" s="107"/>
      <c r="AC73" s="107"/>
      <c r="AD73" s="106"/>
    </row>
    <row r="74" ht="24.75" customHeight="1">
      <c r="A74" s="62"/>
      <c r="B74" s="62"/>
      <c r="C74" s="423"/>
      <c r="D74" s="62"/>
      <c r="E74" s="62"/>
      <c r="F74" s="423"/>
      <c r="G74" s="1249" t="s">
        <v>30</v>
      </c>
      <c r="H74" s="64">
        <v>1.0</v>
      </c>
      <c r="I74" s="1250">
        <v>220000.0</v>
      </c>
      <c r="J74" s="1261">
        <f t="shared" si="9"/>
        <v>220000</v>
      </c>
      <c r="K74" s="62"/>
      <c r="L74" s="62"/>
      <c r="M74" s="62"/>
      <c r="N74" s="62"/>
      <c r="O74" s="62"/>
      <c r="P74" s="62"/>
      <c r="Q74" s="62"/>
      <c r="R74" s="62"/>
      <c r="S74" s="62"/>
      <c r="T74" s="62"/>
      <c r="U74" s="62"/>
      <c r="V74" s="62"/>
      <c r="W74" s="62"/>
      <c r="X74" s="106"/>
      <c r="Y74" s="106"/>
      <c r="Z74" s="427"/>
      <c r="AA74" s="107"/>
      <c r="AB74" s="107"/>
      <c r="AC74" s="107"/>
      <c r="AD74" s="106"/>
    </row>
    <row r="75" ht="24.75" customHeight="1">
      <c r="A75" s="67"/>
      <c r="B75" s="67"/>
      <c r="C75" s="102"/>
      <c r="D75" s="67"/>
      <c r="E75" s="67"/>
      <c r="F75" s="102"/>
      <c r="G75" s="1249" t="s">
        <v>58</v>
      </c>
      <c r="H75" s="64">
        <v>1.0</v>
      </c>
      <c r="I75" s="1250">
        <v>220000.0</v>
      </c>
      <c r="J75" s="1261">
        <f t="shared" si="9"/>
        <v>220000</v>
      </c>
      <c r="K75" s="67"/>
      <c r="L75" s="67"/>
      <c r="M75" s="67"/>
      <c r="N75" s="67"/>
      <c r="O75" s="67"/>
      <c r="P75" s="67"/>
      <c r="Q75" s="67"/>
      <c r="R75" s="67"/>
      <c r="S75" s="67"/>
      <c r="T75" s="67"/>
      <c r="U75" s="67"/>
      <c r="V75" s="67"/>
      <c r="W75" s="67"/>
      <c r="X75" s="106"/>
      <c r="Y75" s="106"/>
      <c r="Z75" s="427"/>
      <c r="AA75" s="107"/>
      <c r="AB75" s="107"/>
      <c r="AC75" s="107"/>
      <c r="AD75" s="106"/>
    </row>
    <row r="76" ht="24.75" customHeight="1">
      <c r="A76" s="942">
        <v>31.0</v>
      </c>
      <c r="B76" s="1022">
        <v>45033.0</v>
      </c>
      <c r="C76" s="1246">
        <v>1.683271887064E12</v>
      </c>
      <c r="D76" s="1247" t="s">
        <v>1017</v>
      </c>
      <c r="E76" s="944" t="s">
        <v>1018</v>
      </c>
      <c r="F76" s="1260" t="s">
        <v>1019</v>
      </c>
      <c r="G76" s="1249" t="s">
        <v>37</v>
      </c>
      <c r="H76" s="64">
        <v>1.0</v>
      </c>
      <c r="I76" s="1250">
        <v>220000.0</v>
      </c>
      <c r="J76" s="1261">
        <f t="shared" si="9"/>
        <v>220000</v>
      </c>
      <c r="K76" s="1251">
        <f>SUM(J76:J79)</f>
        <v>900000</v>
      </c>
      <c r="L76" s="1255"/>
      <c r="M76" s="1253"/>
      <c r="N76" s="53">
        <f>K76+L76-M76</f>
        <v>900000</v>
      </c>
      <c r="O76" s="1060" t="s">
        <v>449</v>
      </c>
      <c r="P76" s="1060" t="s">
        <v>31</v>
      </c>
      <c r="Q76" s="1252">
        <v>56999.0</v>
      </c>
      <c r="R76" s="1029" t="s">
        <v>32</v>
      </c>
      <c r="S76" s="1254" t="s">
        <v>33</v>
      </c>
      <c r="T76" s="1255"/>
      <c r="U76" s="1255"/>
      <c r="V76" s="1255"/>
      <c r="W76" s="1258"/>
      <c r="X76" s="106"/>
      <c r="Y76" s="106"/>
      <c r="Z76" s="427"/>
      <c r="AA76" s="107"/>
      <c r="AB76" s="107"/>
      <c r="AC76" s="107"/>
      <c r="AD76" s="106"/>
    </row>
    <row r="77" ht="24.75" customHeight="1">
      <c r="A77" s="62"/>
      <c r="B77" s="62"/>
      <c r="C77" s="423"/>
      <c r="D77" s="62"/>
      <c r="E77" s="62"/>
      <c r="F77" s="423"/>
      <c r="G77" s="1249" t="s">
        <v>122</v>
      </c>
      <c r="H77" s="64">
        <v>1.0</v>
      </c>
      <c r="I77" s="1250">
        <v>220000.0</v>
      </c>
      <c r="J77" s="1261">
        <f t="shared" si="9"/>
        <v>220000</v>
      </c>
      <c r="K77" s="62"/>
      <c r="L77" s="62"/>
      <c r="M77" s="62"/>
      <c r="N77" s="62"/>
      <c r="O77" s="62"/>
      <c r="P77" s="62"/>
      <c r="Q77" s="62"/>
      <c r="R77" s="62"/>
      <c r="S77" s="62"/>
      <c r="T77" s="62"/>
      <c r="U77" s="62"/>
      <c r="V77" s="62"/>
      <c r="W77" s="62"/>
      <c r="X77" s="106"/>
      <c r="Y77" s="106"/>
      <c r="Z77" s="427"/>
      <c r="AA77" s="107"/>
      <c r="AB77" s="107"/>
      <c r="AC77" s="107"/>
      <c r="AD77" s="106"/>
    </row>
    <row r="78" ht="24.75" customHeight="1">
      <c r="A78" s="62"/>
      <c r="B78" s="62"/>
      <c r="C78" s="423"/>
      <c r="D78" s="62"/>
      <c r="E78" s="62"/>
      <c r="F78" s="423"/>
      <c r="G78" s="1249" t="s">
        <v>382</v>
      </c>
      <c r="H78" s="64">
        <v>1.0</v>
      </c>
      <c r="I78" s="1250">
        <v>220000.0</v>
      </c>
      <c r="J78" s="1261">
        <f t="shared" si="9"/>
        <v>220000</v>
      </c>
      <c r="K78" s="62"/>
      <c r="L78" s="62"/>
      <c r="M78" s="62"/>
      <c r="N78" s="62"/>
      <c r="O78" s="62"/>
      <c r="P78" s="62"/>
      <c r="Q78" s="62"/>
      <c r="R78" s="62"/>
      <c r="S78" s="62"/>
      <c r="T78" s="62"/>
      <c r="U78" s="62"/>
      <c r="V78" s="62"/>
      <c r="W78" s="62"/>
      <c r="X78" s="106"/>
      <c r="Y78" s="106"/>
      <c r="Z78" s="427"/>
      <c r="AA78" s="107"/>
      <c r="AB78" s="107"/>
      <c r="AC78" s="107"/>
      <c r="AD78" s="106"/>
    </row>
    <row r="79" ht="24.75" customHeight="1">
      <c r="A79" s="67"/>
      <c r="B79" s="67"/>
      <c r="C79" s="102"/>
      <c r="D79" s="67"/>
      <c r="E79" s="67"/>
      <c r="F79" s="102"/>
      <c r="G79" s="1249" t="s">
        <v>147</v>
      </c>
      <c r="H79" s="64">
        <v>3.0</v>
      </c>
      <c r="I79" s="1250">
        <v>80000.0</v>
      </c>
      <c r="J79" s="1261">
        <f t="shared" si="9"/>
        <v>240000</v>
      </c>
      <c r="K79" s="67"/>
      <c r="L79" s="67"/>
      <c r="M79" s="67"/>
      <c r="N79" s="67"/>
      <c r="O79" s="67"/>
      <c r="P79" s="67"/>
      <c r="Q79" s="67"/>
      <c r="R79" s="67"/>
      <c r="S79" s="67"/>
      <c r="T79" s="67"/>
      <c r="U79" s="67"/>
      <c r="V79" s="67"/>
      <c r="W79" s="67"/>
      <c r="X79" s="106"/>
      <c r="Y79" s="106"/>
      <c r="Z79" s="427"/>
      <c r="AA79" s="107"/>
      <c r="AB79" s="107"/>
      <c r="AC79" s="107"/>
      <c r="AD79" s="106"/>
    </row>
    <row r="80" ht="24.75" customHeight="1">
      <c r="A80" s="942">
        <v>32.0</v>
      </c>
      <c r="B80" s="1022">
        <v>45033.0</v>
      </c>
      <c r="C80" s="1246">
        <v>1.683438288928E12</v>
      </c>
      <c r="D80" s="1247" t="s">
        <v>1987</v>
      </c>
      <c r="E80" s="944" t="s">
        <v>1988</v>
      </c>
      <c r="F80" s="1291" t="s">
        <v>1989</v>
      </c>
      <c r="G80" s="1249" t="s">
        <v>30</v>
      </c>
      <c r="H80" s="64">
        <v>1.0</v>
      </c>
      <c r="I80" s="1250">
        <v>220000.0</v>
      </c>
      <c r="J80" s="1261">
        <f t="shared" si="9"/>
        <v>220000</v>
      </c>
      <c r="K80" s="1251">
        <f>SUM(J80:J82)</f>
        <v>495000</v>
      </c>
      <c r="L80" s="1252">
        <v>43999.0</v>
      </c>
      <c r="M80" s="1292">
        <v>13999.0</v>
      </c>
      <c r="N80" s="53">
        <f>K80+L80-M80</f>
        <v>525000</v>
      </c>
      <c r="O80" s="1060" t="s">
        <v>449</v>
      </c>
      <c r="P80" s="1060" t="s">
        <v>31</v>
      </c>
      <c r="Q80" s="1255"/>
      <c r="R80" s="1029"/>
      <c r="S80" s="1254" t="s">
        <v>33</v>
      </c>
      <c r="T80" s="1255"/>
      <c r="U80" s="1255"/>
      <c r="V80" s="1255"/>
      <c r="W80" s="1258"/>
      <c r="X80" s="106"/>
      <c r="Y80" s="106"/>
      <c r="Z80" s="427"/>
      <c r="AA80" s="107"/>
      <c r="AB80" s="107"/>
      <c r="AC80" s="107"/>
      <c r="AD80" s="106"/>
    </row>
    <row r="81" ht="24.75" customHeight="1">
      <c r="A81" s="62"/>
      <c r="B81" s="62"/>
      <c r="C81" s="423"/>
      <c r="D81" s="62"/>
      <c r="E81" s="62"/>
      <c r="F81" s="423"/>
      <c r="G81" s="1249" t="s">
        <v>47</v>
      </c>
      <c r="H81" s="64">
        <v>1.0</v>
      </c>
      <c r="I81" s="1250">
        <v>220000.0</v>
      </c>
      <c r="J81" s="1261">
        <f t="shared" si="9"/>
        <v>220000</v>
      </c>
      <c r="K81" s="62"/>
      <c r="L81" s="62"/>
      <c r="M81" s="62"/>
      <c r="N81" s="62"/>
      <c r="O81" s="62"/>
      <c r="P81" s="62"/>
      <c r="Q81" s="62"/>
      <c r="R81" s="62"/>
      <c r="S81" s="62"/>
      <c r="T81" s="62"/>
      <c r="U81" s="62"/>
      <c r="V81" s="62"/>
      <c r="W81" s="62"/>
      <c r="X81" s="106"/>
      <c r="Y81" s="106"/>
      <c r="Z81" s="427"/>
      <c r="AA81" s="107"/>
      <c r="AB81" s="107"/>
      <c r="AC81" s="107"/>
      <c r="AD81" s="106"/>
    </row>
    <row r="82" ht="24.75" customHeight="1">
      <c r="A82" s="67"/>
      <c r="B82" s="67"/>
      <c r="C82" s="102"/>
      <c r="D82" s="67"/>
      <c r="E82" s="67"/>
      <c r="F82" s="102"/>
      <c r="G82" s="1277" t="s">
        <v>476</v>
      </c>
      <c r="H82" s="73">
        <v>1.0</v>
      </c>
      <c r="I82" s="1278">
        <v>55000.0</v>
      </c>
      <c r="J82" s="1293">
        <f t="shared" si="9"/>
        <v>55000</v>
      </c>
      <c r="K82" s="67"/>
      <c r="L82" s="67"/>
      <c r="M82" s="67"/>
      <c r="N82" s="67"/>
      <c r="O82" s="67"/>
      <c r="P82" s="67"/>
      <c r="Q82" s="67"/>
      <c r="R82" s="67"/>
      <c r="S82" s="67"/>
      <c r="T82" s="67"/>
      <c r="U82" s="67"/>
      <c r="V82" s="67"/>
      <c r="W82" s="67"/>
      <c r="X82" s="106"/>
      <c r="Y82" s="106"/>
      <c r="Z82" s="427"/>
      <c r="AA82" s="107"/>
      <c r="AB82" s="107"/>
      <c r="AC82" s="107"/>
      <c r="AD82" s="106"/>
    </row>
    <row r="83" ht="42.0" customHeight="1">
      <c r="A83" s="694">
        <v>33.0</v>
      </c>
      <c r="B83" s="1032">
        <v>45034.0</v>
      </c>
      <c r="C83" s="1280">
        <v>1.684070967413E12</v>
      </c>
      <c r="D83" s="1249" t="s">
        <v>44</v>
      </c>
      <c r="E83" s="684" t="s">
        <v>45</v>
      </c>
      <c r="F83" s="1281" t="s">
        <v>1990</v>
      </c>
      <c r="G83" s="1249" t="s">
        <v>47</v>
      </c>
      <c r="H83" s="64">
        <v>15.0</v>
      </c>
      <c r="I83" s="1250">
        <v>220000.0</v>
      </c>
      <c r="J83" s="1261">
        <f t="shared" si="9"/>
        <v>3300000</v>
      </c>
      <c r="K83" s="1282">
        <f>SUM(J83)</f>
        <v>3300000</v>
      </c>
      <c r="L83" s="1283"/>
      <c r="M83" s="1284"/>
      <c r="N83" s="80">
        <f t="shared" ref="N83:N84" si="12">K83+L83-M83</f>
        <v>3300000</v>
      </c>
      <c r="O83" s="690" t="s">
        <v>449</v>
      </c>
      <c r="P83" s="690" t="s">
        <v>31</v>
      </c>
      <c r="Q83" s="1290">
        <v>119485.0</v>
      </c>
      <c r="R83" s="1017" t="s">
        <v>32</v>
      </c>
      <c r="S83" s="1286" t="s">
        <v>33</v>
      </c>
      <c r="T83" s="1283"/>
      <c r="U83" s="1283"/>
      <c r="V83" s="1283"/>
      <c r="W83" s="1287"/>
      <c r="X83" s="106"/>
      <c r="Y83" s="106"/>
      <c r="Z83" s="427"/>
      <c r="AA83" s="107"/>
      <c r="AB83" s="107"/>
      <c r="AC83" s="107"/>
      <c r="AD83" s="106"/>
    </row>
    <row r="84" ht="24.75" customHeight="1">
      <c r="A84" s="942">
        <v>34.0</v>
      </c>
      <c r="B84" s="1022">
        <v>45035.0</v>
      </c>
      <c r="C84" s="1294">
        <v>1.694383843425E12</v>
      </c>
      <c r="D84" s="1247" t="s">
        <v>734</v>
      </c>
      <c r="E84" s="944" t="s">
        <v>735</v>
      </c>
      <c r="F84" s="1295" t="s">
        <v>736</v>
      </c>
      <c r="G84" s="1249" t="s">
        <v>30</v>
      </c>
      <c r="H84" s="64">
        <v>1.0</v>
      </c>
      <c r="I84" s="1250">
        <v>220000.0</v>
      </c>
      <c r="J84" s="1261">
        <f t="shared" si="9"/>
        <v>220000</v>
      </c>
      <c r="K84" s="1251">
        <f>SUM(J84:J85)</f>
        <v>660000</v>
      </c>
      <c r="L84" s="1255"/>
      <c r="M84" s="1253"/>
      <c r="N84" s="53">
        <f t="shared" si="12"/>
        <v>660000</v>
      </c>
      <c r="O84" s="1060" t="s">
        <v>449</v>
      </c>
      <c r="P84" s="1060" t="s">
        <v>31</v>
      </c>
      <c r="Q84" s="1252">
        <v>57001.0</v>
      </c>
      <c r="R84" s="1029" t="s">
        <v>32</v>
      </c>
      <c r="S84" s="1254" t="s">
        <v>33</v>
      </c>
      <c r="T84" s="1255"/>
      <c r="U84" s="1255"/>
      <c r="V84" s="1255"/>
      <c r="W84" s="1272">
        <v>1.0</v>
      </c>
      <c r="X84" s="106"/>
      <c r="Y84" s="106"/>
      <c r="Z84" s="427"/>
      <c r="AA84" s="107"/>
      <c r="AB84" s="107"/>
      <c r="AC84" s="107"/>
      <c r="AD84" s="106"/>
    </row>
    <row r="85" ht="24.75" customHeight="1">
      <c r="A85" s="67"/>
      <c r="B85" s="67"/>
      <c r="C85" s="102"/>
      <c r="D85" s="67"/>
      <c r="E85" s="67"/>
      <c r="F85" s="102"/>
      <c r="G85" s="1249" t="s">
        <v>122</v>
      </c>
      <c r="H85" s="64">
        <v>2.0</v>
      </c>
      <c r="I85" s="1250">
        <v>220000.0</v>
      </c>
      <c r="J85" s="1261">
        <f t="shared" si="9"/>
        <v>440000</v>
      </c>
      <c r="K85" s="67"/>
      <c r="L85" s="67"/>
      <c r="M85" s="67"/>
      <c r="N85" s="67"/>
      <c r="O85" s="67"/>
      <c r="P85" s="67"/>
      <c r="Q85" s="67"/>
      <c r="R85" s="67"/>
      <c r="S85" s="67"/>
      <c r="T85" s="67"/>
      <c r="U85" s="67"/>
      <c r="V85" s="67"/>
      <c r="W85" s="67"/>
      <c r="X85" s="106"/>
      <c r="Y85" s="106"/>
      <c r="Z85" s="427"/>
      <c r="AA85" s="107"/>
      <c r="AB85" s="107"/>
      <c r="AC85" s="107"/>
      <c r="AD85" s="106"/>
    </row>
    <row r="86" ht="24.75" customHeight="1">
      <c r="A86" s="694">
        <v>35.0</v>
      </c>
      <c r="B86" s="1032">
        <v>45036.0</v>
      </c>
      <c r="C86" s="1296">
        <v>1.706979445464E12</v>
      </c>
      <c r="D86" s="1249" t="s">
        <v>1991</v>
      </c>
      <c r="E86" s="684" t="s">
        <v>1992</v>
      </c>
      <c r="F86" s="1297" t="s">
        <v>1993</v>
      </c>
      <c r="G86" s="1249" t="s">
        <v>30</v>
      </c>
      <c r="H86" s="64">
        <v>1.0</v>
      </c>
      <c r="I86" s="1250">
        <v>220000.0</v>
      </c>
      <c r="J86" s="1261">
        <f t="shared" si="9"/>
        <v>220000</v>
      </c>
      <c r="K86" s="1282">
        <f>SUM(J86)</f>
        <v>220000</v>
      </c>
      <c r="L86" s="1290">
        <v>38000.0</v>
      </c>
      <c r="M86" s="1298">
        <v>18000.0</v>
      </c>
      <c r="N86" s="80">
        <f t="shared" ref="N86:N87" si="13">K86+L86-M86</f>
        <v>240000</v>
      </c>
      <c r="O86" s="690" t="s">
        <v>449</v>
      </c>
      <c r="P86" s="690" t="s">
        <v>31</v>
      </c>
      <c r="Q86" s="1283"/>
      <c r="R86" s="1017"/>
      <c r="S86" s="1286" t="s">
        <v>33</v>
      </c>
      <c r="T86" s="1283"/>
      <c r="U86" s="1283"/>
      <c r="V86" s="1283"/>
      <c r="W86" s="1287"/>
      <c r="X86" s="106"/>
      <c r="Y86" s="106"/>
      <c r="Z86" s="427"/>
      <c r="AA86" s="107"/>
      <c r="AB86" s="107"/>
      <c r="AC86" s="107"/>
      <c r="AD86" s="106"/>
    </row>
    <row r="87" ht="24.75" customHeight="1">
      <c r="A87" s="942">
        <v>36.0</v>
      </c>
      <c r="B87" s="1022">
        <v>45036.0</v>
      </c>
      <c r="C87" s="1299">
        <v>1.707223603796E12</v>
      </c>
      <c r="D87" s="1247" t="s">
        <v>550</v>
      </c>
      <c r="E87" s="944" t="s">
        <v>551</v>
      </c>
      <c r="F87" s="1257" t="s">
        <v>889</v>
      </c>
      <c r="G87" s="1249" t="s">
        <v>37</v>
      </c>
      <c r="H87" s="64">
        <v>2.0</v>
      </c>
      <c r="I87" s="1250">
        <v>220000.0</v>
      </c>
      <c r="J87" s="1261">
        <f t="shared" si="9"/>
        <v>440000</v>
      </c>
      <c r="K87" s="1251">
        <f>SUM(J87:J88)</f>
        <v>660000</v>
      </c>
      <c r="L87" s="1255"/>
      <c r="M87" s="1253"/>
      <c r="N87" s="53">
        <f t="shared" si="13"/>
        <v>660000</v>
      </c>
      <c r="O87" s="1060" t="s">
        <v>449</v>
      </c>
      <c r="P87" s="1084"/>
      <c r="Q87" s="1252">
        <v>62000.0</v>
      </c>
      <c r="R87" s="1029" t="s">
        <v>32</v>
      </c>
      <c r="S87" s="1300"/>
      <c r="T87" s="1255"/>
      <c r="U87" s="1255"/>
      <c r="V87" s="1255"/>
      <c r="W87" s="1272">
        <v>1.0</v>
      </c>
      <c r="X87" s="106"/>
      <c r="Y87" s="106"/>
      <c r="Z87" s="427"/>
      <c r="AA87" s="107"/>
      <c r="AB87" s="107"/>
      <c r="AC87" s="107"/>
      <c r="AD87" s="106"/>
    </row>
    <row r="88" ht="24.75" customHeight="1">
      <c r="A88" s="67"/>
      <c r="B88" s="67"/>
      <c r="C88" s="102"/>
      <c r="D88" s="67"/>
      <c r="E88" s="67"/>
      <c r="F88" s="102"/>
      <c r="G88" s="1249" t="s">
        <v>58</v>
      </c>
      <c r="H88" s="64">
        <v>1.0</v>
      </c>
      <c r="I88" s="1250">
        <v>220000.0</v>
      </c>
      <c r="J88" s="1261">
        <f t="shared" si="9"/>
        <v>220000</v>
      </c>
      <c r="K88" s="67"/>
      <c r="L88" s="67"/>
      <c r="M88" s="67"/>
      <c r="N88" s="67"/>
      <c r="O88" s="67"/>
      <c r="P88" s="67"/>
      <c r="Q88" s="67"/>
      <c r="R88" s="67"/>
      <c r="S88" s="67"/>
      <c r="T88" s="67"/>
      <c r="U88" s="67"/>
      <c r="V88" s="67"/>
      <c r="W88" s="67"/>
      <c r="X88" s="106"/>
      <c r="Y88" s="106"/>
      <c r="Z88" s="427"/>
      <c r="AA88" s="107"/>
      <c r="AB88" s="107"/>
      <c r="AC88" s="107"/>
      <c r="AD88" s="106"/>
    </row>
    <row r="89" ht="24.75" customHeight="1">
      <c r="A89" s="694">
        <v>37.0</v>
      </c>
      <c r="B89" s="1032">
        <v>45038.0</v>
      </c>
      <c r="C89" s="1301">
        <v>1.683971615113E12</v>
      </c>
      <c r="D89" s="1249" t="s">
        <v>1991</v>
      </c>
      <c r="E89" s="684" t="s">
        <v>1992</v>
      </c>
      <c r="F89" s="1297" t="s">
        <v>1993</v>
      </c>
      <c r="G89" s="1249" t="s">
        <v>30</v>
      </c>
      <c r="H89" s="64">
        <v>1.0</v>
      </c>
      <c r="I89" s="1250">
        <v>220000.0</v>
      </c>
      <c r="J89" s="1261">
        <f t="shared" si="9"/>
        <v>220000</v>
      </c>
      <c r="K89" s="1282">
        <f t="shared" ref="K89:K94" si="14">SUM(J89)</f>
        <v>220000</v>
      </c>
      <c r="L89" s="1290">
        <v>38000.0</v>
      </c>
      <c r="M89" s="1298">
        <v>18000.0</v>
      </c>
      <c r="N89" s="80">
        <f t="shared" ref="N89:N95" si="15">K89+L89-M89</f>
        <v>240000</v>
      </c>
      <c r="O89" s="690" t="s">
        <v>449</v>
      </c>
      <c r="P89" s="690"/>
      <c r="Q89" s="1283"/>
      <c r="R89" s="1017"/>
      <c r="S89" s="1302"/>
      <c r="T89" s="1283"/>
      <c r="U89" s="1283"/>
      <c r="V89" s="1283"/>
      <c r="W89" s="1287"/>
      <c r="X89" s="106"/>
      <c r="Y89" s="106"/>
      <c r="Z89" s="427"/>
      <c r="AA89" s="107"/>
      <c r="AB89" s="107"/>
      <c r="AC89" s="107"/>
      <c r="AD89" s="106"/>
    </row>
    <row r="90" ht="34.5" customHeight="1">
      <c r="A90" s="694">
        <v>38.0</v>
      </c>
      <c r="B90" s="1032">
        <v>45038.0</v>
      </c>
      <c r="C90" s="1301">
        <v>1.684038042018E12</v>
      </c>
      <c r="D90" s="1249" t="s">
        <v>44</v>
      </c>
      <c r="E90" s="684" t="s">
        <v>45</v>
      </c>
      <c r="F90" s="1281" t="s">
        <v>1990</v>
      </c>
      <c r="G90" s="1249" t="s">
        <v>30</v>
      </c>
      <c r="H90" s="64">
        <v>10.0</v>
      </c>
      <c r="I90" s="1250">
        <v>220000.0</v>
      </c>
      <c r="J90" s="1261">
        <f t="shared" si="9"/>
        <v>2200000</v>
      </c>
      <c r="K90" s="1282">
        <f t="shared" si="14"/>
        <v>2200000</v>
      </c>
      <c r="L90" s="1283"/>
      <c r="M90" s="1284"/>
      <c r="N90" s="80">
        <f t="shared" si="15"/>
        <v>2200000</v>
      </c>
      <c r="O90" s="1082"/>
      <c r="P90" s="1082"/>
      <c r="Q90" s="1290">
        <v>89999.0</v>
      </c>
      <c r="R90" s="1017" t="s">
        <v>32</v>
      </c>
      <c r="S90" s="1302"/>
      <c r="T90" s="1283"/>
      <c r="U90" s="1283"/>
      <c r="V90" s="1283"/>
      <c r="W90" s="1287"/>
      <c r="X90" s="106"/>
      <c r="Y90" s="106"/>
      <c r="Z90" s="427"/>
      <c r="AA90" s="107"/>
      <c r="AB90" s="107"/>
      <c r="AC90" s="107"/>
      <c r="AD90" s="106"/>
    </row>
    <row r="91" ht="33.75" customHeight="1">
      <c r="A91" s="694">
        <v>39.0</v>
      </c>
      <c r="B91" s="1032">
        <v>45040.0</v>
      </c>
      <c r="C91" s="1303">
        <v>1.688397532816E12</v>
      </c>
      <c r="D91" s="1249" t="s">
        <v>1871</v>
      </c>
      <c r="E91" s="684" t="s">
        <v>1994</v>
      </c>
      <c r="F91" s="1304" t="s">
        <v>1995</v>
      </c>
      <c r="G91" s="1249" t="s">
        <v>30</v>
      </c>
      <c r="H91" s="64">
        <v>3.0</v>
      </c>
      <c r="I91" s="1250">
        <v>220000.0</v>
      </c>
      <c r="J91" s="1261">
        <f t="shared" si="9"/>
        <v>660000</v>
      </c>
      <c r="K91" s="1282">
        <f t="shared" si="14"/>
        <v>660000</v>
      </c>
      <c r="L91" s="1283"/>
      <c r="M91" s="1284"/>
      <c r="N91" s="80">
        <f t="shared" si="15"/>
        <v>660000</v>
      </c>
      <c r="O91" s="1082"/>
      <c r="P91" s="1082"/>
      <c r="Q91" s="1290">
        <v>53999.0</v>
      </c>
      <c r="R91" s="1017" t="s">
        <v>32</v>
      </c>
      <c r="S91" s="1302"/>
      <c r="T91" s="1283"/>
      <c r="U91" s="1283"/>
      <c r="V91" s="1283"/>
      <c r="W91" s="1305">
        <v>1.0</v>
      </c>
      <c r="X91" s="106"/>
      <c r="Y91" s="106"/>
      <c r="Z91" s="427"/>
      <c r="AA91" s="107"/>
      <c r="AB91" s="107"/>
      <c r="AC91" s="107"/>
      <c r="AD91" s="106"/>
    </row>
    <row r="92" ht="24.75" customHeight="1">
      <c r="A92" s="694">
        <v>40.0</v>
      </c>
      <c r="B92" s="1032">
        <v>45040.0</v>
      </c>
      <c r="C92" s="1301">
        <v>1.688471943488E12</v>
      </c>
      <c r="D92" s="1249" t="s">
        <v>1996</v>
      </c>
      <c r="E92" s="684" t="s">
        <v>1997</v>
      </c>
      <c r="F92" s="1306" t="s">
        <v>1998</v>
      </c>
      <c r="G92" s="1249" t="s">
        <v>30</v>
      </c>
      <c r="H92" s="64">
        <v>1.0</v>
      </c>
      <c r="I92" s="1250">
        <v>220000.0</v>
      </c>
      <c r="J92" s="1261">
        <f t="shared" si="9"/>
        <v>220000</v>
      </c>
      <c r="K92" s="1282">
        <f t="shared" si="14"/>
        <v>220000</v>
      </c>
      <c r="L92" s="1290">
        <v>38000.0</v>
      </c>
      <c r="M92" s="1298">
        <v>18000.0</v>
      </c>
      <c r="N92" s="80">
        <f t="shared" si="15"/>
        <v>240000</v>
      </c>
      <c r="O92" s="690" t="s">
        <v>449</v>
      </c>
      <c r="P92" s="1082"/>
      <c r="Q92" s="1283"/>
      <c r="R92" s="1017"/>
      <c r="S92" s="1302"/>
      <c r="T92" s="1283"/>
      <c r="U92" s="1283"/>
      <c r="V92" s="1283"/>
      <c r="W92" s="1287"/>
      <c r="X92" s="106"/>
      <c r="Y92" s="106"/>
      <c r="Z92" s="427"/>
      <c r="AA92" s="107"/>
      <c r="AB92" s="107"/>
      <c r="AC92" s="107"/>
      <c r="AD92" s="106"/>
    </row>
    <row r="93" ht="36.0" customHeight="1">
      <c r="A93" s="694">
        <v>41.0</v>
      </c>
      <c r="B93" s="1032">
        <v>45040.0</v>
      </c>
      <c r="C93" s="1301">
        <v>1.691541469674E12</v>
      </c>
      <c r="D93" s="1249" t="s">
        <v>1999</v>
      </c>
      <c r="E93" s="684" t="s">
        <v>2000</v>
      </c>
      <c r="F93" s="1305" t="s">
        <v>2001</v>
      </c>
      <c r="G93" s="1249" t="s">
        <v>122</v>
      </c>
      <c r="H93" s="64">
        <v>10.0</v>
      </c>
      <c r="I93" s="1250">
        <v>220000.0</v>
      </c>
      <c r="J93" s="1261">
        <f t="shared" si="9"/>
        <v>2200000</v>
      </c>
      <c r="K93" s="1282">
        <f t="shared" si="14"/>
        <v>2200000</v>
      </c>
      <c r="L93" s="1283"/>
      <c r="M93" s="1284"/>
      <c r="N93" s="80">
        <f t="shared" si="15"/>
        <v>2200000</v>
      </c>
      <c r="O93" s="1082"/>
      <c r="P93" s="1082"/>
      <c r="Q93" s="1290">
        <v>89999.0</v>
      </c>
      <c r="R93" s="1017" t="s">
        <v>32</v>
      </c>
      <c r="S93" s="1302"/>
      <c r="T93" s="1290" t="s">
        <v>147</v>
      </c>
      <c r="U93" s="1290">
        <v>10.0</v>
      </c>
      <c r="V93" s="1283"/>
      <c r="W93" s="1287"/>
      <c r="X93" s="106"/>
      <c r="Y93" s="106"/>
      <c r="Z93" s="427"/>
      <c r="AA93" s="107"/>
      <c r="AB93" s="107"/>
      <c r="AC93" s="107"/>
      <c r="AD93" s="106"/>
    </row>
    <row r="94" ht="24.75" customHeight="1">
      <c r="A94" s="694">
        <v>42.0</v>
      </c>
      <c r="B94" s="1032">
        <v>45040.0</v>
      </c>
      <c r="C94" s="1301">
        <v>1.693771993364E12</v>
      </c>
      <c r="D94" s="1249" t="s">
        <v>617</v>
      </c>
      <c r="E94" s="684" t="s">
        <v>618</v>
      </c>
      <c r="F94" s="1305" t="s">
        <v>2002</v>
      </c>
      <c r="G94" s="1249" t="s">
        <v>30</v>
      </c>
      <c r="H94" s="64">
        <v>2.0</v>
      </c>
      <c r="I94" s="1250">
        <v>220000.0</v>
      </c>
      <c r="J94" s="1261">
        <f t="shared" si="9"/>
        <v>440000</v>
      </c>
      <c r="K94" s="1282">
        <f t="shared" si="14"/>
        <v>440000</v>
      </c>
      <c r="L94" s="1283"/>
      <c r="M94" s="1284"/>
      <c r="N94" s="80">
        <f t="shared" si="15"/>
        <v>440000</v>
      </c>
      <c r="O94" s="1082"/>
      <c r="P94" s="1082"/>
      <c r="Q94" s="1283"/>
      <c r="R94" s="1017"/>
      <c r="S94" s="1302"/>
      <c r="T94" s="1283"/>
      <c r="U94" s="1283"/>
      <c r="V94" s="1283"/>
      <c r="W94" s="1287"/>
      <c r="X94" s="106"/>
      <c r="Y94" s="106"/>
      <c r="Z94" s="427"/>
      <c r="AA94" s="107"/>
      <c r="AB94" s="107"/>
      <c r="AC94" s="107"/>
      <c r="AD94" s="106"/>
    </row>
    <row r="95" ht="24.75" customHeight="1">
      <c r="A95" s="942">
        <v>43.0</v>
      </c>
      <c r="B95" s="1022">
        <v>45040.0</v>
      </c>
      <c r="C95" s="1307">
        <v>1.704771765411E12</v>
      </c>
      <c r="D95" s="1247" t="s">
        <v>1139</v>
      </c>
      <c r="E95" s="944" t="s">
        <v>1140</v>
      </c>
      <c r="F95" s="1272" t="s">
        <v>1141</v>
      </c>
      <c r="G95" s="1249" t="s">
        <v>30</v>
      </c>
      <c r="H95" s="64">
        <v>3.0</v>
      </c>
      <c r="I95" s="1250">
        <v>220000.0</v>
      </c>
      <c r="J95" s="1261">
        <f t="shared" si="9"/>
        <v>660000</v>
      </c>
      <c r="K95" s="1251">
        <f>SUM(J95:J96)</f>
        <v>1100000</v>
      </c>
      <c r="L95" s="1255"/>
      <c r="M95" s="1253"/>
      <c r="N95" s="53">
        <f t="shared" si="15"/>
        <v>1100000</v>
      </c>
      <c r="O95" s="1084"/>
      <c r="P95" s="1084"/>
      <c r="Q95" s="1252">
        <v>62998.0</v>
      </c>
      <c r="R95" s="1029" t="s">
        <v>32</v>
      </c>
      <c r="S95" s="1300"/>
      <c r="T95" s="1255"/>
      <c r="U95" s="1255"/>
      <c r="V95" s="1255"/>
      <c r="W95" s="1272">
        <v>1.0</v>
      </c>
      <c r="X95" s="106"/>
      <c r="Y95" s="106"/>
      <c r="Z95" s="427"/>
      <c r="AA95" s="107"/>
      <c r="AB95" s="107"/>
      <c r="AC95" s="107"/>
      <c r="AD95" s="106"/>
    </row>
    <row r="96" ht="24.75" customHeight="1">
      <c r="A96" s="67"/>
      <c r="B96" s="67"/>
      <c r="C96" s="67"/>
      <c r="D96" s="67"/>
      <c r="E96" s="67"/>
      <c r="F96" s="67"/>
      <c r="G96" s="1249" t="s">
        <v>47</v>
      </c>
      <c r="H96" s="64">
        <v>2.0</v>
      </c>
      <c r="I96" s="1250">
        <v>220000.0</v>
      </c>
      <c r="J96" s="1261">
        <f t="shared" si="9"/>
        <v>440000</v>
      </c>
      <c r="K96" s="67"/>
      <c r="L96" s="67"/>
      <c r="M96" s="67"/>
      <c r="N96" s="67"/>
      <c r="O96" s="67"/>
      <c r="P96" s="67"/>
      <c r="Q96" s="67"/>
      <c r="R96" s="67"/>
      <c r="S96" s="67"/>
      <c r="T96" s="67"/>
      <c r="U96" s="67"/>
      <c r="V96" s="67"/>
      <c r="W96" s="67"/>
      <c r="X96" s="106"/>
      <c r="Y96" s="106"/>
      <c r="Z96" s="427"/>
      <c r="AA96" s="107"/>
      <c r="AB96" s="107"/>
      <c r="AC96" s="107"/>
      <c r="AD96" s="106"/>
    </row>
    <row r="97" ht="24.75" customHeight="1">
      <c r="A97" s="942">
        <v>44.0</v>
      </c>
      <c r="B97" s="1022">
        <v>45041.0</v>
      </c>
      <c r="C97" s="1307">
        <v>1.68345652594E12</v>
      </c>
      <c r="D97" s="1247" t="s">
        <v>1655</v>
      </c>
      <c r="E97" s="944" t="s">
        <v>358</v>
      </c>
      <c r="F97" s="1272" t="s">
        <v>2003</v>
      </c>
      <c r="G97" s="1249" t="s">
        <v>30</v>
      </c>
      <c r="H97" s="64">
        <v>5.0</v>
      </c>
      <c r="I97" s="1250">
        <v>220000.0</v>
      </c>
      <c r="J97" s="1261">
        <f t="shared" si="9"/>
        <v>1100000</v>
      </c>
      <c r="K97" s="1251">
        <f>SUM(J97:J101)</f>
        <v>2200000</v>
      </c>
      <c r="L97" s="1255"/>
      <c r="M97" s="1253"/>
      <c r="N97" s="53">
        <f>K97+L97-M97</f>
        <v>2200000</v>
      </c>
      <c r="O97" s="1084"/>
      <c r="P97" s="1060" t="s">
        <v>31</v>
      </c>
      <c r="Q97" s="1252">
        <v>84999.0</v>
      </c>
      <c r="R97" s="1029" t="s">
        <v>32</v>
      </c>
      <c r="S97" s="1300"/>
      <c r="T97" s="1252" t="s">
        <v>147</v>
      </c>
      <c r="U97" s="1252">
        <v>1.0</v>
      </c>
      <c r="V97" s="1252" t="s">
        <v>2004</v>
      </c>
      <c r="W97" s="1258"/>
      <c r="X97" s="106"/>
      <c r="Y97" s="106"/>
      <c r="Z97" s="427"/>
      <c r="AA97" s="107"/>
      <c r="AB97" s="107"/>
      <c r="AC97" s="107"/>
      <c r="AD97" s="106"/>
    </row>
    <row r="98" ht="24.75" customHeight="1">
      <c r="A98" s="62"/>
      <c r="B98" s="62"/>
      <c r="C98" s="62"/>
      <c r="D98" s="62"/>
      <c r="E98" s="62"/>
      <c r="F98" s="62"/>
      <c r="G98" s="1249" t="s">
        <v>122</v>
      </c>
      <c r="H98" s="64">
        <v>1.0</v>
      </c>
      <c r="I98" s="1250">
        <v>220000.0</v>
      </c>
      <c r="J98" s="1261">
        <f t="shared" si="9"/>
        <v>220000</v>
      </c>
      <c r="K98" s="62"/>
      <c r="L98" s="62"/>
      <c r="M98" s="62"/>
      <c r="N98" s="62"/>
      <c r="O98" s="62"/>
      <c r="P98" s="62"/>
      <c r="Q98" s="62"/>
      <c r="R98" s="62"/>
      <c r="S98" s="62"/>
      <c r="T98" s="62"/>
      <c r="U98" s="62"/>
      <c r="V98" s="62"/>
      <c r="W98" s="62"/>
      <c r="X98" s="106"/>
      <c r="Y98" s="106"/>
      <c r="Z98" s="427"/>
      <c r="AA98" s="107"/>
      <c r="AB98" s="107"/>
      <c r="AC98" s="107"/>
      <c r="AD98" s="106"/>
    </row>
    <row r="99" ht="24.75" customHeight="1">
      <c r="A99" s="62"/>
      <c r="B99" s="62"/>
      <c r="C99" s="62"/>
      <c r="D99" s="62"/>
      <c r="E99" s="62"/>
      <c r="F99" s="62"/>
      <c r="G99" s="1249" t="s">
        <v>382</v>
      </c>
      <c r="H99" s="64">
        <v>2.0</v>
      </c>
      <c r="I99" s="1250">
        <v>220000.0</v>
      </c>
      <c r="J99" s="1261">
        <f t="shared" si="9"/>
        <v>440000</v>
      </c>
      <c r="K99" s="62"/>
      <c r="L99" s="62"/>
      <c r="M99" s="62"/>
      <c r="N99" s="62"/>
      <c r="O99" s="62"/>
      <c r="P99" s="62"/>
      <c r="Q99" s="62"/>
      <c r="R99" s="62"/>
      <c r="S99" s="62"/>
      <c r="T99" s="62"/>
      <c r="U99" s="62"/>
      <c r="V99" s="62"/>
      <c r="W99" s="62"/>
      <c r="X99" s="106"/>
      <c r="Y99" s="106"/>
      <c r="Z99" s="427"/>
      <c r="AA99" s="107"/>
      <c r="AB99" s="107"/>
      <c r="AC99" s="107"/>
      <c r="AD99" s="106"/>
    </row>
    <row r="100" ht="24.75" customHeight="1">
      <c r="A100" s="62"/>
      <c r="B100" s="62"/>
      <c r="C100" s="62"/>
      <c r="D100" s="62"/>
      <c r="E100" s="62"/>
      <c r="F100" s="62"/>
      <c r="G100" s="1249" t="s">
        <v>165</v>
      </c>
      <c r="H100" s="64">
        <v>1.0</v>
      </c>
      <c r="I100" s="1250">
        <v>220000.0</v>
      </c>
      <c r="J100" s="1261">
        <f t="shared" si="9"/>
        <v>220000</v>
      </c>
      <c r="K100" s="62"/>
      <c r="L100" s="62"/>
      <c r="M100" s="62"/>
      <c r="N100" s="62"/>
      <c r="O100" s="62"/>
      <c r="P100" s="62"/>
      <c r="Q100" s="62"/>
      <c r="R100" s="62"/>
      <c r="S100" s="62"/>
      <c r="T100" s="62"/>
      <c r="U100" s="62"/>
      <c r="V100" s="62"/>
      <c r="W100" s="62"/>
      <c r="X100" s="106"/>
      <c r="Y100" s="106"/>
      <c r="Z100" s="427"/>
      <c r="AA100" s="107"/>
      <c r="AB100" s="107"/>
      <c r="AC100" s="107"/>
      <c r="AD100" s="106"/>
    </row>
    <row r="101" ht="24.75" customHeight="1">
      <c r="A101" s="67"/>
      <c r="B101" s="67"/>
      <c r="C101" s="67"/>
      <c r="D101" s="67"/>
      <c r="E101" s="67"/>
      <c r="F101" s="67"/>
      <c r="G101" s="1249" t="s">
        <v>47</v>
      </c>
      <c r="H101" s="64">
        <v>1.0</v>
      </c>
      <c r="I101" s="1250">
        <v>220000.0</v>
      </c>
      <c r="J101" s="1261">
        <f t="shared" si="9"/>
        <v>220000</v>
      </c>
      <c r="K101" s="67"/>
      <c r="L101" s="67"/>
      <c r="M101" s="67"/>
      <c r="N101" s="67"/>
      <c r="O101" s="67"/>
      <c r="P101" s="67"/>
      <c r="Q101" s="67"/>
      <c r="R101" s="67"/>
      <c r="S101" s="67"/>
      <c r="T101" s="67"/>
      <c r="U101" s="67"/>
      <c r="V101" s="67"/>
      <c r="W101" s="67"/>
      <c r="X101" s="106"/>
      <c r="Y101" s="106"/>
      <c r="Z101" s="427"/>
      <c r="AA101" s="107"/>
      <c r="AB101" s="107"/>
      <c r="AC101" s="107"/>
      <c r="AD101" s="106"/>
    </row>
    <row r="102" ht="42.0" customHeight="1">
      <c r="A102" s="694">
        <v>45.0</v>
      </c>
      <c r="B102" s="1032">
        <v>45041.0</v>
      </c>
      <c r="C102" s="1301">
        <v>1.686335813743E12</v>
      </c>
      <c r="D102" s="1305" t="s">
        <v>2005</v>
      </c>
      <c r="E102" s="684" t="s">
        <v>860</v>
      </c>
      <c r="F102" s="1308" t="s">
        <v>324</v>
      </c>
      <c r="G102" s="1249" t="s">
        <v>30</v>
      </c>
      <c r="H102" s="64">
        <v>6.0</v>
      </c>
      <c r="I102" s="1250">
        <v>220000.0</v>
      </c>
      <c r="J102" s="1261">
        <f t="shared" si="9"/>
        <v>1320000</v>
      </c>
      <c r="K102" s="1282">
        <f t="shared" ref="K102:K103" si="16">SUM(J102)</f>
        <v>1320000</v>
      </c>
      <c r="L102" s="1283"/>
      <c r="M102" s="1284"/>
      <c r="N102" s="80">
        <f t="shared" ref="N102:N103" si="18">K102+L102-M102</f>
        <v>1320000</v>
      </c>
      <c r="O102" s="1082"/>
      <c r="P102" s="1082"/>
      <c r="Q102" s="1290">
        <v>68998.0</v>
      </c>
      <c r="R102" s="1017" t="s">
        <v>32</v>
      </c>
      <c r="S102" s="1302"/>
      <c r="T102" s="1283"/>
      <c r="U102" s="1283"/>
      <c r="V102" s="1283"/>
      <c r="W102" s="1287"/>
      <c r="X102" s="106"/>
      <c r="Y102" s="106"/>
      <c r="Z102" s="427"/>
      <c r="AA102" s="107"/>
      <c r="AB102" s="107"/>
      <c r="AC102" s="107"/>
      <c r="AD102" s="106"/>
    </row>
    <row r="103" ht="24.75" customHeight="1">
      <c r="A103" s="9"/>
      <c r="B103" s="1167" t="s">
        <v>384</v>
      </c>
      <c r="C103" s="16"/>
      <c r="D103" s="16"/>
      <c r="E103" s="16"/>
      <c r="F103" s="16"/>
      <c r="G103" s="16"/>
      <c r="H103" s="16"/>
      <c r="I103" s="17"/>
      <c r="J103" s="1168">
        <f>SUM(J4:J102)</f>
        <v>51700000</v>
      </c>
      <c r="K103" s="1169">
        <f t="shared" si="16"/>
        <v>51700000</v>
      </c>
      <c r="L103" s="201">
        <f t="shared" ref="L103:M103" si="17">SUM(L4:L102)</f>
        <v>304997</v>
      </c>
      <c r="M103" s="201">
        <f t="shared" si="17"/>
        <v>134997</v>
      </c>
      <c r="N103" s="80">
        <f t="shared" si="18"/>
        <v>51870000</v>
      </c>
      <c r="O103" s="1309"/>
      <c r="P103" s="1309"/>
      <c r="Q103" s="201">
        <f t="shared" ref="Q103:V103" si="19">SUM(Q4:Q102)</f>
        <v>2472772</v>
      </c>
      <c r="R103" s="201">
        <f t="shared" si="19"/>
        <v>0</v>
      </c>
      <c r="S103" s="201">
        <f t="shared" si="19"/>
        <v>0</v>
      </c>
      <c r="T103" s="201">
        <f t="shared" si="19"/>
        <v>0</v>
      </c>
      <c r="U103" s="201">
        <f t="shared" si="19"/>
        <v>11</v>
      </c>
      <c r="V103" s="201">
        <f t="shared" si="19"/>
        <v>0</v>
      </c>
      <c r="W103" s="1310"/>
      <c r="X103" s="9"/>
      <c r="Y103" s="9"/>
      <c r="Z103" s="204"/>
      <c r="AA103" s="205"/>
      <c r="AB103" s="205"/>
      <c r="AC103" s="205"/>
      <c r="AD103" s="9"/>
    </row>
    <row r="104" ht="24.75" customHeight="1">
      <c r="A104" s="9"/>
      <c r="B104" s="463" t="s">
        <v>385</v>
      </c>
      <c r="C104" s="16"/>
      <c r="D104" s="16"/>
      <c r="E104" s="16"/>
      <c r="F104" s="16"/>
      <c r="G104" s="16"/>
      <c r="H104" s="16"/>
      <c r="I104" s="17"/>
      <c r="J104" s="207">
        <f>SUMIF(G4:G102, "&lt;&gt;*Omi*", J4:J102)</f>
        <v>3305000</v>
      </c>
      <c r="K104" s="208"/>
      <c r="L104" s="208"/>
      <c r="M104" s="210"/>
      <c r="N104" s="211"/>
      <c r="O104" s="210"/>
      <c r="P104" s="210"/>
      <c r="Q104" s="23"/>
      <c r="R104" s="23"/>
      <c r="S104" s="23"/>
      <c r="T104" s="23"/>
      <c r="U104" s="464"/>
      <c r="V104" s="464"/>
      <c r="W104" s="1311"/>
      <c r="X104" s="9"/>
      <c r="Y104" s="9"/>
      <c r="Z104" s="204"/>
      <c r="AA104" s="205"/>
      <c r="AB104" s="205"/>
      <c r="AC104" s="205"/>
      <c r="AD104" s="9"/>
    </row>
    <row r="105" ht="24.75" customHeight="1">
      <c r="A105" s="9"/>
      <c r="B105" s="214" t="s">
        <v>386</v>
      </c>
      <c r="C105" s="16"/>
      <c r="D105" s="16"/>
      <c r="E105" s="16"/>
      <c r="F105" s="16"/>
      <c r="G105" s="16"/>
      <c r="H105" s="16"/>
      <c r="I105" s="17"/>
      <c r="J105" s="215">
        <f>J103-J104</f>
        <v>48395000</v>
      </c>
      <c r="K105" s="208"/>
      <c r="L105" s="216"/>
      <c r="M105" s="216"/>
      <c r="N105" s="216"/>
      <c r="O105" s="216"/>
      <c r="P105" s="23"/>
      <c r="Q105" s="23"/>
      <c r="R105" s="23"/>
      <c r="S105" s="23"/>
      <c r="T105" s="23"/>
      <c r="U105" s="464"/>
      <c r="V105" s="464"/>
      <c r="W105" s="1311"/>
      <c r="X105" s="9"/>
      <c r="Y105" s="9"/>
      <c r="Z105" s="204"/>
      <c r="AA105" s="205"/>
      <c r="AB105" s="205"/>
      <c r="AC105" s="205"/>
      <c r="AD105" s="9"/>
    </row>
    <row r="106" ht="24.75" customHeight="1">
      <c r="A106" s="9"/>
      <c r="B106" s="217" t="s">
        <v>387</v>
      </c>
      <c r="C106" s="16"/>
      <c r="D106" s="16"/>
      <c r="E106" s="16"/>
      <c r="F106" s="16"/>
      <c r="G106" s="16"/>
      <c r="H106" s="16"/>
      <c r="I106" s="17"/>
      <c r="J106" s="207">
        <f>SUMIF(R4:R102,"Cty trả ship",Q4:Q102)</f>
        <v>2412774</v>
      </c>
      <c r="K106" s="208"/>
      <c r="L106" s="216"/>
      <c r="M106" s="216"/>
      <c r="N106" s="216"/>
      <c r="O106" s="216"/>
      <c r="P106" s="23"/>
      <c r="Q106" s="23"/>
      <c r="R106" s="23"/>
      <c r="S106" s="23"/>
      <c r="T106" s="23"/>
      <c r="U106" s="464"/>
      <c r="V106" s="464"/>
      <c r="W106" s="1311"/>
      <c r="X106" s="9"/>
      <c r="Y106" s="218"/>
      <c r="Z106" s="219"/>
      <c r="AA106" s="205"/>
      <c r="AB106" s="205"/>
      <c r="AC106" s="205"/>
      <c r="AD106" s="9"/>
    </row>
    <row r="107" ht="24.75" customHeight="1">
      <c r="A107" s="9"/>
      <c r="B107" s="220" t="s">
        <v>388</v>
      </c>
      <c r="C107" s="16"/>
      <c r="D107" s="16"/>
      <c r="E107" s="16"/>
      <c r="F107" s="16"/>
      <c r="G107" s="16"/>
      <c r="H107" s="16"/>
      <c r="I107" s="17"/>
      <c r="J107" s="221">
        <f>M103</f>
        <v>134997</v>
      </c>
      <c r="K107" s="208"/>
      <c r="L107" s="208"/>
      <c r="M107" s="210"/>
      <c r="N107" s="211"/>
      <c r="O107" s="210"/>
      <c r="P107" s="210"/>
      <c r="Q107" s="23"/>
      <c r="R107" s="23"/>
      <c r="S107" s="210"/>
      <c r="T107" s="210"/>
      <c r="U107" s="466"/>
      <c r="V107" s="466"/>
      <c r="W107" s="1312"/>
      <c r="X107" s="210"/>
      <c r="Y107" s="218"/>
      <c r="Z107" s="219"/>
      <c r="AA107" s="205"/>
      <c r="AB107" s="205"/>
      <c r="AC107" s="205"/>
      <c r="AD107" s="9"/>
    </row>
    <row r="108" ht="15.75" customHeight="1">
      <c r="A108" s="9"/>
      <c r="B108" s="9"/>
      <c r="C108" s="9"/>
      <c r="D108" s="9"/>
      <c r="E108" s="9"/>
      <c r="F108" s="222"/>
      <c r="G108" s="223"/>
      <c r="H108" s="224"/>
      <c r="I108" s="225"/>
      <c r="J108" s="225"/>
      <c r="K108" s="22"/>
      <c r="L108" s="9"/>
      <c r="M108" s="9"/>
      <c r="N108" s="226"/>
      <c r="O108" s="9"/>
      <c r="P108" s="9"/>
      <c r="Q108" s="223"/>
      <c r="R108" s="9"/>
      <c r="S108" s="9"/>
      <c r="T108" s="9"/>
      <c r="U108" s="913"/>
      <c r="V108" s="913"/>
      <c r="W108" s="1313"/>
      <c r="X108" s="9"/>
      <c r="Y108" s="9"/>
      <c r="Z108" s="204"/>
      <c r="AA108" s="205"/>
      <c r="AB108" s="205"/>
      <c r="AC108" s="205"/>
      <c r="AD108" s="9"/>
    </row>
    <row r="109" ht="15.75" customHeight="1">
      <c r="A109" s="218"/>
      <c r="B109" s="227"/>
      <c r="C109" s="228"/>
      <c r="D109" s="229"/>
      <c r="E109" s="230"/>
      <c r="F109" s="229"/>
      <c r="G109" s="231"/>
      <c r="H109" s="231"/>
      <c r="I109" s="231"/>
      <c r="J109" s="232"/>
      <c r="K109" s="233"/>
      <c r="L109" s="232"/>
      <c r="M109" s="232"/>
      <c r="N109" s="234"/>
      <c r="O109" s="218"/>
      <c r="P109" s="218"/>
      <c r="Q109" s="218"/>
      <c r="R109" s="218"/>
      <c r="S109" s="218"/>
      <c r="T109" s="218"/>
      <c r="U109" s="601"/>
      <c r="V109" s="601"/>
      <c r="W109" s="1314"/>
      <c r="X109" s="235"/>
      <c r="Y109" s="218"/>
      <c r="Z109" s="219"/>
      <c r="AA109" s="205"/>
      <c r="AB109" s="205"/>
      <c r="AC109" s="205"/>
      <c r="AD109" s="9"/>
    </row>
    <row r="110" ht="15.75" customHeight="1">
      <c r="A110" s="218"/>
      <c r="B110" s="236"/>
      <c r="C110" s="16"/>
      <c r="D110" s="17"/>
      <c r="E110" s="237" t="s">
        <v>389</v>
      </c>
      <c r="F110" s="16"/>
      <c r="G110" s="16"/>
      <c r="H110" s="16"/>
      <c r="I110" s="16"/>
      <c r="J110" s="17"/>
      <c r="K110" s="23"/>
      <c r="L110" s="218"/>
      <c r="M110" s="1171" t="s">
        <v>864</v>
      </c>
      <c r="N110" s="2"/>
      <c r="O110" s="2"/>
      <c r="P110" s="2"/>
      <c r="Q110" s="2"/>
      <c r="R110" s="2"/>
      <c r="S110" s="3"/>
      <c r="T110" s="218"/>
      <c r="U110" s="604"/>
      <c r="V110" s="604"/>
      <c r="W110" s="1315"/>
      <c r="X110" s="240"/>
      <c r="Y110" s="218"/>
      <c r="Z110" s="219"/>
      <c r="AA110" s="205"/>
      <c r="AB110" s="205"/>
      <c r="AC110" s="205"/>
      <c r="AD110" s="9"/>
    </row>
    <row r="111" ht="15.75" customHeight="1">
      <c r="A111" s="218"/>
      <c r="B111" s="241" t="s">
        <v>391</v>
      </c>
      <c r="C111" s="242" t="s">
        <v>392</v>
      </c>
      <c r="D111" s="243" t="s">
        <v>393</v>
      </c>
      <c r="E111" s="244" t="s">
        <v>394</v>
      </c>
      <c r="F111" s="245" t="s">
        <v>395</v>
      </c>
      <c r="G111" s="201" t="s">
        <v>396</v>
      </c>
      <c r="H111" s="243" t="s">
        <v>397</v>
      </c>
      <c r="I111" s="246" t="s">
        <v>398</v>
      </c>
      <c r="J111" s="247" t="s">
        <v>399</v>
      </c>
      <c r="K111" s="23"/>
      <c r="L111" s="218"/>
      <c r="M111" s="1172" t="s">
        <v>400</v>
      </c>
      <c r="N111" s="1173" t="s">
        <v>2006</v>
      </c>
      <c r="O111" s="1173" t="s">
        <v>2007</v>
      </c>
      <c r="P111" s="1174" t="s">
        <v>2008</v>
      </c>
      <c r="Q111" s="1174" t="s">
        <v>2009</v>
      </c>
      <c r="R111" s="252" t="s">
        <v>405</v>
      </c>
      <c r="S111" s="253" t="s">
        <v>406</v>
      </c>
      <c r="T111" s="9"/>
      <c r="U111" s="618"/>
      <c r="V111" s="608"/>
      <c r="W111" s="1315"/>
      <c r="X111" s="240"/>
      <c r="Y111" s="218"/>
      <c r="Z111" s="219"/>
      <c r="AA111" s="205"/>
      <c r="AB111" s="205"/>
      <c r="AC111" s="205"/>
      <c r="AD111" s="9"/>
    </row>
    <row r="112" ht="15.75" customHeight="1">
      <c r="A112" s="218"/>
      <c r="B112" s="254" t="s">
        <v>407</v>
      </c>
      <c r="C112" s="85" t="s">
        <v>121</v>
      </c>
      <c r="D112" s="255">
        <f t="shared" ref="D112:D144" si="20">SUMIF($G$4:$G$105,C112,$H$4:$H$105)</f>
        <v>20</v>
      </c>
      <c r="E112" s="65"/>
      <c r="F112" s="255"/>
      <c r="G112" s="256">
        <f t="shared" ref="G112:G150" si="21">D112-E112-F112</f>
        <v>20</v>
      </c>
      <c r="H112" s="1316">
        <v>220000.0</v>
      </c>
      <c r="I112" s="217">
        <f t="shared" ref="I112:I150" si="22">G112*H112</f>
        <v>4400000</v>
      </c>
      <c r="J112" s="257">
        <f t="shared" ref="J112:J150" si="23">SUMIF($T$4:$T$102,C112,$U$4:$U$102)</f>
        <v>0</v>
      </c>
      <c r="K112" s="23"/>
      <c r="L112" s="218"/>
      <c r="M112" s="103">
        <v>45012.0</v>
      </c>
      <c r="N112" s="261">
        <f>1320000+1120000+240000+240000</f>
        <v>2920000</v>
      </c>
      <c r="O112" s="261"/>
      <c r="P112" s="1176">
        <f>45000+68998+62998+45000+96929+56999+59998+62998</f>
        <v>498920</v>
      </c>
      <c r="Q112" s="1176"/>
      <c r="R112" s="1178">
        <f t="shared" ref="R112:R123" si="24">N112+O112-P112-Q112</f>
        <v>2421080</v>
      </c>
      <c r="S112" s="488"/>
      <c r="T112" s="9"/>
      <c r="U112" s="608"/>
      <c r="V112" s="611"/>
      <c r="W112" s="1317"/>
      <c r="X112" s="266"/>
      <c r="Y112" s="218"/>
      <c r="Z112" s="219"/>
      <c r="AA112" s="205"/>
      <c r="AB112" s="205"/>
      <c r="AC112" s="205"/>
      <c r="AD112" s="9"/>
    </row>
    <row r="113" ht="15.75" customHeight="1">
      <c r="A113" s="218"/>
      <c r="B113" s="62"/>
      <c r="C113" s="85" t="s">
        <v>123</v>
      </c>
      <c r="D113" s="255">
        <f t="shared" si="20"/>
        <v>8</v>
      </c>
      <c r="E113" s="65"/>
      <c r="F113" s="613">
        <v>1.0</v>
      </c>
      <c r="G113" s="256">
        <f t="shared" si="21"/>
        <v>7</v>
      </c>
      <c r="H113" s="1316">
        <v>220000.0</v>
      </c>
      <c r="I113" s="217">
        <f t="shared" si="22"/>
        <v>1540000</v>
      </c>
      <c r="J113" s="257">
        <f t="shared" si="23"/>
        <v>0</v>
      </c>
      <c r="K113" s="23"/>
      <c r="L113" s="218"/>
      <c r="M113" s="103">
        <v>45014.0</v>
      </c>
      <c r="N113" s="261">
        <f>4400000+1100000+740000</f>
        <v>6240000</v>
      </c>
      <c r="O113" s="261"/>
      <c r="P113" s="487">
        <f>56999</f>
        <v>56999</v>
      </c>
      <c r="Q113" s="1176"/>
      <c r="R113" s="1178">
        <f t="shared" si="24"/>
        <v>6183001</v>
      </c>
      <c r="S113" s="488"/>
      <c r="T113" s="9"/>
      <c r="U113" s="608"/>
      <c r="V113" s="611"/>
      <c r="W113" s="1317"/>
      <c r="X113" s="266"/>
      <c r="Y113" s="218"/>
      <c r="Z113" s="219"/>
      <c r="AA113" s="205"/>
      <c r="AB113" s="205"/>
      <c r="AC113" s="205"/>
      <c r="AD113" s="9"/>
    </row>
    <row r="114" ht="15.75" customHeight="1">
      <c r="A114" s="218"/>
      <c r="B114" s="62"/>
      <c r="C114" s="85" t="s">
        <v>124</v>
      </c>
      <c r="D114" s="255">
        <f t="shared" si="20"/>
        <v>22</v>
      </c>
      <c r="E114" s="65"/>
      <c r="F114" s="255"/>
      <c r="G114" s="256">
        <f t="shared" si="21"/>
        <v>22</v>
      </c>
      <c r="H114" s="1316">
        <v>220000.0</v>
      </c>
      <c r="I114" s="217">
        <f t="shared" si="22"/>
        <v>4840000</v>
      </c>
      <c r="J114" s="257">
        <f t="shared" si="23"/>
        <v>0</v>
      </c>
      <c r="K114" s="23"/>
      <c r="L114" s="218"/>
      <c r="M114" s="103">
        <v>45016.0</v>
      </c>
      <c r="N114" s="261">
        <f>740000</f>
        <v>740000</v>
      </c>
      <c r="O114" s="261">
        <f>N6+N8</f>
        <v>1130000</v>
      </c>
      <c r="P114" s="487"/>
      <c r="Q114" s="1176">
        <f>L6+Q10+Q8</f>
        <v>166998</v>
      </c>
      <c r="R114" s="1178">
        <f t="shared" si="24"/>
        <v>1703002</v>
      </c>
      <c r="S114" s="488"/>
      <c r="T114" s="9"/>
      <c r="U114" s="608"/>
      <c r="V114" s="611"/>
      <c r="W114" s="1317"/>
      <c r="X114" s="266"/>
      <c r="Y114" s="218"/>
      <c r="Z114" s="219"/>
      <c r="AA114" s="205"/>
      <c r="AB114" s="205"/>
      <c r="AC114" s="205"/>
      <c r="AD114" s="9"/>
    </row>
    <row r="115" ht="15.75" customHeight="1">
      <c r="A115" s="218"/>
      <c r="B115" s="62"/>
      <c r="C115" s="129" t="s">
        <v>125</v>
      </c>
      <c r="D115" s="255">
        <f t="shared" si="20"/>
        <v>7</v>
      </c>
      <c r="E115" s="65"/>
      <c r="F115" s="255"/>
      <c r="G115" s="256">
        <f t="shared" si="21"/>
        <v>7</v>
      </c>
      <c r="H115" s="1318">
        <v>220000.0</v>
      </c>
      <c r="I115" s="217">
        <f t="shared" si="22"/>
        <v>1540000</v>
      </c>
      <c r="J115" s="257">
        <f t="shared" si="23"/>
        <v>0</v>
      </c>
      <c r="K115" s="23"/>
      <c r="L115" s="218"/>
      <c r="M115" s="103">
        <v>45019.0</v>
      </c>
      <c r="N115" s="261">
        <f>1100000</f>
        <v>1100000</v>
      </c>
      <c r="O115" s="261">
        <f>N10+N12+N22+N17</f>
        <v>3920000</v>
      </c>
      <c r="P115" s="487"/>
      <c r="Q115" s="1176">
        <f>Q18+Q12+L15+Q17+L22</f>
        <v>270995</v>
      </c>
      <c r="R115" s="1178">
        <f t="shared" si="24"/>
        <v>4749005</v>
      </c>
      <c r="S115" s="488"/>
      <c r="T115" s="9"/>
      <c r="U115" s="608"/>
      <c r="V115" s="611"/>
      <c r="W115" s="1317"/>
      <c r="X115" s="266"/>
      <c r="Y115" s="218"/>
      <c r="Z115" s="219"/>
      <c r="AA115" s="205"/>
      <c r="AB115" s="205"/>
      <c r="AC115" s="205"/>
      <c r="AD115" s="9"/>
    </row>
    <row r="116" ht="15.75" customHeight="1">
      <c r="A116" s="218"/>
      <c r="B116" s="62"/>
      <c r="C116" s="129" t="s">
        <v>129</v>
      </c>
      <c r="D116" s="255">
        <f t="shared" si="20"/>
        <v>28</v>
      </c>
      <c r="E116" s="268"/>
      <c r="F116" s="613">
        <v>1.0</v>
      </c>
      <c r="G116" s="256">
        <f t="shared" si="21"/>
        <v>27</v>
      </c>
      <c r="H116" s="1318">
        <v>220000.0</v>
      </c>
      <c r="I116" s="217">
        <f t="shared" si="22"/>
        <v>5940000</v>
      </c>
      <c r="J116" s="257">
        <f t="shared" si="23"/>
        <v>0</v>
      </c>
      <c r="K116" s="23"/>
      <c r="L116" s="218"/>
      <c r="M116" s="103">
        <v>45021.0</v>
      </c>
      <c r="N116" s="261"/>
      <c r="O116" s="261">
        <f>N35+N24+N18+N23</f>
        <v>12880000</v>
      </c>
      <c r="P116" s="487"/>
      <c r="Q116" s="1176">
        <f>Q24+Q23</f>
        <v>473329</v>
      </c>
      <c r="R116" s="1178">
        <f t="shared" si="24"/>
        <v>12406671</v>
      </c>
      <c r="S116" s="488"/>
      <c r="T116" s="9"/>
      <c r="U116" s="608"/>
      <c r="V116" s="611"/>
      <c r="W116" s="1317"/>
      <c r="X116" s="266"/>
      <c r="Y116" s="218"/>
      <c r="Z116" s="219"/>
      <c r="AA116" s="205"/>
      <c r="AB116" s="205"/>
      <c r="AC116" s="205"/>
      <c r="AD116" s="9"/>
    </row>
    <row r="117" ht="15.75" customHeight="1">
      <c r="A117" s="218"/>
      <c r="B117" s="62"/>
      <c r="C117" s="85" t="s">
        <v>133</v>
      </c>
      <c r="D117" s="255">
        <f t="shared" si="20"/>
        <v>28</v>
      </c>
      <c r="E117" s="65"/>
      <c r="F117" s="269"/>
      <c r="G117" s="256">
        <f t="shared" si="21"/>
        <v>28</v>
      </c>
      <c r="H117" s="1316">
        <v>220000.0</v>
      </c>
      <c r="I117" s="217">
        <f t="shared" si="22"/>
        <v>6160000</v>
      </c>
      <c r="J117" s="257">
        <f t="shared" si="23"/>
        <v>0</v>
      </c>
      <c r="K117" s="23"/>
      <c r="L117" s="218"/>
      <c r="M117" s="103">
        <v>45026.0</v>
      </c>
      <c r="N117" s="261"/>
      <c r="O117" s="261">
        <f>N30+N37</f>
        <v>1860000</v>
      </c>
      <c r="P117" s="487"/>
      <c r="Q117" s="1176">
        <f>Q30+Q38+Q35</f>
        <v>175994</v>
      </c>
      <c r="R117" s="1178">
        <f t="shared" si="24"/>
        <v>1684006</v>
      </c>
      <c r="S117" s="488"/>
      <c r="T117" s="9"/>
      <c r="U117" s="608"/>
      <c r="V117" s="611"/>
      <c r="W117" s="1317"/>
      <c r="X117" s="266"/>
      <c r="Y117" s="218"/>
      <c r="Z117" s="219"/>
      <c r="AA117" s="205"/>
      <c r="AB117" s="205"/>
      <c r="AC117" s="205"/>
      <c r="AD117" s="9"/>
    </row>
    <row r="118" ht="15.75" customHeight="1">
      <c r="A118" s="218"/>
      <c r="B118" s="62"/>
      <c r="C118" s="85" t="s">
        <v>135</v>
      </c>
      <c r="D118" s="255">
        <f t="shared" si="20"/>
        <v>0</v>
      </c>
      <c r="E118" s="268"/>
      <c r="F118" s="269"/>
      <c r="G118" s="256">
        <f t="shared" si="21"/>
        <v>0</v>
      </c>
      <c r="H118" s="1316">
        <v>220000.0</v>
      </c>
      <c r="I118" s="217">
        <f t="shared" si="22"/>
        <v>0</v>
      </c>
      <c r="J118" s="257">
        <f t="shared" si="23"/>
        <v>0</v>
      </c>
      <c r="K118" s="23"/>
      <c r="L118" s="218"/>
      <c r="M118" s="103">
        <v>45028.0</v>
      </c>
      <c r="N118" s="261"/>
      <c r="O118" s="261">
        <f>N39+N38</f>
        <v>1350000</v>
      </c>
      <c r="P118" s="487"/>
      <c r="Q118" s="1176">
        <f>L39</f>
        <v>50999</v>
      </c>
      <c r="R118" s="1178">
        <f t="shared" si="24"/>
        <v>1299001</v>
      </c>
      <c r="S118" s="488"/>
      <c r="T118" s="9"/>
      <c r="U118" s="608"/>
      <c r="V118" s="611"/>
      <c r="W118" s="1317"/>
      <c r="X118" s="266"/>
      <c r="Y118" s="218"/>
      <c r="Z118" s="219"/>
      <c r="AA118" s="205"/>
      <c r="AB118" s="205"/>
      <c r="AC118" s="205"/>
      <c r="AD118" s="9"/>
    </row>
    <row r="119" ht="15.75" customHeight="1">
      <c r="A119" s="218"/>
      <c r="B119" s="62"/>
      <c r="C119" s="85" t="s">
        <v>139</v>
      </c>
      <c r="D119" s="255">
        <f t="shared" si="20"/>
        <v>23</v>
      </c>
      <c r="E119" s="65"/>
      <c r="F119" s="269"/>
      <c r="G119" s="256">
        <f t="shared" si="21"/>
        <v>23</v>
      </c>
      <c r="H119" s="1316">
        <v>80000.0</v>
      </c>
      <c r="I119" s="217">
        <f t="shared" si="22"/>
        <v>1840000</v>
      </c>
      <c r="J119" s="257">
        <f t="shared" si="23"/>
        <v>11</v>
      </c>
      <c r="K119" s="23"/>
      <c r="L119" s="218"/>
      <c r="M119" s="103">
        <v>45030.0</v>
      </c>
      <c r="N119" s="261"/>
      <c r="O119" s="261">
        <f>N41+N44+N48</f>
        <v>4040000</v>
      </c>
      <c r="P119" s="487"/>
      <c r="Q119" s="1176">
        <f>Q48+Q46+Q41+Q44+5000</f>
        <v>264493</v>
      </c>
      <c r="R119" s="1178">
        <f t="shared" si="24"/>
        <v>3775507</v>
      </c>
      <c r="S119" s="483" t="s">
        <v>2010</v>
      </c>
      <c r="T119" s="9"/>
      <c r="U119" s="608"/>
      <c r="V119" s="611"/>
      <c r="W119" s="1317"/>
      <c r="X119" s="266"/>
      <c r="Y119" s="218"/>
      <c r="Z119" s="219"/>
      <c r="AA119" s="205"/>
      <c r="AB119" s="205"/>
      <c r="AC119" s="205"/>
      <c r="AD119" s="9"/>
    </row>
    <row r="120" ht="15.75" customHeight="1">
      <c r="A120" s="218"/>
      <c r="B120" s="62"/>
      <c r="C120" s="85" t="s">
        <v>142</v>
      </c>
      <c r="D120" s="255">
        <f t="shared" si="20"/>
        <v>6</v>
      </c>
      <c r="E120" s="65"/>
      <c r="F120" s="269"/>
      <c r="G120" s="256">
        <f t="shared" si="21"/>
        <v>6</v>
      </c>
      <c r="H120" s="1316">
        <v>220000.0</v>
      </c>
      <c r="I120" s="217">
        <f t="shared" si="22"/>
        <v>1320000</v>
      </c>
      <c r="J120" s="257">
        <f t="shared" si="23"/>
        <v>0</v>
      </c>
      <c r="K120" s="23"/>
      <c r="L120" s="218"/>
      <c r="M120" s="103">
        <v>45033.0</v>
      </c>
      <c r="N120" s="261"/>
      <c r="O120" s="261">
        <f>N46+N53+N55+N62</f>
        <v>3540000</v>
      </c>
      <c r="P120" s="487"/>
      <c r="Q120" s="1176">
        <f>Q55+Q59+Q62+Q53+Q66</f>
        <v>285493</v>
      </c>
      <c r="R120" s="1178">
        <f t="shared" si="24"/>
        <v>3254507</v>
      </c>
      <c r="S120" s="488"/>
      <c r="T120" s="9"/>
      <c r="U120" s="608"/>
      <c r="V120" s="611"/>
      <c r="W120" s="1317"/>
      <c r="X120" s="266"/>
      <c r="Y120" s="218"/>
      <c r="Z120" s="219"/>
      <c r="AA120" s="205"/>
      <c r="AB120" s="205"/>
      <c r="AC120" s="205"/>
      <c r="AD120" s="9"/>
    </row>
    <row r="121" ht="15.75" customHeight="1">
      <c r="A121" s="218"/>
      <c r="B121" s="62"/>
      <c r="C121" s="85" t="s">
        <v>145</v>
      </c>
      <c r="D121" s="255">
        <f t="shared" si="20"/>
        <v>58</v>
      </c>
      <c r="E121" s="65"/>
      <c r="F121" s="269"/>
      <c r="G121" s="256">
        <f t="shared" si="21"/>
        <v>58</v>
      </c>
      <c r="H121" s="1316">
        <v>220000.0</v>
      </c>
      <c r="I121" s="217">
        <f t="shared" si="22"/>
        <v>12760000</v>
      </c>
      <c r="J121" s="257">
        <f t="shared" si="23"/>
        <v>0</v>
      </c>
      <c r="K121" s="23"/>
      <c r="L121" s="218"/>
      <c r="M121" s="103">
        <v>45035.0</v>
      </c>
      <c r="N121" s="261"/>
      <c r="O121" s="261">
        <f>N59+N69+N68</f>
        <v>1960000</v>
      </c>
      <c r="P121" s="487"/>
      <c r="Q121" s="1176">
        <f>Q69</f>
        <v>55998</v>
      </c>
      <c r="R121" s="1178">
        <f t="shared" si="24"/>
        <v>1904002</v>
      </c>
      <c r="S121" s="488"/>
      <c r="T121" s="9"/>
      <c r="U121" s="608"/>
      <c r="V121" s="611"/>
      <c r="W121" s="1317"/>
      <c r="X121" s="266"/>
      <c r="Y121" s="218"/>
      <c r="Z121" s="219"/>
      <c r="AA121" s="205"/>
      <c r="AB121" s="205"/>
      <c r="AC121" s="205"/>
      <c r="AD121" s="9"/>
    </row>
    <row r="122" ht="15.75" customHeight="1">
      <c r="A122" s="218"/>
      <c r="B122" s="62"/>
      <c r="C122" s="85" t="s">
        <v>153</v>
      </c>
      <c r="D122" s="255">
        <f t="shared" si="20"/>
        <v>0</v>
      </c>
      <c r="E122" s="65"/>
      <c r="F122" s="269"/>
      <c r="G122" s="256">
        <f t="shared" si="21"/>
        <v>0</v>
      </c>
      <c r="H122" s="1316">
        <v>45000.0</v>
      </c>
      <c r="I122" s="217">
        <f t="shared" si="22"/>
        <v>0</v>
      </c>
      <c r="J122" s="257">
        <f t="shared" si="23"/>
        <v>0</v>
      </c>
      <c r="K122" s="23"/>
      <c r="L122" s="218"/>
      <c r="M122" s="103">
        <v>45037.0</v>
      </c>
      <c r="N122" s="261"/>
      <c r="O122" s="261">
        <f>N66+N76+N80</f>
        <v>2295000</v>
      </c>
      <c r="P122" s="487"/>
      <c r="Q122" s="1176">
        <f>Q73+Q83+Q72+Q76+L80</f>
        <v>354477</v>
      </c>
      <c r="R122" s="1178">
        <f t="shared" si="24"/>
        <v>1940523</v>
      </c>
      <c r="S122" s="488"/>
      <c r="T122" s="9"/>
      <c r="U122" s="608"/>
      <c r="V122" s="611"/>
      <c r="W122" s="1317"/>
      <c r="X122" s="266"/>
      <c r="Y122" s="218"/>
      <c r="Z122" s="219"/>
      <c r="AA122" s="205"/>
      <c r="AB122" s="205"/>
      <c r="AC122" s="205"/>
      <c r="AD122" s="9"/>
    </row>
    <row r="123" ht="15.75" customHeight="1">
      <c r="A123" s="218"/>
      <c r="B123" s="62"/>
      <c r="C123" s="273" t="s">
        <v>161</v>
      </c>
      <c r="D123" s="255">
        <f t="shared" si="20"/>
        <v>8</v>
      </c>
      <c r="E123" s="65"/>
      <c r="F123" s="269"/>
      <c r="G123" s="256">
        <f t="shared" si="21"/>
        <v>8</v>
      </c>
      <c r="H123" s="695">
        <v>220000.0</v>
      </c>
      <c r="I123" s="217">
        <f t="shared" si="22"/>
        <v>1760000</v>
      </c>
      <c r="J123" s="257">
        <f t="shared" si="23"/>
        <v>0</v>
      </c>
      <c r="K123" s="23"/>
      <c r="L123" s="218"/>
      <c r="M123" s="103">
        <v>45040.0</v>
      </c>
      <c r="N123" s="261"/>
      <c r="O123" s="261">
        <f>N83+N84+N86+N72+N89+N73</f>
        <v>7300000</v>
      </c>
      <c r="P123" s="487"/>
      <c r="Q123" s="1176">
        <f>Q84+Q87+L86</f>
        <v>157001</v>
      </c>
      <c r="R123" s="1178">
        <f t="shared" si="24"/>
        <v>7142999</v>
      </c>
      <c r="S123" s="488"/>
      <c r="T123" s="9"/>
      <c r="U123" s="608"/>
      <c r="V123" s="611"/>
      <c r="W123" s="1317"/>
      <c r="X123" s="266"/>
      <c r="Y123" s="218"/>
      <c r="Z123" s="219"/>
      <c r="AA123" s="205"/>
      <c r="AB123" s="205"/>
      <c r="AC123" s="205"/>
      <c r="AD123" s="9"/>
    </row>
    <row r="124" ht="15.75" customHeight="1">
      <c r="A124" s="218"/>
      <c r="B124" s="62"/>
      <c r="C124" s="273" t="s">
        <v>488</v>
      </c>
      <c r="D124" s="255">
        <f t="shared" si="20"/>
        <v>3</v>
      </c>
      <c r="E124" s="65"/>
      <c r="F124" s="269"/>
      <c r="G124" s="256">
        <f t="shared" si="21"/>
        <v>3</v>
      </c>
      <c r="H124" s="695">
        <v>45000.0</v>
      </c>
      <c r="I124" s="217">
        <f t="shared" si="22"/>
        <v>135000</v>
      </c>
      <c r="J124" s="257">
        <f t="shared" si="23"/>
        <v>0</v>
      </c>
      <c r="K124" s="23"/>
      <c r="L124" s="218"/>
      <c r="M124" s="103">
        <v>45040.0</v>
      </c>
      <c r="N124" s="261"/>
      <c r="O124" s="261"/>
      <c r="P124" s="487"/>
      <c r="Q124" s="1176"/>
      <c r="R124" s="1319">
        <v>2200000.0</v>
      </c>
      <c r="S124" s="483" t="s">
        <v>1848</v>
      </c>
      <c r="T124" s="9"/>
      <c r="U124" s="608"/>
      <c r="V124" s="611"/>
      <c r="W124" s="1317"/>
      <c r="X124" s="266"/>
      <c r="Y124" s="218"/>
      <c r="Z124" s="219"/>
      <c r="AA124" s="205"/>
      <c r="AB124" s="205"/>
      <c r="AC124" s="205"/>
      <c r="AD124" s="9"/>
    </row>
    <row r="125" ht="15.75" customHeight="1">
      <c r="A125" s="218"/>
      <c r="B125" s="62"/>
      <c r="C125" s="273" t="s">
        <v>412</v>
      </c>
      <c r="D125" s="255">
        <f t="shared" si="20"/>
        <v>0</v>
      </c>
      <c r="E125" s="65"/>
      <c r="F125" s="269"/>
      <c r="G125" s="256">
        <f t="shared" si="21"/>
        <v>0</v>
      </c>
      <c r="H125" s="695">
        <v>45000.0</v>
      </c>
      <c r="I125" s="217">
        <f t="shared" si="22"/>
        <v>0</v>
      </c>
      <c r="J125" s="257">
        <f t="shared" si="23"/>
        <v>0</v>
      </c>
      <c r="K125" s="23"/>
      <c r="L125" s="218"/>
      <c r="M125" s="620"/>
      <c r="N125" s="261"/>
      <c r="O125" s="261"/>
      <c r="P125" s="487"/>
      <c r="Q125" s="1176"/>
      <c r="R125" s="1178">
        <f t="shared" ref="R125:R128" si="25">N125+O125-P125-Q125</f>
        <v>0</v>
      </c>
      <c r="S125" s="488"/>
      <c r="T125" s="9"/>
      <c r="U125" s="608"/>
      <c r="V125" s="611"/>
      <c r="W125" s="1317"/>
      <c r="X125" s="266"/>
      <c r="Y125" s="218"/>
      <c r="Z125" s="219"/>
      <c r="AA125" s="205"/>
      <c r="AB125" s="205"/>
      <c r="AC125" s="205"/>
      <c r="AD125" s="9"/>
    </row>
    <row r="126" ht="15.75" customHeight="1">
      <c r="A126" s="218"/>
      <c r="B126" s="62"/>
      <c r="C126" s="273" t="s">
        <v>151</v>
      </c>
      <c r="D126" s="255">
        <f t="shared" si="20"/>
        <v>12</v>
      </c>
      <c r="E126" s="65"/>
      <c r="F126" s="269"/>
      <c r="G126" s="256">
        <f t="shared" si="21"/>
        <v>12</v>
      </c>
      <c r="H126" s="695">
        <v>220000.0</v>
      </c>
      <c r="I126" s="217">
        <f t="shared" si="22"/>
        <v>2640000</v>
      </c>
      <c r="J126" s="257">
        <f t="shared" si="23"/>
        <v>0</v>
      </c>
      <c r="K126" s="23"/>
      <c r="L126" s="218"/>
      <c r="M126" s="620"/>
      <c r="N126" s="261"/>
      <c r="O126" s="261"/>
      <c r="P126" s="487"/>
      <c r="Q126" s="1176"/>
      <c r="R126" s="1178">
        <f t="shared" si="25"/>
        <v>0</v>
      </c>
      <c r="S126" s="488"/>
      <c r="T126" s="9"/>
      <c r="U126" s="608"/>
      <c r="V126" s="611"/>
      <c r="W126" s="1317"/>
      <c r="X126" s="266"/>
      <c r="Y126" s="218"/>
      <c r="Z126" s="219"/>
      <c r="AA126" s="205"/>
      <c r="AB126" s="205"/>
      <c r="AC126" s="205"/>
      <c r="AD126" s="9"/>
    </row>
    <row r="127" ht="15.75" customHeight="1">
      <c r="A127" s="218"/>
      <c r="B127" s="62"/>
      <c r="C127" s="65" t="s">
        <v>148</v>
      </c>
      <c r="D127" s="255">
        <f t="shared" si="20"/>
        <v>16</v>
      </c>
      <c r="E127" s="65"/>
      <c r="F127" s="269"/>
      <c r="G127" s="256">
        <f t="shared" si="21"/>
        <v>16</v>
      </c>
      <c r="H127" s="1320">
        <v>220000.0</v>
      </c>
      <c r="I127" s="217">
        <f t="shared" si="22"/>
        <v>3520000</v>
      </c>
      <c r="J127" s="257">
        <f t="shared" si="23"/>
        <v>0</v>
      </c>
      <c r="K127" s="23"/>
      <c r="L127" s="218"/>
      <c r="M127" s="620"/>
      <c r="N127" s="261"/>
      <c r="O127" s="261"/>
      <c r="P127" s="487"/>
      <c r="Q127" s="1176"/>
      <c r="R127" s="1178">
        <f t="shared" si="25"/>
        <v>0</v>
      </c>
      <c r="S127" s="488"/>
      <c r="T127" s="9"/>
      <c r="U127" s="608"/>
      <c r="V127" s="611"/>
      <c r="W127" s="1317"/>
      <c r="X127" s="266"/>
      <c r="Y127" s="218"/>
      <c r="Z127" s="219"/>
      <c r="AA127" s="205"/>
      <c r="AB127" s="205"/>
      <c r="AC127" s="205"/>
      <c r="AD127" s="9"/>
    </row>
    <row r="128" ht="15.75" customHeight="1">
      <c r="A128" s="218"/>
      <c r="B128" s="254" t="s">
        <v>415</v>
      </c>
      <c r="C128" s="283" t="s">
        <v>34</v>
      </c>
      <c r="D128" s="255">
        <f t="shared" si="20"/>
        <v>8</v>
      </c>
      <c r="E128" s="284"/>
      <c r="F128" s="269"/>
      <c r="G128" s="256">
        <f t="shared" si="21"/>
        <v>8</v>
      </c>
      <c r="H128" s="1321">
        <v>65000.0</v>
      </c>
      <c r="I128" s="217">
        <f t="shared" si="22"/>
        <v>520000</v>
      </c>
      <c r="J128" s="257">
        <f t="shared" si="23"/>
        <v>0</v>
      </c>
      <c r="K128" s="23"/>
      <c r="L128" s="218"/>
      <c r="M128" s="620"/>
      <c r="N128" s="261"/>
      <c r="O128" s="261"/>
      <c r="P128" s="487"/>
      <c r="Q128" s="1176"/>
      <c r="R128" s="1178">
        <f t="shared" si="25"/>
        <v>0</v>
      </c>
      <c r="S128" s="488"/>
      <c r="T128" s="617"/>
      <c r="U128" s="618"/>
      <c r="V128" s="616"/>
      <c r="W128" s="1322"/>
      <c r="X128" s="266"/>
      <c r="Y128" s="218"/>
      <c r="Z128" s="219"/>
      <c r="AA128" s="205"/>
      <c r="AB128" s="205"/>
      <c r="AC128" s="205"/>
      <c r="AD128" s="9"/>
    </row>
    <row r="129" ht="15.75" customHeight="1">
      <c r="A129" s="218"/>
      <c r="B129" s="62"/>
      <c r="C129" s="285" t="s">
        <v>36</v>
      </c>
      <c r="D129" s="255">
        <f t="shared" si="20"/>
        <v>0</v>
      </c>
      <c r="E129" s="284"/>
      <c r="F129" s="269"/>
      <c r="G129" s="256">
        <f t="shared" si="21"/>
        <v>0</v>
      </c>
      <c r="H129" s="1320">
        <v>180000.0</v>
      </c>
      <c r="I129" s="217">
        <f t="shared" si="22"/>
        <v>0</v>
      </c>
      <c r="J129" s="257">
        <f t="shared" si="23"/>
        <v>0</v>
      </c>
      <c r="K129" s="23"/>
      <c r="L129" s="218"/>
      <c r="M129" s="1180" t="s">
        <v>421</v>
      </c>
      <c r="N129" s="1123">
        <f t="shared" ref="N129:R129" si="26">SUM(N112:N128)</f>
        <v>11000000</v>
      </c>
      <c r="O129" s="1123">
        <f t="shared" si="26"/>
        <v>40275000</v>
      </c>
      <c r="P129" s="1123">
        <f t="shared" si="26"/>
        <v>555919</v>
      </c>
      <c r="Q129" s="1123">
        <f t="shared" si="26"/>
        <v>2255777</v>
      </c>
      <c r="R129" s="1123">
        <f t="shared" si="26"/>
        <v>50663304</v>
      </c>
      <c r="S129" s="1181"/>
      <c r="T129" s="617"/>
      <c r="U129" s="618"/>
      <c r="V129" s="616"/>
      <c r="W129" s="1322"/>
      <c r="X129" s="266"/>
      <c r="Y129" s="218"/>
      <c r="Z129" s="219"/>
      <c r="AA129" s="205"/>
      <c r="AB129" s="205"/>
      <c r="AC129" s="205"/>
      <c r="AD129" s="9"/>
    </row>
    <row r="130" ht="15.75" customHeight="1">
      <c r="A130" s="218"/>
      <c r="B130" s="62"/>
      <c r="C130" s="285" t="s">
        <v>38</v>
      </c>
      <c r="D130" s="255">
        <f t="shared" si="20"/>
        <v>0</v>
      </c>
      <c r="E130" s="284"/>
      <c r="F130" s="269"/>
      <c r="G130" s="256">
        <f t="shared" si="21"/>
        <v>0</v>
      </c>
      <c r="H130" s="1320">
        <v>160000.0</v>
      </c>
      <c r="I130" s="217">
        <f t="shared" si="22"/>
        <v>0</v>
      </c>
      <c r="J130" s="257">
        <f t="shared" si="23"/>
        <v>0</v>
      </c>
      <c r="K130" s="23"/>
      <c r="L130" s="218"/>
      <c r="M130" s="218"/>
      <c r="N130" s="298"/>
      <c r="O130" s="299"/>
      <c r="P130" s="299"/>
      <c r="Q130" s="299"/>
      <c r="R130" s="299"/>
      <c r="S130" s="299"/>
      <c r="T130" s="617"/>
      <c r="U130" s="618"/>
      <c r="V130" s="616"/>
      <c r="W130" s="1322"/>
      <c r="X130" s="266"/>
      <c r="Y130" s="218"/>
      <c r="Z130" s="219"/>
      <c r="AA130" s="205"/>
      <c r="AB130" s="205"/>
      <c r="AC130" s="205"/>
      <c r="AD130" s="9"/>
    </row>
    <row r="131" ht="15.75" customHeight="1">
      <c r="A131" s="218"/>
      <c r="B131" s="62"/>
      <c r="C131" s="285" t="s">
        <v>43</v>
      </c>
      <c r="D131" s="255">
        <f t="shared" si="20"/>
        <v>8</v>
      </c>
      <c r="E131" s="284"/>
      <c r="F131" s="269"/>
      <c r="G131" s="256">
        <f t="shared" si="21"/>
        <v>8</v>
      </c>
      <c r="H131" s="1320">
        <v>80000.0</v>
      </c>
      <c r="I131" s="217">
        <f t="shared" si="22"/>
        <v>640000</v>
      </c>
      <c r="J131" s="257">
        <f t="shared" si="23"/>
        <v>0</v>
      </c>
      <c r="K131" s="23"/>
      <c r="L131" s="218"/>
      <c r="M131" s="218"/>
      <c r="N131" s="298"/>
      <c r="O131" s="299"/>
      <c r="P131" s="299"/>
      <c r="Q131" s="299"/>
      <c r="R131" s="299"/>
      <c r="S131" s="299"/>
      <c r="T131" s="617"/>
      <c r="U131" s="618"/>
      <c r="V131" s="616"/>
      <c r="W131" s="1322"/>
      <c r="X131" s="266"/>
      <c r="Y131" s="218"/>
      <c r="Z131" s="219"/>
      <c r="AA131" s="205"/>
      <c r="AB131" s="205"/>
      <c r="AC131" s="205"/>
      <c r="AD131" s="9"/>
    </row>
    <row r="132" ht="15.75" customHeight="1">
      <c r="A132" s="218"/>
      <c r="B132" s="62"/>
      <c r="C132" s="285" t="s">
        <v>48</v>
      </c>
      <c r="D132" s="255">
        <f t="shared" si="20"/>
        <v>19</v>
      </c>
      <c r="E132" s="284"/>
      <c r="F132" s="269"/>
      <c r="G132" s="256">
        <f t="shared" si="21"/>
        <v>19</v>
      </c>
      <c r="H132" s="1320">
        <v>55000.0</v>
      </c>
      <c r="I132" s="217">
        <f t="shared" si="22"/>
        <v>1045000</v>
      </c>
      <c r="J132" s="257">
        <f t="shared" si="23"/>
        <v>0</v>
      </c>
      <c r="K132" s="23"/>
      <c r="L132" s="218"/>
      <c r="M132" s="218"/>
      <c r="N132" s="298"/>
      <c r="O132" s="299"/>
      <c r="P132" s="299"/>
      <c r="Q132" s="299"/>
      <c r="R132" s="299"/>
      <c r="S132" s="299"/>
      <c r="T132" s="617"/>
      <c r="U132" s="618"/>
      <c r="V132" s="616"/>
      <c r="W132" s="1322"/>
      <c r="X132" s="266"/>
      <c r="Y132" s="218"/>
      <c r="Z132" s="219"/>
      <c r="AA132" s="205"/>
      <c r="AB132" s="205"/>
      <c r="AC132" s="205"/>
      <c r="AD132" s="9"/>
    </row>
    <row r="133" ht="15.75" customHeight="1">
      <c r="A133" s="218"/>
      <c r="B133" s="62"/>
      <c r="C133" s="285" t="s">
        <v>60</v>
      </c>
      <c r="D133" s="255">
        <f t="shared" si="20"/>
        <v>0</v>
      </c>
      <c r="E133" s="284"/>
      <c r="F133" s="269"/>
      <c r="G133" s="256">
        <f t="shared" si="21"/>
        <v>0</v>
      </c>
      <c r="H133" s="1320">
        <v>45000.0</v>
      </c>
      <c r="I133" s="217">
        <f t="shared" si="22"/>
        <v>0</v>
      </c>
      <c r="J133" s="257">
        <f t="shared" si="23"/>
        <v>0</v>
      </c>
      <c r="K133" s="23"/>
      <c r="L133" s="218"/>
      <c r="M133" s="218"/>
      <c r="N133" s="298"/>
      <c r="O133" s="299"/>
      <c r="P133" s="299"/>
      <c r="Q133" s="299"/>
      <c r="R133" s="299"/>
      <c r="S133" s="299"/>
      <c r="T133" s="617"/>
      <c r="U133" s="618"/>
      <c r="V133" s="616"/>
      <c r="W133" s="1322"/>
      <c r="X133" s="266"/>
      <c r="Y133" s="218"/>
      <c r="Z133" s="219"/>
      <c r="AA133" s="205"/>
      <c r="AB133" s="205"/>
      <c r="AC133" s="205"/>
      <c r="AD133" s="9"/>
    </row>
    <row r="134" ht="15.75" customHeight="1">
      <c r="A134" s="218"/>
      <c r="B134" s="62"/>
      <c r="C134" s="285" t="s">
        <v>679</v>
      </c>
      <c r="D134" s="255">
        <f t="shared" si="20"/>
        <v>0</v>
      </c>
      <c r="E134" s="284"/>
      <c r="F134" s="269"/>
      <c r="G134" s="256">
        <f t="shared" si="21"/>
        <v>0</v>
      </c>
      <c r="H134" s="1320">
        <v>110000.0</v>
      </c>
      <c r="I134" s="217">
        <f t="shared" si="22"/>
        <v>0</v>
      </c>
      <c r="J134" s="257">
        <f t="shared" si="23"/>
        <v>0</v>
      </c>
      <c r="K134" s="23"/>
      <c r="L134" s="218"/>
      <c r="M134" s="218"/>
      <c r="N134" s="298"/>
      <c r="O134" s="299"/>
      <c r="P134" s="299"/>
      <c r="Q134" s="299"/>
      <c r="R134" s="299"/>
      <c r="S134" s="299"/>
      <c r="T134" s="617"/>
      <c r="U134" s="618"/>
      <c r="V134" s="616"/>
      <c r="W134" s="1322"/>
      <c r="X134" s="266"/>
      <c r="Y134" s="218"/>
      <c r="Z134" s="219"/>
      <c r="AA134" s="205"/>
      <c r="AB134" s="205"/>
      <c r="AC134" s="205"/>
      <c r="AD134" s="9"/>
    </row>
    <row r="135" ht="15.75" customHeight="1">
      <c r="A135" s="218"/>
      <c r="B135" s="62"/>
      <c r="C135" s="285" t="s">
        <v>66</v>
      </c>
      <c r="D135" s="255">
        <f t="shared" si="20"/>
        <v>0</v>
      </c>
      <c r="E135" s="284"/>
      <c r="F135" s="269"/>
      <c r="G135" s="256">
        <f t="shared" si="21"/>
        <v>0</v>
      </c>
      <c r="H135" s="1320">
        <v>205000.0</v>
      </c>
      <c r="I135" s="217">
        <f t="shared" si="22"/>
        <v>0</v>
      </c>
      <c r="J135" s="257">
        <f t="shared" si="23"/>
        <v>0</v>
      </c>
      <c r="K135" s="23"/>
      <c r="L135" s="218"/>
      <c r="M135" s="218"/>
      <c r="N135" s="298"/>
      <c r="O135" s="299"/>
      <c r="P135" s="299"/>
      <c r="Q135" s="299"/>
      <c r="R135" s="299"/>
      <c r="S135" s="299"/>
      <c r="T135" s="617"/>
      <c r="U135" s="618"/>
      <c r="V135" s="616"/>
      <c r="W135" s="1322"/>
      <c r="X135" s="266"/>
      <c r="Y135" s="218"/>
      <c r="Z135" s="219"/>
      <c r="AA135" s="205"/>
      <c r="AB135" s="205"/>
      <c r="AC135" s="205"/>
      <c r="AD135" s="9"/>
    </row>
    <row r="136" ht="15.75" customHeight="1">
      <c r="A136" s="218"/>
      <c r="B136" s="62"/>
      <c r="C136" s="285" t="s">
        <v>684</v>
      </c>
      <c r="D136" s="255">
        <f t="shared" si="20"/>
        <v>0</v>
      </c>
      <c r="E136" s="284"/>
      <c r="F136" s="269"/>
      <c r="G136" s="256">
        <f t="shared" si="21"/>
        <v>0</v>
      </c>
      <c r="H136" s="1320">
        <v>150000.0</v>
      </c>
      <c r="I136" s="217">
        <f t="shared" si="22"/>
        <v>0</v>
      </c>
      <c r="J136" s="257">
        <f t="shared" si="23"/>
        <v>0</v>
      </c>
      <c r="K136" s="23"/>
      <c r="L136" s="218"/>
      <c r="M136" s="218"/>
      <c r="N136" s="298"/>
      <c r="O136" s="299"/>
      <c r="P136" s="299"/>
      <c r="Q136" s="299"/>
      <c r="R136" s="299"/>
      <c r="S136" s="299"/>
      <c r="T136" s="617"/>
      <c r="U136" s="618"/>
      <c r="V136" s="616"/>
      <c r="W136" s="1322"/>
      <c r="X136" s="266"/>
      <c r="Y136" s="218"/>
      <c r="Z136" s="219"/>
      <c r="AA136" s="205"/>
      <c r="AB136" s="205"/>
      <c r="AC136" s="205"/>
      <c r="AD136" s="9"/>
    </row>
    <row r="137" ht="15.75" customHeight="1">
      <c r="A137" s="218"/>
      <c r="B137" s="62"/>
      <c r="C137" s="288" t="s">
        <v>71</v>
      </c>
      <c r="D137" s="255">
        <f t="shared" si="20"/>
        <v>0</v>
      </c>
      <c r="E137" s="284"/>
      <c r="F137" s="269"/>
      <c r="G137" s="256">
        <f t="shared" si="21"/>
        <v>0</v>
      </c>
      <c r="H137" s="1320">
        <v>85000.0</v>
      </c>
      <c r="I137" s="217">
        <f t="shared" si="22"/>
        <v>0</v>
      </c>
      <c r="J137" s="257">
        <f t="shared" si="23"/>
        <v>0</v>
      </c>
      <c r="K137" s="23"/>
      <c r="L137" s="218"/>
      <c r="M137" s="218"/>
      <c r="N137" s="298"/>
      <c r="O137" s="299"/>
      <c r="P137" s="299"/>
      <c r="Q137" s="299"/>
      <c r="R137" s="299"/>
      <c r="S137" s="299"/>
      <c r="T137" s="617"/>
      <c r="U137" s="618"/>
      <c r="V137" s="616"/>
      <c r="W137" s="1322"/>
      <c r="X137" s="266"/>
      <c r="Y137" s="218"/>
      <c r="Z137" s="219"/>
      <c r="AA137" s="205"/>
      <c r="AB137" s="205"/>
      <c r="AC137" s="205"/>
      <c r="AD137" s="9"/>
    </row>
    <row r="138" ht="15.75" customHeight="1">
      <c r="A138" s="218"/>
      <c r="B138" s="62"/>
      <c r="C138" s="285" t="s">
        <v>76</v>
      </c>
      <c r="D138" s="255">
        <f t="shared" si="20"/>
        <v>0</v>
      </c>
      <c r="E138" s="284"/>
      <c r="F138" s="269"/>
      <c r="G138" s="256">
        <f t="shared" si="21"/>
        <v>0</v>
      </c>
      <c r="H138" s="1320">
        <v>90000.0</v>
      </c>
      <c r="I138" s="217">
        <f t="shared" si="22"/>
        <v>0</v>
      </c>
      <c r="J138" s="257">
        <f t="shared" si="23"/>
        <v>0</v>
      </c>
      <c r="K138" s="23"/>
      <c r="L138" s="218"/>
      <c r="M138" s="218"/>
      <c r="N138" s="298"/>
      <c r="O138" s="299"/>
      <c r="P138" s="299"/>
      <c r="Q138" s="299"/>
      <c r="R138" s="299"/>
      <c r="S138" s="299"/>
      <c r="T138" s="617"/>
      <c r="U138" s="618"/>
      <c r="V138" s="616"/>
      <c r="W138" s="1322"/>
      <c r="X138" s="266"/>
      <c r="Y138" s="218"/>
      <c r="Z138" s="219"/>
      <c r="AA138" s="205"/>
      <c r="AB138" s="205"/>
      <c r="AC138" s="205"/>
      <c r="AD138" s="9"/>
    </row>
    <row r="139" ht="15.75" customHeight="1">
      <c r="A139" s="218"/>
      <c r="B139" s="62"/>
      <c r="C139" s="285" t="s">
        <v>80</v>
      </c>
      <c r="D139" s="255">
        <f t="shared" si="20"/>
        <v>0</v>
      </c>
      <c r="E139" s="284"/>
      <c r="F139" s="269"/>
      <c r="G139" s="256">
        <f t="shared" si="21"/>
        <v>0</v>
      </c>
      <c r="H139" s="1320">
        <v>85000.0</v>
      </c>
      <c r="I139" s="217">
        <f t="shared" si="22"/>
        <v>0</v>
      </c>
      <c r="J139" s="257">
        <f t="shared" si="23"/>
        <v>0</v>
      </c>
      <c r="K139" s="23"/>
      <c r="L139" s="218"/>
      <c r="M139" s="218"/>
      <c r="N139" s="298"/>
      <c r="O139" s="299"/>
      <c r="P139" s="299"/>
      <c r="Q139" s="299"/>
      <c r="R139" s="299"/>
      <c r="S139" s="299"/>
      <c r="T139" s="617"/>
      <c r="U139" s="618"/>
      <c r="V139" s="616"/>
      <c r="W139" s="1322"/>
      <c r="X139" s="266"/>
      <c r="Y139" s="218"/>
      <c r="Z139" s="219"/>
      <c r="AA139" s="205"/>
      <c r="AB139" s="205"/>
      <c r="AC139" s="205"/>
      <c r="AD139" s="9"/>
    </row>
    <row r="140" ht="15.75" customHeight="1">
      <c r="A140" s="218"/>
      <c r="B140" s="62"/>
      <c r="C140" s="285" t="s">
        <v>81</v>
      </c>
      <c r="D140" s="255">
        <f t="shared" si="20"/>
        <v>0</v>
      </c>
      <c r="E140" s="284"/>
      <c r="F140" s="269"/>
      <c r="G140" s="256">
        <f t="shared" si="21"/>
        <v>0</v>
      </c>
      <c r="H140" s="1320">
        <v>150000.0</v>
      </c>
      <c r="I140" s="217">
        <f t="shared" si="22"/>
        <v>0</v>
      </c>
      <c r="J140" s="257">
        <f t="shared" si="23"/>
        <v>0</v>
      </c>
      <c r="K140" s="23"/>
      <c r="L140" s="218"/>
      <c r="M140" s="218"/>
      <c r="N140" s="298"/>
      <c r="O140" s="299"/>
      <c r="P140" s="299"/>
      <c r="Q140" s="299"/>
      <c r="R140" s="299"/>
      <c r="S140" s="299"/>
      <c r="T140" s="617"/>
      <c r="U140" s="618"/>
      <c r="V140" s="616"/>
      <c r="W140" s="1322"/>
      <c r="X140" s="266"/>
      <c r="Y140" s="218"/>
      <c r="Z140" s="219"/>
      <c r="AA140" s="205"/>
      <c r="AB140" s="205"/>
      <c r="AC140" s="205"/>
      <c r="AD140" s="9"/>
    </row>
    <row r="141" ht="15.75" customHeight="1">
      <c r="A141" s="218"/>
      <c r="B141" s="62"/>
      <c r="C141" s="285" t="s">
        <v>85</v>
      </c>
      <c r="D141" s="255">
        <f t="shared" si="20"/>
        <v>0</v>
      </c>
      <c r="E141" s="284"/>
      <c r="F141" s="269"/>
      <c r="G141" s="256">
        <f t="shared" si="21"/>
        <v>0</v>
      </c>
      <c r="H141" s="1320">
        <v>125000.0</v>
      </c>
      <c r="I141" s="217">
        <f t="shared" si="22"/>
        <v>0</v>
      </c>
      <c r="J141" s="257">
        <f t="shared" si="23"/>
        <v>0</v>
      </c>
      <c r="K141" s="23"/>
      <c r="L141" s="218"/>
      <c r="M141" s="218"/>
      <c r="N141" s="298"/>
      <c r="O141" s="299"/>
      <c r="P141" s="299"/>
      <c r="Q141" s="299"/>
      <c r="R141" s="299"/>
      <c r="S141" s="299"/>
      <c r="T141" s="617"/>
      <c r="U141" s="618"/>
      <c r="V141" s="622"/>
      <c r="W141" s="1323"/>
      <c r="X141" s="235"/>
      <c r="Y141" s="218"/>
      <c r="Z141" s="219"/>
      <c r="AA141" s="205"/>
      <c r="AB141" s="205"/>
      <c r="AC141" s="205"/>
      <c r="AD141" s="9"/>
    </row>
    <row r="142" ht="15.75" customHeight="1">
      <c r="A142" s="218"/>
      <c r="B142" s="62"/>
      <c r="C142" s="285" t="s">
        <v>89</v>
      </c>
      <c r="D142" s="255">
        <f t="shared" si="20"/>
        <v>0</v>
      </c>
      <c r="E142" s="284"/>
      <c r="F142" s="269"/>
      <c r="G142" s="256">
        <f t="shared" si="21"/>
        <v>0</v>
      </c>
      <c r="H142" s="1320">
        <v>35000.0</v>
      </c>
      <c r="I142" s="217">
        <f t="shared" si="22"/>
        <v>0</v>
      </c>
      <c r="J142" s="257">
        <f t="shared" si="23"/>
        <v>0</v>
      </c>
      <c r="K142" s="23"/>
      <c r="L142" s="218"/>
      <c r="M142" s="218"/>
      <c r="N142" s="298"/>
      <c r="O142" s="299"/>
      <c r="P142" s="299"/>
      <c r="Q142" s="299"/>
      <c r="R142" s="299"/>
      <c r="S142" s="299"/>
      <c r="T142" s="617"/>
      <c r="U142" s="618"/>
      <c r="V142" s="616"/>
      <c r="W142" s="1322"/>
      <c r="X142" s="266"/>
      <c r="Y142" s="218"/>
      <c r="Z142" s="219"/>
      <c r="AA142" s="205"/>
      <c r="AB142" s="205"/>
      <c r="AC142" s="205"/>
      <c r="AD142" s="9"/>
    </row>
    <row r="143" ht="15.75" customHeight="1">
      <c r="A143" s="218"/>
      <c r="B143" s="62"/>
      <c r="C143" s="285" t="s">
        <v>93</v>
      </c>
      <c r="D143" s="255">
        <f t="shared" si="20"/>
        <v>8</v>
      </c>
      <c r="E143" s="284"/>
      <c r="F143" s="269"/>
      <c r="G143" s="256">
        <f t="shared" si="21"/>
        <v>8</v>
      </c>
      <c r="H143" s="1320">
        <v>90000.0</v>
      </c>
      <c r="I143" s="217">
        <f t="shared" si="22"/>
        <v>720000</v>
      </c>
      <c r="J143" s="257">
        <f t="shared" si="23"/>
        <v>0</v>
      </c>
      <c r="K143" s="23"/>
      <c r="L143" s="218"/>
      <c r="M143" s="218"/>
      <c r="N143" s="298"/>
      <c r="O143" s="299"/>
      <c r="P143" s="299"/>
      <c r="Q143" s="299"/>
      <c r="R143" s="299"/>
      <c r="S143" s="299"/>
      <c r="T143" s="617"/>
      <c r="U143" s="618"/>
      <c r="V143" s="616"/>
      <c r="W143" s="1322"/>
      <c r="X143" s="266"/>
      <c r="Y143" s="218"/>
      <c r="Z143" s="219"/>
      <c r="AA143" s="205"/>
      <c r="AB143" s="205"/>
      <c r="AC143" s="205"/>
      <c r="AD143" s="9"/>
    </row>
    <row r="144" ht="15.75" customHeight="1">
      <c r="A144" s="218"/>
      <c r="B144" s="62"/>
      <c r="C144" s="285" t="s">
        <v>94</v>
      </c>
      <c r="D144" s="255">
        <f t="shared" si="20"/>
        <v>0</v>
      </c>
      <c r="E144" s="284"/>
      <c r="F144" s="269"/>
      <c r="G144" s="256">
        <f t="shared" si="21"/>
        <v>0</v>
      </c>
      <c r="H144" s="1320">
        <v>140000.0</v>
      </c>
      <c r="I144" s="217">
        <f t="shared" si="22"/>
        <v>0</v>
      </c>
      <c r="J144" s="257">
        <f t="shared" si="23"/>
        <v>0</v>
      </c>
      <c r="K144" s="23"/>
      <c r="L144" s="218"/>
      <c r="M144" s="218"/>
      <c r="N144" s="298"/>
      <c r="O144" s="299"/>
      <c r="P144" s="299"/>
      <c r="Q144" s="299"/>
      <c r="R144" s="299"/>
      <c r="S144" s="299"/>
      <c r="T144" s="617"/>
      <c r="U144" s="618"/>
      <c r="V144" s="611"/>
      <c r="W144" s="1317"/>
      <c r="X144" s="266"/>
      <c r="Y144" s="218"/>
      <c r="Z144" s="219"/>
      <c r="AA144" s="205"/>
      <c r="AB144" s="205"/>
      <c r="AC144" s="205"/>
      <c r="AD144" s="9"/>
    </row>
    <row r="145" ht="15.75" customHeight="1">
      <c r="A145" s="218"/>
      <c r="B145" s="62"/>
      <c r="C145" s="285" t="s">
        <v>97</v>
      </c>
      <c r="D145" s="613">
        <v>4.0</v>
      </c>
      <c r="E145" s="284"/>
      <c r="F145" s="269"/>
      <c r="G145" s="256">
        <f t="shared" si="21"/>
        <v>4</v>
      </c>
      <c r="H145" s="1320">
        <v>95000.0</v>
      </c>
      <c r="I145" s="217">
        <f t="shared" si="22"/>
        <v>380000</v>
      </c>
      <c r="J145" s="257">
        <f t="shared" si="23"/>
        <v>0</v>
      </c>
      <c r="K145" s="23"/>
      <c r="L145" s="218"/>
      <c r="M145" s="218"/>
      <c r="N145" s="298"/>
      <c r="O145" s="299"/>
      <c r="P145" s="299"/>
      <c r="Q145" s="299"/>
      <c r="R145" s="299"/>
      <c r="S145" s="299"/>
      <c r="T145" s="617"/>
      <c r="U145" s="608"/>
      <c r="V145" s="611"/>
      <c r="W145" s="1317"/>
      <c r="X145" s="266"/>
      <c r="Y145" s="218"/>
      <c r="Z145" s="219"/>
      <c r="AA145" s="205"/>
      <c r="AB145" s="205"/>
      <c r="AC145" s="205"/>
      <c r="AD145" s="9"/>
    </row>
    <row r="146" ht="15.75" customHeight="1">
      <c r="A146" s="218"/>
      <c r="B146" s="62"/>
      <c r="C146" s="285" t="s">
        <v>99</v>
      </c>
      <c r="D146" s="255">
        <f t="shared" ref="D146:D150" si="27">SUMIF($G$4:$G$105,C146,$H$4:$H$105)</f>
        <v>0</v>
      </c>
      <c r="E146" s="284"/>
      <c r="F146" s="269"/>
      <c r="G146" s="256">
        <f t="shared" si="21"/>
        <v>0</v>
      </c>
      <c r="H146" s="1320">
        <v>140000.0</v>
      </c>
      <c r="I146" s="217">
        <f t="shared" si="22"/>
        <v>0</v>
      </c>
      <c r="J146" s="257">
        <f t="shared" si="23"/>
        <v>0</v>
      </c>
      <c r="K146" s="23"/>
      <c r="L146" s="218"/>
      <c r="M146" s="218"/>
      <c r="N146" s="298"/>
      <c r="O146" s="299"/>
      <c r="P146" s="299"/>
      <c r="Q146" s="299"/>
      <c r="R146" s="299"/>
      <c r="S146" s="299"/>
      <c r="T146" s="218"/>
      <c r="U146" s="608"/>
      <c r="V146" s="611"/>
      <c r="W146" s="1317"/>
      <c r="X146" s="266"/>
      <c r="Y146" s="218"/>
      <c r="Z146" s="219"/>
      <c r="AA146" s="205"/>
      <c r="AB146" s="205"/>
      <c r="AC146" s="205"/>
      <c r="AD146" s="9"/>
    </row>
    <row r="147" ht="15.75" customHeight="1">
      <c r="A147" s="218"/>
      <c r="B147" s="62"/>
      <c r="C147" s="285" t="s">
        <v>101</v>
      </c>
      <c r="D147" s="255">
        <f t="shared" si="27"/>
        <v>0</v>
      </c>
      <c r="E147" s="284"/>
      <c r="F147" s="269"/>
      <c r="G147" s="256">
        <f t="shared" si="21"/>
        <v>0</v>
      </c>
      <c r="H147" s="1320">
        <v>150000.0</v>
      </c>
      <c r="I147" s="217">
        <f t="shared" si="22"/>
        <v>0</v>
      </c>
      <c r="J147" s="257">
        <f t="shared" si="23"/>
        <v>0</v>
      </c>
      <c r="K147" s="23"/>
      <c r="L147" s="218"/>
      <c r="M147" s="218"/>
      <c r="N147" s="298"/>
      <c r="O147" s="299"/>
      <c r="P147" s="299"/>
      <c r="Q147" s="299"/>
      <c r="R147" s="299"/>
      <c r="S147" s="299"/>
      <c r="T147" s="218"/>
      <c r="U147" s="608"/>
      <c r="V147" s="611"/>
      <c r="W147" s="1317"/>
      <c r="X147" s="266"/>
      <c r="Y147" s="218"/>
      <c r="Z147" s="219"/>
      <c r="AA147" s="205"/>
      <c r="AB147" s="205"/>
      <c r="AC147" s="205"/>
      <c r="AD147" s="9"/>
    </row>
    <row r="148" ht="15.75" customHeight="1">
      <c r="A148" s="218"/>
      <c r="B148" s="62"/>
      <c r="C148" s="285" t="s">
        <v>109</v>
      </c>
      <c r="D148" s="255">
        <f t="shared" si="27"/>
        <v>0</v>
      </c>
      <c r="E148" s="284"/>
      <c r="F148" s="269"/>
      <c r="G148" s="256">
        <f t="shared" si="21"/>
        <v>0</v>
      </c>
      <c r="H148" s="1320">
        <v>125000.0</v>
      </c>
      <c r="I148" s="217">
        <f t="shared" si="22"/>
        <v>0</v>
      </c>
      <c r="J148" s="257">
        <f t="shared" si="23"/>
        <v>0</v>
      </c>
      <c r="K148" s="23"/>
      <c r="L148" s="218"/>
      <c r="M148" s="218"/>
      <c r="N148" s="298"/>
      <c r="O148" s="299"/>
      <c r="P148" s="299"/>
      <c r="Q148" s="299"/>
      <c r="R148" s="299"/>
      <c r="S148" s="299"/>
      <c r="T148" s="218"/>
      <c r="U148" s="608"/>
      <c r="V148" s="622"/>
      <c r="W148" s="1323"/>
      <c r="X148" s="235"/>
      <c r="Y148" s="218"/>
      <c r="Z148" s="219"/>
      <c r="AA148" s="205"/>
      <c r="AB148" s="205"/>
      <c r="AC148" s="205"/>
      <c r="AD148" s="9"/>
    </row>
    <row r="149" ht="15.75" customHeight="1">
      <c r="A149" s="218"/>
      <c r="B149" s="62"/>
      <c r="C149" s="285" t="s">
        <v>113</v>
      </c>
      <c r="D149" s="255">
        <f t="shared" si="27"/>
        <v>0</v>
      </c>
      <c r="E149" s="284"/>
      <c r="F149" s="269"/>
      <c r="G149" s="256">
        <f t="shared" si="21"/>
        <v>0</v>
      </c>
      <c r="H149" s="1320">
        <v>75000.0</v>
      </c>
      <c r="I149" s="217">
        <f t="shared" si="22"/>
        <v>0</v>
      </c>
      <c r="J149" s="257">
        <f t="shared" si="23"/>
        <v>0</v>
      </c>
      <c r="K149" s="23"/>
      <c r="L149" s="218"/>
      <c r="M149" s="218"/>
      <c r="N149" s="298"/>
      <c r="O149" s="299"/>
      <c r="P149" s="299"/>
      <c r="Q149" s="299"/>
      <c r="R149" s="299"/>
      <c r="S149" s="299"/>
      <c r="T149" s="218"/>
      <c r="U149" s="608"/>
      <c r="V149" s="622"/>
      <c r="W149" s="1323"/>
      <c r="X149" s="235"/>
      <c r="Y149" s="218"/>
      <c r="Z149" s="219"/>
      <c r="AA149" s="205"/>
      <c r="AB149" s="205"/>
      <c r="AC149" s="205"/>
      <c r="AD149" s="9"/>
    </row>
    <row r="150" ht="15.75" customHeight="1">
      <c r="A150" s="218"/>
      <c r="B150" s="67"/>
      <c r="C150" s="300" t="s">
        <v>116</v>
      </c>
      <c r="D150" s="255">
        <f t="shared" si="27"/>
        <v>0</v>
      </c>
      <c r="E150" s="501"/>
      <c r="F150" s="305"/>
      <c r="G150" s="624">
        <f t="shared" si="21"/>
        <v>0</v>
      </c>
      <c r="H150" s="1324">
        <v>475000.0</v>
      </c>
      <c r="I150" s="217">
        <f t="shared" si="22"/>
        <v>0</v>
      </c>
      <c r="J150" s="257">
        <f t="shared" si="23"/>
        <v>0</v>
      </c>
      <c r="K150" s="23"/>
      <c r="L150" s="218"/>
      <c r="M150" s="218"/>
      <c r="N150" s="298"/>
      <c r="O150" s="299"/>
      <c r="P150" s="299"/>
      <c r="Q150" s="299"/>
      <c r="R150" s="299"/>
      <c r="S150" s="299"/>
      <c r="T150" s="218"/>
      <c r="U150" s="608"/>
      <c r="V150" s="622"/>
      <c r="W150" s="1323"/>
      <c r="X150" s="235"/>
      <c r="Y150" s="218"/>
      <c r="Z150" s="219"/>
      <c r="AA150" s="205"/>
      <c r="AB150" s="205"/>
      <c r="AC150" s="205"/>
      <c r="AD150" s="9"/>
    </row>
    <row r="151" ht="22.5" customHeight="1">
      <c r="A151" s="218"/>
      <c r="B151" s="1325" t="s">
        <v>419</v>
      </c>
      <c r="C151" s="16"/>
      <c r="D151" s="16"/>
      <c r="E151" s="16"/>
      <c r="F151" s="16"/>
      <c r="G151" s="16"/>
      <c r="H151" s="17"/>
      <c r="I151" s="1326">
        <f>SUM(I112:I127)</f>
        <v>48395000</v>
      </c>
      <c r="J151" s="23"/>
      <c r="K151" s="23"/>
      <c r="L151" s="218"/>
      <c r="M151" s="218"/>
      <c r="N151" s="298"/>
      <c r="O151" s="299"/>
      <c r="P151" s="299"/>
      <c r="Q151" s="299"/>
      <c r="R151" s="299"/>
      <c r="S151" s="299"/>
      <c r="T151" s="299"/>
      <c r="U151" s="608"/>
      <c r="V151" s="601"/>
      <c r="W151" s="1314"/>
      <c r="X151" s="235"/>
      <c r="Y151" s="218"/>
      <c r="Z151" s="219"/>
      <c r="AA151" s="205"/>
      <c r="AB151" s="205"/>
      <c r="AC151" s="205"/>
      <c r="AD151" s="9"/>
    </row>
    <row r="152" ht="22.5" customHeight="1">
      <c r="A152" s="218"/>
      <c r="B152" s="308" t="s">
        <v>385</v>
      </c>
      <c r="C152" s="16"/>
      <c r="D152" s="16"/>
      <c r="E152" s="16"/>
      <c r="F152" s="16"/>
      <c r="G152" s="16"/>
      <c r="H152" s="17"/>
      <c r="I152" s="309">
        <f>SUM(I128:I150)</f>
        <v>3305000</v>
      </c>
      <c r="J152" s="23"/>
      <c r="K152" s="1327" t="s">
        <v>420</v>
      </c>
      <c r="L152" s="16"/>
      <c r="M152" s="17"/>
      <c r="N152" s="298"/>
      <c r="O152" s="299"/>
      <c r="P152" s="299"/>
      <c r="Q152" s="299"/>
      <c r="R152" s="299"/>
      <c r="S152" s="299"/>
      <c r="T152" s="299"/>
      <c r="U152" s="608"/>
      <c r="V152" s="601"/>
      <c r="W152" s="1314"/>
      <c r="X152" s="235"/>
      <c r="Y152" s="218"/>
      <c r="Z152" s="219"/>
      <c r="AA152" s="205"/>
      <c r="AB152" s="205"/>
      <c r="AC152" s="205"/>
      <c r="AD152" s="9"/>
    </row>
    <row r="153" ht="22.5" customHeight="1">
      <c r="A153" s="218"/>
      <c r="B153" s="312" t="s">
        <v>421</v>
      </c>
      <c r="C153" s="16"/>
      <c r="D153" s="16"/>
      <c r="E153" s="16"/>
      <c r="F153" s="16"/>
      <c r="G153" s="16"/>
      <c r="H153" s="17"/>
      <c r="I153" s="313">
        <f>SUM(I151:I152)</f>
        <v>51700000</v>
      </c>
      <c r="J153" s="23"/>
      <c r="K153" s="314" t="s">
        <v>422</v>
      </c>
      <c r="L153" s="625">
        <v>1.096E7</v>
      </c>
      <c r="M153" s="316"/>
      <c r="N153" s="234"/>
      <c r="O153" s="218"/>
      <c r="P153" s="218"/>
      <c r="Q153" s="218"/>
      <c r="R153" s="218"/>
      <c r="S153" s="218"/>
      <c r="T153" s="218"/>
      <c r="U153" s="601"/>
      <c r="V153" s="601"/>
      <c r="W153" s="1314"/>
      <c r="X153" s="235"/>
      <c r="Y153" s="218"/>
      <c r="Z153" s="219"/>
      <c r="AA153" s="205"/>
      <c r="AB153" s="205"/>
      <c r="AC153" s="205"/>
      <c r="AD153" s="9"/>
    </row>
    <row r="154" ht="22.5" customHeight="1">
      <c r="A154" s="218"/>
      <c r="B154" s="317"/>
      <c r="C154" s="16"/>
      <c r="D154" s="17"/>
      <c r="E154" s="318" t="s">
        <v>423</v>
      </c>
      <c r="F154" s="16"/>
      <c r="G154" s="16"/>
      <c r="H154" s="17"/>
      <c r="I154" s="319">
        <f>N103</f>
        <v>51870000</v>
      </c>
      <c r="J154" s="23"/>
      <c r="K154" s="314" t="s">
        <v>424</v>
      </c>
      <c r="L154" s="316">
        <f>sumif(P4:P102,"Đã thu",K4:K102)</f>
        <v>42680000</v>
      </c>
      <c r="M154" s="316"/>
      <c r="N154" s="234"/>
      <c r="O154" s="218"/>
      <c r="P154" s="218"/>
      <c r="Q154" s="218"/>
      <c r="R154" s="218"/>
      <c r="S154" s="218"/>
      <c r="T154" s="218"/>
      <c r="U154" s="601"/>
      <c r="V154" s="601"/>
      <c r="W154" s="1314"/>
      <c r="X154" s="235"/>
      <c r="Y154" s="218"/>
      <c r="Z154" s="219"/>
      <c r="AA154" s="205"/>
      <c r="AB154" s="205"/>
      <c r="AC154" s="205"/>
      <c r="AD154" s="9"/>
    </row>
    <row r="155" ht="22.5" customHeight="1">
      <c r="A155" s="218"/>
      <c r="B155" s="321" t="s">
        <v>425</v>
      </c>
      <c r="C155" s="16"/>
      <c r="D155" s="16"/>
      <c r="E155" s="16"/>
      <c r="F155" s="16"/>
      <c r="G155" s="16"/>
      <c r="H155" s="17"/>
      <c r="I155" s="322">
        <f>SUMIF(P4:P102,"Đã thu",N4:N102)</f>
        <v>42810000</v>
      </c>
      <c r="J155" s="23"/>
      <c r="K155" s="507" t="s">
        <v>415</v>
      </c>
      <c r="L155" s="315">
        <f>I152</f>
        <v>3305000</v>
      </c>
      <c r="M155" s="324"/>
      <c r="N155" s="234"/>
      <c r="O155" s="218"/>
      <c r="P155" s="218"/>
      <c r="Q155" s="218"/>
      <c r="R155" s="218"/>
      <c r="S155" s="218"/>
      <c r="T155" s="218"/>
      <c r="U155" s="601"/>
      <c r="V155" s="601"/>
      <c r="W155" s="1314"/>
      <c r="X155" s="235"/>
      <c r="Y155" s="218"/>
      <c r="Z155" s="219"/>
      <c r="AA155" s="205"/>
      <c r="AB155" s="205"/>
      <c r="AC155" s="205"/>
      <c r="AD155" s="9"/>
    </row>
    <row r="156" ht="22.5" customHeight="1">
      <c r="A156" s="325"/>
      <c r="B156" s="326" t="s">
        <v>426</v>
      </c>
      <c r="C156" s="16"/>
      <c r="D156" s="16"/>
      <c r="E156" s="16"/>
      <c r="F156" s="16"/>
      <c r="G156" s="16"/>
      <c r="H156" s="17"/>
      <c r="I156" s="327">
        <f>I154-I155</f>
        <v>9060000</v>
      </c>
      <c r="J156" s="23"/>
      <c r="K156" s="328" t="s">
        <v>407</v>
      </c>
      <c r="L156" s="315">
        <f>sum(L153:L154)-L155</f>
        <v>50335000</v>
      </c>
      <c r="M156" s="324"/>
      <c r="N156" s="234"/>
      <c r="O156" s="218"/>
      <c r="P156" s="218"/>
      <c r="Q156" s="218"/>
      <c r="R156" s="218"/>
      <c r="S156" s="218"/>
      <c r="T156" s="218"/>
      <c r="U156" s="601"/>
      <c r="V156" s="601"/>
      <c r="W156" s="1314"/>
      <c r="X156" s="235"/>
      <c r="Y156" s="218"/>
      <c r="Z156" s="219"/>
      <c r="AA156" s="205"/>
      <c r="AB156" s="205"/>
      <c r="AC156" s="205"/>
      <c r="AD156" s="9"/>
    </row>
    <row r="157" ht="22.5" customHeight="1">
      <c r="A157" s="325"/>
      <c r="B157" s="330" t="s">
        <v>427</v>
      </c>
      <c r="C157" s="16"/>
      <c r="D157" s="16"/>
      <c r="E157" s="16"/>
      <c r="F157" s="16"/>
      <c r="G157" s="16"/>
      <c r="H157" s="17"/>
      <c r="I157" s="331">
        <f>L103+Q103</f>
        <v>2777769</v>
      </c>
      <c r="J157" s="23"/>
      <c r="K157" s="335"/>
      <c r="L157" s="299"/>
      <c r="M157" s="218"/>
      <c r="N157" s="234"/>
      <c r="O157" s="218"/>
      <c r="P157" s="218"/>
      <c r="Q157" s="218"/>
      <c r="R157" s="218"/>
      <c r="S157" s="218"/>
      <c r="T157" s="218"/>
      <c r="U157" s="601"/>
      <c r="V157" s="601"/>
      <c r="W157" s="1314"/>
      <c r="X157" s="235"/>
      <c r="Y157" s="218"/>
      <c r="Z157" s="219"/>
      <c r="AA157" s="205"/>
      <c r="AB157" s="205"/>
      <c r="AC157" s="205"/>
      <c r="AD157" s="9"/>
    </row>
    <row r="158" ht="22.5" customHeight="1">
      <c r="A158" s="218"/>
      <c r="B158" s="321" t="s">
        <v>428</v>
      </c>
      <c r="C158" s="16"/>
      <c r="D158" s="16"/>
      <c r="E158" s="16"/>
      <c r="F158" s="16"/>
      <c r="G158" s="16"/>
      <c r="H158" s="17"/>
      <c r="I158" s="207">
        <f>SUMIF($S$4:$S$102,"x",Q4:Q102)+SUMIF($S$4:$S$102,"x",$L$4:$L$102)</f>
        <v>2188777</v>
      </c>
      <c r="J158" s="23"/>
      <c r="K158" s="335">
        <f>I153-L154</f>
        <v>9020000</v>
      </c>
      <c r="L158" s="299"/>
      <c r="M158" s="299"/>
      <c r="N158" s="234"/>
      <c r="O158" s="218"/>
      <c r="P158" s="218"/>
      <c r="Q158" s="218"/>
      <c r="R158" s="218"/>
      <c r="S158" s="218"/>
      <c r="T158" s="218"/>
      <c r="U158" s="601"/>
      <c r="V158" s="601"/>
      <c r="W158" s="1314"/>
      <c r="X158" s="235"/>
      <c r="Y158" s="218"/>
      <c r="Z158" s="219"/>
      <c r="AA158" s="205"/>
      <c r="AB158" s="205"/>
      <c r="AC158" s="205"/>
      <c r="AD158" s="9"/>
    </row>
    <row r="159" ht="22.5" customHeight="1">
      <c r="A159" s="218"/>
      <c r="B159" s="326" t="s">
        <v>429</v>
      </c>
      <c r="C159" s="16"/>
      <c r="D159" s="16"/>
      <c r="E159" s="16"/>
      <c r="F159" s="16"/>
      <c r="G159" s="16"/>
      <c r="H159" s="17"/>
      <c r="I159" s="327">
        <f>I157-I158</f>
        <v>588992</v>
      </c>
      <c r="J159" s="23"/>
      <c r="K159" s="335"/>
      <c r="L159" s="1328"/>
      <c r="M159" s="1328"/>
      <c r="N159" s="234"/>
      <c r="O159" s="218"/>
      <c r="P159" s="218"/>
      <c r="Q159" s="218"/>
      <c r="R159" s="218"/>
      <c r="S159" s="218"/>
      <c r="T159" s="218"/>
      <c r="U159" s="601"/>
      <c r="V159" s="601"/>
      <c r="W159" s="1314"/>
      <c r="X159" s="235"/>
      <c r="Y159" s="218"/>
      <c r="Z159" s="219"/>
      <c r="AA159" s="205"/>
      <c r="AB159" s="205"/>
      <c r="AC159" s="205"/>
      <c r="AD159" s="9"/>
    </row>
    <row r="160" ht="15.75" customHeight="1">
      <c r="A160" s="218"/>
      <c r="B160" s="336"/>
      <c r="C160" s="336"/>
      <c r="D160" s="336"/>
      <c r="E160" s="337"/>
      <c r="F160" s="338"/>
      <c r="G160" s="218"/>
      <c r="H160" s="218"/>
      <c r="I160" s="218"/>
      <c r="J160" s="218"/>
      <c r="K160" s="23"/>
      <c r="L160" s="1328"/>
      <c r="M160" s="218"/>
      <c r="N160" s="234"/>
      <c r="O160" s="218"/>
      <c r="P160" s="218"/>
      <c r="Q160" s="218"/>
      <c r="R160" s="218"/>
      <c r="S160" s="218"/>
      <c r="T160" s="218"/>
      <c r="U160" s="601"/>
      <c r="V160" s="601"/>
      <c r="W160" s="1314"/>
      <c r="X160" s="235"/>
      <c r="Y160" s="218"/>
      <c r="Z160" s="219"/>
      <c r="AA160" s="205"/>
      <c r="AB160" s="205"/>
      <c r="AC160" s="205"/>
      <c r="AD160" s="9"/>
    </row>
    <row r="161" ht="15.75" customHeight="1">
      <c r="A161" s="339" t="s">
        <v>430</v>
      </c>
      <c r="E161" s="337"/>
      <c r="F161" s="338"/>
      <c r="G161" s="218"/>
      <c r="H161" s="218"/>
      <c r="I161" s="218"/>
      <c r="J161" s="218"/>
      <c r="K161" s="23"/>
      <c r="L161" s="218"/>
      <c r="M161" s="218"/>
      <c r="N161" s="234"/>
      <c r="O161" s="218"/>
      <c r="P161" s="218"/>
      <c r="Q161" s="218"/>
      <c r="R161" s="218"/>
      <c r="S161" s="218"/>
      <c r="T161" s="218"/>
      <c r="U161" s="601"/>
      <c r="V161" s="601"/>
      <c r="W161" s="1314"/>
      <c r="X161" s="235"/>
      <c r="Y161" s="218"/>
      <c r="Z161" s="219"/>
      <c r="AA161" s="205"/>
      <c r="AB161" s="205"/>
      <c r="AC161" s="205"/>
      <c r="AD161" s="9"/>
    </row>
    <row r="162" ht="15.75" customHeight="1">
      <c r="A162" s="340"/>
      <c r="B162" s="341"/>
      <c r="C162" s="341"/>
      <c r="D162" s="341"/>
      <c r="E162" s="341"/>
      <c r="F162" s="341"/>
      <c r="G162" s="341"/>
      <c r="H162" s="342"/>
      <c r="I162" s="341"/>
      <c r="J162" s="341"/>
      <c r="K162" s="341"/>
      <c r="L162" s="341"/>
      <c r="M162" s="341"/>
      <c r="N162" s="343"/>
      <c r="O162" s="344"/>
      <c r="P162" s="344"/>
      <c r="Q162" s="345"/>
      <c r="R162" s="344"/>
      <c r="S162" s="344"/>
      <c r="T162" s="344"/>
      <c r="U162" s="662"/>
      <c r="V162" s="662"/>
      <c r="W162" s="1329"/>
      <c r="X162" s="344"/>
      <c r="Y162" s="344"/>
      <c r="Z162" s="219"/>
      <c r="AA162" s="205"/>
      <c r="AB162" s="205"/>
      <c r="AC162" s="205"/>
      <c r="AD162" s="9"/>
    </row>
    <row r="163" ht="15.75" customHeight="1">
      <c r="A163" s="340"/>
      <c r="B163" s="346" t="s">
        <v>431</v>
      </c>
      <c r="C163" s="347" t="s">
        <v>432</v>
      </c>
      <c r="D163" s="348" t="s">
        <v>433</v>
      </c>
      <c r="E163" s="348" t="s">
        <v>434</v>
      </c>
      <c r="F163" s="349" t="s">
        <v>5</v>
      </c>
      <c r="G163" s="348" t="s">
        <v>435</v>
      </c>
      <c r="H163" s="348" t="s">
        <v>25</v>
      </c>
      <c r="I163" s="349" t="s">
        <v>26</v>
      </c>
      <c r="J163" s="349" t="s">
        <v>436</v>
      </c>
      <c r="K163" s="349" t="s">
        <v>437</v>
      </c>
      <c r="L163" s="349" t="s">
        <v>438</v>
      </c>
      <c r="M163" s="932" t="s">
        <v>9</v>
      </c>
      <c r="N163" s="933" t="s">
        <v>439</v>
      </c>
      <c r="O163" s="17"/>
      <c r="P163" s="344"/>
      <c r="Q163" s="340"/>
      <c r="R163" s="340"/>
      <c r="S163" s="340"/>
      <c r="T163" s="340"/>
      <c r="U163" s="779"/>
      <c r="V163" s="780"/>
      <c r="W163" s="1330"/>
      <c r="X163" s="340"/>
      <c r="Y163" s="299"/>
      <c r="Z163" s="353"/>
      <c r="AA163" s="205"/>
      <c r="AB163" s="205"/>
      <c r="AC163" s="205"/>
      <c r="AD163" s="9"/>
    </row>
    <row r="164" ht="36.75" customHeight="1">
      <c r="A164" s="354"/>
      <c r="B164" s="634">
        <v>3.0</v>
      </c>
      <c r="C164" s="635">
        <v>45015.0</v>
      </c>
      <c r="D164" s="1141">
        <v>1.706212305767E12</v>
      </c>
      <c r="E164" s="1331" t="s">
        <v>1947</v>
      </c>
      <c r="F164" s="97" t="s">
        <v>2011</v>
      </c>
      <c r="G164" s="96" t="s">
        <v>2012</v>
      </c>
      <c r="H164" s="366" t="s">
        <v>122</v>
      </c>
      <c r="I164" s="1332">
        <v>1.0</v>
      </c>
      <c r="J164" s="782">
        <v>220000.0</v>
      </c>
      <c r="K164" s="359">
        <f t="shared" ref="K164:K165" si="28">J164*I164</f>
        <v>220000</v>
      </c>
      <c r="L164" s="935"/>
      <c r="M164" s="1333">
        <f>50999+5000</f>
        <v>55999</v>
      </c>
      <c r="N164" s="1334" t="s">
        <v>2013</v>
      </c>
      <c r="O164" s="938"/>
      <c r="P164" s="344"/>
      <c r="Q164" s="364"/>
      <c r="R164" s="364"/>
      <c r="S164" s="364"/>
      <c r="T164" s="364"/>
      <c r="U164" s="601"/>
      <c r="V164" s="622"/>
      <c r="W164" s="920"/>
      <c r="X164" s="364"/>
      <c r="Y164" s="364"/>
      <c r="Z164" s="365"/>
      <c r="AA164" s="205"/>
      <c r="AB164" s="205"/>
      <c r="AC164" s="205"/>
      <c r="AD164" s="9"/>
    </row>
    <row r="165" ht="36.75" customHeight="1">
      <c r="A165" s="354"/>
      <c r="B165" s="67"/>
      <c r="C165" s="67"/>
      <c r="D165" s="67"/>
      <c r="E165" s="67"/>
      <c r="F165" s="67"/>
      <c r="G165" s="67"/>
      <c r="H165" s="366" t="s">
        <v>144</v>
      </c>
      <c r="I165" s="1332">
        <v>1.0</v>
      </c>
      <c r="J165" s="782">
        <v>220000.0</v>
      </c>
      <c r="K165" s="359">
        <f t="shared" si="28"/>
        <v>220000</v>
      </c>
      <c r="L165" s="67"/>
      <c r="M165" s="453"/>
      <c r="N165" s="154"/>
      <c r="O165" s="102"/>
      <c r="P165" s="642"/>
      <c r="Q165" s="784"/>
      <c r="R165" s="364"/>
      <c r="S165" s="364"/>
      <c r="T165" s="364"/>
      <c r="U165" s="601"/>
      <c r="V165" s="601"/>
      <c r="W165" s="915"/>
      <c r="X165" s="370"/>
      <c r="Y165" s="364"/>
      <c r="Z165" s="365"/>
      <c r="AA165" s="205"/>
      <c r="AB165" s="205"/>
      <c r="AC165" s="205"/>
      <c r="AD165" s="9"/>
    </row>
    <row r="166" ht="31.5" customHeight="1">
      <c r="A166" s="354"/>
      <c r="B166" s="389" t="s">
        <v>421</v>
      </c>
      <c r="C166" s="16"/>
      <c r="D166" s="16"/>
      <c r="E166" s="16"/>
      <c r="F166" s="16"/>
      <c r="G166" s="16"/>
      <c r="H166" s="16"/>
      <c r="I166" s="16"/>
      <c r="J166" s="17"/>
      <c r="K166" s="1191">
        <f>SUM(K164:K165)</f>
        <v>440000</v>
      </c>
      <c r="L166" s="392"/>
      <c r="M166" s="967">
        <f>SUM(M164:M165)</f>
        <v>55999</v>
      </c>
      <c r="N166" s="542"/>
      <c r="O166" s="17"/>
      <c r="P166" s="344"/>
      <c r="Q166" s="364"/>
      <c r="R166" s="364"/>
      <c r="S166" s="364"/>
      <c r="T166" s="364"/>
      <c r="U166" s="601"/>
      <c r="V166" s="601"/>
      <c r="W166" s="915"/>
      <c r="X166" s="370"/>
      <c r="Y166" s="364"/>
      <c r="Z166" s="365"/>
      <c r="AA166" s="205"/>
      <c r="AB166" s="205"/>
      <c r="AC166" s="205"/>
      <c r="AD166" s="9"/>
    </row>
    <row r="167" ht="15.75" customHeight="1">
      <c r="A167" s="344"/>
      <c r="B167" s="345"/>
      <c r="C167" s="394"/>
      <c r="D167" s="395"/>
      <c r="E167" s="395"/>
      <c r="F167" s="395"/>
      <c r="G167" s="396"/>
      <c r="H167" s="345"/>
      <c r="I167" s="344"/>
      <c r="J167" s="344"/>
      <c r="K167" s="107"/>
      <c r="L167" s="344"/>
      <c r="M167" s="344"/>
      <c r="N167" s="343"/>
      <c r="O167" s="344"/>
      <c r="P167" s="344"/>
      <c r="Q167" s="345"/>
      <c r="R167" s="344"/>
      <c r="S167" s="344"/>
      <c r="T167" s="344"/>
      <c r="U167" s="662"/>
      <c r="V167" s="662"/>
      <c r="W167" s="1329"/>
      <c r="X167" s="344"/>
      <c r="Y167" s="344"/>
      <c r="Z167" s="219"/>
      <c r="AA167" s="205"/>
      <c r="AB167" s="205"/>
      <c r="AC167" s="205"/>
      <c r="AD167" s="9"/>
    </row>
    <row r="168" ht="15.75" customHeight="1">
      <c r="A168" s="9"/>
      <c r="B168" s="223"/>
      <c r="C168" s="394"/>
      <c r="D168" s="395"/>
      <c r="E168" s="395"/>
      <c r="F168" s="395"/>
      <c r="G168" s="396"/>
      <c r="H168" s="224"/>
      <c r="I168" s="225"/>
      <c r="J168" s="225"/>
      <c r="K168" s="22"/>
      <c r="L168" s="9"/>
      <c r="M168" s="9"/>
      <c r="N168" s="226"/>
      <c r="O168" s="9"/>
      <c r="P168" s="9"/>
      <c r="Q168" s="223"/>
      <c r="R168" s="9"/>
      <c r="S168" s="9"/>
      <c r="T168" s="9"/>
      <c r="U168" s="913"/>
      <c r="V168" s="913"/>
      <c r="W168" s="1313"/>
      <c r="X168" s="9"/>
      <c r="Y168" s="9"/>
      <c r="Z168" s="204"/>
      <c r="AA168" s="205"/>
      <c r="AB168" s="205"/>
      <c r="AC168" s="205"/>
      <c r="AD168" s="9"/>
    </row>
    <row r="169" ht="15.75" customHeight="1">
      <c r="A169" s="9"/>
      <c r="B169" s="223"/>
      <c r="C169" s="397"/>
      <c r="D169" s="9"/>
      <c r="E169" s="9"/>
      <c r="F169" s="222"/>
      <c r="G169" s="223"/>
      <c r="H169" s="224"/>
      <c r="I169" s="225"/>
      <c r="J169" s="225"/>
      <c r="K169" s="22"/>
      <c r="L169" s="9"/>
      <c r="M169" s="9"/>
      <c r="N169" s="226"/>
      <c r="O169" s="9"/>
      <c r="P169" s="9"/>
      <c r="Q169" s="223"/>
      <c r="R169" s="9"/>
      <c r="S169" s="9"/>
      <c r="T169" s="9"/>
      <c r="U169" s="913"/>
      <c r="V169" s="913"/>
      <c r="W169" s="1313"/>
      <c r="X169" s="9"/>
      <c r="Y169" s="9"/>
      <c r="Z169" s="204"/>
      <c r="AA169" s="9"/>
      <c r="AB169" s="9"/>
      <c r="AC169" s="9"/>
      <c r="AD169" s="9"/>
    </row>
    <row r="170" ht="15.75" customHeight="1">
      <c r="A170" s="9"/>
      <c r="B170" s="794" t="s">
        <v>1302</v>
      </c>
      <c r="E170" s="9"/>
      <c r="F170" s="222"/>
      <c r="G170" s="223"/>
      <c r="H170" s="224"/>
      <c r="I170" s="225"/>
      <c r="J170" s="225"/>
      <c r="K170" s="22"/>
      <c r="L170" s="9"/>
      <c r="M170" s="9"/>
      <c r="N170" s="226"/>
      <c r="O170" s="9"/>
      <c r="P170" s="9"/>
      <c r="Q170" s="223"/>
      <c r="R170" s="9"/>
      <c r="S170" s="9"/>
      <c r="T170" s="9"/>
      <c r="U170" s="913"/>
      <c r="V170" s="913"/>
      <c r="W170" s="1313"/>
      <c r="X170" s="9"/>
      <c r="Y170" s="9"/>
      <c r="Z170" s="204"/>
      <c r="AA170" s="9"/>
      <c r="AB170" s="9"/>
      <c r="AC170" s="9"/>
      <c r="AD170" s="9"/>
    </row>
    <row r="171" ht="15.75" customHeight="1">
      <c r="A171" s="9"/>
      <c r="B171" s="223"/>
      <c r="C171" s="397"/>
      <c r="D171" s="9"/>
      <c r="E171" s="9"/>
      <c r="F171" s="222"/>
      <c r="G171" s="223"/>
      <c r="H171" s="224"/>
      <c r="I171" s="225"/>
      <c r="J171" s="225"/>
      <c r="K171" s="22"/>
      <c r="L171" s="9"/>
      <c r="M171" s="9"/>
      <c r="N171" s="226"/>
      <c r="O171" s="9"/>
      <c r="P171" s="9"/>
      <c r="Q171" s="223"/>
      <c r="R171" s="9"/>
      <c r="S171" s="9"/>
      <c r="T171" s="9"/>
      <c r="U171" s="913"/>
      <c r="V171" s="913"/>
      <c r="W171" s="1313"/>
      <c r="X171" s="9"/>
      <c r="Y171" s="9"/>
      <c r="Z171" s="204"/>
      <c r="AA171" s="9"/>
      <c r="AB171" s="9"/>
      <c r="AC171" s="9"/>
      <c r="AD171" s="9"/>
    </row>
    <row r="172" ht="15.75" customHeight="1">
      <c r="A172" s="9"/>
      <c r="B172" s="795" t="s">
        <v>431</v>
      </c>
      <c r="C172" s="796" t="s">
        <v>432</v>
      </c>
      <c r="D172" s="795" t="s">
        <v>433</v>
      </c>
      <c r="E172" s="795" t="s">
        <v>434</v>
      </c>
      <c r="F172" s="797" t="s">
        <v>435</v>
      </c>
      <c r="G172" s="795" t="s">
        <v>5</v>
      </c>
      <c r="H172" s="797" t="s">
        <v>26</v>
      </c>
      <c r="I172" s="399"/>
      <c r="J172" s="399"/>
      <c r="K172" s="968"/>
      <c r="L172" s="9"/>
      <c r="M172" s="9"/>
      <c r="N172" s="226"/>
      <c r="O172" s="9"/>
      <c r="P172" s="9"/>
      <c r="Q172" s="223"/>
      <c r="R172" s="9"/>
      <c r="S172" s="9"/>
      <c r="T172" s="9"/>
      <c r="U172" s="913"/>
      <c r="V172" s="913"/>
      <c r="W172" s="1313"/>
      <c r="X172" s="9"/>
      <c r="Y172" s="9"/>
      <c r="Z172" s="204"/>
      <c r="AA172" s="9"/>
      <c r="AB172" s="9"/>
      <c r="AC172" s="9"/>
      <c r="AD172" s="9"/>
    </row>
    <row r="173" ht="15.75" customHeight="1">
      <c r="A173" s="9"/>
      <c r="B173" s="1107"/>
      <c r="C173" s="1335"/>
      <c r="D173" s="1107"/>
      <c r="E173" s="1107"/>
      <c r="F173" s="1336"/>
      <c r="G173" s="1107"/>
      <c r="H173" s="1336"/>
      <c r="I173" s="225"/>
      <c r="J173" s="225"/>
      <c r="K173" s="22"/>
      <c r="L173" s="9"/>
      <c r="M173" s="9"/>
      <c r="N173" s="226"/>
      <c r="O173" s="9"/>
      <c r="P173" s="9"/>
      <c r="Q173" s="223"/>
      <c r="R173" s="9"/>
      <c r="S173" s="9"/>
      <c r="T173" s="9"/>
      <c r="U173" s="913"/>
      <c r="V173" s="913"/>
      <c r="W173" s="1313"/>
      <c r="X173" s="9"/>
      <c r="Y173" s="9"/>
      <c r="Z173" s="204"/>
      <c r="AA173" s="9"/>
      <c r="AB173" s="9"/>
      <c r="AC173" s="9"/>
      <c r="AD173" s="9"/>
    </row>
    <row r="174" ht="15.75" customHeight="1">
      <c r="A174" s="9"/>
      <c r="B174" s="1107"/>
      <c r="C174" s="1335"/>
      <c r="D174" s="1107"/>
      <c r="E174" s="1107"/>
      <c r="F174" s="1336"/>
      <c r="G174" s="1107"/>
      <c r="H174" s="1336"/>
      <c r="I174" s="225"/>
      <c r="J174" s="225"/>
      <c r="K174" s="22"/>
      <c r="L174" s="9"/>
      <c r="M174" s="9"/>
      <c r="N174" s="226"/>
      <c r="O174" s="9"/>
      <c r="P174" s="9"/>
      <c r="Q174" s="223"/>
      <c r="R174" s="9"/>
      <c r="S174" s="9"/>
      <c r="T174" s="9"/>
      <c r="U174" s="913"/>
      <c r="V174" s="913"/>
      <c r="W174" s="1313"/>
      <c r="X174" s="9"/>
      <c r="Y174" s="9"/>
      <c r="Z174" s="204"/>
      <c r="AA174" s="9"/>
      <c r="AB174" s="9"/>
      <c r="AC174" s="9"/>
      <c r="AD174" s="9"/>
    </row>
    <row r="175" ht="15.75" customHeight="1">
      <c r="A175" s="9"/>
      <c r="B175" s="1107"/>
      <c r="C175" s="1335"/>
      <c r="D175" s="1107"/>
      <c r="E175" s="1107"/>
      <c r="F175" s="1336"/>
      <c r="G175" s="1107"/>
      <c r="H175" s="1336"/>
      <c r="I175" s="225"/>
      <c r="J175" s="225"/>
      <c r="K175" s="22"/>
      <c r="L175" s="9"/>
      <c r="M175" s="9"/>
      <c r="N175" s="226"/>
      <c r="O175" s="9"/>
      <c r="P175" s="9"/>
      <c r="Q175" s="223"/>
      <c r="R175" s="9"/>
      <c r="S175" s="9"/>
      <c r="T175" s="9"/>
      <c r="U175" s="913"/>
      <c r="V175" s="913"/>
      <c r="W175" s="1313"/>
      <c r="X175" s="9"/>
      <c r="Y175" s="9"/>
      <c r="Z175" s="204"/>
      <c r="AA175" s="9"/>
      <c r="AB175" s="9"/>
      <c r="AC175" s="9"/>
      <c r="AD175" s="9"/>
    </row>
    <row r="176" ht="15.75" customHeight="1">
      <c r="A176" s="9"/>
      <c r="B176" s="1107"/>
      <c r="C176" s="1335"/>
      <c r="D176" s="1107"/>
      <c r="E176" s="1107"/>
      <c r="F176" s="1336"/>
      <c r="G176" s="1107"/>
      <c r="H176" s="1336"/>
      <c r="I176" s="225"/>
      <c r="J176" s="225"/>
      <c r="K176" s="22"/>
      <c r="L176" s="9"/>
      <c r="M176" s="9"/>
      <c r="N176" s="226"/>
      <c r="O176" s="9"/>
      <c r="P176" s="9"/>
      <c r="Q176" s="223"/>
      <c r="R176" s="9"/>
      <c r="S176" s="9"/>
      <c r="T176" s="9"/>
      <c r="U176" s="913"/>
      <c r="V176" s="913"/>
      <c r="W176" s="1313"/>
      <c r="X176" s="9"/>
      <c r="Y176" s="9"/>
      <c r="Z176" s="204"/>
      <c r="AA176" s="9"/>
      <c r="AB176" s="9"/>
      <c r="AC176" s="9"/>
      <c r="AD176" s="9"/>
    </row>
    <row r="177" ht="15.75" customHeight="1">
      <c r="A177" s="9"/>
      <c r="B177" s="1107"/>
      <c r="C177" s="1335"/>
      <c r="D177" s="1107"/>
      <c r="E177" s="1107"/>
      <c r="F177" s="1336"/>
      <c r="G177" s="1107"/>
      <c r="H177" s="1336"/>
      <c r="I177" s="225"/>
      <c r="J177" s="225"/>
      <c r="K177" s="22"/>
      <c r="L177" s="9"/>
      <c r="M177" s="9"/>
      <c r="N177" s="226"/>
      <c r="O177" s="9"/>
      <c r="P177" s="9"/>
      <c r="Q177" s="223"/>
      <c r="R177" s="9"/>
      <c r="S177" s="9"/>
      <c r="T177" s="9"/>
      <c r="U177" s="913"/>
      <c r="V177" s="913"/>
      <c r="W177" s="1313"/>
      <c r="X177" s="9"/>
      <c r="Y177" s="9"/>
      <c r="Z177" s="204"/>
      <c r="AA177" s="9"/>
      <c r="AB177" s="9"/>
      <c r="AC177" s="9"/>
      <c r="AD177" s="9"/>
    </row>
    <row r="178" ht="15.75" customHeight="1">
      <c r="A178" s="9"/>
      <c r="B178" s="1107"/>
      <c r="C178" s="1335"/>
      <c r="D178" s="1107"/>
      <c r="E178" s="1107"/>
      <c r="F178" s="1336"/>
      <c r="G178" s="1107"/>
      <c r="H178" s="1336"/>
      <c r="I178" s="225"/>
      <c r="J178" s="225"/>
      <c r="K178" s="22"/>
      <c r="L178" s="9"/>
      <c r="M178" s="9"/>
      <c r="N178" s="226"/>
      <c r="O178" s="9"/>
      <c r="P178" s="9"/>
      <c r="Q178" s="223"/>
      <c r="R178" s="9"/>
      <c r="S178" s="9"/>
      <c r="T178" s="9"/>
      <c r="U178" s="913"/>
      <c r="V178" s="913"/>
      <c r="W178" s="1313"/>
      <c r="X178" s="9"/>
      <c r="Y178" s="9"/>
      <c r="Z178" s="204"/>
      <c r="AA178" s="9"/>
      <c r="AB178" s="9"/>
      <c r="AC178" s="9"/>
      <c r="AD178" s="9"/>
    </row>
    <row r="179" ht="15.75" customHeight="1">
      <c r="A179" s="9"/>
      <c r="B179" s="223"/>
      <c r="C179" s="397"/>
      <c r="D179" s="9"/>
      <c r="E179" s="9"/>
      <c r="F179" s="222"/>
      <c r="G179" s="223"/>
      <c r="H179" s="224"/>
      <c r="I179" s="225"/>
      <c r="J179" s="225"/>
      <c r="K179" s="22"/>
      <c r="L179" s="9"/>
      <c r="M179" s="9"/>
      <c r="N179" s="226"/>
      <c r="O179" s="9"/>
      <c r="P179" s="9"/>
      <c r="Q179" s="223"/>
      <c r="R179" s="9"/>
      <c r="S179" s="9"/>
      <c r="T179" s="9"/>
      <c r="U179" s="913"/>
      <c r="V179" s="913"/>
      <c r="W179" s="1313"/>
      <c r="X179" s="9"/>
      <c r="Y179" s="9"/>
      <c r="Z179" s="204"/>
      <c r="AA179" s="9"/>
      <c r="AB179" s="9"/>
      <c r="AC179" s="9"/>
      <c r="AD179" s="9"/>
    </row>
    <row r="180" ht="15.75" customHeight="1">
      <c r="A180" s="9"/>
      <c r="B180" s="223"/>
      <c r="C180" s="397"/>
      <c r="D180" s="9"/>
      <c r="E180" s="9"/>
      <c r="F180" s="222"/>
      <c r="G180" s="223"/>
      <c r="H180" s="224"/>
      <c r="I180" s="225"/>
      <c r="J180" s="225"/>
      <c r="K180" s="22"/>
      <c r="L180" s="9"/>
      <c r="M180" s="9"/>
      <c r="N180" s="226"/>
      <c r="O180" s="9"/>
      <c r="P180" s="9"/>
      <c r="Q180" s="223"/>
      <c r="R180" s="9"/>
      <c r="S180" s="9"/>
      <c r="T180" s="9"/>
      <c r="U180" s="913"/>
      <c r="V180" s="913"/>
      <c r="W180" s="1313"/>
      <c r="X180" s="9"/>
      <c r="Y180" s="9"/>
      <c r="Z180" s="204"/>
      <c r="AA180" s="9"/>
      <c r="AB180" s="9"/>
      <c r="AC180" s="9"/>
      <c r="AD180" s="9"/>
    </row>
    <row r="181" ht="15.75" customHeight="1">
      <c r="A181" s="9"/>
      <c r="B181" s="223"/>
      <c r="C181" s="397"/>
      <c r="D181" s="9"/>
      <c r="E181" s="9"/>
      <c r="F181" s="222"/>
      <c r="G181" s="223"/>
      <c r="H181" s="224"/>
      <c r="I181" s="225"/>
      <c r="J181" s="225"/>
      <c r="K181" s="22"/>
      <c r="L181" s="9"/>
      <c r="M181" s="9"/>
      <c r="N181" s="226"/>
      <c r="O181" s="9"/>
      <c r="P181" s="9"/>
      <c r="Q181" s="223"/>
      <c r="R181" s="9"/>
      <c r="S181" s="9"/>
      <c r="T181" s="9"/>
      <c r="U181" s="913"/>
      <c r="V181" s="913"/>
      <c r="W181" s="1313"/>
      <c r="X181" s="9"/>
      <c r="Y181" s="9"/>
      <c r="Z181" s="204"/>
      <c r="AA181" s="9"/>
      <c r="AB181" s="9"/>
      <c r="AC181" s="9"/>
      <c r="AD181" s="9"/>
    </row>
    <row r="182" ht="15.75" customHeight="1">
      <c r="A182" s="9"/>
      <c r="B182" s="223"/>
      <c r="C182" s="397"/>
      <c r="D182" s="9"/>
      <c r="E182" s="9"/>
      <c r="F182" s="222"/>
      <c r="G182" s="223"/>
      <c r="H182" s="224"/>
      <c r="I182" s="225"/>
      <c r="J182" s="225"/>
      <c r="K182" s="22"/>
      <c r="L182" s="9"/>
      <c r="M182" s="9"/>
      <c r="N182" s="226"/>
      <c r="O182" s="9"/>
      <c r="P182" s="9"/>
      <c r="Q182" s="223"/>
      <c r="R182" s="9"/>
      <c r="S182" s="9"/>
      <c r="T182" s="9"/>
      <c r="U182" s="913"/>
      <c r="V182" s="913"/>
      <c r="W182" s="1313"/>
      <c r="X182" s="9"/>
      <c r="Y182" s="9"/>
      <c r="Z182" s="204"/>
      <c r="AA182" s="9"/>
      <c r="AB182" s="9"/>
      <c r="AC182" s="9"/>
      <c r="AD182" s="9"/>
    </row>
    <row r="183" ht="15.75" customHeight="1">
      <c r="A183" s="9"/>
      <c r="B183" s="223"/>
      <c r="C183" s="397"/>
      <c r="D183" s="9"/>
      <c r="E183" s="1337"/>
      <c r="F183" s="222"/>
      <c r="G183" s="223"/>
      <c r="H183" s="224"/>
      <c r="I183" s="225"/>
      <c r="J183" s="225"/>
      <c r="K183" s="22"/>
      <c r="L183" s="9"/>
      <c r="M183" s="9"/>
      <c r="N183" s="226"/>
      <c r="O183" s="9"/>
      <c r="P183" s="9"/>
      <c r="Q183" s="223"/>
      <c r="R183" s="9"/>
      <c r="S183" s="9"/>
      <c r="T183" s="9"/>
      <c r="U183" s="913"/>
      <c r="V183" s="913"/>
      <c r="W183" s="1313"/>
      <c r="X183" s="9"/>
      <c r="Y183" s="9"/>
      <c r="Z183" s="204"/>
      <c r="AA183" s="9"/>
      <c r="AB183" s="9"/>
      <c r="AC183" s="9"/>
      <c r="AD183" s="9"/>
    </row>
    <row r="184" ht="15.75" customHeight="1">
      <c r="A184" s="9"/>
      <c r="B184" s="223"/>
      <c r="C184" s="397"/>
      <c r="D184" s="9"/>
      <c r="E184" s="9"/>
      <c r="F184" s="222"/>
      <c r="G184" s="223"/>
      <c r="H184" s="224"/>
      <c r="I184" s="225"/>
      <c r="J184" s="225"/>
      <c r="K184" s="22"/>
      <c r="L184" s="9"/>
      <c r="M184" s="9"/>
      <c r="N184" s="226"/>
      <c r="O184" s="9"/>
      <c r="P184" s="9"/>
      <c r="Q184" s="223"/>
      <c r="R184" s="9"/>
      <c r="S184" s="9"/>
      <c r="T184" s="9"/>
      <c r="U184" s="913"/>
      <c r="V184" s="913"/>
      <c r="W184" s="1313"/>
      <c r="X184" s="9"/>
      <c r="Y184" s="9"/>
      <c r="Z184" s="204"/>
      <c r="AA184" s="9"/>
      <c r="AB184" s="9"/>
      <c r="AC184" s="9"/>
      <c r="AD184" s="9"/>
    </row>
    <row r="185" ht="15.75" customHeight="1">
      <c r="A185" s="9"/>
      <c r="B185" s="223"/>
      <c r="C185" s="397"/>
      <c r="D185" s="9"/>
      <c r="E185" s="9"/>
      <c r="F185" s="222"/>
      <c r="G185" s="223"/>
      <c r="H185" s="224"/>
      <c r="I185" s="225"/>
      <c r="J185" s="225"/>
      <c r="K185" s="22"/>
      <c r="L185" s="9"/>
      <c r="M185" s="9"/>
      <c r="N185" s="226"/>
      <c r="O185" s="9"/>
      <c r="P185" s="9"/>
      <c r="Q185" s="223"/>
      <c r="R185" s="9"/>
      <c r="S185" s="9"/>
      <c r="T185" s="9"/>
      <c r="U185" s="913"/>
      <c r="V185" s="913"/>
      <c r="W185" s="1313"/>
      <c r="X185" s="9"/>
      <c r="Y185" s="9"/>
      <c r="Z185" s="204"/>
      <c r="AA185" s="9"/>
      <c r="AB185" s="9"/>
      <c r="AC185" s="9"/>
      <c r="AD185" s="9"/>
    </row>
    <row r="186" ht="15.75" customHeight="1">
      <c r="A186" s="9"/>
      <c r="B186" s="223"/>
      <c r="C186" s="397"/>
      <c r="D186" s="9"/>
      <c r="E186" s="9"/>
      <c r="F186" s="222"/>
      <c r="G186" s="223"/>
      <c r="H186" s="224"/>
      <c r="I186" s="225"/>
      <c r="J186" s="225"/>
      <c r="K186" s="22"/>
      <c r="L186" s="9"/>
      <c r="M186" s="9"/>
      <c r="N186" s="226"/>
      <c r="O186" s="9"/>
      <c r="P186" s="9"/>
      <c r="Q186" s="223"/>
      <c r="R186" s="9"/>
      <c r="S186" s="9"/>
      <c r="T186" s="9"/>
      <c r="U186" s="913"/>
      <c r="V186" s="913"/>
      <c r="W186" s="1313"/>
      <c r="X186" s="9"/>
      <c r="Y186" s="9"/>
      <c r="Z186" s="204"/>
      <c r="AA186" s="9"/>
      <c r="AB186" s="9"/>
      <c r="AC186" s="9"/>
      <c r="AD186" s="9"/>
    </row>
    <row r="187" ht="15.75" customHeight="1">
      <c r="A187" s="9"/>
      <c r="B187" s="223"/>
      <c r="C187" s="397"/>
      <c r="D187" s="9"/>
      <c r="E187" s="9"/>
      <c r="F187" s="222"/>
      <c r="G187" s="223"/>
      <c r="H187" s="224"/>
      <c r="I187" s="225"/>
      <c r="J187" s="225"/>
      <c r="K187" s="22"/>
      <c r="L187" s="9"/>
      <c r="M187" s="9"/>
      <c r="N187" s="226"/>
      <c r="O187" s="9"/>
      <c r="P187" s="9"/>
      <c r="Q187" s="223"/>
      <c r="R187" s="9"/>
      <c r="S187" s="9"/>
      <c r="T187" s="9"/>
      <c r="U187" s="913"/>
      <c r="V187" s="913"/>
      <c r="W187" s="1313"/>
      <c r="X187" s="9"/>
      <c r="Y187" s="9"/>
      <c r="Z187" s="204"/>
      <c r="AA187" s="9"/>
      <c r="AB187" s="9"/>
      <c r="AC187" s="9"/>
      <c r="AD187" s="9"/>
    </row>
    <row r="188" ht="15.75" customHeight="1">
      <c r="A188" s="9"/>
      <c r="B188" s="223"/>
      <c r="C188" s="397"/>
      <c r="D188" s="9"/>
      <c r="E188" s="9"/>
      <c r="F188" s="222"/>
      <c r="G188" s="223"/>
      <c r="H188" s="224"/>
      <c r="I188" s="225"/>
      <c r="J188" s="225"/>
      <c r="K188" s="22"/>
      <c r="L188" s="9"/>
      <c r="M188" s="9"/>
      <c r="N188" s="226"/>
      <c r="O188" s="9"/>
      <c r="P188" s="9"/>
      <c r="Q188" s="223"/>
      <c r="R188" s="9"/>
      <c r="S188" s="9"/>
      <c r="T188" s="9"/>
      <c r="U188" s="913"/>
      <c r="V188" s="913"/>
      <c r="W188" s="1313"/>
      <c r="X188" s="9"/>
      <c r="Y188" s="9"/>
      <c r="Z188" s="204"/>
      <c r="AA188" s="9"/>
      <c r="AB188" s="9"/>
      <c r="AC188" s="9"/>
      <c r="AD188" s="9"/>
    </row>
    <row r="189" ht="15.75" customHeight="1">
      <c r="A189" s="9"/>
      <c r="B189" s="223"/>
      <c r="C189" s="397"/>
      <c r="D189" s="9"/>
      <c r="E189" s="9"/>
      <c r="F189" s="222"/>
      <c r="G189" s="223"/>
      <c r="H189" s="224"/>
      <c r="I189" s="225"/>
      <c r="J189" s="225"/>
      <c r="K189" s="22"/>
      <c r="L189" s="9"/>
      <c r="M189" s="9"/>
      <c r="N189" s="226"/>
      <c r="O189" s="9"/>
      <c r="P189" s="9"/>
      <c r="Q189" s="223"/>
      <c r="R189" s="9"/>
      <c r="S189" s="9"/>
      <c r="T189" s="9"/>
      <c r="U189" s="913"/>
      <c r="V189" s="913"/>
      <c r="W189" s="1313"/>
      <c r="X189" s="9"/>
      <c r="Y189" s="9"/>
      <c r="Z189" s="204"/>
      <c r="AA189" s="9"/>
      <c r="AB189" s="9"/>
      <c r="AC189" s="9"/>
      <c r="AD189" s="9"/>
    </row>
    <row r="190" ht="15.75" customHeight="1">
      <c r="A190" s="9"/>
      <c r="B190" s="9"/>
      <c r="C190" s="9"/>
      <c r="D190" s="9"/>
      <c r="E190" s="9"/>
      <c r="F190" s="9"/>
      <c r="G190" s="9"/>
      <c r="H190" s="223"/>
      <c r="I190" s="9"/>
      <c r="J190" s="9"/>
      <c r="K190" s="9"/>
      <c r="L190" s="9"/>
      <c r="M190" s="9"/>
      <c r="N190" s="9"/>
      <c r="O190" s="9"/>
      <c r="P190" s="9"/>
      <c r="Q190" s="223"/>
      <c r="R190" s="9"/>
      <c r="S190" s="9"/>
      <c r="T190" s="9"/>
      <c r="U190" s="9"/>
      <c r="V190" s="9"/>
      <c r="W190" s="971"/>
      <c r="X190" s="9"/>
      <c r="Y190" s="9"/>
      <c r="Z190" s="204"/>
      <c r="AA190" s="9"/>
      <c r="AB190" s="9"/>
      <c r="AC190" s="9"/>
      <c r="AD190" s="9"/>
    </row>
    <row r="191" ht="15.75" customHeight="1">
      <c r="A191" s="9"/>
      <c r="B191" s="9"/>
      <c r="C191" s="9"/>
      <c r="D191" s="9"/>
      <c r="E191" s="9"/>
      <c r="F191" s="9"/>
      <c r="G191" s="9"/>
      <c r="H191" s="223"/>
      <c r="I191" s="9"/>
      <c r="J191" s="9"/>
      <c r="K191" s="9"/>
      <c r="L191" s="9"/>
      <c r="M191" s="9"/>
      <c r="N191" s="9"/>
      <c r="O191" s="9"/>
      <c r="P191" s="9"/>
      <c r="Q191" s="223"/>
      <c r="R191" s="9"/>
      <c r="S191" s="9"/>
      <c r="T191" s="9"/>
      <c r="U191" s="9"/>
      <c r="V191" s="9"/>
      <c r="W191" s="971"/>
      <c r="X191" s="9"/>
      <c r="Y191" s="9"/>
      <c r="Z191" s="204"/>
      <c r="AA191" s="9"/>
      <c r="AB191" s="9"/>
      <c r="AC191" s="9"/>
      <c r="AD191" s="9"/>
    </row>
    <row r="192" ht="15.75" customHeight="1">
      <c r="A192" s="9"/>
      <c r="B192" s="9"/>
      <c r="C192" s="9"/>
      <c r="D192" s="9"/>
      <c r="E192" s="9"/>
      <c r="F192" s="9"/>
      <c r="G192" s="9"/>
      <c r="H192" s="223"/>
      <c r="I192" s="9"/>
      <c r="J192" s="9"/>
      <c r="K192" s="9"/>
      <c r="L192" s="9"/>
      <c r="M192" s="9"/>
      <c r="N192" s="9"/>
      <c r="O192" s="9"/>
      <c r="P192" s="9"/>
      <c r="Q192" s="223"/>
      <c r="R192" s="9"/>
      <c r="S192" s="9"/>
      <c r="T192" s="9"/>
      <c r="U192" s="9"/>
      <c r="V192" s="9"/>
      <c r="W192" s="971"/>
      <c r="X192" s="9"/>
      <c r="Y192" s="9"/>
      <c r="Z192" s="204"/>
      <c r="AA192" s="9"/>
      <c r="AB192" s="9"/>
      <c r="AC192" s="9"/>
      <c r="AD192" s="9"/>
    </row>
    <row r="193" ht="15.75" customHeight="1">
      <c r="A193" s="9"/>
      <c r="B193" s="9"/>
      <c r="C193" s="9"/>
      <c r="D193" s="9"/>
      <c r="E193" s="9"/>
      <c r="F193" s="9"/>
      <c r="G193" s="9"/>
      <c r="H193" s="223"/>
      <c r="I193" s="9"/>
      <c r="J193" s="9"/>
      <c r="K193" s="9"/>
      <c r="L193" s="9"/>
      <c r="M193" s="9"/>
      <c r="N193" s="9"/>
      <c r="O193" s="9"/>
      <c r="P193" s="9"/>
      <c r="Q193" s="223"/>
      <c r="R193" s="9"/>
      <c r="S193" s="9"/>
      <c r="T193" s="9"/>
      <c r="U193" s="9"/>
      <c r="V193" s="9"/>
      <c r="W193" s="971"/>
      <c r="X193" s="9"/>
      <c r="Y193" s="9"/>
      <c r="Z193" s="204"/>
      <c r="AA193" s="9"/>
      <c r="AB193" s="9"/>
      <c r="AC193" s="9"/>
      <c r="AD193" s="9"/>
    </row>
    <row r="194" ht="15.75" customHeight="1">
      <c r="A194" s="9"/>
      <c r="B194" s="9"/>
      <c r="C194" s="9"/>
      <c r="D194" s="9"/>
      <c r="E194" s="9"/>
      <c r="F194" s="9"/>
      <c r="G194" s="9"/>
      <c r="H194" s="223"/>
      <c r="I194" s="9"/>
      <c r="J194" s="9"/>
      <c r="K194" s="9"/>
      <c r="L194" s="9"/>
      <c r="M194" s="9"/>
      <c r="N194" s="9"/>
      <c r="O194" s="9"/>
      <c r="P194" s="9"/>
      <c r="Q194" s="223"/>
      <c r="R194" s="9"/>
      <c r="S194" s="9"/>
      <c r="T194" s="9"/>
      <c r="U194" s="9"/>
      <c r="V194" s="9"/>
      <c r="W194" s="971"/>
      <c r="X194" s="9"/>
      <c r="Y194" s="9"/>
      <c r="Z194" s="204"/>
      <c r="AA194" s="9"/>
      <c r="AB194" s="9"/>
      <c r="AC194" s="9"/>
      <c r="AD194" s="9"/>
    </row>
    <row r="195" ht="15.75" customHeight="1">
      <c r="A195" s="9"/>
      <c r="B195" s="9"/>
      <c r="C195" s="9"/>
      <c r="D195" s="9"/>
      <c r="E195" s="9"/>
      <c r="F195" s="9"/>
      <c r="G195" s="9"/>
      <c r="H195" s="223"/>
      <c r="I195" s="9"/>
      <c r="J195" s="9"/>
      <c r="K195" s="9"/>
      <c r="L195" s="9"/>
      <c r="M195" s="9"/>
      <c r="N195" s="9"/>
      <c r="O195" s="9"/>
      <c r="P195" s="9"/>
      <c r="Q195" s="223"/>
      <c r="R195" s="9"/>
      <c r="S195" s="9"/>
      <c r="T195" s="9"/>
      <c r="U195" s="9"/>
      <c r="V195" s="9"/>
      <c r="W195" s="971"/>
      <c r="X195" s="9"/>
      <c r="Y195" s="9"/>
      <c r="Z195" s="204"/>
      <c r="AA195" s="9"/>
      <c r="AB195" s="9"/>
      <c r="AC195" s="9"/>
      <c r="AD195" s="9"/>
    </row>
    <row r="196" ht="15.75" customHeight="1">
      <c r="A196" s="9"/>
      <c r="B196" s="9"/>
      <c r="C196" s="9"/>
      <c r="D196" s="9"/>
      <c r="E196" s="9"/>
      <c r="F196" s="9"/>
      <c r="G196" s="9"/>
      <c r="H196" s="223"/>
      <c r="I196" s="9"/>
      <c r="J196" s="9"/>
      <c r="K196" s="9"/>
      <c r="L196" s="9"/>
      <c r="M196" s="9"/>
      <c r="N196" s="9"/>
      <c r="O196" s="9"/>
      <c r="P196" s="9"/>
      <c r="Q196" s="223"/>
      <c r="R196" s="9"/>
      <c r="S196" s="9"/>
      <c r="T196" s="9"/>
      <c r="U196" s="9"/>
      <c r="V196" s="9"/>
      <c r="W196" s="971"/>
      <c r="X196" s="9"/>
      <c r="Y196" s="9"/>
      <c r="Z196" s="204"/>
      <c r="AA196" s="9"/>
      <c r="AB196" s="9"/>
      <c r="AC196" s="9"/>
      <c r="AD196" s="9"/>
    </row>
    <row r="197" ht="15.75" customHeight="1">
      <c r="A197" s="9"/>
      <c r="B197" s="9"/>
      <c r="C197" s="9"/>
      <c r="D197" s="9"/>
      <c r="E197" s="9"/>
      <c r="F197" s="9"/>
      <c r="G197" s="9"/>
      <c r="H197" s="223"/>
      <c r="I197" s="9"/>
      <c r="J197" s="9"/>
      <c r="K197" s="9"/>
      <c r="L197" s="9"/>
      <c r="M197" s="9"/>
      <c r="N197" s="9"/>
      <c r="O197" s="9"/>
      <c r="P197" s="9"/>
      <c r="Q197" s="223"/>
      <c r="R197" s="9"/>
      <c r="S197" s="9"/>
      <c r="T197" s="9"/>
      <c r="U197" s="9"/>
      <c r="V197" s="9"/>
      <c r="W197" s="971"/>
      <c r="X197" s="9"/>
      <c r="Y197" s="9"/>
      <c r="Z197" s="204"/>
      <c r="AA197" s="9"/>
      <c r="AB197" s="9"/>
      <c r="AC197" s="9"/>
      <c r="AD197" s="9"/>
    </row>
    <row r="198" ht="15.75" customHeight="1">
      <c r="A198" s="9"/>
      <c r="B198" s="9"/>
      <c r="C198" s="9"/>
      <c r="D198" s="9"/>
      <c r="E198" s="9"/>
      <c r="F198" s="9"/>
      <c r="G198" s="9"/>
      <c r="H198" s="223"/>
      <c r="I198" s="9"/>
      <c r="J198" s="9"/>
      <c r="K198" s="9"/>
      <c r="L198" s="9"/>
      <c r="M198" s="9"/>
      <c r="N198" s="9"/>
      <c r="O198" s="9"/>
      <c r="P198" s="9"/>
      <c r="Q198" s="223"/>
      <c r="R198" s="9"/>
      <c r="S198" s="9"/>
      <c r="T198" s="9"/>
      <c r="U198" s="9"/>
      <c r="V198" s="9"/>
      <c r="W198" s="971"/>
      <c r="X198" s="9"/>
      <c r="Y198" s="9"/>
      <c r="Z198" s="204"/>
      <c r="AA198" s="9"/>
      <c r="AB198" s="9"/>
      <c r="AC198" s="9"/>
      <c r="AD198" s="9"/>
    </row>
    <row r="199" ht="15.75" customHeight="1">
      <c r="A199" s="9"/>
      <c r="B199" s="9"/>
      <c r="C199" s="9"/>
      <c r="D199" s="9"/>
      <c r="E199" s="9"/>
      <c r="F199" s="9"/>
      <c r="G199" s="9"/>
      <c r="H199" s="223"/>
      <c r="I199" s="9"/>
      <c r="J199" s="9"/>
      <c r="K199" s="9"/>
      <c r="L199" s="9"/>
      <c r="M199" s="9"/>
      <c r="N199" s="9"/>
      <c r="O199" s="9"/>
      <c r="P199" s="9"/>
      <c r="Q199" s="223"/>
      <c r="R199" s="9"/>
      <c r="S199" s="9"/>
      <c r="T199" s="9"/>
      <c r="U199" s="9"/>
      <c r="V199" s="9"/>
      <c r="W199" s="971"/>
      <c r="X199" s="9"/>
      <c r="Y199" s="9"/>
      <c r="Z199" s="204"/>
      <c r="AA199" s="9"/>
      <c r="AB199" s="9"/>
      <c r="AC199" s="9"/>
      <c r="AD199" s="9"/>
    </row>
    <row r="200" ht="15.75" customHeight="1">
      <c r="A200" s="9"/>
      <c r="B200" s="9"/>
      <c r="C200" s="9"/>
      <c r="D200" s="9"/>
      <c r="E200" s="9"/>
      <c r="F200" s="9"/>
      <c r="G200" s="9"/>
      <c r="H200" s="223"/>
      <c r="I200" s="9"/>
      <c r="J200" s="9"/>
      <c r="K200" s="9"/>
      <c r="L200" s="9"/>
      <c r="M200" s="9"/>
      <c r="N200" s="9"/>
      <c r="O200" s="9"/>
      <c r="P200" s="9"/>
      <c r="Q200" s="223"/>
      <c r="R200" s="9"/>
      <c r="S200" s="9"/>
      <c r="T200" s="9"/>
      <c r="U200" s="9"/>
      <c r="V200" s="9"/>
      <c r="W200" s="971"/>
      <c r="X200" s="9"/>
      <c r="Y200" s="9"/>
      <c r="Z200" s="204"/>
      <c r="AA200" s="9"/>
      <c r="AB200" s="9"/>
      <c r="AC200" s="9"/>
      <c r="AD200" s="9"/>
    </row>
    <row r="201" ht="15.75" customHeight="1">
      <c r="A201" s="9"/>
      <c r="B201" s="9"/>
      <c r="C201" s="9"/>
      <c r="D201" s="9"/>
      <c r="E201" s="9"/>
      <c r="F201" s="9"/>
      <c r="G201" s="9"/>
      <c r="H201" s="223"/>
      <c r="I201" s="9"/>
      <c r="J201" s="9"/>
      <c r="K201" s="9"/>
      <c r="L201" s="9"/>
      <c r="M201" s="9"/>
      <c r="N201" s="9"/>
      <c r="O201" s="9"/>
      <c r="P201" s="9"/>
      <c r="Q201" s="223"/>
      <c r="R201" s="9"/>
      <c r="S201" s="9"/>
      <c r="T201" s="9"/>
      <c r="U201" s="9"/>
      <c r="V201" s="9"/>
      <c r="W201" s="971"/>
      <c r="X201" s="9"/>
      <c r="Y201" s="9"/>
      <c r="Z201" s="204"/>
      <c r="AA201" s="9"/>
      <c r="AB201" s="9"/>
      <c r="AC201" s="9"/>
      <c r="AD201" s="9"/>
    </row>
    <row r="202" ht="15.75" customHeight="1">
      <c r="A202" s="9"/>
      <c r="B202" s="9"/>
      <c r="C202" s="9"/>
      <c r="D202" s="9"/>
      <c r="E202" s="9"/>
      <c r="F202" s="9"/>
      <c r="G202" s="9"/>
      <c r="H202" s="223"/>
      <c r="I202" s="9"/>
      <c r="J202" s="9"/>
      <c r="K202" s="9"/>
      <c r="L202" s="9"/>
      <c r="M202" s="9"/>
      <c r="N202" s="9"/>
      <c r="O202" s="9"/>
      <c r="P202" s="9"/>
      <c r="Q202" s="223"/>
      <c r="R202" s="9"/>
      <c r="S202" s="9"/>
      <c r="T202" s="9"/>
      <c r="U202" s="9"/>
      <c r="V202" s="9"/>
      <c r="W202" s="971"/>
      <c r="X202" s="9"/>
      <c r="Y202" s="9"/>
      <c r="Z202" s="204"/>
      <c r="AA202" s="9"/>
      <c r="AB202" s="9"/>
      <c r="AC202" s="9"/>
      <c r="AD202" s="9"/>
    </row>
    <row r="203" ht="15.75" customHeight="1">
      <c r="A203" s="9"/>
      <c r="B203" s="9"/>
      <c r="C203" s="9"/>
      <c r="D203" s="9"/>
      <c r="E203" s="9"/>
      <c r="F203" s="9"/>
      <c r="G203" s="9"/>
      <c r="H203" s="223"/>
      <c r="I203" s="9"/>
      <c r="J203" s="9"/>
      <c r="K203" s="9"/>
      <c r="L203" s="9"/>
      <c r="M203" s="9"/>
      <c r="N203" s="9"/>
      <c r="O203" s="9"/>
      <c r="P203" s="9"/>
      <c r="Q203" s="223"/>
      <c r="R203" s="9"/>
      <c r="S203" s="9"/>
      <c r="T203" s="9"/>
      <c r="U203" s="9"/>
      <c r="V203" s="9"/>
      <c r="W203" s="971"/>
      <c r="X203" s="9"/>
      <c r="Y203" s="9"/>
      <c r="Z203" s="204"/>
      <c r="AA203" s="9"/>
      <c r="AB203" s="9"/>
      <c r="AC203" s="9"/>
      <c r="AD203" s="9"/>
    </row>
    <row r="204" ht="15.75" customHeight="1">
      <c r="A204" s="9"/>
      <c r="B204" s="9"/>
      <c r="C204" s="9"/>
      <c r="D204" s="9"/>
      <c r="E204" s="9"/>
      <c r="F204" s="9"/>
      <c r="G204" s="9"/>
      <c r="H204" s="223"/>
      <c r="I204" s="9"/>
      <c r="J204" s="9"/>
      <c r="K204" s="9"/>
      <c r="L204" s="9"/>
      <c r="M204" s="9"/>
      <c r="N204" s="9"/>
      <c r="O204" s="9"/>
      <c r="P204" s="9"/>
      <c r="Q204" s="223"/>
      <c r="R204" s="9"/>
      <c r="S204" s="9"/>
      <c r="T204" s="9"/>
      <c r="U204" s="9"/>
      <c r="V204" s="9"/>
      <c r="W204" s="971"/>
      <c r="X204" s="9"/>
      <c r="Y204" s="9"/>
      <c r="Z204" s="204"/>
      <c r="AA204" s="9"/>
      <c r="AB204" s="9"/>
      <c r="AC204" s="9"/>
      <c r="AD204" s="9"/>
    </row>
    <row r="205" ht="15.75" customHeight="1">
      <c r="A205" s="9"/>
      <c r="B205" s="9"/>
      <c r="C205" s="9"/>
      <c r="D205" s="9"/>
      <c r="E205" s="9"/>
      <c r="F205" s="9"/>
      <c r="G205" s="9"/>
      <c r="H205" s="223"/>
      <c r="I205" s="9"/>
      <c r="J205" s="9"/>
      <c r="K205" s="9"/>
      <c r="L205" s="9"/>
      <c r="M205" s="9"/>
      <c r="N205" s="9"/>
      <c r="O205" s="9"/>
      <c r="P205" s="9"/>
      <c r="Q205" s="223"/>
      <c r="R205" s="9"/>
      <c r="S205" s="9"/>
      <c r="T205" s="9"/>
      <c r="U205" s="9"/>
      <c r="V205" s="9"/>
      <c r="W205" s="971"/>
      <c r="X205" s="9"/>
      <c r="Y205" s="9"/>
      <c r="Z205" s="204"/>
      <c r="AA205" s="9"/>
      <c r="AB205" s="9"/>
      <c r="AC205" s="9"/>
      <c r="AD205" s="9"/>
    </row>
    <row r="206" ht="15.75" customHeight="1">
      <c r="A206" s="9"/>
      <c r="B206" s="9"/>
      <c r="C206" s="9"/>
      <c r="D206" s="9"/>
      <c r="E206" s="9"/>
      <c r="F206" s="9"/>
      <c r="G206" s="9"/>
      <c r="H206" s="223"/>
      <c r="I206" s="9"/>
      <c r="J206" s="9"/>
      <c r="K206" s="9"/>
      <c r="L206" s="9"/>
      <c r="M206" s="9"/>
      <c r="N206" s="9"/>
      <c r="O206" s="9"/>
      <c r="P206" s="9"/>
      <c r="Q206" s="223"/>
      <c r="R206" s="9"/>
      <c r="S206" s="9"/>
      <c r="T206" s="9"/>
      <c r="U206" s="9"/>
      <c r="V206" s="9"/>
      <c r="W206" s="971"/>
      <c r="X206" s="9"/>
      <c r="Y206" s="9"/>
      <c r="Z206" s="204"/>
      <c r="AA206" s="9"/>
      <c r="AB206" s="9"/>
      <c r="AC206" s="9"/>
      <c r="AD206" s="9"/>
    </row>
    <row r="207" ht="15.75" customHeight="1">
      <c r="A207" s="9"/>
      <c r="B207" s="9"/>
      <c r="C207" s="9"/>
      <c r="D207" s="9"/>
      <c r="E207" s="9"/>
      <c r="F207" s="9"/>
      <c r="G207" s="9"/>
      <c r="H207" s="223"/>
      <c r="I207" s="9"/>
      <c r="J207" s="9"/>
      <c r="K207" s="9"/>
      <c r="L207" s="9"/>
      <c r="M207" s="9"/>
      <c r="N207" s="9"/>
      <c r="O207" s="9"/>
      <c r="P207" s="9"/>
      <c r="Q207" s="223"/>
      <c r="R207" s="9"/>
      <c r="S207" s="9"/>
      <c r="T207" s="9"/>
      <c r="U207" s="9"/>
      <c r="V207" s="9"/>
      <c r="W207" s="971"/>
      <c r="X207" s="9"/>
      <c r="Y207" s="9"/>
      <c r="Z207" s="204"/>
      <c r="AA207" s="9"/>
      <c r="AB207" s="9"/>
      <c r="AC207" s="9"/>
      <c r="AD207" s="9"/>
    </row>
    <row r="208" ht="15.75" customHeight="1">
      <c r="A208" s="9"/>
      <c r="B208" s="9"/>
      <c r="C208" s="9"/>
      <c r="D208" s="9"/>
      <c r="E208" s="9"/>
      <c r="F208" s="9"/>
      <c r="G208" s="9"/>
      <c r="H208" s="223"/>
      <c r="I208" s="9"/>
      <c r="J208" s="9"/>
      <c r="K208" s="9"/>
      <c r="L208" s="9"/>
      <c r="M208" s="9"/>
      <c r="N208" s="9"/>
      <c r="O208" s="9"/>
      <c r="P208" s="9"/>
      <c r="Q208" s="223"/>
      <c r="R208" s="9"/>
      <c r="S208" s="9"/>
      <c r="T208" s="9"/>
      <c r="U208" s="9"/>
      <c r="V208" s="9"/>
      <c r="W208" s="971"/>
      <c r="X208" s="9"/>
      <c r="Y208" s="9"/>
      <c r="Z208" s="204"/>
      <c r="AA208" s="9"/>
      <c r="AB208" s="9"/>
      <c r="AC208" s="9"/>
      <c r="AD208" s="9"/>
    </row>
    <row r="209" ht="15.75" customHeight="1">
      <c r="A209" s="9"/>
      <c r="B209" s="9"/>
      <c r="C209" s="9"/>
      <c r="D209" s="9"/>
      <c r="E209" s="9"/>
      <c r="F209" s="9"/>
      <c r="G209" s="9"/>
      <c r="H209" s="223"/>
      <c r="I209" s="9"/>
      <c r="J209" s="9"/>
      <c r="K209" s="9"/>
      <c r="L209" s="9"/>
      <c r="M209" s="9"/>
      <c r="N209" s="9"/>
      <c r="O209" s="9"/>
      <c r="P209" s="9"/>
      <c r="Q209" s="223"/>
      <c r="R209" s="9"/>
      <c r="S209" s="9"/>
      <c r="T209" s="9"/>
      <c r="U209" s="9"/>
      <c r="V209" s="9"/>
      <c r="W209" s="971"/>
      <c r="X209" s="9"/>
      <c r="Y209" s="9"/>
      <c r="Z209" s="204"/>
      <c r="AA209" s="9"/>
      <c r="AB209" s="9"/>
      <c r="AC209" s="9"/>
      <c r="AD209" s="9"/>
    </row>
    <row r="210" ht="15.75" customHeight="1">
      <c r="A210" s="9"/>
      <c r="B210" s="9"/>
      <c r="C210" s="9"/>
      <c r="D210" s="9"/>
      <c r="E210" s="9"/>
      <c r="F210" s="9"/>
      <c r="G210" s="9"/>
      <c r="H210" s="223"/>
      <c r="I210" s="9"/>
      <c r="J210" s="9"/>
      <c r="K210" s="9"/>
      <c r="L210" s="9"/>
      <c r="M210" s="9"/>
      <c r="N210" s="9"/>
      <c r="O210" s="9"/>
      <c r="P210" s="9"/>
      <c r="Q210" s="223"/>
      <c r="R210" s="9"/>
      <c r="S210" s="9"/>
      <c r="T210" s="9"/>
      <c r="U210" s="9"/>
      <c r="V210" s="9"/>
      <c r="W210" s="971"/>
      <c r="X210" s="9"/>
      <c r="Y210" s="9"/>
      <c r="Z210" s="204"/>
      <c r="AA210" s="9"/>
      <c r="AB210" s="9"/>
      <c r="AC210" s="9"/>
      <c r="AD210" s="9"/>
    </row>
    <row r="211" ht="15.75" customHeight="1">
      <c r="A211" s="9"/>
      <c r="B211" s="9"/>
      <c r="C211" s="9"/>
      <c r="D211" s="9"/>
      <c r="E211" s="9"/>
      <c r="F211" s="9"/>
      <c r="G211" s="9"/>
      <c r="H211" s="223"/>
      <c r="I211" s="9"/>
      <c r="J211" s="9"/>
      <c r="K211" s="9"/>
      <c r="L211" s="9"/>
      <c r="M211" s="9"/>
      <c r="N211" s="9"/>
      <c r="O211" s="9"/>
      <c r="P211" s="9"/>
      <c r="Q211" s="223"/>
      <c r="R211" s="9"/>
      <c r="S211" s="9"/>
      <c r="T211" s="9"/>
      <c r="U211" s="9"/>
      <c r="V211" s="9"/>
      <c r="W211" s="971"/>
      <c r="X211" s="9"/>
      <c r="Y211" s="9"/>
      <c r="Z211" s="204"/>
      <c r="AA211" s="9"/>
      <c r="AB211" s="9"/>
      <c r="AC211" s="9"/>
      <c r="AD211" s="9"/>
    </row>
    <row r="212" ht="15.75" customHeight="1">
      <c r="A212" s="9"/>
      <c r="B212" s="9"/>
      <c r="C212" s="9"/>
      <c r="D212" s="9"/>
      <c r="E212" s="9"/>
      <c r="F212" s="9"/>
      <c r="G212" s="9"/>
      <c r="H212" s="223"/>
      <c r="I212" s="9"/>
      <c r="J212" s="9"/>
      <c r="K212" s="9"/>
      <c r="L212" s="9"/>
      <c r="M212" s="9"/>
      <c r="N212" s="9"/>
      <c r="O212" s="9"/>
      <c r="P212" s="9"/>
      <c r="Q212" s="223"/>
      <c r="R212" s="9"/>
      <c r="S212" s="9"/>
      <c r="T212" s="9"/>
      <c r="U212" s="9"/>
      <c r="V212" s="9"/>
      <c r="W212" s="971"/>
      <c r="X212" s="9"/>
      <c r="Y212" s="9"/>
      <c r="Z212" s="204"/>
      <c r="AA212" s="9"/>
      <c r="AB212" s="9"/>
      <c r="AC212" s="9"/>
      <c r="AD212" s="9"/>
    </row>
    <row r="213" ht="15.75" customHeight="1">
      <c r="A213" s="9"/>
      <c r="B213" s="9"/>
      <c r="C213" s="9"/>
      <c r="D213" s="9"/>
      <c r="E213" s="9"/>
      <c r="F213" s="9"/>
      <c r="G213" s="9"/>
      <c r="H213" s="223"/>
      <c r="I213" s="9"/>
      <c r="J213" s="9"/>
      <c r="K213" s="9"/>
      <c r="L213" s="9"/>
      <c r="M213" s="9"/>
      <c r="N213" s="9"/>
      <c r="O213" s="9"/>
      <c r="P213" s="9"/>
      <c r="Q213" s="223"/>
      <c r="R213" s="9"/>
      <c r="S213" s="9"/>
      <c r="T213" s="9"/>
      <c r="U213" s="9"/>
      <c r="V213" s="9"/>
      <c r="W213" s="971"/>
      <c r="X213" s="9"/>
      <c r="Y213" s="9"/>
      <c r="Z213" s="204"/>
      <c r="AA213" s="9"/>
      <c r="AB213" s="9"/>
      <c r="AC213" s="9"/>
      <c r="AD213" s="9"/>
    </row>
    <row r="214" ht="15.75" customHeight="1">
      <c r="A214" s="9"/>
      <c r="B214" s="9"/>
      <c r="C214" s="9"/>
      <c r="D214" s="9"/>
      <c r="E214" s="9"/>
      <c r="F214" s="9"/>
      <c r="G214" s="9"/>
      <c r="H214" s="223"/>
      <c r="I214" s="9"/>
      <c r="J214" s="9"/>
      <c r="K214" s="9"/>
      <c r="L214" s="9"/>
      <c r="M214" s="9"/>
      <c r="N214" s="9"/>
      <c r="O214" s="9"/>
      <c r="P214" s="9"/>
      <c r="Q214" s="223"/>
      <c r="R214" s="9"/>
      <c r="S214" s="9"/>
      <c r="T214" s="9"/>
      <c r="U214" s="9"/>
      <c r="V214" s="9"/>
      <c r="W214" s="971"/>
      <c r="X214" s="9"/>
      <c r="Y214" s="9"/>
      <c r="Z214" s="204"/>
      <c r="AA214" s="9"/>
      <c r="AB214" s="9"/>
      <c r="AC214" s="9"/>
      <c r="AD214" s="9"/>
    </row>
    <row r="215" ht="15.75" customHeight="1">
      <c r="A215" s="9"/>
      <c r="B215" s="9"/>
      <c r="C215" s="9"/>
      <c r="D215" s="9"/>
      <c r="E215" s="9"/>
      <c r="F215" s="9"/>
      <c r="G215" s="9"/>
      <c r="H215" s="223"/>
      <c r="I215" s="9"/>
      <c r="J215" s="9"/>
      <c r="K215" s="9"/>
      <c r="L215" s="9"/>
      <c r="M215" s="9"/>
      <c r="N215" s="9"/>
      <c r="O215" s="9"/>
      <c r="P215" s="9"/>
      <c r="Q215" s="223"/>
      <c r="R215" s="9"/>
      <c r="S215" s="9"/>
      <c r="T215" s="9"/>
      <c r="U215" s="9"/>
      <c r="V215" s="9"/>
      <c r="W215" s="971"/>
      <c r="X215" s="9"/>
      <c r="Y215" s="9"/>
      <c r="Z215" s="204"/>
      <c r="AA215" s="9"/>
      <c r="AB215" s="9"/>
      <c r="AC215" s="9"/>
      <c r="AD215" s="9"/>
    </row>
    <row r="216" ht="15.75" customHeight="1">
      <c r="A216" s="9"/>
      <c r="B216" s="9"/>
      <c r="C216" s="9"/>
      <c r="D216" s="9"/>
      <c r="E216" s="9"/>
      <c r="F216" s="9"/>
      <c r="G216" s="9"/>
      <c r="H216" s="223"/>
      <c r="I216" s="9"/>
      <c r="J216" s="9"/>
      <c r="K216" s="9"/>
      <c r="L216" s="9"/>
      <c r="M216" s="9"/>
      <c r="N216" s="9"/>
      <c r="O216" s="9"/>
      <c r="P216" s="9"/>
      <c r="Q216" s="223"/>
      <c r="R216" s="9"/>
      <c r="S216" s="9"/>
      <c r="T216" s="9"/>
      <c r="U216" s="9"/>
      <c r="V216" s="9"/>
      <c r="W216" s="971"/>
      <c r="X216" s="9"/>
      <c r="Y216" s="9"/>
      <c r="Z216" s="204"/>
      <c r="AA216" s="9"/>
      <c r="AB216" s="9"/>
      <c r="AC216" s="9"/>
      <c r="AD216" s="9"/>
    </row>
    <row r="217" ht="15.75" customHeight="1">
      <c r="A217" s="9"/>
      <c r="B217" s="9"/>
      <c r="C217" s="9"/>
      <c r="D217" s="9"/>
      <c r="E217" s="9"/>
      <c r="F217" s="9"/>
      <c r="G217" s="9"/>
      <c r="H217" s="223"/>
      <c r="I217" s="9"/>
      <c r="J217" s="9"/>
      <c r="K217" s="9"/>
      <c r="L217" s="9"/>
      <c r="M217" s="9"/>
      <c r="N217" s="9"/>
      <c r="O217" s="9"/>
      <c r="P217" s="9"/>
      <c r="Q217" s="223"/>
      <c r="R217" s="9"/>
      <c r="S217" s="9"/>
      <c r="T217" s="9"/>
      <c r="U217" s="9"/>
      <c r="V217" s="9"/>
      <c r="W217" s="971"/>
      <c r="X217" s="9"/>
      <c r="Y217" s="9"/>
      <c r="Z217" s="204"/>
      <c r="AA217" s="9"/>
      <c r="AB217" s="9"/>
      <c r="AC217" s="9"/>
      <c r="AD217" s="9"/>
    </row>
    <row r="218" ht="15.75" customHeight="1">
      <c r="A218" s="9"/>
      <c r="B218" s="9"/>
      <c r="C218" s="9"/>
      <c r="D218" s="9"/>
      <c r="E218" s="9"/>
      <c r="F218" s="9"/>
      <c r="G218" s="9"/>
      <c r="H218" s="223"/>
      <c r="I218" s="9"/>
      <c r="J218" s="9"/>
      <c r="K218" s="9"/>
      <c r="L218" s="9"/>
      <c r="M218" s="9"/>
      <c r="N218" s="9"/>
      <c r="O218" s="9"/>
      <c r="P218" s="9"/>
      <c r="Q218" s="223"/>
      <c r="R218" s="9"/>
      <c r="S218" s="9"/>
      <c r="T218" s="9"/>
      <c r="U218" s="9"/>
      <c r="V218" s="9"/>
      <c r="W218" s="971"/>
      <c r="X218" s="9"/>
      <c r="Y218" s="9"/>
      <c r="Z218" s="204"/>
      <c r="AA218" s="9"/>
      <c r="AB218" s="9"/>
      <c r="AC218" s="9"/>
      <c r="AD218" s="9"/>
    </row>
    <row r="219" ht="15.75" customHeight="1">
      <c r="A219" s="9"/>
      <c r="B219" s="9"/>
      <c r="C219" s="9"/>
      <c r="D219" s="9"/>
      <c r="E219" s="9"/>
      <c r="F219" s="9"/>
      <c r="G219" s="9"/>
      <c r="H219" s="223"/>
      <c r="I219" s="9"/>
      <c r="J219" s="9"/>
      <c r="K219" s="9"/>
      <c r="L219" s="9"/>
      <c r="M219" s="9"/>
      <c r="N219" s="9"/>
      <c r="O219" s="9"/>
      <c r="P219" s="9"/>
      <c r="Q219" s="223"/>
      <c r="R219" s="9"/>
      <c r="S219" s="9"/>
      <c r="T219" s="9"/>
      <c r="U219" s="9"/>
      <c r="V219" s="9"/>
      <c r="W219" s="971"/>
      <c r="X219" s="9"/>
      <c r="Y219" s="9"/>
      <c r="Z219" s="204"/>
      <c r="AA219" s="9"/>
      <c r="AB219" s="9"/>
      <c r="AC219" s="9"/>
      <c r="AD219" s="9"/>
    </row>
    <row r="220" ht="15.75" customHeight="1">
      <c r="A220" s="9"/>
      <c r="B220" s="9"/>
      <c r="C220" s="9"/>
      <c r="D220" s="9"/>
      <c r="E220" s="9"/>
      <c r="F220" s="9"/>
      <c r="G220" s="9"/>
      <c r="H220" s="223"/>
      <c r="I220" s="9"/>
      <c r="J220" s="9"/>
      <c r="K220" s="9"/>
      <c r="L220" s="9"/>
      <c r="M220" s="9"/>
      <c r="N220" s="9"/>
      <c r="O220" s="9"/>
      <c r="P220" s="9"/>
      <c r="Q220" s="223"/>
      <c r="R220" s="9"/>
      <c r="S220" s="9"/>
      <c r="T220" s="9"/>
      <c r="U220" s="9"/>
      <c r="V220" s="9"/>
      <c r="W220" s="971"/>
      <c r="X220" s="9"/>
      <c r="Y220" s="9"/>
      <c r="Z220" s="204"/>
      <c r="AA220" s="9"/>
      <c r="AB220" s="9"/>
      <c r="AC220" s="9"/>
      <c r="AD220" s="9"/>
    </row>
    <row r="221" ht="15.75" customHeight="1">
      <c r="A221" s="9"/>
      <c r="B221" s="9"/>
      <c r="C221" s="9"/>
      <c r="D221" s="9"/>
      <c r="E221" s="9"/>
      <c r="F221" s="9"/>
      <c r="G221" s="9"/>
      <c r="H221" s="223"/>
      <c r="I221" s="9"/>
      <c r="J221" s="9"/>
      <c r="K221" s="9"/>
      <c r="L221" s="9"/>
      <c r="M221" s="9"/>
      <c r="N221" s="9"/>
      <c r="O221" s="9"/>
      <c r="P221" s="9"/>
      <c r="Q221" s="223"/>
      <c r="R221" s="9"/>
      <c r="S221" s="9"/>
      <c r="T221" s="9"/>
      <c r="U221" s="9"/>
      <c r="V221" s="9"/>
      <c r="W221" s="971"/>
      <c r="X221" s="9"/>
      <c r="Y221" s="9"/>
      <c r="Z221" s="204"/>
      <c r="AA221" s="9"/>
      <c r="AB221" s="9"/>
      <c r="AC221" s="9"/>
      <c r="AD221" s="9"/>
    </row>
    <row r="222" ht="15.75" customHeight="1">
      <c r="A222" s="9"/>
      <c r="B222" s="9"/>
      <c r="C222" s="9"/>
      <c r="D222" s="9"/>
      <c r="E222" s="9"/>
      <c r="F222" s="9"/>
      <c r="G222" s="9"/>
      <c r="H222" s="223"/>
      <c r="I222" s="9"/>
      <c r="J222" s="9"/>
      <c r="K222" s="9"/>
      <c r="L222" s="9"/>
      <c r="M222" s="9"/>
      <c r="N222" s="9"/>
      <c r="O222" s="9"/>
      <c r="P222" s="9"/>
      <c r="Q222" s="223"/>
      <c r="R222" s="9"/>
      <c r="S222" s="9"/>
      <c r="T222" s="9"/>
      <c r="U222" s="9"/>
      <c r="V222" s="9"/>
      <c r="W222" s="971"/>
      <c r="X222" s="9"/>
      <c r="Y222" s="9"/>
      <c r="Z222" s="204"/>
      <c r="AA222" s="9"/>
      <c r="AB222" s="9"/>
      <c r="AC222" s="9"/>
      <c r="AD222" s="9"/>
    </row>
    <row r="223" ht="15.75" customHeight="1">
      <c r="A223" s="9"/>
      <c r="B223" s="9"/>
      <c r="C223" s="9"/>
      <c r="D223" s="9"/>
      <c r="E223" s="9"/>
      <c r="F223" s="9"/>
      <c r="G223" s="9"/>
      <c r="H223" s="223"/>
      <c r="I223" s="9"/>
      <c r="J223" s="9"/>
      <c r="K223" s="9"/>
      <c r="L223" s="9"/>
      <c r="M223" s="9"/>
      <c r="N223" s="9"/>
      <c r="O223" s="9"/>
      <c r="P223" s="9"/>
      <c r="Q223" s="223"/>
      <c r="R223" s="9"/>
      <c r="S223" s="9"/>
      <c r="T223" s="9"/>
      <c r="U223" s="9"/>
      <c r="V223" s="9"/>
      <c r="W223" s="971"/>
      <c r="X223" s="9"/>
      <c r="Y223" s="9"/>
      <c r="Z223" s="204"/>
      <c r="AA223" s="9"/>
      <c r="AB223" s="9"/>
      <c r="AC223" s="9"/>
      <c r="AD223" s="9"/>
    </row>
    <row r="224" ht="15.75" customHeight="1">
      <c r="A224" s="9"/>
      <c r="B224" s="9"/>
      <c r="C224" s="9"/>
      <c r="D224" s="9"/>
      <c r="E224" s="9"/>
      <c r="F224" s="9"/>
      <c r="G224" s="9"/>
      <c r="H224" s="223"/>
      <c r="I224" s="9"/>
      <c r="J224" s="9"/>
      <c r="K224" s="9"/>
      <c r="L224" s="9"/>
      <c r="M224" s="9"/>
      <c r="N224" s="9"/>
      <c r="O224" s="9"/>
      <c r="P224" s="9"/>
      <c r="Q224" s="223"/>
      <c r="R224" s="9"/>
      <c r="S224" s="9"/>
      <c r="T224" s="9"/>
      <c r="U224" s="9"/>
      <c r="V224" s="9"/>
      <c r="W224" s="971"/>
      <c r="X224" s="9"/>
      <c r="Y224" s="9"/>
      <c r="Z224" s="204"/>
      <c r="AA224" s="9"/>
      <c r="AB224" s="9"/>
      <c r="AC224" s="9"/>
      <c r="AD224" s="9"/>
    </row>
    <row r="225" ht="15.75" customHeight="1">
      <c r="A225" s="9"/>
      <c r="B225" s="9"/>
      <c r="C225" s="9"/>
      <c r="D225" s="9"/>
      <c r="E225" s="9"/>
      <c r="F225" s="9"/>
      <c r="G225" s="9"/>
      <c r="H225" s="223"/>
      <c r="I225" s="9"/>
      <c r="J225" s="9"/>
      <c r="K225" s="9"/>
      <c r="L225" s="9"/>
      <c r="M225" s="9"/>
      <c r="N225" s="9"/>
      <c r="O225" s="9"/>
      <c r="P225" s="9"/>
      <c r="Q225" s="223"/>
      <c r="R225" s="9"/>
      <c r="S225" s="9"/>
      <c r="T225" s="9"/>
      <c r="U225" s="9"/>
      <c r="V225" s="9"/>
      <c r="W225" s="971"/>
      <c r="X225" s="9"/>
      <c r="Y225" s="9"/>
      <c r="Z225" s="204"/>
      <c r="AA225" s="9"/>
      <c r="AB225" s="9"/>
      <c r="AC225" s="9"/>
      <c r="AD225" s="9"/>
    </row>
    <row r="226" ht="15.75" customHeight="1">
      <c r="A226" s="9"/>
      <c r="B226" s="9"/>
      <c r="C226" s="9"/>
      <c r="D226" s="9"/>
      <c r="E226" s="9"/>
      <c r="F226" s="9"/>
      <c r="G226" s="9"/>
      <c r="H226" s="223"/>
      <c r="I226" s="9"/>
      <c r="J226" s="9"/>
      <c r="K226" s="9"/>
      <c r="L226" s="9"/>
      <c r="M226" s="9"/>
      <c r="N226" s="9"/>
      <c r="O226" s="9"/>
      <c r="P226" s="9"/>
      <c r="Q226" s="223"/>
      <c r="R226" s="9"/>
      <c r="S226" s="9"/>
      <c r="T226" s="9"/>
      <c r="U226" s="9"/>
      <c r="V226" s="9"/>
      <c r="W226" s="971"/>
      <c r="X226" s="9"/>
      <c r="Y226" s="9"/>
      <c r="Z226" s="204"/>
      <c r="AA226" s="9"/>
      <c r="AB226" s="9"/>
      <c r="AC226" s="9"/>
      <c r="AD226" s="9"/>
    </row>
    <row r="227" ht="15.75" customHeight="1">
      <c r="A227" s="9"/>
      <c r="B227" s="9"/>
      <c r="C227" s="9"/>
      <c r="D227" s="9"/>
      <c r="E227" s="9"/>
      <c r="F227" s="9"/>
      <c r="G227" s="9"/>
      <c r="H227" s="223"/>
      <c r="I227" s="9"/>
      <c r="J227" s="9"/>
      <c r="K227" s="9"/>
      <c r="L227" s="9"/>
      <c r="M227" s="9"/>
      <c r="N227" s="9"/>
      <c r="O227" s="9"/>
      <c r="P227" s="9"/>
      <c r="Q227" s="223"/>
      <c r="R227" s="9"/>
      <c r="S227" s="9"/>
      <c r="T227" s="9"/>
      <c r="U227" s="9"/>
      <c r="V227" s="9"/>
      <c r="W227" s="971"/>
      <c r="X227" s="9"/>
      <c r="Y227" s="9"/>
      <c r="Z227" s="204"/>
      <c r="AA227" s="9"/>
      <c r="AB227" s="9"/>
      <c r="AC227" s="9"/>
      <c r="AD227" s="9"/>
    </row>
    <row r="228" ht="15.75" customHeight="1">
      <c r="A228" s="9"/>
      <c r="B228" s="9"/>
      <c r="C228" s="9"/>
      <c r="D228" s="9"/>
      <c r="E228" s="9"/>
      <c r="F228" s="9"/>
      <c r="G228" s="9"/>
      <c r="H228" s="223"/>
      <c r="I228" s="9"/>
      <c r="J228" s="9"/>
      <c r="K228" s="9"/>
      <c r="L228" s="9"/>
      <c r="M228" s="9"/>
      <c r="N228" s="9"/>
      <c r="O228" s="9"/>
      <c r="P228" s="9"/>
      <c r="Q228" s="223"/>
      <c r="R228" s="9"/>
      <c r="S228" s="9"/>
      <c r="T228" s="9"/>
      <c r="U228" s="9"/>
      <c r="V228" s="9"/>
      <c r="W228" s="971"/>
      <c r="X228" s="9"/>
      <c r="Y228" s="9"/>
      <c r="Z228" s="204"/>
      <c r="AA228" s="9"/>
      <c r="AB228" s="9"/>
      <c r="AC228" s="9"/>
      <c r="AD228" s="9"/>
    </row>
    <row r="229" ht="15.75" customHeight="1">
      <c r="A229" s="9"/>
      <c r="B229" s="9"/>
      <c r="C229" s="9"/>
      <c r="D229" s="9"/>
      <c r="E229" s="9"/>
      <c r="F229" s="9"/>
      <c r="G229" s="9"/>
      <c r="H229" s="223"/>
      <c r="I229" s="9"/>
      <c r="J229" s="9"/>
      <c r="K229" s="9"/>
      <c r="L229" s="9"/>
      <c r="M229" s="9"/>
      <c r="N229" s="9"/>
      <c r="O229" s="9"/>
      <c r="P229" s="9"/>
      <c r="Q229" s="223"/>
      <c r="R229" s="9"/>
      <c r="S229" s="9"/>
      <c r="T229" s="9"/>
      <c r="U229" s="9"/>
      <c r="V229" s="9"/>
      <c r="W229" s="971"/>
      <c r="X229" s="9"/>
      <c r="Y229" s="9"/>
      <c r="Z229" s="204"/>
      <c r="AA229" s="9"/>
      <c r="AB229" s="9"/>
      <c r="AC229" s="9"/>
      <c r="AD229" s="9"/>
    </row>
    <row r="230" ht="15.75" customHeight="1">
      <c r="A230" s="9"/>
      <c r="B230" s="9"/>
      <c r="C230" s="9"/>
      <c r="D230" s="9"/>
      <c r="E230" s="9"/>
      <c r="F230" s="9"/>
      <c r="G230" s="9"/>
      <c r="H230" s="223"/>
      <c r="I230" s="9"/>
      <c r="J230" s="9"/>
      <c r="K230" s="9"/>
      <c r="L230" s="9"/>
      <c r="M230" s="9"/>
      <c r="N230" s="9"/>
      <c r="O230" s="9"/>
      <c r="P230" s="9"/>
      <c r="Q230" s="223"/>
      <c r="R230" s="9"/>
      <c r="S230" s="9"/>
      <c r="T230" s="9"/>
      <c r="U230" s="9"/>
      <c r="V230" s="9"/>
      <c r="W230" s="971"/>
      <c r="X230" s="9"/>
      <c r="Y230" s="9"/>
      <c r="Z230" s="204"/>
      <c r="AA230" s="9"/>
      <c r="AB230" s="9"/>
      <c r="AC230" s="9"/>
      <c r="AD230" s="9"/>
    </row>
    <row r="231" ht="15.75" customHeight="1">
      <c r="A231" s="9"/>
      <c r="B231" s="9"/>
      <c r="C231" s="9"/>
      <c r="D231" s="9"/>
      <c r="E231" s="9"/>
      <c r="F231" s="9"/>
      <c r="G231" s="9"/>
      <c r="H231" s="223"/>
      <c r="I231" s="9"/>
      <c r="J231" s="9"/>
      <c r="K231" s="9"/>
      <c r="L231" s="9"/>
      <c r="M231" s="9"/>
      <c r="N231" s="9"/>
      <c r="O231" s="9"/>
      <c r="P231" s="9"/>
      <c r="Q231" s="223"/>
      <c r="R231" s="9"/>
      <c r="S231" s="9"/>
      <c r="T231" s="9"/>
      <c r="U231" s="9"/>
      <c r="V231" s="9"/>
      <c r="W231" s="971"/>
      <c r="X231" s="9"/>
      <c r="Y231" s="9"/>
      <c r="Z231" s="204"/>
      <c r="AA231" s="9"/>
      <c r="AB231" s="9"/>
      <c r="AC231" s="9"/>
      <c r="AD231" s="9"/>
    </row>
    <row r="232" ht="15.75" customHeight="1">
      <c r="A232" s="9"/>
      <c r="B232" s="9"/>
      <c r="C232" s="9"/>
      <c r="D232" s="9"/>
      <c r="E232" s="9"/>
      <c r="F232" s="9"/>
      <c r="G232" s="9"/>
      <c r="H232" s="223"/>
      <c r="I232" s="9"/>
      <c r="J232" s="9"/>
      <c r="K232" s="9"/>
      <c r="L232" s="9"/>
      <c r="M232" s="9"/>
      <c r="N232" s="9"/>
      <c r="O232" s="9"/>
      <c r="P232" s="9"/>
      <c r="Q232" s="223"/>
      <c r="R232" s="9"/>
      <c r="S232" s="9"/>
      <c r="T232" s="9"/>
      <c r="U232" s="9"/>
      <c r="V232" s="9"/>
      <c r="W232" s="971"/>
      <c r="X232" s="9"/>
      <c r="Y232" s="9"/>
      <c r="Z232" s="204"/>
      <c r="AA232" s="9"/>
      <c r="AB232" s="9"/>
      <c r="AC232" s="9"/>
      <c r="AD232" s="9"/>
    </row>
    <row r="233" ht="15.75" customHeight="1">
      <c r="A233" s="9"/>
      <c r="B233" s="9"/>
      <c r="C233" s="9"/>
      <c r="D233" s="9"/>
      <c r="E233" s="9"/>
      <c r="F233" s="9"/>
      <c r="G233" s="9"/>
      <c r="H233" s="223"/>
      <c r="I233" s="9"/>
      <c r="J233" s="9"/>
      <c r="K233" s="9"/>
      <c r="L233" s="9"/>
      <c r="M233" s="9"/>
      <c r="N233" s="9"/>
      <c r="O233" s="9"/>
      <c r="P233" s="9"/>
      <c r="Q233" s="223"/>
      <c r="R233" s="9"/>
      <c r="S233" s="9"/>
      <c r="T233" s="9"/>
      <c r="U233" s="9"/>
      <c r="V233" s="9"/>
      <c r="W233" s="971"/>
      <c r="X233" s="9"/>
      <c r="Y233" s="9"/>
      <c r="Z233" s="204"/>
      <c r="AA233" s="9"/>
      <c r="AB233" s="9"/>
      <c r="AC233" s="9"/>
      <c r="AD233" s="9"/>
    </row>
    <row r="234" ht="15.75" customHeight="1">
      <c r="A234" s="9"/>
      <c r="B234" s="9"/>
      <c r="C234" s="9"/>
      <c r="D234" s="9"/>
      <c r="E234" s="9"/>
      <c r="F234" s="9"/>
      <c r="G234" s="9"/>
      <c r="H234" s="223"/>
      <c r="I234" s="9"/>
      <c r="J234" s="9"/>
      <c r="K234" s="9"/>
      <c r="L234" s="9"/>
      <c r="M234" s="9"/>
      <c r="N234" s="9"/>
      <c r="O234" s="9"/>
      <c r="P234" s="9"/>
      <c r="Q234" s="223"/>
      <c r="R234" s="9"/>
      <c r="S234" s="9"/>
      <c r="T234" s="9"/>
      <c r="U234" s="9"/>
      <c r="V234" s="9"/>
      <c r="W234" s="971"/>
      <c r="X234" s="9"/>
      <c r="Y234" s="9"/>
      <c r="Z234" s="204"/>
      <c r="AA234" s="9"/>
      <c r="AB234" s="9"/>
      <c r="AC234" s="9"/>
      <c r="AD234" s="9"/>
    </row>
    <row r="235" ht="15.75" customHeight="1">
      <c r="A235" s="9"/>
      <c r="B235" s="9"/>
      <c r="C235" s="9"/>
      <c r="D235" s="9"/>
      <c r="E235" s="9"/>
      <c r="F235" s="9"/>
      <c r="G235" s="9"/>
      <c r="H235" s="223"/>
      <c r="I235" s="9"/>
      <c r="J235" s="9"/>
      <c r="K235" s="9"/>
      <c r="L235" s="9"/>
      <c r="M235" s="9"/>
      <c r="N235" s="9"/>
      <c r="O235" s="9"/>
      <c r="P235" s="9"/>
      <c r="Q235" s="223"/>
      <c r="R235" s="9"/>
      <c r="S235" s="9"/>
      <c r="T235" s="9"/>
      <c r="U235" s="9"/>
      <c r="V235" s="9"/>
      <c r="W235" s="971"/>
      <c r="X235" s="9"/>
      <c r="Y235" s="9"/>
      <c r="Z235" s="204"/>
      <c r="AA235" s="9"/>
      <c r="AB235" s="9"/>
      <c r="AC235" s="9"/>
      <c r="AD235" s="9"/>
    </row>
    <row r="236" ht="15.75" customHeight="1">
      <c r="A236" s="9"/>
      <c r="B236" s="9"/>
      <c r="C236" s="9"/>
      <c r="D236" s="9"/>
      <c r="E236" s="9"/>
      <c r="F236" s="9"/>
      <c r="G236" s="9"/>
      <c r="H236" s="223"/>
      <c r="I236" s="9"/>
      <c r="J236" s="9"/>
      <c r="K236" s="9"/>
      <c r="L236" s="9"/>
      <c r="M236" s="9"/>
      <c r="N236" s="9"/>
      <c r="O236" s="9"/>
      <c r="P236" s="9"/>
      <c r="Q236" s="223"/>
      <c r="R236" s="9"/>
      <c r="S236" s="9"/>
      <c r="T236" s="9"/>
      <c r="U236" s="9"/>
      <c r="V236" s="9"/>
      <c r="W236" s="971"/>
      <c r="X236" s="9"/>
      <c r="Y236" s="9"/>
      <c r="Z236" s="204"/>
      <c r="AA236" s="9"/>
      <c r="AB236" s="9"/>
      <c r="AC236" s="9"/>
      <c r="AD236" s="9"/>
    </row>
    <row r="237" ht="15.75" customHeight="1">
      <c r="A237" s="9"/>
      <c r="B237" s="9"/>
      <c r="C237" s="9"/>
      <c r="D237" s="9"/>
      <c r="E237" s="9"/>
      <c r="F237" s="9"/>
      <c r="G237" s="9"/>
      <c r="H237" s="223"/>
      <c r="I237" s="9"/>
      <c r="J237" s="9"/>
      <c r="K237" s="9"/>
      <c r="L237" s="9"/>
      <c r="M237" s="9"/>
      <c r="N237" s="9"/>
      <c r="O237" s="9"/>
      <c r="P237" s="9"/>
      <c r="Q237" s="223"/>
      <c r="R237" s="9"/>
      <c r="S237" s="9"/>
      <c r="T237" s="9"/>
      <c r="U237" s="9"/>
      <c r="V237" s="9"/>
      <c r="W237" s="971"/>
      <c r="X237" s="9"/>
      <c r="Y237" s="9"/>
      <c r="Z237" s="204"/>
      <c r="AA237" s="9"/>
      <c r="AB237" s="9"/>
      <c r="AC237" s="9"/>
      <c r="AD237" s="9"/>
    </row>
    <row r="238" ht="15.75" customHeight="1">
      <c r="A238" s="9"/>
      <c r="B238" s="9"/>
      <c r="C238" s="9"/>
      <c r="D238" s="9"/>
      <c r="E238" s="9"/>
      <c r="F238" s="9"/>
      <c r="G238" s="9"/>
      <c r="H238" s="223"/>
      <c r="I238" s="9"/>
      <c r="J238" s="9"/>
      <c r="K238" s="9"/>
      <c r="L238" s="9"/>
      <c r="M238" s="9"/>
      <c r="N238" s="9"/>
      <c r="O238" s="9"/>
      <c r="P238" s="9"/>
      <c r="Q238" s="223"/>
      <c r="R238" s="9"/>
      <c r="S238" s="9"/>
      <c r="T238" s="9"/>
      <c r="U238" s="9"/>
      <c r="V238" s="9"/>
      <c r="W238" s="971"/>
      <c r="X238" s="9"/>
      <c r="Y238" s="9"/>
      <c r="Z238" s="204"/>
      <c r="AA238" s="9"/>
      <c r="AB238" s="9"/>
      <c r="AC238" s="9"/>
      <c r="AD238" s="9"/>
    </row>
    <row r="239" ht="15.75" customHeight="1">
      <c r="A239" s="9"/>
      <c r="B239" s="9"/>
      <c r="C239" s="9"/>
      <c r="D239" s="9"/>
      <c r="E239" s="9"/>
      <c r="F239" s="9"/>
      <c r="G239" s="9"/>
      <c r="H239" s="223"/>
      <c r="I239" s="9"/>
      <c r="J239" s="9"/>
      <c r="K239" s="9"/>
      <c r="L239" s="9"/>
      <c r="M239" s="9"/>
      <c r="N239" s="9"/>
      <c r="O239" s="9"/>
      <c r="P239" s="9"/>
      <c r="Q239" s="223"/>
      <c r="R239" s="9"/>
      <c r="S239" s="9"/>
      <c r="T239" s="9"/>
      <c r="U239" s="9"/>
      <c r="V239" s="9"/>
      <c r="W239" s="971"/>
      <c r="X239" s="9"/>
      <c r="Y239" s="9"/>
      <c r="Z239" s="204"/>
      <c r="AA239" s="9"/>
      <c r="AB239" s="9"/>
      <c r="AC239" s="9"/>
      <c r="AD239" s="9"/>
    </row>
    <row r="240" ht="15.75" customHeight="1">
      <c r="A240" s="9"/>
      <c r="B240" s="9"/>
      <c r="C240" s="9"/>
      <c r="D240" s="9"/>
      <c r="E240" s="9"/>
      <c r="F240" s="9"/>
      <c r="G240" s="9"/>
      <c r="H240" s="223"/>
      <c r="I240" s="9"/>
      <c r="J240" s="9"/>
      <c r="K240" s="9"/>
      <c r="L240" s="9"/>
      <c r="M240" s="9"/>
      <c r="N240" s="9"/>
      <c r="O240" s="9"/>
      <c r="P240" s="9"/>
      <c r="Q240" s="223"/>
      <c r="R240" s="9"/>
      <c r="S240" s="9"/>
      <c r="T240" s="9"/>
      <c r="U240" s="9"/>
      <c r="V240" s="9"/>
      <c r="W240" s="971"/>
      <c r="X240" s="9"/>
      <c r="Y240" s="9"/>
      <c r="Z240" s="204"/>
      <c r="AA240" s="9"/>
      <c r="AB240" s="9"/>
      <c r="AC240" s="9"/>
      <c r="AD240" s="9"/>
    </row>
    <row r="241" ht="15.75" customHeight="1">
      <c r="A241" s="9"/>
      <c r="B241" s="9"/>
      <c r="C241" s="9"/>
      <c r="D241" s="9"/>
      <c r="E241" s="9"/>
      <c r="F241" s="9"/>
      <c r="G241" s="9"/>
      <c r="H241" s="223"/>
      <c r="I241" s="9"/>
      <c r="J241" s="9"/>
      <c r="K241" s="9"/>
      <c r="L241" s="9"/>
      <c r="M241" s="9"/>
      <c r="N241" s="9"/>
      <c r="O241" s="9"/>
      <c r="P241" s="9"/>
      <c r="Q241" s="223"/>
      <c r="R241" s="9"/>
      <c r="S241" s="9"/>
      <c r="T241" s="9"/>
      <c r="U241" s="9"/>
      <c r="V241" s="9"/>
      <c r="W241" s="971"/>
      <c r="X241" s="9"/>
      <c r="Y241" s="9"/>
      <c r="Z241" s="204"/>
      <c r="AA241" s="9"/>
      <c r="AB241" s="9"/>
      <c r="AC241" s="9"/>
      <c r="AD241" s="9"/>
    </row>
    <row r="242" ht="15.75" customHeight="1">
      <c r="A242" s="9"/>
      <c r="B242" s="9"/>
      <c r="C242" s="9"/>
      <c r="D242" s="9"/>
      <c r="E242" s="9"/>
      <c r="F242" s="9"/>
      <c r="G242" s="9"/>
      <c r="H242" s="223"/>
      <c r="I242" s="9"/>
      <c r="J242" s="9"/>
      <c r="K242" s="9"/>
      <c r="L242" s="9"/>
      <c r="M242" s="9"/>
      <c r="N242" s="9"/>
      <c r="O242" s="9"/>
      <c r="P242" s="9"/>
      <c r="Q242" s="223"/>
      <c r="R242" s="9"/>
      <c r="S242" s="9"/>
      <c r="T242" s="9"/>
      <c r="U242" s="9"/>
      <c r="V242" s="9"/>
      <c r="W242" s="971"/>
      <c r="X242" s="9"/>
      <c r="Y242" s="9"/>
      <c r="Z242" s="204"/>
      <c r="AA242" s="9"/>
      <c r="AB242" s="9"/>
      <c r="AC242" s="9"/>
      <c r="AD242" s="9"/>
    </row>
    <row r="243" ht="15.75" customHeight="1">
      <c r="A243" s="9"/>
      <c r="B243" s="9"/>
      <c r="C243" s="9"/>
      <c r="D243" s="9"/>
      <c r="E243" s="9"/>
      <c r="F243" s="9"/>
      <c r="G243" s="9"/>
      <c r="H243" s="223"/>
      <c r="I243" s="9"/>
      <c r="J243" s="9"/>
      <c r="K243" s="9"/>
      <c r="L243" s="9"/>
      <c r="M243" s="9"/>
      <c r="N243" s="9"/>
      <c r="O243" s="9"/>
      <c r="P243" s="9"/>
      <c r="Q243" s="223"/>
      <c r="R243" s="9"/>
      <c r="S243" s="9"/>
      <c r="T243" s="9"/>
      <c r="U243" s="9"/>
      <c r="V243" s="9"/>
      <c r="W243" s="971"/>
      <c r="X243" s="9"/>
      <c r="Y243" s="9"/>
      <c r="Z243" s="204"/>
      <c r="AA243" s="9"/>
      <c r="AB243" s="9"/>
      <c r="AC243" s="9"/>
      <c r="AD243" s="9"/>
    </row>
    <row r="244" ht="15.75" customHeight="1">
      <c r="A244" s="9"/>
      <c r="B244" s="9"/>
      <c r="C244" s="9"/>
      <c r="D244" s="9"/>
      <c r="E244" s="9"/>
      <c r="F244" s="9"/>
      <c r="G244" s="9"/>
      <c r="H244" s="223"/>
      <c r="I244" s="9"/>
      <c r="J244" s="9"/>
      <c r="K244" s="9"/>
      <c r="L244" s="9"/>
      <c r="M244" s="9"/>
      <c r="N244" s="9"/>
      <c r="O244" s="9"/>
      <c r="P244" s="9"/>
      <c r="Q244" s="223"/>
      <c r="R244" s="9"/>
      <c r="S244" s="9"/>
      <c r="T244" s="9"/>
      <c r="U244" s="9"/>
      <c r="V244" s="9"/>
      <c r="W244" s="971"/>
      <c r="X244" s="9"/>
      <c r="Y244" s="9"/>
      <c r="Z244" s="204"/>
      <c r="AA244" s="9"/>
      <c r="AB244" s="9"/>
      <c r="AC244" s="9"/>
      <c r="AD244" s="9"/>
    </row>
    <row r="245" ht="15.75" customHeight="1">
      <c r="A245" s="9"/>
      <c r="B245" s="9"/>
      <c r="C245" s="9"/>
      <c r="D245" s="9"/>
      <c r="E245" s="9"/>
      <c r="F245" s="9"/>
      <c r="G245" s="9"/>
      <c r="H245" s="223"/>
      <c r="I245" s="9"/>
      <c r="J245" s="9"/>
      <c r="K245" s="9"/>
      <c r="L245" s="9"/>
      <c r="M245" s="9"/>
      <c r="N245" s="9"/>
      <c r="O245" s="9"/>
      <c r="P245" s="9"/>
      <c r="Q245" s="223"/>
      <c r="R245" s="9"/>
      <c r="S245" s="9"/>
      <c r="T245" s="9"/>
      <c r="U245" s="9"/>
      <c r="V245" s="9"/>
      <c r="W245" s="971"/>
      <c r="X245" s="9"/>
      <c r="Y245" s="9"/>
      <c r="Z245" s="204"/>
      <c r="AA245" s="9"/>
      <c r="AB245" s="9"/>
      <c r="AC245" s="9"/>
      <c r="AD245" s="9"/>
    </row>
    <row r="246" ht="15.75" customHeight="1">
      <c r="A246" s="9"/>
      <c r="B246" s="9"/>
      <c r="C246" s="9"/>
      <c r="D246" s="9"/>
      <c r="E246" s="9"/>
      <c r="F246" s="9"/>
      <c r="G246" s="9"/>
      <c r="H246" s="223"/>
      <c r="I246" s="9"/>
      <c r="J246" s="9"/>
      <c r="K246" s="9"/>
      <c r="L246" s="9"/>
      <c r="M246" s="9"/>
      <c r="N246" s="9"/>
      <c r="O246" s="9"/>
      <c r="P246" s="9"/>
      <c r="Q246" s="223"/>
      <c r="R246" s="9"/>
      <c r="S246" s="9"/>
      <c r="T246" s="9"/>
      <c r="U246" s="9"/>
      <c r="V246" s="9"/>
      <c r="W246" s="971"/>
      <c r="X246" s="9"/>
      <c r="Y246" s="9"/>
      <c r="Z246" s="204"/>
      <c r="AA246" s="9"/>
      <c r="AB246" s="9"/>
      <c r="AC246" s="9"/>
      <c r="AD246" s="9"/>
    </row>
    <row r="247" ht="15.75" customHeight="1">
      <c r="A247" s="9"/>
      <c r="B247" s="9"/>
      <c r="C247" s="9"/>
      <c r="D247" s="9"/>
      <c r="E247" s="9"/>
      <c r="F247" s="9"/>
      <c r="G247" s="9"/>
      <c r="H247" s="223"/>
      <c r="I247" s="9"/>
      <c r="J247" s="9"/>
      <c r="K247" s="9"/>
      <c r="L247" s="9"/>
      <c r="M247" s="9"/>
      <c r="N247" s="9"/>
      <c r="O247" s="9"/>
      <c r="P247" s="9"/>
      <c r="Q247" s="223"/>
      <c r="R247" s="9"/>
      <c r="S247" s="9"/>
      <c r="T247" s="9"/>
      <c r="U247" s="9"/>
      <c r="V247" s="9"/>
      <c r="W247" s="971"/>
      <c r="X247" s="9"/>
      <c r="Y247" s="9"/>
      <c r="Z247" s="204"/>
      <c r="AA247" s="9"/>
      <c r="AB247" s="9"/>
      <c r="AC247" s="9"/>
      <c r="AD247" s="9"/>
    </row>
    <row r="248" ht="15.75" customHeight="1">
      <c r="A248" s="9"/>
      <c r="B248" s="9"/>
      <c r="C248" s="9"/>
      <c r="D248" s="9"/>
      <c r="E248" s="9"/>
      <c r="F248" s="9"/>
      <c r="G248" s="9"/>
      <c r="H248" s="223"/>
      <c r="I248" s="9"/>
      <c r="J248" s="9"/>
      <c r="K248" s="9"/>
      <c r="L248" s="9"/>
      <c r="M248" s="9"/>
      <c r="N248" s="9"/>
      <c r="O248" s="9"/>
      <c r="P248" s="9"/>
      <c r="Q248" s="223"/>
      <c r="R248" s="9"/>
      <c r="S248" s="9"/>
      <c r="T248" s="9"/>
      <c r="U248" s="9"/>
      <c r="V248" s="9"/>
      <c r="W248" s="971"/>
      <c r="X248" s="9"/>
      <c r="Y248" s="9"/>
      <c r="Z248" s="204"/>
      <c r="AA248" s="9"/>
      <c r="AB248" s="9"/>
      <c r="AC248" s="9"/>
      <c r="AD248" s="9"/>
    </row>
    <row r="249" ht="15.75" customHeight="1">
      <c r="A249" s="9"/>
      <c r="B249" s="9"/>
      <c r="C249" s="9"/>
      <c r="D249" s="9"/>
      <c r="E249" s="9"/>
      <c r="F249" s="9"/>
      <c r="G249" s="9"/>
      <c r="H249" s="223"/>
      <c r="I249" s="9"/>
      <c r="J249" s="9"/>
      <c r="K249" s="9"/>
      <c r="L249" s="9"/>
      <c r="M249" s="9"/>
      <c r="N249" s="9"/>
      <c r="O249" s="9"/>
      <c r="P249" s="9"/>
      <c r="Q249" s="223"/>
      <c r="R249" s="9"/>
      <c r="S249" s="9"/>
      <c r="T249" s="9"/>
      <c r="U249" s="9"/>
      <c r="V249" s="9"/>
      <c r="W249" s="971"/>
      <c r="X249" s="9"/>
      <c r="Y249" s="9"/>
      <c r="Z249" s="204"/>
      <c r="AA249" s="9"/>
      <c r="AB249" s="9"/>
      <c r="AC249" s="9"/>
      <c r="AD249" s="9"/>
    </row>
    <row r="250" ht="15.75" customHeight="1">
      <c r="A250" s="9"/>
      <c r="B250" s="9"/>
      <c r="C250" s="9"/>
      <c r="D250" s="9"/>
      <c r="E250" s="9"/>
      <c r="F250" s="9"/>
      <c r="G250" s="9"/>
      <c r="H250" s="223"/>
      <c r="I250" s="9"/>
      <c r="J250" s="9"/>
      <c r="K250" s="9"/>
      <c r="L250" s="9"/>
      <c r="M250" s="9"/>
      <c r="N250" s="9"/>
      <c r="O250" s="9"/>
      <c r="P250" s="9"/>
      <c r="Q250" s="223"/>
      <c r="R250" s="9"/>
      <c r="S250" s="9"/>
      <c r="T250" s="9"/>
      <c r="U250" s="9"/>
      <c r="V250" s="9"/>
      <c r="W250" s="971"/>
      <c r="X250" s="9"/>
      <c r="Y250" s="9"/>
      <c r="Z250" s="204"/>
      <c r="AA250" s="9"/>
      <c r="AB250" s="9"/>
      <c r="AC250" s="9"/>
      <c r="AD250" s="9"/>
    </row>
    <row r="251" ht="15.75" customHeight="1">
      <c r="A251" s="9"/>
      <c r="B251" s="9"/>
      <c r="C251" s="9"/>
      <c r="D251" s="9"/>
      <c r="E251" s="9"/>
      <c r="F251" s="9"/>
      <c r="G251" s="9"/>
      <c r="H251" s="223"/>
      <c r="I251" s="9"/>
      <c r="J251" s="9"/>
      <c r="K251" s="9"/>
      <c r="L251" s="9"/>
      <c r="M251" s="9"/>
      <c r="N251" s="9"/>
      <c r="O251" s="9"/>
      <c r="P251" s="9"/>
      <c r="Q251" s="223"/>
      <c r="R251" s="9"/>
      <c r="S251" s="9"/>
      <c r="T251" s="9"/>
      <c r="U251" s="9"/>
      <c r="V251" s="9"/>
      <c r="W251" s="971"/>
      <c r="X251" s="9"/>
      <c r="Y251" s="9"/>
      <c r="Z251" s="204"/>
      <c r="AA251" s="9"/>
      <c r="AB251" s="9"/>
      <c r="AC251" s="9"/>
      <c r="AD251" s="9"/>
    </row>
    <row r="252" ht="15.75" customHeight="1">
      <c r="A252" s="9"/>
      <c r="B252" s="9"/>
      <c r="C252" s="9"/>
      <c r="D252" s="9"/>
      <c r="E252" s="9"/>
      <c r="F252" s="9"/>
      <c r="G252" s="9"/>
      <c r="H252" s="223"/>
      <c r="I252" s="9"/>
      <c r="J252" s="9"/>
      <c r="K252" s="9"/>
      <c r="L252" s="9"/>
      <c r="M252" s="9"/>
      <c r="N252" s="9"/>
      <c r="O252" s="9"/>
      <c r="P252" s="9"/>
      <c r="Q252" s="223"/>
      <c r="R252" s="9"/>
      <c r="S252" s="9"/>
      <c r="T252" s="9"/>
      <c r="U252" s="9"/>
      <c r="V252" s="9"/>
      <c r="W252" s="971"/>
      <c r="X252" s="9"/>
      <c r="Y252" s="9"/>
      <c r="Z252" s="204"/>
      <c r="AA252" s="9"/>
      <c r="AB252" s="9"/>
      <c r="AC252" s="9"/>
      <c r="AD252" s="9"/>
    </row>
    <row r="253" ht="15.75" customHeight="1">
      <c r="A253" s="9"/>
      <c r="B253" s="9"/>
      <c r="C253" s="9"/>
      <c r="D253" s="9"/>
      <c r="E253" s="9"/>
      <c r="F253" s="9"/>
      <c r="G253" s="9"/>
      <c r="H253" s="223"/>
      <c r="I253" s="9"/>
      <c r="J253" s="9"/>
      <c r="K253" s="9"/>
      <c r="L253" s="9"/>
      <c r="M253" s="9"/>
      <c r="N253" s="9"/>
      <c r="O253" s="9"/>
      <c r="P253" s="9"/>
      <c r="Q253" s="223"/>
      <c r="R253" s="9"/>
      <c r="S253" s="9"/>
      <c r="T253" s="9"/>
      <c r="U253" s="9"/>
      <c r="V253" s="9"/>
      <c r="W253" s="971"/>
      <c r="X253" s="9"/>
      <c r="Y253" s="9"/>
      <c r="Z253" s="204"/>
      <c r="AA253" s="9"/>
      <c r="AB253" s="9"/>
      <c r="AC253" s="9"/>
      <c r="AD253" s="9"/>
    </row>
    <row r="254" ht="15.75" customHeight="1">
      <c r="A254" s="9"/>
      <c r="B254" s="9"/>
      <c r="C254" s="9"/>
      <c r="D254" s="9"/>
      <c r="E254" s="9"/>
      <c r="F254" s="9"/>
      <c r="G254" s="9"/>
      <c r="H254" s="223"/>
      <c r="I254" s="9"/>
      <c r="J254" s="9"/>
      <c r="K254" s="9"/>
      <c r="L254" s="9"/>
      <c r="M254" s="9"/>
      <c r="N254" s="9"/>
      <c r="O254" s="9"/>
      <c r="P254" s="9"/>
      <c r="Q254" s="223"/>
      <c r="R254" s="9"/>
      <c r="S254" s="9"/>
      <c r="T254" s="9"/>
      <c r="U254" s="9"/>
      <c r="V254" s="9"/>
      <c r="W254" s="971"/>
      <c r="X254" s="9"/>
      <c r="Y254" s="9"/>
      <c r="Z254" s="204"/>
      <c r="AA254" s="9"/>
      <c r="AB254" s="9"/>
      <c r="AC254" s="9"/>
      <c r="AD254" s="9"/>
    </row>
    <row r="255" ht="15.75" customHeight="1">
      <c r="A255" s="9"/>
      <c r="B255" s="9"/>
      <c r="C255" s="9"/>
      <c r="D255" s="9"/>
      <c r="E255" s="9"/>
      <c r="F255" s="9"/>
      <c r="G255" s="9"/>
      <c r="H255" s="223"/>
      <c r="I255" s="9"/>
      <c r="J255" s="9"/>
      <c r="K255" s="9"/>
      <c r="L255" s="9"/>
      <c r="M255" s="9"/>
      <c r="N255" s="9"/>
      <c r="O255" s="9"/>
      <c r="P255" s="9"/>
      <c r="Q255" s="223"/>
      <c r="R255" s="9"/>
      <c r="S255" s="9"/>
      <c r="T255" s="9"/>
      <c r="U255" s="9"/>
      <c r="V255" s="9"/>
      <c r="W255" s="971"/>
      <c r="X255" s="9"/>
      <c r="Y255" s="9"/>
      <c r="Z255" s="204"/>
      <c r="AA255" s="9"/>
      <c r="AB255" s="9"/>
      <c r="AC255" s="9"/>
      <c r="AD255" s="9"/>
    </row>
    <row r="256" ht="15.75" customHeight="1">
      <c r="A256" s="9"/>
      <c r="B256" s="9"/>
      <c r="C256" s="9"/>
      <c r="D256" s="9"/>
      <c r="E256" s="9"/>
      <c r="F256" s="9"/>
      <c r="G256" s="9"/>
      <c r="H256" s="223"/>
      <c r="I256" s="9"/>
      <c r="J256" s="9"/>
      <c r="K256" s="9"/>
      <c r="L256" s="9"/>
      <c r="M256" s="9"/>
      <c r="N256" s="9"/>
      <c r="O256" s="9"/>
      <c r="P256" s="9"/>
      <c r="Q256" s="223"/>
      <c r="R256" s="9"/>
      <c r="S256" s="9"/>
      <c r="T256" s="9"/>
      <c r="U256" s="9"/>
      <c r="V256" s="9"/>
      <c r="W256" s="971"/>
      <c r="X256" s="9"/>
      <c r="Y256" s="9"/>
      <c r="Z256" s="204"/>
      <c r="AA256" s="9"/>
      <c r="AB256" s="9"/>
      <c r="AC256" s="9"/>
      <c r="AD256" s="9"/>
    </row>
    <row r="257" ht="15.75" customHeight="1">
      <c r="A257" s="9"/>
      <c r="B257" s="9"/>
      <c r="C257" s="9"/>
      <c r="D257" s="9"/>
      <c r="E257" s="9"/>
      <c r="F257" s="9"/>
      <c r="G257" s="9"/>
      <c r="H257" s="223"/>
      <c r="I257" s="9"/>
      <c r="J257" s="9"/>
      <c r="K257" s="9"/>
      <c r="L257" s="9"/>
      <c r="M257" s="9"/>
      <c r="N257" s="9"/>
      <c r="O257" s="9"/>
      <c r="P257" s="9"/>
      <c r="Q257" s="223"/>
      <c r="R257" s="9"/>
      <c r="S257" s="9"/>
      <c r="T257" s="9"/>
      <c r="U257" s="9"/>
      <c r="V257" s="9"/>
      <c r="W257" s="971"/>
      <c r="X257" s="9"/>
      <c r="Y257" s="9"/>
      <c r="Z257" s="204"/>
      <c r="AA257" s="9"/>
      <c r="AB257" s="9"/>
      <c r="AC257" s="9"/>
      <c r="AD257" s="9"/>
    </row>
    <row r="258" ht="15.75" customHeight="1">
      <c r="A258" s="9"/>
      <c r="B258" s="9"/>
      <c r="C258" s="9"/>
      <c r="D258" s="9"/>
      <c r="E258" s="9"/>
      <c r="F258" s="9"/>
      <c r="G258" s="9"/>
      <c r="H258" s="223"/>
      <c r="I258" s="9"/>
      <c r="J258" s="9"/>
      <c r="K258" s="9"/>
      <c r="L258" s="9"/>
      <c r="M258" s="9"/>
      <c r="N258" s="9"/>
      <c r="O258" s="9"/>
      <c r="P258" s="9"/>
      <c r="Q258" s="223"/>
      <c r="R258" s="9"/>
      <c r="S258" s="9"/>
      <c r="T258" s="9"/>
      <c r="U258" s="9"/>
      <c r="V258" s="9"/>
      <c r="W258" s="971"/>
      <c r="X258" s="9"/>
      <c r="Y258" s="9"/>
      <c r="Z258" s="204"/>
      <c r="AA258" s="9"/>
      <c r="AB258" s="9"/>
      <c r="AC258" s="9"/>
      <c r="AD258" s="9"/>
    </row>
    <row r="259" ht="15.75" customHeight="1">
      <c r="A259" s="9"/>
      <c r="B259" s="9"/>
      <c r="C259" s="9"/>
      <c r="D259" s="9"/>
      <c r="E259" s="9"/>
      <c r="F259" s="9"/>
      <c r="G259" s="9"/>
      <c r="H259" s="223"/>
      <c r="I259" s="9"/>
      <c r="J259" s="9"/>
      <c r="K259" s="9"/>
      <c r="L259" s="9"/>
      <c r="M259" s="9"/>
      <c r="N259" s="9"/>
      <c r="O259" s="9"/>
      <c r="P259" s="9"/>
      <c r="Q259" s="223"/>
      <c r="R259" s="9"/>
      <c r="S259" s="9"/>
      <c r="T259" s="9"/>
      <c r="U259" s="9"/>
      <c r="V259" s="9"/>
      <c r="W259" s="971"/>
      <c r="X259" s="9"/>
      <c r="Y259" s="9"/>
      <c r="Z259" s="204"/>
      <c r="AA259" s="9"/>
      <c r="AB259" s="9"/>
      <c r="AC259" s="9"/>
      <c r="AD259" s="9"/>
    </row>
    <row r="260" ht="15.75" customHeight="1">
      <c r="A260" s="9"/>
      <c r="B260" s="9"/>
      <c r="C260" s="9"/>
      <c r="D260" s="9"/>
      <c r="E260" s="9"/>
      <c r="F260" s="9"/>
      <c r="G260" s="9"/>
      <c r="H260" s="223"/>
      <c r="I260" s="9"/>
      <c r="J260" s="9"/>
      <c r="K260" s="9"/>
      <c r="L260" s="9"/>
      <c r="M260" s="9"/>
      <c r="N260" s="9"/>
      <c r="O260" s="9"/>
      <c r="P260" s="9"/>
      <c r="Q260" s="223"/>
      <c r="R260" s="9"/>
      <c r="S260" s="9"/>
      <c r="T260" s="9"/>
      <c r="U260" s="9"/>
      <c r="V260" s="9"/>
      <c r="W260" s="971"/>
      <c r="X260" s="9"/>
      <c r="Y260" s="9"/>
      <c r="Z260" s="204"/>
      <c r="AA260" s="9"/>
      <c r="AB260" s="9"/>
      <c r="AC260" s="9"/>
      <c r="AD260" s="9"/>
    </row>
    <row r="261" ht="15.75" customHeight="1">
      <c r="A261" s="9"/>
      <c r="B261" s="9"/>
      <c r="C261" s="9"/>
      <c r="D261" s="9"/>
      <c r="E261" s="9"/>
      <c r="F261" s="9"/>
      <c r="G261" s="9"/>
      <c r="H261" s="223"/>
      <c r="I261" s="9"/>
      <c r="J261" s="9"/>
      <c r="K261" s="9"/>
      <c r="L261" s="9"/>
      <c r="M261" s="9"/>
      <c r="N261" s="9"/>
      <c r="O261" s="9"/>
      <c r="P261" s="9"/>
      <c r="Q261" s="223"/>
      <c r="R261" s="9"/>
      <c r="S261" s="9"/>
      <c r="T261" s="9"/>
      <c r="U261" s="9"/>
      <c r="V261" s="9"/>
      <c r="W261" s="971"/>
      <c r="X261" s="9"/>
      <c r="Y261" s="9"/>
      <c r="Z261" s="204"/>
      <c r="AA261" s="9"/>
      <c r="AB261" s="9"/>
      <c r="AC261" s="9"/>
      <c r="AD261" s="9"/>
    </row>
    <row r="262" ht="15.75" customHeight="1">
      <c r="A262" s="9"/>
      <c r="B262" s="9"/>
      <c r="C262" s="9"/>
      <c r="D262" s="9"/>
      <c r="E262" s="9"/>
      <c r="F262" s="9"/>
      <c r="G262" s="9"/>
      <c r="H262" s="223"/>
      <c r="I262" s="9"/>
      <c r="J262" s="9"/>
      <c r="K262" s="9"/>
      <c r="L262" s="9"/>
      <c r="M262" s="9"/>
      <c r="N262" s="9"/>
      <c r="O262" s="9"/>
      <c r="P262" s="9"/>
      <c r="Q262" s="223"/>
      <c r="R262" s="9"/>
      <c r="S262" s="9"/>
      <c r="T262" s="9"/>
      <c r="U262" s="9"/>
      <c r="V262" s="9"/>
      <c r="W262" s="971"/>
      <c r="X262" s="9"/>
      <c r="Y262" s="9"/>
      <c r="Z262" s="204"/>
      <c r="AA262" s="9"/>
      <c r="AB262" s="9"/>
      <c r="AC262" s="9"/>
      <c r="AD262" s="9"/>
    </row>
    <row r="263" ht="15.75" customHeight="1">
      <c r="A263" s="9"/>
      <c r="B263" s="9"/>
      <c r="C263" s="9"/>
      <c r="D263" s="9"/>
      <c r="E263" s="9"/>
      <c r="F263" s="9"/>
      <c r="G263" s="9"/>
      <c r="H263" s="223"/>
      <c r="I263" s="9"/>
      <c r="J263" s="9"/>
      <c r="K263" s="9"/>
      <c r="L263" s="9"/>
      <c r="M263" s="9"/>
      <c r="N263" s="9"/>
      <c r="O263" s="9"/>
      <c r="P263" s="9"/>
      <c r="Q263" s="223"/>
      <c r="R263" s="9"/>
      <c r="S263" s="9"/>
      <c r="T263" s="9"/>
      <c r="U263" s="9"/>
      <c r="V263" s="9"/>
      <c r="W263" s="971"/>
      <c r="X263" s="9"/>
      <c r="Y263" s="9"/>
      <c r="Z263" s="204"/>
      <c r="AA263" s="9"/>
      <c r="AB263" s="9"/>
      <c r="AC263" s="9"/>
      <c r="AD263" s="9"/>
    </row>
    <row r="264" ht="15.75" customHeight="1">
      <c r="A264" s="9"/>
      <c r="B264" s="9"/>
      <c r="C264" s="9"/>
      <c r="D264" s="9"/>
      <c r="E264" s="9"/>
      <c r="F264" s="9"/>
      <c r="G264" s="9"/>
      <c r="H264" s="223"/>
      <c r="I264" s="9"/>
      <c r="J264" s="9"/>
      <c r="K264" s="9"/>
      <c r="L264" s="9"/>
      <c r="M264" s="9"/>
      <c r="N264" s="9"/>
      <c r="O264" s="9"/>
      <c r="P264" s="9"/>
      <c r="Q264" s="223"/>
      <c r="R264" s="9"/>
      <c r="S264" s="9"/>
      <c r="T264" s="9"/>
      <c r="U264" s="9"/>
      <c r="V264" s="9"/>
      <c r="W264" s="971"/>
      <c r="X264" s="9"/>
      <c r="Y264" s="9"/>
      <c r="Z264" s="204"/>
      <c r="AA264" s="9"/>
      <c r="AB264" s="9"/>
      <c r="AC264" s="9"/>
      <c r="AD264" s="9"/>
    </row>
    <row r="265" ht="15.75" customHeight="1">
      <c r="A265" s="9"/>
      <c r="B265" s="9"/>
      <c r="C265" s="9"/>
      <c r="D265" s="9"/>
      <c r="E265" s="9"/>
      <c r="F265" s="9"/>
      <c r="G265" s="9"/>
      <c r="H265" s="223"/>
      <c r="I265" s="9"/>
      <c r="J265" s="9"/>
      <c r="K265" s="9"/>
      <c r="L265" s="9"/>
      <c r="M265" s="9"/>
      <c r="N265" s="9"/>
      <c r="O265" s="9"/>
      <c r="P265" s="9"/>
      <c r="Q265" s="223"/>
      <c r="R265" s="9"/>
      <c r="S265" s="9"/>
      <c r="T265" s="9"/>
      <c r="U265" s="9"/>
      <c r="V265" s="9"/>
      <c r="W265" s="971"/>
      <c r="X265" s="9"/>
      <c r="Y265" s="9"/>
      <c r="Z265" s="204"/>
      <c r="AA265" s="9"/>
      <c r="AB265" s="9"/>
      <c r="AC265" s="9"/>
      <c r="AD265" s="9"/>
    </row>
    <row r="266" ht="15.75" customHeight="1">
      <c r="A266" s="9"/>
      <c r="B266" s="9"/>
      <c r="C266" s="9"/>
      <c r="D266" s="9"/>
      <c r="E266" s="9"/>
      <c r="F266" s="9"/>
      <c r="G266" s="9"/>
      <c r="H266" s="223"/>
      <c r="I266" s="9"/>
      <c r="J266" s="9"/>
      <c r="K266" s="9"/>
      <c r="L266" s="9"/>
      <c r="M266" s="9"/>
      <c r="N266" s="9"/>
      <c r="O266" s="9"/>
      <c r="P266" s="9"/>
      <c r="Q266" s="223"/>
      <c r="R266" s="9"/>
      <c r="S266" s="9"/>
      <c r="T266" s="9"/>
      <c r="U266" s="9"/>
      <c r="V266" s="9"/>
      <c r="W266" s="971"/>
      <c r="X266" s="9"/>
      <c r="Y266" s="9"/>
      <c r="Z266" s="204"/>
      <c r="AA266" s="9"/>
      <c r="AB266" s="9"/>
      <c r="AC266" s="9"/>
      <c r="AD266" s="9"/>
    </row>
    <row r="267" ht="15.75" customHeight="1">
      <c r="A267" s="9"/>
      <c r="B267" s="9"/>
      <c r="C267" s="9"/>
      <c r="D267" s="9"/>
      <c r="E267" s="9"/>
      <c r="F267" s="9"/>
      <c r="G267" s="9"/>
      <c r="H267" s="223"/>
      <c r="I267" s="9"/>
      <c r="J267" s="9"/>
      <c r="K267" s="9"/>
      <c r="L267" s="9"/>
      <c r="M267" s="9"/>
      <c r="N267" s="9"/>
      <c r="O267" s="9"/>
      <c r="P267" s="9"/>
      <c r="Q267" s="223"/>
      <c r="R267" s="9"/>
      <c r="S267" s="9"/>
      <c r="T267" s="9"/>
      <c r="U267" s="9"/>
      <c r="V267" s="9"/>
      <c r="W267" s="971"/>
      <c r="X267" s="9"/>
      <c r="Y267" s="9"/>
      <c r="Z267" s="204"/>
      <c r="AA267" s="9"/>
      <c r="AB267" s="9"/>
      <c r="AC267" s="9"/>
      <c r="AD267" s="9"/>
    </row>
    <row r="268" ht="15.75" customHeight="1">
      <c r="A268" s="9"/>
      <c r="B268" s="9"/>
      <c r="C268" s="9"/>
      <c r="D268" s="9"/>
      <c r="E268" s="9"/>
      <c r="F268" s="9"/>
      <c r="G268" s="9"/>
      <c r="H268" s="223"/>
      <c r="I268" s="9"/>
      <c r="J268" s="9"/>
      <c r="K268" s="9"/>
      <c r="L268" s="9"/>
      <c r="M268" s="9"/>
      <c r="N268" s="9"/>
      <c r="O268" s="9"/>
      <c r="P268" s="9"/>
      <c r="Q268" s="223"/>
      <c r="R268" s="9"/>
      <c r="S268" s="9"/>
      <c r="T268" s="9"/>
      <c r="U268" s="9"/>
      <c r="V268" s="9"/>
      <c r="W268" s="971"/>
      <c r="X268" s="9"/>
      <c r="Y268" s="9"/>
      <c r="Z268" s="204"/>
      <c r="AA268" s="9"/>
      <c r="AB268" s="9"/>
      <c r="AC268" s="9"/>
      <c r="AD268" s="9"/>
    </row>
    <row r="269" ht="15.75" customHeight="1">
      <c r="A269" s="9"/>
      <c r="B269" s="9"/>
      <c r="C269" s="9"/>
      <c r="D269" s="9"/>
      <c r="E269" s="9"/>
      <c r="F269" s="9"/>
      <c r="G269" s="9"/>
      <c r="H269" s="223"/>
      <c r="I269" s="9"/>
      <c r="J269" s="9"/>
      <c r="K269" s="9"/>
      <c r="L269" s="9"/>
      <c r="M269" s="9"/>
      <c r="N269" s="9"/>
      <c r="O269" s="9"/>
      <c r="P269" s="9"/>
      <c r="Q269" s="223"/>
      <c r="R269" s="9"/>
      <c r="S269" s="9"/>
      <c r="T269" s="9"/>
      <c r="U269" s="9"/>
      <c r="V269" s="9"/>
      <c r="W269" s="971"/>
      <c r="X269" s="9"/>
      <c r="Y269" s="9"/>
      <c r="Z269" s="204"/>
      <c r="AA269" s="9"/>
      <c r="AB269" s="9"/>
      <c r="AC269" s="9"/>
      <c r="AD269" s="9"/>
    </row>
    <row r="270" ht="15.75" customHeight="1">
      <c r="A270" s="9"/>
      <c r="B270" s="9"/>
      <c r="C270" s="9"/>
      <c r="D270" s="9"/>
      <c r="E270" s="9"/>
      <c r="F270" s="9"/>
      <c r="G270" s="9"/>
      <c r="H270" s="223"/>
      <c r="I270" s="9"/>
      <c r="J270" s="9"/>
      <c r="K270" s="9"/>
      <c r="L270" s="9"/>
      <c r="M270" s="9"/>
      <c r="N270" s="9"/>
      <c r="O270" s="9"/>
      <c r="P270" s="9"/>
      <c r="Q270" s="223"/>
      <c r="R270" s="9"/>
      <c r="S270" s="9"/>
      <c r="T270" s="9"/>
      <c r="U270" s="9"/>
      <c r="V270" s="9"/>
      <c r="W270" s="971"/>
      <c r="X270" s="9"/>
      <c r="Y270" s="9"/>
      <c r="Z270" s="204"/>
      <c r="AA270" s="9"/>
      <c r="AB270" s="9"/>
      <c r="AC270" s="9"/>
      <c r="AD270" s="9"/>
    </row>
    <row r="271" ht="15.75" customHeight="1">
      <c r="A271" s="9"/>
      <c r="B271" s="9"/>
      <c r="C271" s="9"/>
      <c r="D271" s="9"/>
      <c r="E271" s="9"/>
      <c r="F271" s="9"/>
      <c r="G271" s="9"/>
      <c r="H271" s="223"/>
      <c r="I271" s="9"/>
      <c r="J271" s="9"/>
      <c r="K271" s="9"/>
      <c r="L271" s="9"/>
      <c r="M271" s="9"/>
      <c r="N271" s="9"/>
      <c r="O271" s="9"/>
      <c r="P271" s="9"/>
      <c r="Q271" s="223"/>
      <c r="R271" s="9"/>
      <c r="S271" s="9"/>
      <c r="T271" s="9"/>
      <c r="U271" s="9"/>
      <c r="V271" s="9"/>
      <c r="W271" s="971"/>
      <c r="X271" s="9"/>
      <c r="Y271" s="9"/>
      <c r="Z271" s="204"/>
      <c r="AA271" s="9"/>
      <c r="AB271" s="9"/>
      <c r="AC271" s="9"/>
      <c r="AD271" s="9"/>
    </row>
    <row r="272" ht="15.75" customHeight="1">
      <c r="A272" s="9"/>
      <c r="B272" s="9"/>
      <c r="C272" s="9"/>
      <c r="D272" s="9"/>
      <c r="E272" s="9"/>
      <c r="F272" s="9"/>
      <c r="G272" s="9"/>
      <c r="H272" s="223"/>
      <c r="I272" s="9"/>
      <c r="J272" s="9"/>
      <c r="K272" s="9"/>
      <c r="L272" s="9"/>
      <c r="M272" s="9"/>
      <c r="N272" s="9"/>
      <c r="O272" s="9"/>
      <c r="P272" s="9"/>
      <c r="Q272" s="223"/>
      <c r="R272" s="9"/>
      <c r="S272" s="9"/>
      <c r="T272" s="9"/>
      <c r="U272" s="9"/>
      <c r="V272" s="9"/>
      <c r="W272" s="971"/>
      <c r="X272" s="9"/>
      <c r="Y272" s="9"/>
      <c r="Z272" s="204"/>
      <c r="AA272" s="9"/>
      <c r="AB272" s="9"/>
      <c r="AC272" s="9"/>
      <c r="AD272" s="9"/>
    </row>
    <row r="273" ht="15.75" customHeight="1">
      <c r="A273" s="9"/>
      <c r="B273" s="9"/>
      <c r="C273" s="9"/>
      <c r="D273" s="9"/>
      <c r="E273" s="9"/>
      <c r="F273" s="9"/>
      <c r="G273" s="9"/>
      <c r="H273" s="223"/>
      <c r="I273" s="9"/>
      <c r="J273" s="9"/>
      <c r="K273" s="9"/>
      <c r="L273" s="9"/>
      <c r="M273" s="9"/>
      <c r="N273" s="9"/>
      <c r="O273" s="9"/>
      <c r="P273" s="9"/>
      <c r="Q273" s="223"/>
      <c r="R273" s="9"/>
      <c r="S273" s="9"/>
      <c r="T273" s="9"/>
      <c r="U273" s="9"/>
      <c r="V273" s="9"/>
      <c r="W273" s="971"/>
      <c r="X273" s="9"/>
      <c r="Y273" s="9"/>
      <c r="Z273" s="204"/>
      <c r="AA273" s="9"/>
      <c r="AB273" s="9"/>
      <c r="AC273" s="9"/>
      <c r="AD273" s="9"/>
    </row>
    <row r="274" ht="15.75" customHeight="1">
      <c r="A274" s="9"/>
      <c r="B274" s="9"/>
      <c r="C274" s="9"/>
      <c r="D274" s="9"/>
      <c r="E274" s="9"/>
      <c r="F274" s="9"/>
      <c r="G274" s="9"/>
      <c r="H274" s="223"/>
      <c r="I274" s="9"/>
      <c r="J274" s="9"/>
      <c r="K274" s="9"/>
      <c r="L274" s="9"/>
      <c r="M274" s="9"/>
      <c r="N274" s="9"/>
      <c r="O274" s="9"/>
      <c r="P274" s="9"/>
      <c r="Q274" s="223"/>
      <c r="R274" s="9"/>
      <c r="S274" s="9"/>
      <c r="T274" s="9"/>
      <c r="U274" s="9"/>
      <c r="V274" s="9"/>
      <c r="W274" s="971"/>
      <c r="X274" s="9"/>
      <c r="Y274" s="9"/>
      <c r="Z274" s="204"/>
      <c r="AA274" s="9"/>
      <c r="AB274" s="9"/>
      <c r="AC274" s="9"/>
      <c r="AD274" s="9"/>
    </row>
    <row r="275" ht="15.75" customHeight="1">
      <c r="A275" s="9"/>
      <c r="B275" s="9"/>
      <c r="C275" s="9"/>
      <c r="D275" s="9"/>
      <c r="E275" s="9"/>
      <c r="F275" s="9"/>
      <c r="G275" s="9"/>
      <c r="H275" s="223"/>
      <c r="I275" s="9"/>
      <c r="J275" s="9"/>
      <c r="K275" s="9"/>
      <c r="L275" s="9"/>
      <c r="M275" s="9"/>
      <c r="N275" s="9"/>
      <c r="O275" s="9"/>
      <c r="P275" s="9"/>
      <c r="Q275" s="223"/>
      <c r="R275" s="9"/>
      <c r="S275" s="9"/>
      <c r="T275" s="9"/>
      <c r="U275" s="9"/>
      <c r="V275" s="9"/>
      <c r="W275" s="971"/>
      <c r="X275" s="9"/>
      <c r="Y275" s="9"/>
      <c r="Z275" s="204"/>
      <c r="AA275" s="9"/>
      <c r="AB275" s="9"/>
      <c r="AC275" s="9"/>
      <c r="AD275" s="9"/>
    </row>
    <row r="276" ht="15.75" customHeight="1">
      <c r="A276" s="9"/>
      <c r="B276" s="9"/>
      <c r="C276" s="9"/>
      <c r="D276" s="9"/>
      <c r="E276" s="9"/>
      <c r="F276" s="9"/>
      <c r="G276" s="9"/>
      <c r="H276" s="223"/>
      <c r="I276" s="9"/>
      <c r="J276" s="9"/>
      <c r="K276" s="9"/>
      <c r="L276" s="9"/>
      <c r="M276" s="9"/>
      <c r="N276" s="9"/>
      <c r="O276" s="9"/>
      <c r="P276" s="9"/>
      <c r="Q276" s="223"/>
      <c r="R276" s="9"/>
      <c r="S276" s="9"/>
      <c r="T276" s="9"/>
      <c r="U276" s="9"/>
      <c r="V276" s="9"/>
      <c r="W276" s="971"/>
      <c r="X276" s="9"/>
      <c r="Y276" s="9"/>
      <c r="Z276" s="204"/>
      <c r="AA276" s="9"/>
      <c r="AB276" s="9"/>
      <c r="AC276" s="9"/>
      <c r="AD276" s="9"/>
    </row>
    <row r="277" ht="15.75" customHeight="1">
      <c r="A277" s="9"/>
      <c r="B277" s="9"/>
      <c r="C277" s="9"/>
      <c r="D277" s="9"/>
      <c r="E277" s="9"/>
      <c r="F277" s="9"/>
      <c r="G277" s="9"/>
      <c r="H277" s="223"/>
      <c r="I277" s="9"/>
      <c r="J277" s="9"/>
      <c r="K277" s="9"/>
      <c r="L277" s="9"/>
      <c r="M277" s="9"/>
      <c r="N277" s="9"/>
      <c r="O277" s="9"/>
      <c r="P277" s="9"/>
      <c r="Q277" s="223"/>
      <c r="R277" s="9"/>
      <c r="S277" s="9"/>
      <c r="T277" s="9"/>
      <c r="U277" s="9"/>
      <c r="V277" s="9"/>
      <c r="W277" s="971"/>
      <c r="X277" s="9"/>
      <c r="Y277" s="9"/>
      <c r="Z277" s="204"/>
      <c r="AA277" s="9"/>
      <c r="AB277" s="9"/>
      <c r="AC277" s="9"/>
      <c r="AD277" s="9"/>
    </row>
    <row r="278" ht="15.75" customHeight="1">
      <c r="A278" s="9"/>
      <c r="B278" s="9"/>
      <c r="C278" s="9"/>
      <c r="D278" s="9"/>
      <c r="E278" s="9"/>
      <c r="F278" s="9"/>
      <c r="G278" s="9"/>
      <c r="H278" s="223"/>
      <c r="I278" s="9"/>
      <c r="J278" s="9"/>
      <c r="K278" s="9"/>
      <c r="L278" s="9"/>
      <c r="M278" s="9"/>
      <c r="N278" s="9"/>
      <c r="O278" s="9"/>
      <c r="P278" s="9"/>
      <c r="Q278" s="223"/>
      <c r="R278" s="9"/>
      <c r="S278" s="9"/>
      <c r="T278" s="9"/>
      <c r="U278" s="9"/>
      <c r="V278" s="9"/>
      <c r="W278" s="971"/>
      <c r="X278" s="9"/>
      <c r="Y278" s="9"/>
      <c r="Z278" s="204"/>
      <c r="AA278" s="9"/>
      <c r="AB278" s="9"/>
      <c r="AC278" s="9"/>
      <c r="AD278" s="9"/>
    </row>
    <row r="279" ht="15.75" customHeight="1">
      <c r="A279" s="9"/>
      <c r="B279" s="9"/>
      <c r="C279" s="9"/>
      <c r="D279" s="9"/>
      <c r="E279" s="9"/>
      <c r="F279" s="9"/>
      <c r="G279" s="9"/>
      <c r="H279" s="223"/>
      <c r="I279" s="9"/>
      <c r="J279" s="9"/>
      <c r="K279" s="9"/>
      <c r="L279" s="9"/>
      <c r="M279" s="9"/>
      <c r="N279" s="9"/>
      <c r="O279" s="9"/>
      <c r="P279" s="9"/>
      <c r="Q279" s="223"/>
      <c r="R279" s="9"/>
      <c r="S279" s="9"/>
      <c r="T279" s="9"/>
      <c r="U279" s="9"/>
      <c r="V279" s="9"/>
      <c r="W279" s="971"/>
      <c r="X279" s="9"/>
      <c r="Y279" s="9"/>
      <c r="Z279" s="204"/>
      <c r="AA279" s="9"/>
      <c r="AB279" s="9"/>
      <c r="AC279" s="9"/>
      <c r="AD279" s="9"/>
    </row>
    <row r="280" ht="15.75" customHeight="1">
      <c r="A280" s="9"/>
      <c r="B280" s="9"/>
      <c r="C280" s="9"/>
      <c r="D280" s="9"/>
      <c r="E280" s="9"/>
      <c r="F280" s="9"/>
      <c r="G280" s="9"/>
      <c r="H280" s="223"/>
      <c r="I280" s="9"/>
      <c r="J280" s="9"/>
      <c r="K280" s="9"/>
      <c r="L280" s="9"/>
      <c r="M280" s="9"/>
      <c r="N280" s="9"/>
      <c r="O280" s="9"/>
      <c r="P280" s="9"/>
      <c r="Q280" s="223"/>
      <c r="R280" s="9"/>
      <c r="S280" s="9"/>
      <c r="T280" s="9"/>
      <c r="U280" s="9"/>
      <c r="V280" s="9"/>
      <c r="W280" s="971"/>
      <c r="X280" s="9"/>
      <c r="Y280" s="9"/>
      <c r="Z280" s="204"/>
      <c r="AA280" s="9"/>
      <c r="AB280" s="9"/>
      <c r="AC280" s="9"/>
      <c r="AD280" s="9"/>
    </row>
    <row r="281" ht="15.75" customHeight="1">
      <c r="A281" s="9"/>
      <c r="B281" s="9"/>
      <c r="C281" s="9"/>
      <c r="D281" s="9"/>
      <c r="E281" s="9"/>
      <c r="F281" s="9"/>
      <c r="G281" s="9"/>
      <c r="H281" s="223"/>
      <c r="I281" s="9"/>
      <c r="J281" s="9"/>
      <c r="K281" s="9"/>
      <c r="L281" s="9"/>
      <c r="M281" s="9"/>
      <c r="N281" s="9"/>
      <c r="O281" s="9"/>
      <c r="P281" s="9"/>
      <c r="Q281" s="223"/>
      <c r="R281" s="9"/>
      <c r="S281" s="9"/>
      <c r="T281" s="9"/>
      <c r="U281" s="9"/>
      <c r="V281" s="9"/>
      <c r="W281" s="971"/>
      <c r="X281" s="9"/>
      <c r="Y281" s="9"/>
      <c r="Z281" s="204"/>
      <c r="AA281" s="9"/>
      <c r="AB281" s="9"/>
      <c r="AC281" s="9"/>
      <c r="AD281" s="9"/>
    </row>
    <row r="282" ht="15.75" customHeight="1">
      <c r="A282" s="9"/>
      <c r="B282" s="9"/>
      <c r="C282" s="9"/>
      <c r="D282" s="9"/>
      <c r="E282" s="9"/>
      <c r="F282" s="9"/>
      <c r="G282" s="9"/>
      <c r="H282" s="223"/>
      <c r="I282" s="9"/>
      <c r="J282" s="9"/>
      <c r="K282" s="9"/>
      <c r="L282" s="9"/>
      <c r="M282" s="9"/>
      <c r="N282" s="9"/>
      <c r="O282" s="9"/>
      <c r="P282" s="9"/>
      <c r="Q282" s="223"/>
      <c r="R282" s="9"/>
      <c r="S282" s="9"/>
      <c r="T282" s="9"/>
      <c r="U282" s="9"/>
      <c r="V282" s="9"/>
      <c r="W282" s="971"/>
      <c r="X282" s="9"/>
      <c r="Y282" s="9"/>
      <c r="Z282" s="204"/>
      <c r="AA282" s="9"/>
      <c r="AB282" s="9"/>
      <c r="AC282" s="9"/>
      <c r="AD282" s="9"/>
    </row>
    <row r="283" ht="15.75" customHeight="1">
      <c r="A283" s="9"/>
      <c r="B283" s="9"/>
      <c r="C283" s="9"/>
      <c r="D283" s="9"/>
      <c r="E283" s="9"/>
      <c r="F283" s="9"/>
      <c r="G283" s="9"/>
      <c r="H283" s="223"/>
      <c r="I283" s="9"/>
      <c r="J283" s="9"/>
      <c r="K283" s="9"/>
      <c r="L283" s="9"/>
      <c r="M283" s="9"/>
      <c r="N283" s="9"/>
      <c r="O283" s="9"/>
      <c r="P283" s="9"/>
      <c r="Q283" s="223"/>
      <c r="R283" s="9"/>
      <c r="S283" s="9"/>
      <c r="T283" s="9"/>
      <c r="U283" s="9"/>
      <c r="V283" s="9"/>
      <c r="W283" s="971"/>
      <c r="X283" s="9"/>
      <c r="Y283" s="9"/>
      <c r="Z283" s="204"/>
      <c r="AA283" s="9"/>
      <c r="AB283" s="9"/>
      <c r="AC283" s="9"/>
      <c r="AD283" s="9"/>
    </row>
    <row r="284" ht="15.75" customHeight="1">
      <c r="A284" s="9"/>
      <c r="B284" s="9"/>
      <c r="C284" s="9"/>
      <c r="D284" s="9"/>
      <c r="E284" s="9"/>
      <c r="F284" s="9"/>
      <c r="G284" s="9"/>
      <c r="H284" s="223"/>
      <c r="I284" s="9"/>
      <c r="J284" s="9"/>
      <c r="K284" s="9"/>
      <c r="L284" s="9"/>
      <c r="M284" s="9"/>
      <c r="N284" s="9"/>
      <c r="O284" s="9"/>
      <c r="P284" s="9"/>
      <c r="Q284" s="223"/>
      <c r="R284" s="9"/>
      <c r="S284" s="9"/>
      <c r="T284" s="9"/>
      <c r="U284" s="9"/>
      <c r="V284" s="9"/>
      <c r="W284" s="971"/>
      <c r="X284" s="9"/>
      <c r="Y284" s="9"/>
      <c r="Z284" s="204"/>
      <c r="AA284" s="9"/>
      <c r="AB284" s="9"/>
      <c r="AC284" s="9"/>
      <c r="AD284" s="9"/>
    </row>
    <row r="285" ht="15.75" customHeight="1">
      <c r="A285" s="9"/>
      <c r="B285" s="9"/>
      <c r="C285" s="9"/>
      <c r="D285" s="9"/>
      <c r="E285" s="9"/>
      <c r="F285" s="9"/>
      <c r="G285" s="9"/>
      <c r="H285" s="223"/>
      <c r="I285" s="9"/>
      <c r="J285" s="9"/>
      <c r="K285" s="9"/>
      <c r="L285" s="9"/>
      <c r="M285" s="9"/>
      <c r="N285" s="9"/>
      <c r="O285" s="9"/>
      <c r="P285" s="9"/>
      <c r="Q285" s="223"/>
      <c r="R285" s="9"/>
      <c r="S285" s="9"/>
      <c r="T285" s="9"/>
      <c r="U285" s="9"/>
      <c r="V285" s="9"/>
      <c r="W285" s="971"/>
      <c r="X285" s="9"/>
      <c r="Y285" s="9"/>
      <c r="Z285" s="204"/>
      <c r="AA285" s="9"/>
      <c r="AB285" s="9"/>
      <c r="AC285" s="9"/>
      <c r="AD285" s="9"/>
    </row>
    <row r="286" ht="15.75" customHeight="1">
      <c r="A286" s="9"/>
      <c r="B286" s="9"/>
      <c r="C286" s="9"/>
      <c r="D286" s="9"/>
      <c r="E286" s="9"/>
      <c r="F286" s="9"/>
      <c r="G286" s="9"/>
      <c r="H286" s="223"/>
      <c r="I286" s="9"/>
      <c r="J286" s="9"/>
      <c r="K286" s="9"/>
      <c r="L286" s="9"/>
      <c r="M286" s="9"/>
      <c r="N286" s="9"/>
      <c r="O286" s="9"/>
      <c r="P286" s="9"/>
      <c r="Q286" s="223"/>
      <c r="R286" s="9"/>
      <c r="S286" s="9"/>
      <c r="T286" s="9"/>
      <c r="U286" s="9"/>
      <c r="V286" s="9"/>
      <c r="W286" s="971"/>
      <c r="X286" s="9"/>
      <c r="Y286" s="9"/>
      <c r="Z286" s="204"/>
      <c r="AA286" s="9"/>
      <c r="AB286" s="9"/>
      <c r="AC286" s="9"/>
      <c r="AD286" s="9"/>
    </row>
    <row r="287" ht="15.75" customHeight="1">
      <c r="A287" s="9"/>
      <c r="B287" s="9"/>
      <c r="C287" s="9"/>
      <c r="D287" s="9"/>
      <c r="E287" s="9"/>
      <c r="F287" s="9"/>
      <c r="G287" s="9"/>
      <c r="H287" s="223"/>
      <c r="I287" s="9"/>
      <c r="J287" s="9"/>
      <c r="K287" s="9"/>
      <c r="L287" s="9"/>
      <c r="M287" s="9"/>
      <c r="N287" s="9"/>
      <c r="O287" s="9"/>
      <c r="P287" s="9"/>
      <c r="Q287" s="223"/>
      <c r="R287" s="9"/>
      <c r="S287" s="9"/>
      <c r="T287" s="9"/>
      <c r="U287" s="9"/>
      <c r="V287" s="9"/>
      <c r="W287" s="971"/>
      <c r="X287" s="9"/>
      <c r="Y287" s="9"/>
      <c r="Z287" s="204"/>
      <c r="AA287" s="9"/>
      <c r="AB287" s="9"/>
      <c r="AC287" s="9"/>
      <c r="AD287" s="9"/>
    </row>
    <row r="288" ht="15.75" customHeight="1">
      <c r="A288" s="9"/>
      <c r="B288" s="9"/>
      <c r="C288" s="9"/>
      <c r="D288" s="9"/>
      <c r="E288" s="9"/>
      <c r="F288" s="9"/>
      <c r="G288" s="9"/>
      <c r="H288" s="223"/>
      <c r="I288" s="9"/>
      <c r="J288" s="9"/>
      <c r="K288" s="9"/>
      <c r="L288" s="9"/>
      <c r="M288" s="9"/>
      <c r="N288" s="9"/>
      <c r="O288" s="9"/>
      <c r="P288" s="9"/>
      <c r="Q288" s="223"/>
      <c r="R288" s="9"/>
      <c r="S288" s="9"/>
      <c r="T288" s="9"/>
      <c r="U288" s="9"/>
      <c r="V288" s="9"/>
      <c r="W288" s="971"/>
      <c r="X288" s="9"/>
      <c r="Y288" s="9"/>
      <c r="Z288" s="204"/>
      <c r="AA288" s="9"/>
      <c r="AB288" s="9"/>
      <c r="AC288" s="9"/>
      <c r="AD288" s="9"/>
    </row>
    <row r="289" ht="15.75" customHeight="1">
      <c r="A289" s="9"/>
      <c r="B289" s="9"/>
      <c r="C289" s="9"/>
      <c r="D289" s="9"/>
      <c r="E289" s="9"/>
      <c r="F289" s="9"/>
      <c r="G289" s="9"/>
      <c r="H289" s="223"/>
      <c r="I289" s="9"/>
      <c r="J289" s="9"/>
      <c r="K289" s="9"/>
      <c r="L289" s="9"/>
      <c r="M289" s="9"/>
      <c r="N289" s="9"/>
      <c r="O289" s="9"/>
      <c r="P289" s="9"/>
      <c r="Q289" s="223"/>
      <c r="R289" s="9"/>
      <c r="S289" s="9"/>
      <c r="T289" s="9"/>
      <c r="U289" s="9"/>
      <c r="V289" s="9"/>
      <c r="W289" s="971"/>
      <c r="X289" s="9"/>
      <c r="Y289" s="9"/>
      <c r="Z289" s="204"/>
      <c r="AA289" s="9"/>
      <c r="AB289" s="9"/>
      <c r="AC289" s="9"/>
      <c r="AD289" s="9"/>
    </row>
    <row r="290" ht="15.75" customHeight="1">
      <c r="A290" s="9"/>
      <c r="B290" s="9"/>
      <c r="C290" s="9"/>
      <c r="D290" s="9"/>
      <c r="E290" s="9"/>
      <c r="F290" s="9"/>
      <c r="G290" s="9"/>
      <c r="H290" s="223"/>
      <c r="I290" s="9"/>
      <c r="J290" s="9"/>
      <c r="K290" s="9"/>
      <c r="L290" s="9"/>
      <c r="M290" s="9"/>
      <c r="N290" s="9"/>
      <c r="O290" s="9"/>
      <c r="P290" s="9"/>
      <c r="Q290" s="223"/>
      <c r="R290" s="9"/>
      <c r="S290" s="9"/>
      <c r="T290" s="9"/>
      <c r="U290" s="9"/>
      <c r="V290" s="9"/>
      <c r="W290" s="971"/>
      <c r="X290" s="9"/>
      <c r="Y290" s="9"/>
      <c r="Z290" s="204"/>
      <c r="AA290" s="9"/>
      <c r="AB290" s="9"/>
      <c r="AC290" s="9"/>
      <c r="AD290" s="9"/>
    </row>
    <row r="291" ht="15.75" customHeight="1">
      <c r="A291" s="9"/>
      <c r="B291" s="9"/>
      <c r="C291" s="9"/>
      <c r="D291" s="9"/>
      <c r="E291" s="9"/>
      <c r="F291" s="9"/>
      <c r="G291" s="9"/>
      <c r="H291" s="223"/>
      <c r="I291" s="9"/>
      <c r="J291" s="9"/>
      <c r="K291" s="9"/>
      <c r="L291" s="9"/>
      <c r="M291" s="9"/>
      <c r="N291" s="9"/>
      <c r="O291" s="9"/>
      <c r="P291" s="9"/>
      <c r="Q291" s="223"/>
      <c r="R291" s="9"/>
      <c r="S291" s="9"/>
      <c r="T291" s="9"/>
      <c r="U291" s="9"/>
      <c r="V291" s="9"/>
      <c r="W291" s="971"/>
      <c r="X291" s="9"/>
      <c r="Y291" s="9"/>
      <c r="Z291" s="204"/>
      <c r="AA291" s="9"/>
      <c r="AB291" s="9"/>
      <c r="AC291" s="9"/>
      <c r="AD291" s="9"/>
    </row>
    <row r="292" ht="15.75" customHeight="1">
      <c r="A292" s="9"/>
      <c r="B292" s="9"/>
      <c r="C292" s="9"/>
      <c r="D292" s="9"/>
      <c r="E292" s="9"/>
      <c r="F292" s="9"/>
      <c r="G292" s="9"/>
      <c r="H292" s="223"/>
      <c r="I292" s="9"/>
      <c r="J292" s="9"/>
      <c r="K292" s="9"/>
      <c r="L292" s="9"/>
      <c r="M292" s="9"/>
      <c r="N292" s="9"/>
      <c r="O292" s="9"/>
      <c r="P292" s="9"/>
      <c r="Q292" s="223"/>
      <c r="R292" s="9"/>
      <c r="S292" s="9"/>
      <c r="T292" s="9"/>
      <c r="U292" s="9"/>
      <c r="V292" s="9"/>
      <c r="W292" s="971"/>
      <c r="X292" s="9"/>
      <c r="Y292" s="9"/>
      <c r="Z292" s="204"/>
      <c r="AA292" s="9"/>
      <c r="AB292" s="9"/>
      <c r="AC292" s="9"/>
      <c r="AD292" s="9"/>
    </row>
    <row r="293" ht="15.75" customHeight="1">
      <c r="A293" s="9"/>
      <c r="B293" s="9"/>
      <c r="C293" s="9"/>
      <c r="D293" s="9"/>
      <c r="E293" s="9"/>
      <c r="F293" s="9"/>
      <c r="G293" s="9"/>
      <c r="H293" s="223"/>
      <c r="I293" s="9"/>
      <c r="J293" s="9"/>
      <c r="K293" s="9"/>
      <c r="L293" s="9"/>
      <c r="M293" s="9"/>
      <c r="N293" s="9"/>
      <c r="O293" s="9"/>
      <c r="P293" s="9"/>
      <c r="Q293" s="223"/>
      <c r="R293" s="9"/>
      <c r="S293" s="9"/>
      <c r="T293" s="9"/>
      <c r="U293" s="9"/>
      <c r="V293" s="9"/>
      <c r="W293" s="971"/>
      <c r="X293" s="9"/>
      <c r="Y293" s="9"/>
      <c r="Z293" s="204"/>
      <c r="AA293" s="9"/>
      <c r="AB293" s="9"/>
      <c r="AC293" s="9"/>
      <c r="AD293" s="9"/>
    </row>
    <row r="294" ht="15.75" customHeight="1">
      <c r="A294" s="9"/>
      <c r="B294" s="9"/>
      <c r="C294" s="9"/>
      <c r="D294" s="9"/>
      <c r="E294" s="9"/>
      <c r="F294" s="9"/>
      <c r="G294" s="9"/>
      <c r="H294" s="223"/>
      <c r="I294" s="9"/>
      <c r="J294" s="9"/>
      <c r="K294" s="9"/>
      <c r="L294" s="9"/>
      <c r="M294" s="9"/>
      <c r="N294" s="9"/>
      <c r="O294" s="9"/>
      <c r="P294" s="9"/>
      <c r="Q294" s="223"/>
      <c r="R294" s="9"/>
      <c r="S294" s="9"/>
      <c r="T294" s="9"/>
      <c r="U294" s="9"/>
      <c r="V294" s="9"/>
      <c r="W294" s="971"/>
      <c r="X294" s="9"/>
      <c r="Y294" s="9"/>
      <c r="Z294" s="204"/>
      <c r="AA294" s="9"/>
      <c r="AB294" s="9"/>
      <c r="AC294" s="9"/>
      <c r="AD294" s="9"/>
    </row>
    <row r="295" ht="15.75" customHeight="1">
      <c r="A295" s="9"/>
      <c r="B295" s="9"/>
      <c r="C295" s="9"/>
      <c r="D295" s="9"/>
      <c r="E295" s="9"/>
      <c r="F295" s="9"/>
      <c r="G295" s="9"/>
      <c r="H295" s="223"/>
      <c r="I295" s="9"/>
      <c r="J295" s="9"/>
      <c r="K295" s="9"/>
      <c r="L295" s="9"/>
      <c r="M295" s="9"/>
      <c r="N295" s="9"/>
      <c r="O295" s="9"/>
      <c r="P295" s="9"/>
      <c r="Q295" s="223"/>
      <c r="R295" s="9"/>
      <c r="S295" s="9"/>
      <c r="T295" s="9"/>
      <c r="U295" s="9"/>
      <c r="V295" s="9"/>
      <c r="W295" s="971"/>
      <c r="X295" s="9"/>
      <c r="Y295" s="9"/>
      <c r="Z295" s="204"/>
      <c r="AA295" s="9"/>
      <c r="AB295" s="9"/>
      <c r="AC295" s="9"/>
      <c r="AD295" s="9"/>
    </row>
    <row r="296" ht="15.75" customHeight="1">
      <c r="A296" s="9"/>
      <c r="B296" s="9"/>
      <c r="C296" s="9"/>
      <c r="D296" s="9"/>
      <c r="E296" s="9"/>
      <c r="F296" s="9"/>
      <c r="G296" s="9"/>
      <c r="H296" s="223"/>
      <c r="I296" s="9"/>
      <c r="J296" s="9"/>
      <c r="K296" s="9"/>
      <c r="L296" s="9"/>
      <c r="M296" s="9"/>
      <c r="N296" s="9"/>
      <c r="O296" s="9"/>
      <c r="P296" s="9"/>
      <c r="Q296" s="223"/>
      <c r="R296" s="9"/>
      <c r="S296" s="9"/>
      <c r="T296" s="9"/>
      <c r="U296" s="9"/>
      <c r="V296" s="9"/>
      <c r="W296" s="971"/>
      <c r="X296" s="9"/>
      <c r="Y296" s="9"/>
      <c r="Z296" s="204"/>
      <c r="AA296" s="9"/>
      <c r="AB296" s="9"/>
      <c r="AC296" s="9"/>
      <c r="AD296" s="9"/>
    </row>
    <row r="297" ht="15.75" customHeight="1">
      <c r="A297" s="9"/>
      <c r="B297" s="9"/>
      <c r="C297" s="9"/>
      <c r="D297" s="9"/>
      <c r="E297" s="9"/>
      <c r="F297" s="9"/>
      <c r="G297" s="9"/>
      <c r="H297" s="223"/>
      <c r="I297" s="9"/>
      <c r="J297" s="9"/>
      <c r="K297" s="9"/>
      <c r="L297" s="9"/>
      <c r="M297" s="9"/>
      <c r="N297" s="9"/>
      <c r="O297" s="9"/>
      <c r="P297" s="9"/>
      <c r="Q297" s="223"/>
      <c r="R297" s="9"/>
      <c r="S297" s="9"/>
      <c r="T297" s="9"/>
      <c r="U297" s="9"/>
      <c r="V297" s="9"/>
      <c r="W297" s="971"/>
      <c r="X297" s="9"/>
      <c r="Y297" s="9"/>
      <c r="Z297" s="204"/>
      <c r="AA297" s="9"/>
      <c r="AB297" s="9"/>
      <c r="AC297" s="9"/>
      <c r="AD297" s="9"/>
    </row>
    <row r="298" ht="15.75" customHeight="1">
      <c r="A298" s="9"/>
      <c r="B298" s="9"/>
      <c r="C298" s="9"/>
      <c r="D298" s="9"/>
      <c r="E298" s="9"/>
      <c r="F298" s="9"/>
      <c r="G298" s="9"/>
      <c r="H298" s="223"/>
      <c r="I298" s="9"/>
      <c r="J298" s="9"/>
      <c r="K298" s="9"/>
      <c r="L298" s="9"/>
      <c r="M298" s="9"/>
      <c r="N298" s="9"/>
      <c r="O298" s="9"/>
      <c r="P298" s="9"/>
      <c r="Q298" s="223"/>
      <c r="R298" s="9"/>
      <c r="S298" s="9"/>
      <c r="T298" s="9"/>
      <c r="U298" s="9"/>
      <c r="V298" s="9"/>
      <c r="W298" s="971"/>
      <c r="X298" s="9"/>
      <c r="Y298" s="9"/>
      <c r="Z298" s="204"/>
      <c r="AA298" s="9"/>
      <c r="AB298" s="9"/>
      <c r="AC298" s="9"/>
      <c r="AD298" s="9"/>
    </row>
    <row r="299" ht="15.75" customHeight="1">
      <c r="A299" s="9"/>
      <c r="B299" s="9"/>
      <c r="C299" s="9"/>
      <c r="D299" s="9"/>
      <c r="E299" s="9"/>
      <c r="F299" s="9"/>
      <c r="G299" s="9"/>
      <c r="H299" s="223"/>
      <c r="I299" s="9"/>
      <c r="J299" s="9"/>
      <c r="K299" s="9"/>
      <c r="L299" s="9"/>
      <c r="M299" s="9"/>
      <c r="N299" s="9"/>
      <c r="O299" s="9"/>
      <c r="P299" s="9"/>
      <c r="Q299" s="223"/>
      <c r="R299" s="9"/>
      <c r="S299" s="9"/>
      <c r="T299" s="9"/>
      <c r="U299" s="9"/>
      <c r="V299" s="9"/>
      <c r="W299" s="971"/>
      <c r="X299" s="9"/>
      <c r="Y299" s="9"/>
      <c r="Z299" s="204"/>
      <c r="AA299" s="9"/>
      <c r="AB299" s="9"/>
      <c r="AC299" s="9"/>
      <c r="AD299" s="9"/>
    </row>
    <row r="300" ht="15.75" customHeight="1">
      <c r="A300" s="9"/>
      <c r="B300" s="9"/>
      <c r="C300" s="9"/>
      <c r="D300" s="9"/>
      <c r="E300" s="9"/>
      <c r="F300" s="9"/>
      <c r="G300" s="9"/>
      <c r="H300" s="223"/>
      <c r="I300" s="9"/>
      <c r="J300" s="9"/>
      <c r="K300" s="9"/>
      <c r="L300" s="9"/>
      <c r="M300" s="9"/>
      <c r="N300" s="9"/>
      <c r="O300" s="9"/>
      <c r="P300" s="9"/>
      <c r="Q300" s="223"/>
      <c r="R300" s="9"/>
      <c r="S300" s="9"/>
      <c r="T300" s="9"/>
      <c r="U300" s="9"/>
      <c r="V300" s="9"/>
      <c r="W300" s="971"/>
      <c r="X300" s="9"/>
      <c r="Y300" s="9"/>
      <c r="Z300" s="204"/>
      <c r="AA300" s="9"/>
      <c r="AB300" s="9"/>
      <c r="AC300" s="9"/>
      <c r="AD300" s="9"/>
    </row>
    <row r="301" ht="15.75" customHeight="1">
      <c r="A301" s="9"/>
      <c r="B301" s="9"/>
      <c r="C301" s="9"/>
      <c r="D301" s="9"/>
      <c r="E301" s="9"/>
      <c r="F301" s="9"/>
      <c r="G301" s="9"/>
      <c r="H301" s="223"/>
      <c r="I301" s="9"/>
      <c r="J301" s="9"/>
      <c r="K301" s="9"/>
      <c r="L301" s="9"/>
      <c r="M301" s="9"/>
      <c r="N301" s="9"/>
      <c r="O301" s="9"/>
      <c r="P301" s="9"/>
      <c r="Q301" s="223"/>
      <c r="R301" s="9"/>
      <c r="S301" s="9"/>
      <c r="T301" s="9"/>
      <c r="U301" s="9"/>
      <c r="V301" s="9"/>
      <c r="W301" s="971"/>
      <c r="X301" s="9"/>
      <c r="Y301" s="9"/>
      <c r="Z301" s="204"/>
      <c r="AA301" s="9"/>
      <c r="AB301" s="9"/>
      <c r="AC301" s="9"/>
      <c r="AD301" s="9"/>
    </row>
    <row r="302" ht="15.75" customHeight="1">
      <c r="A302" s="9"/>
      <c r="B302" s="9"/>
      <c r="C302" s="9"/>
      <c r="D302" s="9"/>
      <c r="E302" s="9"/>
      <c r="F302" s="9"/>
      <c r="G302" s="9"/>
      <c r="H302" s="223"/>
      <c r="I302" s="9"/>
      <c r="J302" s="9"/>
      <c r="K302" s="9"/>
      <c r="L302" s="9"/>
      <c r="M302" s="9"/>
      <c r="N302" s="9"/>
      <c r="O302" s="9"/>
      <c r="P302" s="9"/>
      <c r="Q302" s="223"/>
      <c r="R302" s="9"/>
      <c r="S302" s="9"/>
      <c r="T302" s="9"/>
      <c r="U302" s="9"/>
      <c r="V302" s="9"/>
      <c r="W302" s="971"/>
      <c r="X302" s="9"/>
      <c r="Y302" s="9"/>
      <c r="Z302" s="204"/>
      <c r="AA302" s="9"/>
      <c r="AB302" s="9"/>
      <c r="AC302" s="9"/>
      <c r="AD302" s="9"/>
    </row>
    <row r="303" ht="15.75" customHeight="1">
      <c r="A303" s="9"/>
      <c r="B303" s="9"/>
      <c r="C303" s="9"/>
      <c r="D303" s="9"/>
      <c r="E303" s="9"/>
      <c r="F303" s="9"/>
      <c r="G303" s="9"/>
      <c r="H303" s="223"/>
      <c r="I303" s="9"/>
      <c r="J303" s="9"/>
      <c r="K303" s="9"/>
      <c r="L303" s="9"/>
      <c r="M303" s="9"/>
      <c r="N303" s="9"/>
      <c r="O303" s="9"/>
      <c r="P303" s="9"/>
      <c r="Q303" s="223"/>
      <c r="R303" s="9"/>
      <c r="S303" s="9"/>
      <c r="T303" s="9"/>
      <c r="U303" s="9"/>
      <c r="V303" s="9"/>
      <c r="W303" s="971"/>
      <c r="X303" s="9"/>
      <c r="Y303" s="9"/>
      <c r="Z303" s="204"/>
      <c r="AA303" s="9"/>
      <c r="AB303" s="9"/>
      <c r="AC303" s="9"/>
      <c r="AD303" s="9"/>
    </row>
    <row r="304" ht="15.75" customHeight="1">
      <c r="A304" s="9"/>
      <c r="B304" s="9"/>
      <c r="C304" s="9"/>
      <c r="D304" s="9"/>
      <c r="E304" s="9"/>
      <c r="F304" s="9"/>
      <c r="G304" s="9"/>
      <c r="H304" s="223"/>
      <c r="I304" s="9"/>
      <c r="J304" s="9"/>
      <c r="K304" s="9"/>
      <c r="L304" s="9"/>
      <c r="M304" s="9"/>
      <c r="N304" s="9"/>
      <c r="O304" s="9"/>
      <c r="P304" s="9"/>
      <c r="Q304" s="223"/>
      <c r="R304" s="9"/>
      <c r="S304" s="9"/>
      <c r="T304" s="9"/>
      <c r="U304" s="9"/>
      <c r="V304" s="9"/>
      <c r="W304" s="971"/>
      <c r="X304" s="9"/>
      <c r="Y304" s="9"/>
      <c r="Z304" s="204"/>
      <c r="AA304" s="9"/>
      <c r="AB304" s="9"/>
      <c r="AC304" s="9"/>
      <c r="AD304" s="9"/>
    </row>
    <row r="305" ht="15.75" customHeight="1">
      <c r="A305" s="9"/>
      <c r="B305" s="9"/>
      <c r="C305" s="9"/>
      <c r="D305" s="9"/>
      <c r="E305" s="9"/>
      <c r="F305" s="9"/>
      <c r="G305" s="9"/>
      <c r="H305" s="223"/>
      <c r="I305" s="9"/>
      <c r="J305" s="9"/>
      <c r="K305" s="9"/>
      <c r="L305" s="9"/>
      <c r="M305" s="9"/>
      <c r="N305" s="9"/>
      <c r="O305" s="9"/>
      <c r="P305" s="9"/>
      <c r="Q305" s="223"/>
      <c r="R305" s="9"/>
      <c r="S305" s="9"/>
      <c r="T305" s="9"/>
      <c r="U305" s="9"/>
      <c r="V305" s="9"/>
      <c r="W305" s="971"/>
      <c r="X305" s="9"/>
      <c r="Y305" s="9"/>
      <c r="Z305" s="204"/>
      <c r="AA305" s="9"/>
      <c r="AB305" s="9"/>
      <c r="AC305" s="9"/>
      <c r="AD305" s="9"/>
    </row>
    <row r="306" ht="15.75" customHeight="1">
      <c r="A306" s="9"/>
      <c r="B306" s="9"/>
      <c r="C306" s="9"/>
      <c r="D306" s="9"/>
      <c r="E306" s="9"/>
      <c r="F306" s="9"/>
      <c r="G306" s="9"/>
      <c r="H306" s="223"/>
      <c r="I306" s="9"/>
      <c r="J306" s="9"/>
      <c r="K306" s="9"/>
      <c r="L306" s="9"/>
      <c r="M306" s="9"/>
      <c r="N306" s="9"/>
      <c r="O306" s="9"/>
      <c r="P306" s="9"/>
      <c r="Q306" s="223"/>
      <c r="R306" s="9"/>
      <c r="S306" s="9"/>
      <c r="T306" s="9"/>
      <c r="U306" s="9"/>
      <c r="V306" s="9"/>
      <c r="W306" s="971"/>
      <c r="X306" s="9"/>
      <c r="Y306" s="9"/>
      <c r="Z306" s="204"/>
      <c r="AA306" s="9"/>
      <c r="AB306" s="9"/>
      <c r="AC306" s="9"/>
      <c r="AD306" s="9"/>
    </row>
    <row r="307" ht="15.75" customHeight="1">
      <c r="A307" s="9"/>
      <c r="B307" s="9"/>
      <c r="C307" s="9"/>
      <c r="D307" s="9"/>
      <c r="E307" s="9"/>
      <c r="F307" s="9"/>
      <c r="G307" s="9"/>
      <c r="H307" s="223"/>
      <c r="I307" s="9"/>
      <c r="J307" s="9"/>
      <c r="K307" s="9"/>
      <c r="L307" s="9"/>
      <c r="M307" s="9"/>
      <c r="N307" s="9"/>
      <c r="O307" s="9"/>
      <c r="P307" s="9"/>
      <c r="Q307" s="223"/>
      <c r="R307" s="9"/>
      <c r="S307" s="9"/>
      <c r="T307" s="9"/>
      <c r="U307" s="9"/>
      <c r="V307" s="9"/>
      <c r="W307" s="971"/>
      <c r="X307" s="9"/>
      <c r="Y307" s="9"/>
      <c r="Z307" s="204"/>
      <c r="AA307" s="9"/>
      <c r="AB307" s="9"/>
      <c r="AC307" s="9"/>
      <c r="AD307" s="9"/>
    </row>
    <row r="308" ht="15.75" customHeight="1">
      <c r="A308" s="9"/>
      <c r="B308" s="9"/>
      <c r="C308" s="9"/>
      <c r="D308" s="9"/>
      <c r="E308" s="9"/>
      <c r="F308" s="9"/>
      <c r="G308" s="9"/>
      <c r="H308" s="223"/>
      <c r="I308" s="9"/>
      <c r="J308" s="9"/>
      <c r="K308" s="9"/>
      <c r="L308" s="9"/>
      <c r="M308" s="9"/>
      <c r="N308" s="9"/>
      <c r="O308" s="9"/>
      <c r="P308" s="9"/>
      <c r="Q308" s="223"/>
      <c r="R308" s="9"/>
      <c r="S308" s="9"/>
      <c r="T308" s="9"/>
      <c r="U308" s="9"/>
      <c r="V308" s="9"/>
      <c r="W308" s="971"/>
      <c r="X308" s="9"/>
      <c r="Y308" s="9"/>
      <c r="Z308" s="204"/>
      <c r="AA308" s="9"/>
      <c r="AB308" s="9"/>
      <c r="AC308" s="9"/>
      <c r="AD308" s="9"/>
    </row>
    <row r="309" ht="15.75" customHeight="1">
      <c r="A309" s="9"/>
      <c r="B309" s="9"/>
      <c r="C309" s="9"/>
      <c r="D309" s="9"/>
      <c r="E309" s="9"/>
      <c r="F309" s="9"/>
      <c r="G309" s="9"/>
      <c r="H309" s="223"/>
      <c r="I309" s="9"/>
      <c r="J309" s="9"/>
      <c r="K309" s="9"/>
      <c r="L309" s="9"/>
      <c r="M309" s="9"/>
      <c r="N309" s="9"/>
      <c r="O309" s="9"/>
      <c r="P309" s="9"/>
      <c r="Q309" s="223"/>
      <c r="R309" s="9"/>
      <c r="S309" s="9"/>
      <c r="T309" s="9"/>
      <c r="U309" s="9"/>
      <c r="V309" s="9"/>
      <c r="W309" s="971"/>
      <c r="X309" s="9"/>
      <c r="Y309" s="9"/>
      <c r="Z309" s="204"/>
      <c r="AA309" s="9"/>
      <c r="AB309" s="9"/>
      <c r="AC309" s="9"/>
      <c r="AD309" s="9"/>
    </row>
    <row r="310" ht="15.75" customHeight="1">
      <c r="A310" s="9"/>
      <c r="B310" s="9"/>
      <c r="C310" s="9"/>
      <c r="D310" s="9"/>
      <c r="E310" s="9"/>
      <c r="F310" s="9"/>
      <c r="G310" s="9"/>
      <c r="H310" s="223"/>
      <c r="I310" s="9"/>
      <c r="J310" s="9"/>
      <c r="K310" s="9"/>
      <c r="L310" s="9"/>
      <c r="M310" s="9"/>
      <c r="N310" s="9"/>
      <c r="O310" s="9"/>
      <c r="P310" s="9"/>
      <c r="Q310" s="223"/>
      <c r="R310" s="9"/>
      <c r="S310" s="9"/>
      <c r="T310" s="9"/>
      <c r="U310" s="9"/>
      <c r="V310" s="9"/>
      <c r="W310" s="971"/>
      <c r="X310" s="9"/>
      <c r="Y310" s="9"/>
      <c r="Z310" s="204"/>
      <c r="AA310" s="9"/>
      <c r="AB310" s="9"/>
      <c r="AC310" s="9"/>
      <c r="AD310" s="9"/>
    </row>
    <row r="311" ht="15.75" customHeight="1">
      <c r="A311" s="9"/>
      <c r="B311" s="9"/>
      <c r="C311" s="9"/>
      <c r="D311" s="9"/>
      <c r="E311" s="9"/>
      <c r="F311" s="9"/>
      <c r="G311" s="9"/>
      <c r="H311" s="223"/>
      <c r="I311" s="9"/>
      <c r="J311" s="9"/>
      <c r="K311" s="9"/>
      <c r="L311" s="9"/>
      <c r="M311" s="9"/>
      <c r="N311" s="9"/>
      <c r="O311" s="9"/>
      <c r="P311" s="9"/>
      <c r="Q311" s="223"/>
      <c r="R311" s="9"/>
      <c r="S311" s="9"/>
      <c r="T311" s="9"/>
      <c r="U311" s="9"/>
      <c r="V311" s="9"/>
      <c r="W311" s="971"/>
      <c r="X311" s="9"/>
      <c r="Y311" s="9"/>
      <c r="Z311" s="204"/>
      <c r="AA311" s="9"/>
      <c r="AB311" s="9"/>
      <c r="AC311" s="9"/>
      <c r="AD311" s="9"/>
    </row>
    <row r="312" ht="15.75" customHeight="1">
      <c r="A312" s="9"/>
      <c r="B312" s="9"/>
      <c r="C312" s="9"/>
      <c r="D312" s="9"/>
      <c r="E312" s="9"/>
      <c r="F312" s="9"/>
      <c r="G312" s="9"/>
      <c r="H312" s="223"/>
      <c r="I312" s="9"/>
      <c r="J312" s="9"/>
      <c r="K312" s="9"/>
      <c r="L312" s="9"/>
      <c r="M312" s="9"/>
      <c r="N312" s="9"/>
      <c r="O312" s="9"/>
      <c r="P312" s="9"/>
      <c r="Q312" s="223"/>
      <c r="R312" s="9"/>
      <c r="S312" s="9"/>
      <c r="T312" s="9"/>
      <c r="U312" s="9"/>
      <c r="V312" s="9"/>
      <c r="W312" s="971"/>
      <c r="X312" s="9"/>
      <c r="Y312" s="9"/>
      <c r="Z312" s="204"/>
      <c r="AA312" s="9"/>
      <c r="AB312" s="9"/>
      <c r="AC312" s="9"/>
      <c r="AD312" s="9"/>
    </row>
    <row r="313" ht="15.75" customHeight="1">
      <c r="A313" s="9"/>
      <c r="B313" s="9"/>
      <c r="C313" s="9"/>
      <c r="D313" s="9"/>
      <c r="E313" s="9"/>
      <c r="F313" s="9"/>
      <c r="G313" s="9"/>
      <c r="H313" s="223"/>
      <c r="I313" s="9"/>
      <c r="J313" s="9"/>
      <c r="K313" s="9"/>
      <c r="L313" s="9"/>
      <c r="M313" s="9"/>
      <c r="N313" s="9"/>
      <c r="O313" s="9"/>
      <c r="P313" s="9"/>
      <c r="Q313" s="223"/>
      <c r="R313" s="9"/>
      <c r="S313" s="9"/>
      <c r="T313" s="9"/>
      <c r="U313" s="9"/>
      <c r="V313" s="9"/>
      <c r="W313" s="971"/>
      <c r="X313" s="9"/>
      <c r="Y313" s="9"/>
      <c r="Z313" s="204"/>
      <c r="AA313" s="9"/>
      <c r="AB313" s="9"/>
      <c r="AC313" s="9"/>
      <c r="AD313" s="9"/>
    </row>
    <row r="314" ht="15.75" customHeight="1">
      <c r="A314" s="9"/>
      <c r="B314" s="9"/>
      <c r="C314" s="9"/>
      <c r="D314" s="9"/>
      <c r="E314" s="9"/>
      <c r="F314" s="9"/>
      <c r="G314" s="9"/>
      <c r="H314" s="223"/>
      <c r="I314" s="9"/>
      <c r="J314" s="9"/>
      <c r="K314" s="9"/>
      <c r="L314" s="9"/>
      <c r="M314" s="9"/>
      <c r="N314" s="9"/>
      <c r="O314" s="9"/>
      <c r="P314" s="9"/>
      <c r="Q314" s="223"/>
      <c r="R314" s="9"/>
      <c r="S314" s="9"/>
      <c r="T314" s="9"/>
      <c r="U314" s="9"/>
      <c r="V314" s="9"/>
      <c r="W314" s="971"/>
      <c r="X314" s="9"/>
      <c r="Y314" s="9"/>
      <c r="Z314" s="204"/>
      <c r="AA314" s="9"/>
      <c r="AB314" s="9"/>
      <c r="AC314" s="9"/>
      <c r="AD314" s="9"/>
    </row>
    <row r="315" ht="15.75" customHeight="1">
      <c r="A315" s="9"/>
      <c r="B315" s="9"/>
      <c r="C315" s="9"/>
      <c r="D315" s="9"/>
      <c r="E315" s="9"/>
      <c r="F315" s="9"/>
      <c r="G315" s="9"/>
      <c r="H315" s="223"/>
      <c r="I315" s="9"/>
      <c r="J315" s="9"/>
      <c r="K315" s="9"/>
      <c r="L315" s="9"/>
      <c r="M315" s="9"/>
      <c r="N315" s="9"/>
      <c r="O315" s="9"/>
      <c r="P315" s="9"/>
      <c r="Q315" s="223"/>
      <c r="R315" s="9"/>
      <c r="S315" s="9"/>
      <c r="T315" s="9"/>
      <c r="U315" s="9"/>
      <c r="V315" s="9"/>
      <c r="W315" s="971"/>
      <c r="X315" s="9"/>
      <c r="Y315" s="9"/>
      <c r="Z315" s="204"/>
      <c r="AA315" s="9"/>
      <c r="AB315" s="9"/>
      <c r="AC315" s="9"/>
      <c r="AD315" s="9"/>
    </row>
    <row r="316" ht="15.75" customHeight="1">
      <c r="A316" s="9"/>
      <c r="B316" s="9"/>
      <c r="C316" s="9"/>
      <c r="D316" s="9"/>
      <c r="E316" s="9"/>
      <c r="F316" s="9"/>
      <c r="G316" s="9"/>
      <c r="H316" s="223"/>
      <c r="I316" s="9"/>
      <c r="J316" s="9"/>
      <c r="K316" s="9"/>
      <c r="L316" s="9"/>
      <c r="M316" s="9"/>
      <c r="N316" s="9"/>
      <c r="O316" s="9"/>
      <c r="P316" s="9"/>
      <c r="Q316" s="223"/>
      <c r="R316" s="9"/>
      <c r="S316" s="9"/>
      <c r="T316" s="9"/>
      <c r="U316" s="9"/>
      <c r="V316" s="9"/>
      <c r="W316" s="971"/>
      <c r="X316" s="9"/>
      <c r="Y316" s="9"/>
      <c r="Z316" s="204"/>
      <c r="AA316" s="9"/>
      <c r="AB316" s="9"/>
      <c r="AC316" s="9"/>
      <c r="AD316" s="9"/>
    </row>
    <row r="317" ht="15.75" customHeight="1">
      <c r="A317" s="9"/>
      <c r="B317" s="9"/>
      <c r="C317" s="9"/>
      <c r="D317" s="9"/>
      <c r="E317" s="9"/>
      <c r="F317" s="9"/>
      <c r="G317" s="9"/>
      <c r="H317" s="223"/>
      <c r="I317" s="9"/>
      <c r="J317" s="9"/>
      <c r="K317" s="9"/>
      <c r="L317" s="9"/>
      <c r="M317" s="9"/>
      <c r="N317" s="9"/>
      <c r="O317" s="9"/>
      <c r="P317" s="9"/>
      <c r="Q317" s="223"/>
      <c r="R317" s="9"/>
      <c r="S317" s="9"/>
      <c r="T317" s="9"/>
      <c r="U317" s="9"/>
      <c r="V317" s="9"/>
      <c r="W317" s="971"/>
      <c r="X317" s="9"/>
      <c r="Y317" s="9"/>
      <c r="Z317" s="204"/>
      <c r="AA317" s="9"/>
      <c r="AB317" s="9"/>
      <c r="AC317" s="9"/>
      <c r="AD317" s="9"/>
    </row>
    <row r="318" ht="15.75" customHeight="1">
      <c r="A318" s="9"/>
      <c r="B318" s="9"/>
      <c r="C318" s="9"/>
      <c r="D318" s="9"/>
      <c r="E318" s="9"/>
      <c r="F318" s="9"/>
      <c r="G318" s="9"/>
      <c r="H318" s="223"/>
      <c r="I318" s="9"/>
      <c r="J318" s="9"/>
      <c r="K318" s="9"/>
      <c r="L318" s="9"/>
      <c r="M318" s="9"/>
      <c r="N318" s="9"/>
      <c r="O318" s="9"/>
      <c r="P318" s="9"/>
      <c r="Q318" s="223"/>
      <c r="R318" s="9"/>
      <c r="S318" s="9"/>
      <c r="T318" s="9"/>
      <c r="U318" s="9"/>
      <c r="V318" s="9"/>
      <c r="W318" s="971"/>
      <c r="X318" s="9"/>
      <c r="Y318" s="9"/>
      <c r="Z318" s="204"/>
      <c r="AA318" s="9"/>
      <c r="AB318" s="9"/>
      <c r="AC318" s="9"/>
      <c r="AD318" s="9"/>
    </row>
    <row r="319" ht="15.75" customHeight="1">
      <c r="A319" s="9"/>
      <c r="B319" s="9"/>
      <c r="C319" s="9"/>
      <c r="D319" s="9"/>
      <c r="E319" s="9"/>
      <c r="F319" s="9"/>
      <c r="G319" s="9"/>
      <c r="H319" s="223"/>
      <c r="I319" s="9"/>
      <c r="J319" s="9"/>
      <c r="K319" s="9"/>
      <c r="L319" s="9"/>
      <c r="M319" s="9"/>
      <c r="N319" s="9"/>
      <c r="O319" s="9"/>
      <c r="P319" s="9"/>
      <c r="Q319" s="223"/>
      <c r="R319" s="9"/>
      <c r="S319" s="9"/>
      <c r="T319" s="9"/>
      <c r="U319" s="9"/>
      <c r="V319" s="9"/>
      <c r="W319" s="971"/>
      <c r="X319" s="9"/>
      <c r="Y319" s="9"/>
      <c r="Z319" s="204"/>
      <c r="AA319" s="9"/>
      <c r="AB319" s="9"/>
      <c r="AC319" s="9"/>
      <c r="AD319" s="9"/>
    </row>
    <row r="320" ht="15.75" customHeight="1">
      <c r="A320" s="9"/>
      <c r="B320" s="9"/>
      <c r="C320" s="9"/>
      <c r="D320" s="9"/>
      <c r="E320" s="9"/>
      <c r="F320" s="9"/>
      <c r="G320" s="9"/>
      <c r="H320" s="223"/>
      <c r="I320" s="9"/>
      <c r="J320" s="9"/>
      <c r="K320" s="9"/>
      <c r="L320" s="9"/>
      <c r="M320" s="9"/>
      <c r="N320" s="9"/>
      <c r="O320" s="9"/>
      <c r="P320" s="9"/>
      <c r="Q320" s="223"/>
      <c r="R320" s="9"/>
      <c r="S320" s="9"/>
      <c r="T320" s="9"/>
      <c r="U320" s="9"/>
      <c r="V320" s="9"/>
      <c r="W320" s="971"/>
      <c r="X320" s="9"/>
      <c r="Y320" s="9"/>
      <c r="Z320" s="204"/>
      <c r="AA320" s="9"/>
      <c r="AB320" s="9"/>
      <c r="AC320" s="9"/>
      <c r="AD320" s="9"/>
    </row>
    <row r="321" ht="15.75" customHeight="1">
      <c r="A321" s="9"/>
      <c r="B321" s="9"/>
      <c r="C321" s="9"/>
      <c r="D321" s="9"/>
      <c r="E321" s="9"/>
      <c r="F321" s="9"/>
      <c r="G321" s="9"/>
      <c r="H321" s="223"/>
      <c r="I321" s="9"/>
      <c r="J321" s="9"/>
      <c r="K321" s="9"/>
      <c r="L321" s="9"/>
      <c r="M321" s="9"/>
      <c r="N321" s="9"/>
      <c r="O321" s="9"/>
      <c r="P321" s="9"/>
      <c r="Q321" s="223"/>
      <c r="R321" s="9"/>
      <c r="S321" s="9"/>
      <c r="T321" s="9"/>
      <c r="U321" s="9"/>
      <c r="V321" s="9"/>
      <c r="W321" s="971"/>
      <c r="X321" s="9"/>
      <c r="Y321" s="9"/>
      <c r="Z321" s="204"/>
      <c r="AA321" s="9"/>
      <c r="AB321" s="9"/>
      <c r="AC321" s="9"/>
      <c r="AD321" s="9"/>
    </row>
    <row r="322" ht="15.75" customHeight="1">
      <c r="A322" s="9"/>
      <c r="B322" s="9"/>
      <c r="C322" s="9"/>
      <c r="D322" s="9"/>
      <c r="E322" s="9"/>
      <c r="F322" s="9"/>
      <c r="G322" s="9"/>
      <c r="H322" s="223"/>
      <c r="I322" s="9"/>
      <c r="J322" s="9"/>
      <c r="K322" s="9"/>
      <c r="L322" s="9"/>
      <c r="M322" s="9"/>
      <c r="N322" s="9"/>
      <c r="O322" s="9"/>
      <c r="P322" s="9"/>
      <c r="Q322" s="223"/>
      <c r="R322" s="9"/>
      <c r="S322" s="9"/>
      <c r="T322" s="9"/>
      <c r="U322" s="9"/>
      <c r="V322" s="9"/>
      <c r="W322" s="971"/>
      <c r="X322" s="9"/>
      <c r="Y322" s="9"/>
      <c r="Z322" s="204"/>
      <c r="AA322" s="9"/>
      <c r="AB322" s="9"/>
      <c r="AC322" s="9"/>
      <c r="AD322" s="9"/>
    </row>
    <row r="323" ht="15.75" customHeight="1">
      <c r="A323" s="9"/>
      <c r="B323" s="9"/>
      <c r="C323" s="9"/>
      <c r="D323" s="9"/>
      <c r="E323" s="9"/>
      <c r="F323" s="9"/>
      <c r="G323" s="9"/>
      <c r="H323" s="223"/>
      <c r="I323" s="9"/>
      <c r="J323" s="9"/>
      <c r="K323" s="9"/>
      <c r="L323" s="9"/>
      <c r="M323" s="9"/>
      <c r="N323" s="9"/>
      <c r="O323" s="9"/>
      <c r="P323" s="9"/>
      <c r="Q323" s="223"/>
      <c r="R323" s="9"/>
      <c r="S323" s="9"/>
      <c r="T323" s="9"/>
      <c r="U323" s="9"/>
      <c r="V323" s="9"/>
      <c r="W323" s="971"/>
      <c r="X323" s="9"/>
      <c r="Y323" s="9"/>
      <c r="Z323" s="204"/>
      <c r="AA323" s="9"/>
      <c r="AB323" s="9"/>
      <c r="AC323" s="9"/>
      <c r="AD323" s="9"/>
    </row>
    <row r="324" ht="15.75" customHeight="1">
      <c r="A324" s="9"/>
      <c r="B324" s="9"/>
      <c r="C324" s="9"/>
      <c r="D324" s="9"/>
      <c r="E324" s="9"/>
      <c r="F324" s="9"/>
      <c r="G324" s="9"/>
      <c r="H324" s="223"/>
      <c r="I324" s="9"/>
      <c r="J324" s="9"/>
      <c r="K324" s="9"/>
      <c r="L324" s="9"/>
      <c r="M324" s="9"/>
      <c r="N324" s="9"/>
      <c r="O324" s="9"/>
      <c r="P324" s="9"/>
      <c r="Q324" s="223"/>
      <c r="R324" s="9"/>
      <c r="S324" s="9"/>
      <c r="T324" s="9"/>
      <c r="U324" s="9"/>
      <c r="V324" s="9"/>
      <c r="W324" s="971"/>
      <c r="X324" s="9"/>
      <c r="Y324" s="9"/>
      <c r="Z324" s="204"/>
      <c r="AA324" s="9"/>
      <c r="AB324" s="9"/>
      <c r="AC324" s="9"/>
      <c r="AD324" s="9"/>
    </row>
    <row r="325" ht="15.75" customHeight="1">
      <c r="A325" s="9"/>
      <c r="B325" s="9"/>
      <c r="C325" s="9"/>
      <c r="D325" s="9"/>
      <c r="E325" s="9"/>
      <c r="F325" s="9"/>
      <c r="G325" s="9"/>
      <c r="H325" s="223"/>
      <c r="I325" s="9"/>
      <c r="J325" s="9"/>
      <c r="K325" s="9"/>
      <c r="L325" s="9"/>
      <c r="M325" s="9"/>
      <c r="N325" s="9"/>
      <c r="O325" s="9"/>
      <c r="P325" s="9"/>
      <c r="Q325" s="223"/>
      <c r="R325" s="9"/>
      <c r="S325" s="9"/>
      <c r="T325" s="9"/>
      <c r="U325" s="9"/>
      <c r="V325" s="9"/>
      <c r="W325" s="971"/>
      <c r="X325" s="9"/>
      <c r="Y325" s="9"/>
      <c r="Z325" s="204"/>
      <c r="AA325" s="9"/>
      <c r="AB325" s="9"/>
      <c r="AC325" s="9"/>
      <c r="AD325" s="9"/>
    </row>
    <row r="326" ht="15.75" customHeight="1">
      <c r="A326" s="9"/>
      <c r="B326" s="9"/>
      <c r="C326" s="9"/>
      <c r="D326" s="9"/>
      <c r="E326" s="9"/>
      <c r="F326" s="9"/>
      <c r="G326" s="9"/>
      <c r="H326" s="223"/>
      <c r="I326" s="9"/>
      <c r="J326" s="9"/>
      <c r="K326" s="9"/>
      <c r="L326" s="9"/>
      <c r="M326" s="9"/>
      <c r="N326" s="9"/>
      <c r="O326" s="9"/>
      <c r="P326" s="9"/>
      <c r="Q326" s="223"/>
      <c r="R326" s="9"/>
      <c r="S326" s="9"/>
      <c r="T326" s="9"/>
      <c r="U326" s="9"/>
      <c r="V326" s="9"/>
      <c r="W326" s="971"/>
      <c r="X326" s="9"/>
      <c r="Y326" s="9"/>
      <c r="Z326" s="204"/>
      <c r="AA326" s="9"/>
      <c r="AB326" s="9"/>
      <c r="AC326" s="9"/>
      <c r="AD326" s="9"/>
    </row>
    <row r="327" ht="15.75" customHeight="1">
      <c r="A327" s="9"/>
      <c r="B327" s="9"/>
      <c r="C327" s="9"/>
      <c r="D327" s="9"/>
      <c r="E327" s="9"/>
      <c r="F327" s="9"/>
      <c r="G327" s="9"/>
      <c r="H327" s="223"/>
      <c r="I327" s="9"/>
      <c r="J327" s="9"/>
      <c r="K327" s="9"/>
      <c r="L327" s="9"/>
      <c r="M327" s="9"/>
      <c r="N327" s="9"/>
      <c r="O327" s="9"/>
      <c r="P327" s="9"/>
      <c r="Q327" s="223"/>
      <c r="R327" s="9"/>
      <c r="S327" s="9"/>
      <c r="T327" s="9"/>
      <c r="U327" s="9"/>
      <c r="V327" s="9"/>
      <c r="W327" s="971"/>
      <c r="X327" s="9"/>
      <c r="Y327" s="9"/>
      <c r="Z327" s="204"/>
      <c r="AA327" s="9"/>
      <c r="AB327" s="9"/>
      <c r="AC327" s="9"/>
      <c r="AD327" s="9"/>
    </row>
    <row r="328" ht="15.75" customHeight="1">
      <c r="A328" s="9"/>
      <c r="B328" s="9"/>
      <c r="C328" s="9"/>
      <c r="D328" s="9"/>
      <c r="E328" s="9"/>
      <c r="F328" s="9"/>
      <c r="G328" s="9"/>
      <c r="H328" s="223"/>
      <c r="I328" s="9"/>
      <c r="J328" s="9"/>
      <c r="K328" s="9"/>
      <c r="L328" s="9"/>
      <c r="M328" s="9"/>
      <c r="N328" s="9"/>
      <c r="O328" s="9"/>
      <c r="P328" s="9"/>
      <c r="Q328" s="223"/>
      <c r="R328" s="9"/>
      <c r="S328" s="9"/>
      <c r="T328" s="9"/>
      <c r="U328" s="9"/>
      <c r="V328" s="9"/>
      <c r="W328" s="971"/>
      <c r="X328" s="9"/>
      <c r="Y328" s="9"/>
      <c r="Z328" s="204"/>
      <c r="AA328" s="9"/>
      <c r="AB328" s="9"/>
      <c r="AC328" s="9"/>
      <c r="AD328" s="9"/>
    </row>
    <row r="329" ht="15.75" customHeight="1">
      <c r="A329" s="9"/>
      <c r="B329" s="9"/>
      <c r="C329" s="9"/>
      <c r="D329" s="9"/>
      <c r="E329" s="9"/>
      <c r="F329" s="9"/>
      <c r="G329" s="9"/>
      <c r="H329" s="223"/>
      <c r="I329" s="9"/>
      <c r="J329" s="9"/>
      <c r="K329" s="9"/>
      <c r="L329" s="9"/>
      <c r="M329" s="9"/>
      <c r="N329" s="9"/>
      <c r="O329" s="9"/>
      <c r="P329" s="9"/>
      <c r="Q329" s="223"/>
      <c r="R329" s="9"/>
      <c r="S329" s="9"/>
      <c r="T329" s="9"/>
      <c r="U329" s="9"/>
      <c r="V329" s="9"/>
      <c r="W329" s="971"/>
      <c r="X329" s="9"/>
      <c r="Y329" s="9"/>
      <c r="Z329" s="204"/>
      <c r="AA329" s="9"/>
      <c r="AB329" s="9"/>
      <c r="AC329" s="9"/>
      <c r="AD329" s="9"/>
    </row>
    <row r="330" ht="15.75" customHeight="1">
      <c r="A330" s="9"/>
      <c r="B330" s="9"/>
      <c r="C330" s="9"/>
      <c r="D330" s="9"/>
      <c r="E330" s="9"/>
      <c r="F330" s="9"/>
      <c r="G330" s="9"/>
      <c r="H330" s="223"/>
      <c r="I330" s="9"/>
      <c r="J330" s="9"/>
      <c r="K330" s="9"/>
      <c r="L330" s="9"/>
      <c r="M330" s="9"/>
      <c r="N330" s="9"/>
      <c r="O330" s="9"/>
      <c r="P330" s="9"/>
      <c r="Q330" s="223"/>
      <c r="R330" s="9"/>
      <c r="S330" s="9"/>
      <c r="T330" s="9"/>
      <c r="U330" s="9"/>
      <c r="V330" s="9"/>
      <c r="W330" s="971"/>
      <c r="X330" s="9"/>
      <c r="Y330" s="9"/>
      <c r="Z330" s="204"/>
      <c r="AA330" s="9"/>
      <c r="AB330" s="9"/>
      <c r="AC330" s="9"/>
      <c r="AD330" s="9"/>
    </row>
    <row r="331" ht="15.75" customHeight="1">
      <c r="A331" s="9"/>
      <c r="B331" s="9"/>
      <c r="C331" s="9"/>
      <c r="D331" s="9"/>
      <c r="E331" s="9"/>
      <c r="F331" s="9"/>
      <c r="G331" s="9"/>
      <c r="H331" s="223"/>
      <c r="I331" s="9"/>
      <c r="J331" s="9"/>
      <c r="K331" s="9"/>
      <c r="L331" s="9"/>
      <c r="M331" s="9"/>
      <c r="N331" s="9"/>
      <c r="O331" s="9"/>
      <c r="P331" s="9"/>
      <c r="Q331" s="223"/>
      <c r="R331" s="9"/>
      <c r="S331" s="9"/>
      <c r="T331" s="9"/>
      <c r="U331" s="9"/>
      <c r="V331" s="9"/>
      <c r="W331" s="971"/>
      <c r="X331" s="9"/>
      <c r="Y331" s="9"/>
      <c r="Z331" s="204"/>
      <c r="AA331" s="9"/>
      <c r="AB331" s="9"/>
      <c r="AC331" s="9"/>
      <c r="AD331" s="9"/>
    </row>
    <row r="332" ht="15.75" customHeight="1">
      <c r="A332" s="9"/>
      <c r="B332" s="9"/>
      <c r="C332" s="9"/>
      <c r="D332" s="9"/>
      <c r="E332" s="9"/>
      <c r="F332" s="9"/>
      <c r="G332" s="9"/>
      <c r="H332" s="223"/>
      <c r="I332" s="9"/>
      <c r="J332" s="9"/>
      <c r="K332" s="9"/>
      <c r="L332" s="9"/>
      <c r="M332" s="9"/>
      <c r="N332" s="9"/>
      <c r="O332" s="9"/>
      <c r="P332" s="9"/>
      <c r="Q332" s="223"/>
      <c r="R332" s="9"/>
      <c r="S332" s="9"/>
      <c r="T332" s="9"/>
      <c r="U332" s="9"/>
      <c r="V332" s="9"/>
      <c r="W332" s="971"/>
      <c r="X332" s="9"/>
      <c r="Y332" s="9"/>
      <c r="Z332" s="204"/>
      <c r="AA332" s="9"/>
      <c r="AB332" s="9"/>
      <c r="AC332" s="9"/>
      <c r="AD332" s="9"/>
    </row>
    <row r="333" ht="15.75" customHeight="1">
      <c r="A333" s="9"/>
      <c r="B333" s="9"/>
      <c r="C333" s="9"/>
      <c r="D333" s="9"/>
      <c r="E333" s="9"/>
      <c r="F333" s="9"/>
      <c r="G333" s="9"/>
      <c r="H333" s="223"/>
      <c r="I333" s="9"/>
      <c r="J333" s="9"/>
      <c r="K333" s="9"/>
      <c r="L333" s="9"/>
      <c r="M333" s="9"/>
      <c r="N333" s="9"/>
      <c r="O333" s="9"/>
      <c r="P333" s="9"/>
      <c r="Q333" s="223"/>
      <c r="R333" s="9"/>
      <c r="S333" s="9"/>
      <c r="T333" s="9"/>
      <c r="U333" s="9"/>
      <c r="V333" s="9"/>
      <c r="W333" s="971"/>
      <c r="X333" s="9"/>
      <c r="Y333" s="9"/>
      <c r="Z333" s="204"/>
      <c r="AA333" s="9"/>
      <c r="AB333" s="9"/>
      <c r="AC333" s="9"/>
      <c r="AD333" s="9"/>
    </row>
    <row r="334" ht="15.75" customHeight="1">
      <c r="A334" s="9"/>
      <c r="B334" s="9"/>
      <c r="C334" s="9"/>
      <c r="D334" s="9"/>
      <c r="E334" s="9"/>
      <c r="F334" s="9"/>
      <c r="G334" s="9"/>
      <c r="H334" s="223"/>
      <c r="I334" s="9"/>
      <c r="J334" s="9"/>
      <c r="K334" s="9"/>
      <c r="L334" s="9"/>
      <c r="M334" s="9"/>
      <c r="N334" s="9"/>
      <c r="O334" s="9"/>
      <c r="P334" s="9"/>
      <c r="Q334" s="223"/>
      <c r="R334" s="9"/>
      <c r="S334" s="9"/>
      <c r="T334" s="9"/>
      <c r="U334" s="9"/>
      <c r="V334" s="9"/>
      <c r="W334" s="971"/>
      <c r="X334" s="9"/>
      <c r="Y334" s="9"/>
      <c r="Z334" s="204"/>
      <c r="AA334" s="9"/>
      <c r="AB334" s="9"/>
      <c r="AC334" s="9"/>
      <c r="AD334" s="9"/>
    </row>
    <row r="335" ht="15.75" customHeight="1">
      <c r="A335" s="9"/>
      <c r="B335" s="9"/>
      <c r="C335" s="9"/>
      <c r="D335" s="9"/>
      <c r="E335" s="9"/>
      <c r="F335" s="9"/>
      <c r="G335" s="9"/>
      <c r="H335" s="223"/>
      <c r="I335" s="9"/>
      <c r="J335" s="9"/>
      <c r="K335" s="9"/>
      <c r="L335" s="9"/>
      <c r="M335" s="9"/>
      <c r="N335" s="9"/>
      <c r="O335" s="9"/>
      <c r="P335" s="9"/>
      <c r="Q335" s="223"/>
      <c r="R335" s="9"/>
      <c r="S335" s="9"/>
      <c r="T335" s="9"/>
      <c r="U335" s="9"/>
      <c r="V335" s="9"/>
      <c r="W335" s="971"/>
      <c r="X335" s="9"/>
      <c r="Y335" s="9"/>
      <c r="Z335" s="204"/>
      <c r="AA335" s="9"/>
      <c r="AB335" s="9"/>
      <c r="AC335" s="9"/>
      <c r="AD335" s="9"/>
    </row>
    <row r="336" ht="15.75" customHeight="1">
      <c r="A336" s="9"/>
      <c r="B336" s="9"/>
      <c r="C336" s="9"/>
      <c r="D336" s="9"/>
      <c r="E336" s="9"/>
      <c r="F336" s="9"/>
      <c r="G336" s="9"/>
      <c r="H336" s="223"/>
      <c r="I336" s="9"/>
      <c r="J336" s="9"/>
      <c r="K336" s="9"/>
      <c r="L336" s="9"/>
      <c r="M336" s="9"/>
      <c r="N336" s="9"/>
      <c r="O336" s="9"/>
      <c r="P336" s="9"/>
      <c r="Q336" s="223"/>
      <c r="R336" s="9"/>
      <c r="S336" s="9"/>
      <c r="T336" s="9"/>
      <c r="U336" s="9"/>
      <c r="V336" s="9"/>
      <c r="W336" s="971"/>
      <c r="X336" s="9"/>
      <c r="Y336" s="9"/>
      <c r="Z336" s="204"/>
      <c r="AA336" s="9"/>
      <c r="AB336" s="9"/>
      <c r="AC336" s="9"/>
      <c r="AD336" s="9"/>
    </row>
    <row r="337" ht="15.75" customHeight="1">
      <c r="A337" s="9"/>
      <c r="B337" s="9"/>
      <c r="C337" s="9"/>
      <c r="D337" s="9"/>
      <c r="E337" s="9"/>
      <c r="F337" s="9"/>
      <c r="G337" s="9"/>
      <c r="H337" s="223"/>
      <c r="I337" s="9"/>
      <c r="J337" s="9"/>
      <c r="K337" s="9"/>
      <c r="L337" s="9"/>
      <c r="M337" s="9"/>
      <c r="N337" s="9"/>
      <c r="O337" s="9"/>
      <c r="P337" s="9"/>
      <c r="Q337" s="223"/>
      <c r="R337" s="9"/>
      <c r="S337" s="9"/>
      <c r="T337" s="9"/>
      <c r="U337" s="9"/>
      <c r="V337" s="9"/>
      <c r="W337" s="971"/>
      <c r="X337" s="9"/>
      <c r="Y337" s="9"/>
      <c r="Z337" s="204"/>
      <c r="AA337" s="9"/>
      <c r="AB337" s="9"/>
      <c r="AC337" s="9"/>
      <c r="AD337" s="9"/>
    </row>
    <row r="338" ht="15.75" customHeight="1">
      <c r="A338" s="9"/>
      <c r="B338" s="9"/>
      <c r="C338" s="9"/>
      <c r="D338" s="9"/>
      <c r="E338" s="9"/>
      <c r="F338" s="9"/>
      <c r="G338" s="9"/>
      <c r="H338" s="223"/>
      <c r="I338" s="9"/>
      <c r="J338" s="9"/>
      <c r="K338" s="9"/>
      <c r="L338" s="9"/>
      <c r="M338" s="9"/>
      <c r="N338" s="9"/>
      <c r="O338" s="9"/>
      <c r="P338" s="9"/>
      <c r="Q338" s="223"/>
      <c r="R338" s="9"/>
      <c r="S338" s="9"/>
      <c r="T338" s="9"/>
      <c r="U338" s="9"/>
      <c r="V338" s="9"/>
      <c r="W338" s="971"/>
      <c r="X338" s="9"/>
      <c r="Y338" s="9"/>
      <c r="Z338" s="204"/>
      <c r="AA338" s="9"/>
      <c r="AB338" s="9"/>
      <c r="AC338" s="9"/>
      <c r="AD338" s="9"/>
    </row>
    <row r="339" ht="15.75" customHeight="1">
      <c r="A339" s="9"/>
      <c r="B339" s="9"/>
      <c r="C339" s="9"/>
      <c r="D339" s="9"/>
      <c r="E339" s="9"/>
      <c r="F339" s="9"/>
      <c r="G339" s="9"/>
      <c r="H339" s="223"/>
      <c r="I339" s="9"/>
      <c r="J339" s="9"/>
      <c r="K339" s="9"/>
      <c r="L339" s="9"/>
      <c r="M339" s="9"/>
      <c r="N339" s="9"/>
      <c r="O339" s="9"/>
      <c r="P339" s="9"/>
      <c r="Q339" s="223"/>
      <c r="R339" s="9"/>
      <c r="S339" s="9"/>
      <c r="T339" s="9"/>
      <c r="U339" s="9"/>
      <c r="V339" s="9"/>
      <c r="W339" s="971"/>
      <c r="X339" s="9"/>
      <c r="Y339" s="9"/>
      <c r="Z339" s="204"/>
      <c r="AA339" s="9"/>
      <c r="AB339" s="9"/>
      <c r="AC339" s="9"/>
      <c r="AD339" s="9"/>
    </row>
    <row r="340" ht="15.75" customHeight="1">
      <c r="A340" s="9"/>
      <c r="B340" s="9"/>
      <c r="C340" s="9"/>
      <c r="D340" s="9"/>
      <c r="E340" s="9"/>
      <c r="F340" s="9"/>
      <c r="G340" s="9"/>
      <c r="H340" s="223"/>
      <c r="I340" s="9"/>
      <c r="J340" s="9"/>
      <c r="K340" s="9"/>
      <c r="L340" s="9"/>
      <c r="M340" s="9"/>
      <c r="N340" s="9"/>
      <c r="O340" s="9"/>
      <c r="P340" s="9"/>
      <c r="Q340" s="223"/>
      <c r="R340" s="9"/>
      <c r="S340" s="9"/>
      <c r="T340" s="9"/>
      <c r="U340" s="9"/>
      <c r="V340" s="9"/>
      <c r="W340" s="971"/>
      <c r="X340" s="9"/>
      <c r="Y340" s="9"/>
      <c r="Z340" s="204"/>
      <c r="AA340" s="9"/>
      <c r="AB340" s="9"/>
      <c r="AC340" s="9"/>
      <c r="AD340" s="9"/>
    </row>
    <row r="341" ht="15.75" customHeight="1">
      <c r="A341" s="9"/>
      <c r="B341" s="9"/>
      <c r="C341" s="9"/>
      <c r="D341" s="9"/>
      <c r="E341" s="9"/>
      <c r="F341" s="9"/>
      <c r="G341" s="9"/>
      <c r="H341" s="223"/>
      <c r="I341" s="9"/>
      <c r="J341" s="9"/>
      <c r="K341" s="9"/>
      <c r="L341" s="9"/>
      <c r="M341" s="9"/>
      <c r="N341" s="9"/>
      <c r="O341" s="9"/>
      <c r="P341" s="9"/>
      <c r="Q341" s="223"/>
      <c r="R341" s="9"/>
      <c r="S341" s="9"/>
      <c r="T341" s="9"/>
      <c r="U341" s="9"/>
      <c r="V341" s="9"/>
      <c r="W341" s="971"/>
      <c r="X341" s="9"/>
      <c r="Y341" s="9"/>
      <c r="Z341" s="204"/>
      <c r="AA341" s="9"/>
      <c r="AB341" s="9"/>
      <c r="AC341" s="9"/>
      <c r="AD341" s="9"/>
    </row>
    <row r="342" ht="15.75" customHeight="1">
      <c r="A342" s="9"/>
      <c r="B342" s="9"/>
      <c r="C342" s="9"/>
      <c r="D342" s="9"/>
      <c r="E342" s="9"/>
      <c r="F342" s="9"/>
      <c r="G342" s="9"/>
      <c r="H342" s="223"/>
      <c r="I342" s="9"/>
      <c r="J342" s="9"/>
      <c r="K342" s="9"/>
      <c r="L342" s="9"/>
      <c r="M342" s="9"/>
      <c r="N342" s="9"/>
      <c r="O342" s="9"/>
      <c r="P342" s="9"/>
      <c r="Q342" s="223"/>
      <c r="R342" s="9"/>
      <c r="S342" s="9"/>
      <c r="T342" s="9"/>
      <c r="U342" s="9"/>
      <c r="V342" s="9"/>
      <c r="W342" s="971"/>
      <c r="X342" s="9"/>
      <c r="Y342" s="9"/>
      <c r="Z342" s="204"/>
      <c r="AA342" s="9"/>
      <c r="AB342" s="9"/>
      <c r="AC342" s="9"/>
      <c r="AD342" s="9"/>
    </row>
    <row r="343" ht="15.75" customHeight="1">
      <c r="A343" s="9"/>
      <c r="B343" s="9"/>
      <c r="C343" s="9"/>
      <c r="D343" s="9"/>
      <c r="E343" s="9"/>
      <c r="F343" s="9"/>
      <c r="G343" s="9"/>
      <c r="H343" s="223"/>
      <c r="I343" s="9"/>
      <c r="J343" s="9"/>
      <c r="K343" s="9"/>
      <c r="L343" s="9"/>
      <c r="M343" s="9"/>
      <c r="N343" s="9"/>
      <c r="O343" s="9"/>
      <c r="P343" s="9"/>
      <c r="Q343" s="223"/>
      <c r="R343" s="9"/>
      <c r="S343" s="9"/>
      <c r="T343" s="9"/>
      <c r="U343" s="9"/>
      <c r="V343" s="9"/>
      <c r="W343" s="971"/>
      <c r="X343" s="9"/>
      <c r="Y343" s="9"/>
      <c r="Z343" s="204"/>
      <c r="AA343" s="9"/>
      <c r="AB343" s="9"/>
      <c r="AC343" s="9"/>
      <c r="AD343" s="9"/>
    </row>
    <row r="344" ht="15.75" customHeight="1">
      <c r="A344" s="9"/>
      <c r="B344" s="9"/>
      <c r="C344" s="9"/>
      <c r="D344" s="9"/>
      <c r="E344" s="9"/>
      <c r="F344" s="9"/>
      <c r="G344" s="9"/>
      <c r="H344" s="223"/>
      <c r="I344" s="9"/>
      <c r="J344" s="9"/>
      <c r="K344" s="9"/>
      <c r="L344" s="9"/>
      <c r="M344" s="9"/>
      <c r="N344" s="9"/>
      <c r="O344" s="9"/>
      <c r="P344" s="9"/>
      <c r="Q344" s="223"/>
      <c r="R344" s="9"/>
      <c r="S344" s="9"/>
      <c r="T344" s="9"/>
      <c r="U344" s="9"/>
      <c r="V344" s="9"/>
      <c r="W344" s="971"/>
      <c r="X344" s="9"/>
      <c r="Y344" s="9"/>
      <c r="Z344" s="204"/>
      <c r="AA344" s="9"/>
      <c r="AB344" s="9"/>
      <c r="AC344" s="9"/>
      <c r="AD344" s="9"/>
    </row>
    <row r="345" ht="15.75" customHeight="1">
      <c r="A345" s="9"/>
      <c r="B345" s="9"/>
      <c r="C345" s="9"/>
      <c r="D345" s="9"/>
      <c r="E345" s="9"/>
      <c r="F345" s="9"/>
      <c r="G345" s="9"/>
      <c r="H345" s="223"/>
      <c r="I345" s="9"/>
      <c r="J345" s="9"/>
      <c r="K345" s="9"/>
      <c r="L345" s="9"/>
      <c r="M345" s="9"/>
      <c r="N345" s="9"/>
      <c r="O345" s="9"/>
      <c r="P345" s="9"/>
      <c r="Q345" s="223"/>
      <c r="R345" s="9"/>
      <c r="S345" s="9"/>
      <c r="T345" s="9"/>
      <c r="U345" s="9"/>
      <c r="V345" s="9"/>
      <c r="W345" s="971"/>
      <c r="X345" s="9"/>
      <c r="Y345" s="9"/>
      <c r="Z345" s="204"/>
      <c r="AA345" s="9"/>
      <c r="AB345" s="9"/>
      <c r="AC345" s="9"/>
      <c r="AD345" s="9"/>
    </row>
    <row r="346" ht="15.75" customHeight="1">
      <c r="A346" s="9"/>
      <c r="B346" s="9"/>
      <c r="C346" s="9"/>
      <c r="D346" s="9"/>
      <c r="E346" s="9"/>
      <c r="F346" s="9"/>
      <c r="G346" s="9"/>
      <c r="H346" s="223"/>
      <c r="I346" s="9"/>
      <c r="J346" s="9"/>
      <c r="K346" s="9"/>
      <c r="L346" s="9"/>
      <c r="M346" s="9"/>
      <c r="N346" s="9"/>
      <c r="O346" s="9"/>
      <c r="P346" s="9"/>
      <c r="Q346" s="223"/>
      <c r="R346" s="9"/>
      <c r="S346" s="9"/>
      <c r="T346" s="9"/>
      <c r="U346" s="9"/>
      <c r="V346" s="9"/>
      <c r="W346" s="971"/>
      <c r="X346" s="9"/>
      <c r="Y346" s="9"/>
      <c r="Z346" s="204"/>
      <c r="AA346" s="9"/>
      <c r="AB346" s="9"/>
      <c r="AC346" s="9"/>
      <c r="AD346" s="9"/>
    </row>
    <row r="347" ht="15.75" customHeight="1">
      <c r="A347" s="9"/>
      <c r="B347" s="9"/>
      <c r="C347" s="9"/>
      <c r="D347" s="9"/>
      <c r="E347" s="9"/>
      <c r="F347" s="9"/>
      <c r="G347" s="9"/>
      <c r="H347" s="223"/>
      <c r="I347" s="9"/>
      <c r="J347" s="9"/>
      <c r="K347" s="9"/>
      <c r="L347" s="9"/>
      <c r="M347" s="9"/>
      <c r="N347" s="9"/>
      <c r="O347" s="9"/>
      <c r="P347" s="9"/>
      <c r="Q347" s="223"/>
      <c r="R347" s="9"/>
      <c r="S347" s="9"/>
      <c r="T347" s="9"/>
      <c r="U347" s="9"/>
      <c r="V347" s="9"/>
      <c r="W347" s="971"/>
      <c r="X347" s="9"/>
      <c r="Y347" s="9"/>
      <c r="Z347" s="204"/>
      <c r="AA347" s="9"/>
      <c r="AB347" s="9"/>
      <c r="AC347" s="9"/>
      <c r="AD347" s="9"/>
    </row>
    <row r="348" ht="15.75" customHeight="1">
      <c r="A348" s="9"/>
      <c r="B348" s="9"/>
      <c r="C348" s="9"/>
      <c r="D348" s="9"/>
      <c r="E348" s="9"/>
      <c r="F348" s="9"/>
      <c r="G348" s="9"/>
      <c r="H348" s="223"/>
      <c r="I348" s="9"/>
      <c r="J348" s="9"/>
      <c r="K348" s="9"/>
      <c r="L348" s="9"/>
      <c r="M348" s="9"/>
      <c r="N348" s="9"/>
      <c r="O348" s="9"/>
      <c r="P348" s="9"/>
      <c r="Q348" s="223"/>
      <c r="R348" s="9"/>
      <c r="S348" s="9"/>
      <c r="T348" s="9"/>
      <c r="U348" s="9"/>
      <c r="V348" s="9"/>
      <c r="W348" s="971"/>
      <c r="X348" s="9"/>
      <c r="Y348" s="9"/>
      <c r="Z348" s="204"/>
      <c r="AA348" s="9"/>
      <c r="AB348" s="9"/>
      <c r="AC348" s="9"/>
      <c r="AD348" s="9"/>
    </row>
    <row r="349" ht="15.75" customHeight="1">
      <c r="A349" s="9"/>
      <c r="B349" s="9"/>
      <c r="C349" s="9"/>
      <c r="D349" s="9"/>
      <c r="E349" s="9"/>
      <c r="F349" s="9"/>
      <c r="G349" s="9"/>
      <c r="H349" s="223"/>
      <c r="I349" s="9"/>
      <c r="J349" s="9"/>
      <c r="K349" s="9"/>
      <c r="L349" s="9"/>
      <c r="M349" s="9"/>
      <c r="N349" s="9"/>
      <c r="O349" s="9"/>
      <c r="P349" s="9"/>
      <c r="Q349" s="223"/>
      <c r="R349" s="9"/>
      <c r="S349" s="9"/>
      <c r="T349" s="9"/>
      <c r="U349" s="9"/>
      <c r="V349" s="9"/>
      <c r="W349" s="971"/>
      <c r="X349" s="9"/>
      <c r="Y349" s="9"/>
      <c r="Z349" s="204"/>
      <c r="AA349" s="9"/>
      <c r="AB349" s="9"/>
      <c r="AC349" s="9"/>
      <c r="AD349" s="9"/>
    </row>
    <row r="350" ht="15.75" customHeight="1">
      <c r="A350" s="9"/>
      <c r="B350" s="9"/>
      <c r="C350" s="9"/>
      <c r="D350" s="9"/>
      <c r="E350" s="9"/>
      <c r="F350" s="9"/>
      <c r="G350" s="9"/>
      <c r="H350" s="223"/>
      <c r="I350" s="9"/>
      <c r="J350" s="9"/>
      <c r="K350" s="9"/>
      <c r="L350" s="9"/>
      <c r="M350" s="9"/>
      <c r="N350" s="9"/>
      <c r="O350" s="9"/>
      <c r="P350" s="9"/>
      <c r="Q350" s="223"/>
      <c r="R350" s="9"/>
      <c r="S350" s="9"/>
      <c r="T350" s="9"/>
      <c r="U350" s="9"/>
      <c r="V350" s="9"/>
      <c r="W350" s="971"/>
      <c r="X350" s="9"/>
      <c r="Y350" s="9"/>
      <c r="Z350" s="204"/>
      <c r="AA350" s="9"/>
      <c r="AB350" s="9"/>
      <c r="AC350" s="9"/>
      <c r="AD350" s="9"/>
    </row>
    <row r="351" ht="15.75" customHeight="1">
      <c r="A351" s="9"/>
      <c r="B351" s="9"/>
      <c r="C351" s="9"/>
      <c r="D351" s="9"/>
      <c r="E351" s="9"/>
      <c r="F351" s="9"/>
      <c r="G351" s="9"/>
      <c r="H351" s="223"/>
      <c r="I351" s="9"/>
      <c r="J351" s="9"/>
      <c r="K351" s="9"/>
      <c r="L351" s="9"/>
      <c r="M351" s="9"/>
      <c r="N351" s="9"/>
      <c r="O351" s="9"/>
      <c r="P351" s="9"/>
      <c r="Q351" s="223"/>
      <c r="R351" s="9"/>
      <c r="S351" s="9"/>
      <c r="T351" s="9"/>
      <c r="U351" s="9"/>
      <c r="V351" s="9"/>
      <c r="W351" s="971"/>
      <c r="X351" s="9"/>
      <c r="Y351" s="9"/>
      <c r="Z351" s="204"/>
      <c r="AA351" s="9"/>
      <c r="AB351" s="9"/>
      <c r="AC351" s="9"/>
      <c r="AD351" s="9"/>
    </row>
    <row r="352" ht="15.75" customHeight="1">
      <c r="A352" s="9"/>
      <c r="B352" s="9"/>
      <c r="C352" s="9"/>
      <c r="D352" s="9"/>
      <c r="E352" s="9"/>
      <c r="F352" s="9"/>
      <c r="G352" s="9"/>
      <c r="H352" s="223"/>
      <c r="I352" s="9"/>
      <c r="J352" s="9"/>
      <c r="K352" s="9"/>
      <c r="L352" s="9"/>
      <c r="M352" s="9"/>
      <c r="N352" s="9"/>
      <c r="O352" s="9"/>
      <c r="P352" s="9"/>
      <c r="Q352" s="223"/>
      <c r="R352" s="9"/>
      <c r="S352" s="9"/>
      <c r="T352" s="9"/>
      <c r="U352" s="9"/>
      <c r="V352" s="9"/>
      <c r="W352" s="971"/>
      <c r="X352" s="9"/>
      <c r="Y352" s="9"/>
      <c r="Z352" s="204"/>
      <c r="AA352" s="9"/>
      <c r="AB352" s="9"/>
      <c r="AC352" s="9"/>
      <c r="AD352" s="9"/>
    </row>
    <row r="353" ht="15.75" customHeight="1">
      <c r="A353" s="9"/>
      <c r="B353" s="9"/>
      <c r="C353" s="9"/>
      <c r="D353" s="9"/>
      <c r="E353" s="9"/>
      <c r="F353" s="9"/>
      <c r="G353" s="9"/>
      <c r="H353" s="223"/>
      <c r="I353" s="9"/>
      <c r="J353" s="9"/>
      <c r="K353" s="9"/>
      <c r="L353" s="9"/>
      <c r="M353" s="9"/>
      <c r="N353" s="9"/>
      <c r="O353" s="9"/>
      <c r="P353" s="9"/>
      <c r="Q353" s="223"/>
      <c r="R353" s="9"/>
      <c r="S353" s="9"/>
      <c r="T353" s="9"/>
      <c r="U353" s="9"/>
      <c r="V353" s="9"/>
      <c r="W353" s="971"/>
      <c r="X353" s="9"/>
      <c r="Y353" s="9"/>
      <c r="Z353" s="204"/>
      <c r="AA353" s="9"/>
      <c r="AB353" s="9"/>
      <c r="AC353" s="9"/>
      <c r="AD353" s="9"/>
    </row>
    <row r="354" ht="15.75" customHeight="1">
      <c r="A354" s="9"/>
      <c r="B354" s="9"/>
      <c r="C354" s="9"/>
      <c r="D354" s="9"/>
      <c r="E354" s="9"/>
      <c r="F354" s="9"/>
      <c r="G354" s="9"/>
      <c r="H354" s="223"/>
      <c r="I354" s="9"/>
      <c r="J354" s="9"/>
      <c r="K354" s="9"/>
      <c r="L354" s="9"/>
      <c r="M354" s="9"/>
      <c r="N354" s="9"/>
      <c r="O354" s="9"/>
      <c r="P354" s="9"/>
      <c r="Q354" s="223"/>
      <c r="R354" s="9"/>
      <c r="S354" s="9"/>
      <c r="T354" s="9"/>
      <c r="U354" s="9"/>
      <c r="V354" s="9"/>
      <c r="W354" s="971"/>
      <c r="X354" s="9"/>
      <c r="Y354" s="9"/>
      <c r="Z354" s="204"/>
      <c r="AA354" s="9"/>
      <c r="AB354" s="9"/>
      <c r="AC354" s="9"/>
      <c r="AD354" s="9"/>
    </row>
    <row r="355" ht="15.75" customHeight="1">
      <c r="A355" s="9"/>
      <c r="B355" s="9"/>
      <c r="C355" s="9"/>
      <c r="D355" s="9"/>
      <c r="E355" s="9"/>
      <c r="F355" s="9"/>
      <c r="G355" s="9"/>
      <c r="H355" s="223"/>
      <c r="I355" s="9"/>
      <c r="J355" s="9"/>
      <c r="K355" s="9"/>
      <c r="L355" s="9"/>
      <c r="M355" s="9"/>
      <c r="N355" s="9"/>
      <c r="O355" s="9"/>
      <c r="P355" s="9"/>
      <c r="Q355" s="223"/>
      <c r="R355" s="9"/>
      <c r="S355" s="9"/>
      <c r="T355" s="9"/>
      <c r="U355" s="9"/>
      <c r="V355" s="9"/>
      <c r="W355" s="971"/>
      <c r="X355" s="9"/>
      <c r="Y355" s="9"/>
      <c r="Z355" s="204"/>
      <c r="AA355" s="9"/>
      <c r="AB355" s="9"/>
      <c r="AC355" s="9"/>
      <c r="AD355" s="9"/>
    </row>
    <row r="356" ht="15.75" customHeight="1">
      <c r="A356" s="9"/>
      <c r="B356" s="9"/>
      <c r="C356" s="9"/>
      <c r="D356" s="9"/>
      <c r="E356" s="9"/>
      <c r="F356" s="9"/>
      <c r="G356" s="9"/>
      <c r="H356" s="223"/>
      <c r="I356" s="9"/>
      <c r="J356" s="9"/>
      <c r="K356" s="9"/>
      <c r="L356" s="9"/>
      <c r="M356" s="9"/>
      <c r="N356" s="9"/>
      <c r="O356" s="9"/>
      <c r="P356" s="9"/>
      <c r="Q356" s="223"/>
      <c r="R356" s="9"/>
      <c r="S356" s="9"/>
      <c r="T356" s="9"/>
      <c r="U356" s="9"/>
      <c r="V356" s="9"/>
      <c r="W356" s="971"/>
      <c r="X356" s="9"/>
      <c r="Y356" s="9"/>
      <c r="Z356" s="204"/>
      <c r="AA356" s="9"/>
      <c r="AB356" s="9"/>
      <c r="AC356" s="9"/>
      <c r="AD356" s="9"/>
    </row>
    <row r="357" ht="15.75" customHeight="1">
      <c r="A357" s="9"/>
      <c r="B357" s="9"/>
      <c r="C357" s="9"/>
      <c r="D357" s="9"/>
      <c r="E357" s="9"/>
      <c r="F357" s="9"/>
      <c r="G357" s="9"/>
      <c r="H357" s="223"/>
      <c r="I357" s="9"/>
      <c r="J357" s="9"/>
      <c r="K357" s="9"/>
      <c r="L357" s="9"/>
      <c r="M357" s="9"/>
      <c r="N357" s="9"/>
      <c r="O357" s="9"/>
      <c r="P357" s="9"/>
      <c r="Q357" s="223"/>
      <c r="R357" s="9"/>
      <c r="S357" s="9"/>
      <c r="T357" s="9"/>
      <c r="U357" s="9"/>
      <c r="V357" s="9"/>
      <c r="W357" s="971"/>
      <c r="X357" s="9"/>
      <c r="Y357" s="9"/>
      <c r="Z357" s="204"/>
      <c r="AA357" s="9"/>
      <c r="AB357" s="9"/>
      <c r="AC357" s="9"/>
      <c r="AD357" s="9"/>
    </row>
    <row r="358" ht="15.75" customHeight="1">
      <c r="A358" s="9"/>
      <c r="B358" s="9"/>
      <c r="C358" s="9"/>
      <c r="D358" s="9"/>
      <c r="E358" s="9"/>
      <c r="F358" s="9"/>
      <c r="G358" s="9"/>
      <c r="H358" s="223"/>
      <c r="I358" s="9"/>
      <c r="J358" s="9"/>
      <c r="K358" s="9"/>
      <c r="L358" s="9"/>
      <c r="M358" s="9"/>
      <c r="N358" s="9"/>
      <c r="O358" s="9"/>
      <c r="P358" s="9"/>
      <c r="Q358" s="223"/>
      <c r="R358" s="9"/>
      <c r="S358" s="9"/>
      <c r="T358" s="9"/>
      <c r="U358" s="9"/>
      <c r="V358" s="9"/>
      <c r="W358" s="971"/>
      <c r="X358" s="9"/>
      <c r="Y358" s="9"/>
      <c r="Z358" s="204"/>
      <c r="AA358" s="9"/>
      <c r="AB358" s="9"/>
      <c r="AC358" s="9"/>
      <c r="AD358" s="9"/>
    </row>
    <row r="359" ht="15.75" customHeight="1">
      <c r="A359" s="9"/>
      <c r="B359" s="9"/>
      <c r="C359" s="9"/>
      <c r="D359" s="9"/>
      <c r="E359" s="9"/>
      <c r="F359" s="9"/>
      <c r="G359" s="9"/>
      <c r="H359" s="223"/>
      <c r="I359" s="9"/>
      <c r="J359" s="9"/>
      <c r="K359" s="9"/>
      <c r="L359" s="9"/>
      <c r="M359" s="9"/>
      <c r="N359" s="9"/>
      <c r="O359" s="9"/>
      <c r="P359" s="9"/>
      <c r="Q359" s="223"/>
      <c r="R359" s="9"/>
      <c r="S359" s="9"/>
      <c r="T359" s="9"/>
      <c r="U359" s="9"/>
      <c r="V359" s="9"/>
      <c r="W359" s="971"/>
      <c r="X359" s="9"/>
      <c r="Y359" s="9"/>
      <c r="Z359" s="204"/>
      <c r="AA359" s="9"/>
      <c r="AB359" s="9"/>
      <c r="AC359" s="9"/>
      <c r="AD359" s="9"/>
    </row>
    <row r="360" ht="15.75" customHeight="1">
      <c r="A360" s="9"/>
      <c r="B360" s="9"/>
      <c r="C360" s="9"/>
      <c r="D360" s="9"/>
      <c r="E360" s="9"/>
      <c r="F360" s="9"/>
      <c r="G360" s="9"/>
      <c r="H360" s="223"/>
      <c r="I360" s="9"/>
      <c r="J360" s="9"/>
      <c r="K360" s="9"/>
      <c r="L360" s="9"/>
      <c r="M360" s="9"/>
      <c r="N360" s="9"/>
      <c r="O360" s="9"/>
      <c r="P360" s="9"/>
      <c r="Q360" s="223"/>
      <c r="R360" s="9"/>
      <c r="S360" s="9"/>
      <c r="T360" s="9"/>
      <c r="U360" s="9"/>
      <c r="V360" s="9"/>
      <c r="W360" s="971"/>
      <c r="X360" s="9"/>
      <c r="Y360" s="9"/>
      <c r="Z360" s="204"/>
      <c r="AA360" s="9"/>
      <c r="AB360" s="9"/>
      <c r="AC360" s="9"/>
      <c r="AD360" s="9"/>
    </row>
    <row r="361" ht="15.75" customHeight="1">
      <c r="A361" s="9"/>
      <c r="B361" s="9"/>
      <c r="C361" s="9"/>
      <c r="D361" s="9"/>
      <c r="E361" s="9"/>
      <c r="F361" s="9"/>
      <c r="G361" s="9"/>
      <c r="H361" s="223"/>
      <c r="I361" s="9"/>
      <c r="J361" s="9"/>
      <c r="K361" s="9"/>
      <c r="L361" s="9"/>
      <c r="M361" s="9"/>
      <c r="N361" s="9"/>
      <c r="O361" s="9"/>
      <c r="P361" s="9"/>
      <c r="Q361" s="223"/>
      <c r="R361" s="9"/>
      <c r="S361" s="9"/>
      <c r="T361" s="9"/>
      <c r="U361" s="9"/>
      <c r="V361" s="9"/>
      <c r="W361" s="971"/>
      <c r="X361" s="9"/>
      <c r="Y361" s="9"/>
      <c r="Z361" s="204"/>
      <c r="AA361" s="9"/>
      <c r="AB361" s="9"/>
      <c r="AC361" s="9"/>
      <c r="AD361" s="9"/>
    </row>
    <row r="362" ht="15.75" customHeight="1">
      <c r="A362" s="9"/>
      <c r="B362" s="9"/>
      <c r="C362" s="9"/>
      <c r="D362" s="9"/>
      <c r="E362" s="9"/>
      <c r="F362" s="9"/>
      <c r="G362" s="9"/>
      <c r="H362" s="223"/>
      <c r="I362" s="9"/>
      <c r="J362" s="9"/>
      <c r="K362" s="9"/>
      <c r="L362" s="9"/>
      <c r="M362" s="9"/>
      <c r="N362" s="9"/>
      <c r="O362" s="9"/>
      <c r="P362" s="9"/>
      <c r="Q362" s="223"/>
      <c r="R362" s="9"/>
      <c r="S362" s="9"/>
      <c r="T362" s="9"/>
      <c r="U362" s="9"/>
      <c r="V362" s="9"/>
      <c r="W362" s="971"/>
      <c r="X362" s="9"/>
      <c r="Y362" s="9"/>
      <c r="Z362" s="204"/>
      <c r="AA362" s="9"/>
      <c r="AB362" s="9"/>
      <c r="AC362" s="9"/>
      <c r="AD362" s="9"/>
    </row>
    <row r="363" ht="15.75" customHeight="1">
      <c r="A363" s="9"/>
      <c r="B363" s="9"/>
      <c r="C363" s="9"/>
      <c r="D363" s="9"/>
      <c r="E363" s="9"/>
      <c r="F363" s="9"/>
      <c r="G363" s="9"/>
      <c r="H363" s="223"/>
      <c r="I363" s="9"/>
      <c r="J363" s="9"/>
      <c r="K363" s="9"/>
      <c r="L363" s="9"/>
      <c r="M363" s="9"/>
      <c r="N363" s="9"/>
      <c r="O363" s="9"/>
      <c r="P363" s="9"/>
      <c r="Q363" s="223"/>
      <c r="R363" s="9"/>
      <c r="S363" s="9"/>
      <c r="T363" s="9"/>
      <c r="U363" s="9"/>
      <c r="V363" s="9"/>
      <c r="W363" s="971"/>
      <c r="X363" s="9"/>
      <c r="Y363" s="9"/>
      <c r="Z363" s="204"/>
      <c r="AA363" s="9"/>
      <c r="AB363" s="9"/>
      <c r="AC363" s="9"/>
      <c r="AD363" s="9"/>
    </row>
    <row r="364" ht="15.75" customHeight="1">
      <c r="A364" s="9"/>
      <c r="B364" s="9"/>
      <c r="C364" s="9"/>
      <c r="D364" s="9"/>
      <c r="E364" s="9"/>
      <c r="F364" s="9"/>
      <c r="G364" s="9"/>
      <c r="H364" s="223"/>
      <c r="I364" s="9"/>
      <c r="J364" s="9"/>
      <c r="K364" s="9"/>
      <c r="L364" s="9"/>
      <c r="M364" s="9"/>
      <c r="N364" s="9"/>
      <c r="O364" s="9"/>
      <c r="P364" s="9"/>
      <c r="Q364" s="223"/>
      <c r="R364" s="9"/>
      <c r="S364" s="9"/>
      <c r="T364" s="9"/>
      <c r="U364" s="9"/>
      <c r="V364" s="9"/>
      <c r="W364" s="971"/>
      <c r="X364" s="9"/>
      <c r="Y364" s="9"/>
      <c r="Z364" s="204"/>
      <c r="AA364" s="9"/>
      <c r="AB364" s="9"/>
      <c r="AC364" s="9"/>
      <c r="AD364" s="9"/>
    </row>
    <row r="365" ht="15.75" customHeight="1">
      <c r="A365" s="9"/>
      <c r="B365" s="9"/>
      <c r="C365" s="9"/>
      <c r="D365" s="9"/>
      <c r="E365" s="9"/>
      <c r="F365" s="9"/>
      <c r="G365" s="9"/>
      <c r="H365" s="223"/>
      <c r="I365" s="9"/>
      <c r="J365" s="9"/>
      <c r="K365" s="9"/>
      <c r="L365" s="9"/>
      <c r="M365" s="9"/>
      <c r="N365" s="9"/>
      <c r="O365" s="9"/>
      <c r="P365" s="9"/>
      <c r="Q365" s="223"/>
      <c r="R365" s="9"/>
      <c r="S365" s="9"/>
      <c r="T365" s="9"/>
      <c r="U365" s="9"/>
      <c r="V365" s="9"/>
      <c r="W365" s="971"/>
      <c r="X365" s="9"/>
      <c r="Y365" s="9"/>
      <c r="Z365" s="204"/>
      <c r="AA365" s="9"/>
      <c r="AB365" s="9"/>
      <c r="AC365" s="9"/>
      <c r="AD365" s="9"/>
    </row>
    <row r="366" ht="15.75" customHeight="1">
      <c r="A366" s="9"/>
      <c r="B366" s="9"/>
      <c r="C366" s="9"/>
      <c r="D366" s="9"/>
      <c r="E366" s="9"/>
      <c r="F366" s="9"/>
      <c r="G366" s="9"/>
      <c r="H366" s="223"/>
      <c r="I366" s="9"/>
      <c r="J366" s="9"/>
      <c r="K366" s="9"/>
      <c r="L366" s="9"/>
      <c r="M366" s="9"/>
      <c r="N366" s="9"/>
      <c r="O366" s="9"/>
      <c r="P366" s="9"/>
      <c r="Q366" s="223"/>
      <c r="R366" s="9"/>
      <c r="S366" s="9"/>
      <c r="T366" s="9"/>
      <c r="U366" s="9"/>
      <c r="V366" s="9"/>
      <c r="W366" s="971"/>
      <c r="X366" s="9"/>
      <c r="Y366" s="9"/>
      <c r="Z366" s="204"/>
      <c r="AA366" s="9"/>
      <c r="AB366" s="9"/>
      <c r="AC366" s="9"/>
      <c r="AD366" s="9"/>
    </row>
    <row r="367" ht="15.75" customHeight="1">
      <c r="A367" s="9"/>
      <c r="B367" s="9"/>
      <c r="C367" s="9"/>
      <c r="D367" s="9"/>
      <c r="E367" s="9"/>
      <c r="F367" s="9"/>
      <c r="G367" s="9"/>
      <c r="H367" s="223"/>
      <c r="I367" s="9"/>
      <c r="J367" s="9"/>
      <c r="K367" s="9"/>
      <c r="L367" s="9"/>
      <c r="M367" s="9"/>
      <c r="N367" s="9"/>
      <c r="O367" s="9"/>
      <c r="P367" s="9"/>
      <c r="Q367" s="223"/>
      <c r="R367" s="9"/>
      <c r="S367" s="9"/>
      <c r="T367" s="9"/>
      <c r="U367" s="9"/>
      <c r="V367" s="9"/>
      <c r="W367" s="971"/>
      <c r="X367" s="9"/>
      <c r="Y367" s="9"/>
      <c r="Z367" s="204"/>
      <c r="AA367" s="9"/>
      <c r="AB367" s="9"/>
      <c r="AC367" s="9"/>
      <c r="AD367" s="9"/>
    </row>
    <row r="368" ht="15.75" customHeight="1">
      <c r="A368" s="9"/>
      <c r="B368" s="9"/>
      <c r="C368" s="9"/>
      <c r="D368" s="9"/>
      <c r="E368" s="9"/>
      <c r="F368" s="9"/>
      <c r="G368" s="9"/>
      <c r="H368" s="223"/>
      <c r="I368" s="9"/>
      <c r="J368" s="9"/>
      <c r="K368" s="9"/>
      <c r="L368" s="9"/>
      <c r="M368" s="9"/>
      <c r="N368" s="9"/>
      <c r="O368" s="9"/>
      <c r="P368" s="9"/>
      <c r="Q368" s="223"/>
      <c r="R368" s="9"/>
      <c r="S368" s="9"/>
      <c r="T368" s="9"/>
      <c r="U368" s="9"/>
      <c r="V368" s="9"/>
      <c r="W368" s="971"/>
      <c r="X368" s="9"/>
      <c r="Y368" s="9"/>
      <c r="Z368" s="204"/>
      <c r="AA368" s="9"/>
      <c r="AB368" s="9"/>
      <c r="AC368" s="9"/>
      <c r="AD368" s="9"/>
    </row>
    <row r="369" ht="15.75" customHeight="1">
      <c r="A369" s="9"/>
      <c r="B369" s="9"/>
      <c r="C369" s="9"/>
      <c r="D369" s="9"/>
      <c r="E369" s="9"/>
      <c r="F369" s="9"/>
      <c r="G369" s="9"/>
      <c r="H369" s="223"/>
      <c r="I369" s="9"/>
      <c r="J369" s="9"/>
      <c r="K369" s="9"/>
      <c r="L369" s="9"/>
      <c r="M369" s="9"/>
      <c r="N369" s="9"/>
      <c r="O369" s="9"/>
      <c r="P369" s="9"/>
      <c r="Q369" s="223"/>
      <c r="R369" s="9"/>
      <c r="S369" s="9"/>
      <c r="T369" s="9"/>
      <c r="U369" s="9"/>
      <c r="V369" s="9"/>
      <c r="W369" s="971"/>
      <c r="X369" s="9"/>
      <c r="Y369" s="9"/>
      <c r="Z369" s="204"/>
      <c r="AA369" s="9"/>
      <c r="AB369" s="9"/>
      <c r="AC369" s="9"/>
      <c r="AD369" s="9"/>
    </row>
    <row r="370" ht="15.75" customHeight="1">
      <c r="A370" s="9"/>
      <c r="B370" s="9"/>
      <c r="C370" s="9"/>
      <c r="D370" s="9"/>
      <c r="E370" s="9"/>
      <c r="F370" s="9"/>
      <c r="G370" s="9"/>
      <c r="H370" s="223"/>
      <c r="I370" s="9"/>
      <c r="J370" s="9"/>
      <c r="K370" s="9"/>
      <c r="L370" s="9"/>
      <c r="M370" s="9"/>
      <c r="N370" s="9"/>
      <c r="O370" s="9"/>
      <c r="P370" s="9"/>
      <c r="Q370" s="223"/>
      <c r="R370" s="9"/>
      <c r="S370" s="9"/>
      <c r="T370" s="9"/>
      <c r="U370" s="9"/>
      <c r="V370" s="9"/>
      <c r="W370" s="971"/>
      <c r="X370" s="9"/>
      <c r="Y370" s="9"/>
      <c r="Z370" s="204"/>
      <c r="AA370" s="9"/>
      <c r="AB370" s="9"/>
      <c r="AC370" s="9"/>
      <c r="AD370" s="9"/>
    </row>
    <row r="371" ht="15.75" customHeight="1">
      <c r="A371" s="9"/>
      <c r="B371" s="9"/>
      <c r="C371" s="9"/>
      <c r="D371" s="9"/>
      <c r="E371" s="9"/>
      <c r="F371" s="9"/>
      <c r="G371" s="9"/>
      <c r="H371" s="223"/>
      <c r="I371" s="9"/>
      <c r="J371" s="9"/>
      <c r="K371" s="9"/>
      <c r="L371" s="9"/>
      <c r="M371" s="9"/>
      <c r="N371" s="9"/>
      <c r="O371" s="9"/>
      <c r="P371" s="9"/>
      <c r="Q371" s="223"/>
      <c r="R371" s="9"/>
      <c r="S371" s="9"/>
      <c r="T371" s="9"/>
      <c r="U371" s="9"/>
      <c r="V371" s="9"/>
      <c r="W371" s="971"/>
      <c r="X371" s="9"/>
      <c r="Y371" s="9"/>
      <c r="Z371" s="204"/>
      <c r="AA371" s="9"/>
      <c r="AB371" s="9"/>
      <c r="AC371" s="9"/>
      <c r="AD371" s="9"/>
    </row>
    <row r="372" ht="15.75" customHeight="1">
      <c r="A372" s="9"/>
      <c r="B372" s="9"/>
      <c r="C372" s="9"/>
      <c r="D372" s="9"/>
      <c r="E372" s="9"/>
      <c r="F372" s="9"/>
      <c r="G372" s="9"/>
      <c r="H372" s="223"/>
      <c r="I372" s="9"/>
      <c r="J372" s="9"/>
      <c r="K372" s="9"/>
      <c r="L372" s="9"/>
      <c r="M372" s="9"/>
      <c r="N372" s="9"/>
      <c r="O372" s="9"/>
      <c r="P372" s="9"/>
      <c r="Q372" s="223"/>
      <c r="R372" s="9"/>
      <c r="S372" s="9"/>
      <c r="T372" s="9"/>
      <c r="U372" s="9"/>
      <c r="V372" s="9"/>
      <c r="W372" s="971"/>
      <c r="X372" s="9"/>
      <c r="Y372" s="9"/>
      <c r="Z372" s="204"/>
      <c r="AA372" s="9"/>
      <c r="AB372" s="9"/>
      <c r="AC372" s="9"/>
      <c r="AD372" s="9"/>
    </row>
    <row r="373" ht="15.75" customHeight="1">
      <c r="A373" s="9"/>
      <c r="B373" s="9"/>
      <c r="C373" s="9"/>
      <c r="D373" s="9"/>
      <c r="E373" s="9"/>
      <c r="F373" s="9"/>
      <c r="G373" s="9"/>
      <c r="H373" s="223"/>
      <c r="I373" s="9"/>
      <c r="J373" s="9"/>
      <c r="K373" s="9"/>
      <c r="L373" s="9"/>
      <c r="M373" s="9"/>
      <c r="N373" s="9"/>
      <c r="O373" s="9"/>
      <c r="P373" s="9"/>
      <c r="Q373" s="223"/>
      <c r="R373" s="9"/>
      <c r="S373" s="9"/>
      <c r="T373" s="9"/>
      <c r="U373" s="9"/>
      <c r="V373" s="9"/>
      <c r="W373" s="971"/>
      <c r="X373" s="9"/>
      <c r="Y373" s="9"/>
      <c r="Z373" s="204"/>
      <c r="AA373" s="9"/>
      <c r="AB373" s="9"/>
      <c r="AC373" s="9"/>
      <c r="AD373" s="9"/>
    </row>
    <row r="374" ht="15.75" customHeight="1">
      <c r="A374" s="9"/>
      <c r="B374" s="9"/>
      <c r="C374" s="9"/>
      <c r="D374" s="9"/>
      <c r="E374" s="9"/>
      <c r="F374" s="9"/>
      <c r="G374" s="9"/>
      <c r="H374" s="223"/>
      <c r="I374" s="9"/>
      <c r="J374" s="9"/>
      <c r="K374" s="9"/>
      <c r="L374" s="9"/>
      <c r="M374" s="9"/>
      <c r="N374" s="9"/>
      <c r="O374" s="9"/>
      <c r="P374" s="9"/>
      <c r="Q374" s="223"/>
      <c r="R374" s="9"/>
      <c r="S374" s="9"/>
      <c r="T374" s="9"/>
      <c r="U374" s="9"/>
      <c r="V374" s="9"/>
      <c r="W374" s="971"/>
      <c r="X374" s="9"/>
      <c r="Y374" s="9"/>
      <c r="Z374" s="204"/>
      <c r="AA374" s="9"/>
      <c r="AB374" s="9"/>
      <c r="AC374" s="9"/>
      <c r="AD374" s="9"/>
    </row>
    <row r="375" ht="15.75" customHeight="1">
      <c r="A375" s="9"/>
      <c r="B375" s="9"/>
      <c r="C375" s="9"/>
      <c r="D375" s="9"/>
      <c r="E375" s="9"/>
      <c r="F375" s="9"/>
      <c r="G375" s="9"/>
      <c r="H375" s="223"/>
      <c r="I375" s="9"/>
      <c r="J375" s="9"/>
      <c r="K375" s="9"/>
      <c r="L375" s="9"/>
      <c r="M375" s="9"/>
      <c r="N375" s="9"/>
      <c r="O375" s="9"/>
      <c r="P375" s="9"/>
      <c r="Q375" s="223"/>
      <c r="R375" s="9"/>
      <c r="S375" s="9"/>
      <c r="T375" s="9"/>
      <c r="U375" s="9"/>
      <c r="V375" s="9"/>
      <c r="W375" s="971"/>
      <c r="X375" s="9"/>
      <c r="Y375" s="9"/>
      <c r="Z375" s="204"/>
      <c r="AA375" s="9"/>
      <c r="AB375" s="9"/>
      <c r="AC375" s="9"/>
      <c r="AD375" s="9"/>
    </row>
    <row r="376" ht="15.75" customHeight="1">
      <c r="A376" s="9"/>
      <c r="B376" s="9"/>
      <c r="C376" s="9"/>
      <c r="D376" s="9"/>
      <c r="E376" s="9"/>
      <c r="F376" s="9"/>
      <c r="G376" s="9"/>
      <c r="H376" s="223"/>
      <c r="I376" s="9"/>
      <c r="J376" s="9"/>
      <c r="K376" s="9"/>
      <c r="L376" s="9"/>
      <c r="M376" s="9"/>
      <c r="N376" s="9"/>
      <c r="O376" s="9"/>
      <c r="P376" s="9"/>
      <c r="Q376" s="223"/>
      <c r="R376" s="9"/>
      <c r="S376" s="9"/>
      <c r="T376" s="9"/>
      <c r="U376" s="9"/>
      <c r="V376" s="9"/>
      <c r="W376" s="971"/>
      <c r="X376" s="9"/>
      <c r="Y376" s="9"/>
      <c r="Z376" s="204"/>
      <c r="AA376" s="9"/>
      <c r="AB376" s="9"/>
      <c r="AC376" s="9"/>
      <c r="AD376" s="9"/>
    </row>
    <row r="377" ht="15.75" customHeight="1">
      <c r="A377" s="9"/>
      <c r="B377" s="9"/>
      <c r="C377" s="9"/>
      <c r="D377" s="9"/>
      <c r="E377" s="9"/>
      <c r="F377" s="9"/>
      <c r="G377" s="9"/>
      <c r="H377" s="223"/>
      <c r="I377" s="9"/>
      <c r="J377" s="9"/>
      <c r="K377" s="9"/>
      <c r="L377" s="9"/>
      <c r="M377" s="9"/>
      <c r="N377" s="9"/>
      <c r="O377" s="9"/>
      <c r="P377" s="9"/>
      <c r="Q377" s="223"/>
      <c r="R377" s="9"/>
      <c r="S377" s="9"/>
      <c r="T377" s="9"/>
      <c r="U377" s="9"/>
      <c r="V377" s="9"/>
      <c r="W377" s="971"/>
      <c r="X377" s="9"/>
      <c r="Y377" s="9"/>
      <c r="Z377" s="204"/>
      <c r="AA377" s="9"/>
      <c r="AB377" s="9"/>
      <c r="AC377" s="9"/>
      <c r="AD377" s="9"/>
    </row>
    <row r="378" ht="15.75" customHeight="1">
      <c r="A378" s="9"/>
      <c r="B378" s="9"/>
      <c r="C378" s="9"/>
      <c r="D378" s="9"/>
      <c r="E378" s="9"/>
      <c r="F378" s="9"/>
      <c r="G378" s="9"/>
      <c r="H378" s="223"/>
      <c r="I378" s="9"/>
      <c r="J378" s="9"/>
      <c r="K378" s="9"/>
      <c r="L378" s="9"/>
      <c r="M378" s="9"/>
      <c r="N378" s="9"/>
      <c r="O378" s="9"/>
      <c r="P378" s="9"/>
      <c r="Q378" s="223"/>
      <c r="R378" s="9"/>
      <c r="S378" s="9"/>
      <c r="T378" s="9"/>
      <c r="U378" s="9"/>
      <c r="V378" s="9"/>
      <c r="W378" s="971"/>
      <c r="X378" s="9"/>
      <c r="Y378" s="9"/>
      <c r="Z378" s="204"/>
      <c r="AA378" s="9"/>
      <c r="AB378" s="9"/>
      <c r="AC378" s="9"/>
      <c r="AD378" s="9"/>
    </row>
    <row r="379" ht="15.75" customHeight="1">
      <c r="A379" s="9"/>
      <c r="B379" s="9"/>
      <c r="C379" s="9"/>
      <c r="D379" s="9"/>
      <c r="E379" s="9"/>
      <c r="F379" s="9"/>
      <c r="G379" s="9"/>
      <c r="H379" s="223"/>
      <c r="I379" s="9"/>
      <c r="J379" s="9"/>
      <c r="K379" s="9"/>
      <c r="L379" s="9"/>
      <c r="M379" s="9"/>
      <c r="N379" s="9"/>
      <c r="O379" s="9"/>
      <c r="P379" s="9"/>
      <c r="Q379" s="223"/>
      <c r="R379" s="9"/>
      <c r="S379" s="9"/>
      <c r="T379" s="9"/>
      <c r="U379" s="9"/>
      <c r="V379" s="9"/>
      <c r="W379" s="971"/>
      <c r="X379" s="9"/>
      <c r="Y379" s="9"/>
      <c r="Z379" s="204"/>
      <c r="AA379" s="9"/>
      <c r="AB379" s="9"/>
      <c r="AC379" s="9"/>
      <c r="AD379" s="9"/>
    </row>
    <row r="380" ht="15.75" customHeight="1">
      <c r="A380" s="9"/>
      <c r="B380" s="9"/>
      <c r="C380" s="9"/>
      <c r="D380" s="9"/>
      <c r="E380" s="9"/>
      <c r="F380" s="9"/>
      <c r="G380" s="9"/>
      <c r="H380" s="223"/>
      <c r="I380" s="9"/>
      <c r="J380" s="9"/>
      <c r="K380" s="9"/>
      <c r="L380" s="9"/>
      <c r="M380" s="9"/>
      <c r="N380" s="9"/>
      <c r="O380" s="9"/>
      <c r="P380" s="9"/>
      <c r="Q380" s="223"/>
      <c r="R380" s="9"/>
      <c r="S380" s="9"/>
      <c r="T380" s="9"/>
      <c r="U380" s="9"/>
      <c r="V380" s="9"/>
      <c r="W380" s="971"/>
      <c r="X380" s="9"/>
      <c r="Y380" s="9"/>
      <c r="Z380" s="204"/>
      <c r="AA380" s="9"/>
      <c r="AB380" s="9"/>
      <c r="AC380" s="9"/>
      <c r="AD380" s="9"/>
    </row>
    <row r="381" ht="15.75" customHeight="1">
      <c r="A381" s="9"/>
      <c r="B381" s="9"/>
      <c r="C381" s="9"/>
      <c r="D381" s="9"/>
      <c r="E381" s="9"/>
      <c r="F381" s="9"/>
      <c r="G381" s="9"/>
      <c r="H381" s="223"/>
      <c r="I381" s="9"/>
      <c r="J381" s="9"/>
      <c r="K381" s="9"/>
      <c r="L381" s="9"/>
      <c r="M381" s="9"/>
      <c r="N381" s="9"/>
      <c r="O381" s="9"/>
      <c r="P381" s="9"/>
      <c r="Q381" s="223"/>
      <c r="R381" s="9"/>
      <c r="S381" s="9"/>
      <c r="T381" s="9"/>
      <c r="U381" s="9"/>
      <c r="V381" s="9"/>
      <c r="W381" s="971"/>
      <c r="X381" s="9"/>
      <c r="Y381" s="9"/>
      <c r="Z381" s="204"/>
      <c r="AA381" s="9"/>
      <c r="AB381" s="9"/>
      <c r="AC381" s="9"/>
      <c r="AD381" s="9"/>
    </row>
    <row r="382" ht="15.75" customHeight="1">
      <c r="A382" s="9"/>
      <c r="B382" s="9"/>
      <c r="C382" s="9"/>
      <c r="D382" s="9"/>
      <c r="E382" s="9"/>
      <c r="F382" s="9"/>
      <c r="G382" s="9"/>
      <c r="H382" s="223"/>
      <c r="I382" s="9"/>
      <c r="J382" s="9"/>
      <c r="K382" s="9"/>
      <c r="L382" s="9"/>
      <c r="M382" s="9"/>
      <c r="N382" s="9"/>
      <c r="O382" s="9"/>
      <c r="P382" s="9"/>
      <c r="Q382" s="223"/>
      <c r="R382" s="9"/>
      <c r="S382" s="9"/>
      <c r="T382" s="9"/>
      <c r="U382" s="9"/>
      <c r="V382" s="9"/>
      <c r="W382" s="971"/>
      <c r="X382" s="9"/>
      <c r="Y382" s="9"/>
      <c r="Z382" s="204"/>
      <c r="AA382" s="9"/>
      <c r="AB382" s="9"/>
      <c r="AC382" s="9"/>
      <c r="AD382" s="9"/>
    </row>
    <row r="383" ht="15.75" customHeight="1">
      <c r="A383" s="9"/>
      <c r="B383" s="9"/>
      <c r="C383" s="9"/>
      <c r="D383" s="9"/>
      <c r="E383" s="9"/>
      <c r="F383" s="9"/>
      <c r="G383" s="9"/>
      <c r="H383" s="223"/>
      <c r="I383" s="9"/>
      <c r="J383" s="9"/>
      <c r="K383" s="9"/>
      <c r="L383" s="9"/>
      <c r="M383" s="9"/>
      <c r="N383" s="9"/>
      <c r="O383" s="9"/>
      <c r="P383" s="9"/>
      <c r="Q383" s="223"/>
      <c r="R383" s="9"/>
      <c r="S383" s="9"/>
      <c r="T383" s="9"/>
      <c r="U383" s="9"/>
      <c r="V383" s="9"/>
      <c r="W383" s="971"/>
      <c r="X383" s="9"/>
      <c r="Y383" s="9"/>
      <c r="Z383" s="204"/>
      <c r="AA383" s="9"/>
      <c r="AB383" s="9"/>
      <c r="AC383" s="9"/>
      <c r="AD383" s="9"/>
    </row>
    <row r="384" ht="15.75" customHeight="1">
      <c r="A384" s="9"/>
      <c r="B384" s="9"/>
      <c r="C384" s="9"/>
      <c r="D384" s="9"/>
      <c r="E384" s="9"/>
      <c r="F384" s="9"/>
      <c r="G384" s="9"/>
      <c r="H384" s="223"/>
      <c r="I384" s="9"/>
      <c r="J384" s="9"/>
      <c r="K384" s="9"/>
      <c r="L384" s="9"/>
      <c r="M384" s="9"/>
      <c r="N384" s="9"/>
      <c r="O384" s="9"/>
      <c r="P384" s="9"/>
      <c r="Q384" s="223"/>
      <c r="R384" s="9"/>
      <c r="S384" s="9"/>
      <c r="T384" s="9"/>
      <c r="U384" s="9"/>
      <c r="V384" s="9"/>
      <c r="W384" s="971"/>
      <c r="X384" s="9"/>
      <c r="Y384" s="9"/>
      <c r="Z384" s="204"/>
      <c r="AA384" s="9"/>
      <c r="AB384" s="9"/>
      <c r="AC384" s="9"/>
      <c r="AD384" s="9"/>
    </row>
    <row r="385" ht="15.75" customHeight="1">
      <c r="A385" s="9"/>
      <c r="B385" s="9"/>
      <c r="C385" s="9"/>
      <c r="D385" s="9"/>
      <c r="E385" s="9"/>
      <c r="F385" s="9"/>
      <c r="G385" s="9"/>
      <c r="H385" s="223"/>
      <c r="I385" s="9"/>
      <c r="J385" s="9"/>
      <c r="K385" s="9"/>
      <c r="L385" s="9"/>
      <c r="M385" s="9"/>
      <c r="N385" s="9"/>
      <c r="O385" s="9"/>
      <c r="P385" s="9"/>
      <c r="Q385" s="223"/>
      <c r="R385" s="9"/>
      <c r="S385" s="9"/>
      <c r="T385" s="9"/>
      <c r="U385" s="9"/>
      <c r="V385" s="9"/>
      <c r="W385" s="971"/>
      <c r="X385" s="9"/>
      <c r="Y385" s="9"/>
      <c r="Z385" s="204"/>
      <c r="AA385" s="9"/>
      <c r="AB385" s="9"/>
      <c r="AC385" s="9"/>
      <c r="AD385" s="9"/>
    </row>
    <row r="386" ht="15.75" customHeight="1">
      <c r="A386" s="9"/>
      <c r="B386" s="9"/>
      <c r="C386" s="9"/>
      <c r="D386" s="9"/>
      <c r="E386" s="9"/>
      <c r="F386" s="9"/>
      <c r="G386" s="9"/>
      <c r="H386" s="223"/>
      <c r="I386" s="9"/>
      <c r="J386" s="9"/>
      <c r="K386" s="9"/>
      <c r="L386" s="9"/>
      <c r="M386" s="9"/>
      <c r="N386" s="9"/>
      <c r="O386" s="9"/>
      <c r="P386" s="9"/>
      <c r="Q386" s="223"/>
      <c r="R386" s="9"/>
      <c r="S386" s="9"/>
      <c r="T386" s="9"/>
      <c r="U386" s="9"/>
      <c r="V386" s="9"/>
      <c r="W386" s="971"/>
      <c r="X386" s="9"/>
      <c r="Y386" s="9"/>
      <c r="Z386" s="204"/>
      <c r="AA386" s="9"/>
      <c r="AB386" s="9"/>
      <c r="AC386" s="9"/>
      <c r="AD386" s="9"/>
    </row>
    <row r="387" ht="15.75" customHeight="1">
      <c r="A387" s="9"/>
      <c r="B387" s="9"/>
      <c r="C387" s="9"/>
      <c r="D387" s="9"/>
      <c r="E387" s="9"/>
      <c r="F387" s="9"/>
      <c r="G387" s="9"/>
      <c r="H387" s="223"/>
      <c r="I387" s="9"/>
      <c r="J387" s="9"/>
      <c r="K387" s="9"/>
      <c r="L387" s="9"/>
      <c r="M387" s="9"/>
      <c r="N387" s="9"/>
      <c r="O387" s="9"/>
      <c r="P387" s="9"/>
      <c r="Q387" s="223"/>
      <c r="R387" s="9"/>
      <c r="S387" s="9"/>
      <c r="T387" s="9"/>
      <c r="U387" s="9"/>
      <c r="V387" s="9"/>
      <c r="W387" s="971"/>
      <c r="X387" s="9"/>
      <c r="Y387" s="9"/>
      <c r="Z387" s="204"/>
      <c r="AA387" s="9"/>
      <c r="AB387" s="9"/>
      <c r="AC387" s="9"/>
      <c r="AD387" s="9"/>
    </row>
    <row r="388" ht="15.75" customHeight="1">
      <c r="A388" s="9"/>
      <c r="B388" s="9"/>
      <c r="C388" s="9"/>
      <c r="D388" s="9"/>
      <c r="E388" s="9"/>
      <c r="F388" s="9"/>
      <c r="G388" s="9"/>
      <c r="H388" s="223"/>
      <c r="I388" s="9"/>
      <c r="J388" s="9"/>
      <c r="K388" s="9"/>
      <c r="L388" s="9"/>
      <c r="M388" s="9"/>
      <c r="N388" s="9"/>
      <c r="O388" s="9"/>
      <c r="P388" s="9"/>
      <c r="Q388" s="223"/>
      <c r="R388" s="9"/>
      <c r="S388" s="9"/>
      <c r="T388" s="9"/>
      <c r="U388" s="9"/>
      <c r="V388" s="9"/>
      <c r="W388" s="971"/>
      <c r="X388" s="9"/>
      <c r="Y388" s="9"/>
      <c r="Z388" s="204"/>
      <c r="AA388" s="9"/>
      <c r="AB388" s="9"/>
      <c r="AC388" s="9"/>
      <c r="AD388" s="9"/>
    </row>
    <row r="389" ht="15.75" customHeight="1">
      <c r="A389" s="9"/>
      <c r="B389" s="9"/>
      <c r="C389" s="9"/>
      <c r="D389" s="9"/>
      <c r="E389" s="9"/>
      <c r="F389" s="9"/>
      <c r="G389" s="9"/>
      <c r="H389" s="223"/>
      <c r="I389" s="9"/>
      <c r="J389" s="9"/>
      <c r="K389" s="9"/>
      <c r="L389" s="9"/>
      <c r="M389" s="9"/>
      <c r="N389" s="9"/>
      <c r="O389" s="9"/>
      <c r="P389" s="9"/>
      <c r="Q389" s="223"/>
      <c r="R389" s="9"/>
      <c r="S389" s="9"/>
      <c r="T389" s="9"/>
      <c r="U389" s="9"/>
      <c r="V389" s="9"/>
      <c r="W389" s="971"/>
      <c r="X389" s="9"/>
      <c r="Y389" s="9"/>
      <c r="Z389" s="204"/>
      <c r="AA389" s="9"/>
      <c r="AB389" s="9"/>
      <c r="AC389" s="9"/>
      <c r="AD389" s="9"/>
    </row>
    <row r="390" ht="15.75" customHeight="1">
      <c r="A390" s="9"/>
      <c r="B390" s="9"/>
      <c r="C390" s="9"/>
      <c r="D390" s="9"/>
      <c r="E390" s="9"/>
      <c r="F390" s="9"/>
      <c r="G390" s="9"/>
      <c r="H390" s="223"/>
      <c r="I390" s="9"/>
      <c r="J390" s="9"/>
      <c r="K390" s="9"/>
      <c r="L390" s="9"/>
      <c r="M390" s="9"/>
      <c r="N390" s="9"/>
      <c r="O390" s="9"/>
      <c r="P390" s="9"/>
      <c r="Q390" s="223"/>
      <c r="R390" s="9"/>
      <c r="S390" s="9"/>
      <c r="T390" s="9"/>
      <c r="U390" s="9"/>
      <c r="V390" s="9"/>
      <c r="W390" s="971"/>
      <c r="X390" s="9"/>
      <c r="Y390" s="9"/>
      <c r="Z390" s="204"/>
      <c r="AA390" s="9"/>
      <c r="AB390" s="9"/>
      <c r="AC390" s="9"/>
      <c r="AD390" s="9"/>
    </row>
    <row r="391" ht="15.75" customHeight="1">
      <c r="A391" s="9"/>
      <c r="B391" s="9"/>
      <c r="C391" s="9"/>
      <c r="D391" s="9"/>
      <c r="E391" s="9"/>
      <c r="F391" s="9"/>
      <c r="G391" s="9"/>
      <c r="H391" s="223"/>
      <c r="I391" s="9"/>
      <c r="J391" s="9"/>
      <c r="K391" s="9"/>
      <c r="L391" s="9"/>
      <c r="M391" s="9"/>
      <c r="N391" s="9"/>
      <c r="O391" s="9"/>
      <c r="P391" s="9"/>
      <c r="Q391" s="223"/>
      <c r="R391" s="9"/>
      <c r="S391" s="9"/>
      <c r="T391" s="9"/>
      <c r="U391" s="9"/>
      <c r="V391" s="9"/>
      <c r="W391" s="971"/>
      <c r="X391" s="9"/>
      <c r="Y391" s="9"/>
      <c r="Z391" s="204"/>
      <c r="AA391" s="9"/>
      <c r="AB391" s="9"/>
      <c r="AC391" s="9"/>
      <c r="AD391" s="9"/>
    </row>
    <row r="392" ht="15.75" customHeight="1">
      <c r="A392" s="9"/>
      <c r="B392" s="9"/>
      <c r="C392" s="9"/>
      <c r="D392" s="9"/>
      <c r="E392" s="9"/>
      <c r="F392" s="9"/>
      <c r="G392" s="9"/>
      <c r="H392" s="223"/>
      <c r="I392" s="9"/>
      <c r="J392" s="9"/>
      <c r="K392" s="9"/>
      <c r="L392" s="9"/>
      <c r="M392" s="9"/>
      <c r="N392" s="9"/>
      <c r="O392" s="9"/>
      <c r="P392" s="9"/>
      <c r="Q392" s="223"/>
      <c r="R392" s="9"/>
      <c r="S392" s="9"/>
      <c r="T392" s="9"/>
      <c r="U392" s="9"/>
      <c r="V392" s="9"/>
      <c r="W392" s="971"/>
      <c r="X392" s="9"/>
      <c r="Y392" s="9"/>
      <c r="Z392" s="204"/>
      <c r="AA392" s="9"/>
      <c r="AB392" s="9"/>
      <c r="AC392" s="9"/>
      <c r="AD392" s="9"/>
    </row>
    <row r="393" ht="15.75" customHeight="1">
      <c r="A393" s="9"/>
      <c r="B393" s="9"/>
      <c r="C393" s="9"/>
      <c r="D393" s="9"/>
      <c r="E393" s="9"/>
      <c r="F393" s="9"/>
      <c r="G393" s="9"/>
      <c r="H393" s="223"/>
      <c r="I393" s="9"/>
      <c r="J393" s="9"/>
      <c r="K393" s="9"/>
      <c r="L393" s="9"/>
      <c r="M393" s="9"/>
      <c r="N393" s="9"/>
      <c r="O393" s="9"/>
      <c r="P393" s="9"/>
      <c r="Q393" s="223"/>
      <c r="R393" s="9"/>
      <c r="S393" s="9"/>
      <c r="T393" s="9"/>
      <c r="U393" s="9"/>
      <c r="V393" s="9"/>
      <c r="W393" s="971"/>
      <c r="X393" s="9"/>
      <c r="Y393" s="9"/>
      <c r="Z393" s="204"/>
      <c r="AA393" s="9"/>
      <c r="AB393" s="9"/>
      <c r="AC393" s="9"/>
      <c r="AD393" s="9"/>
    </row>
    <row r="394" ht="15.75" customHeight="1">
      <c r="A394" s="9"/>
      <c r="B394" s="9"/>
      <c r="C394" s="9"/>
      <c r="D394" s="9"/>
      <c r="E394" s="9"/>
      <c r="F394" s="9"/>
      <c r="G394" s="9"/>
      <c r="H394" s="223"/>
      <c r="I394" s="9"/>
      <c r="J394" s="9"/>
      <c r="K394" s="9"/>
      <c r="L394" s="9"/>
      <c r="M394" s="9"/>
      <c r="N394" s="9"/>
      <c r="O394" s="9"/>
      <c r="P394" s="9"/>
      <c r="Q394" s="223"/>
      <c r="R394" s="9"/>
      <c r="S394" s="9"/>
      <c r="T394" s="9"/>
      <c r="U394" s="9"/>
      <c r="V394" s="9"/>
      <c r="W394" s="971"/>
      <c r="X394" s="9"/>
      <c r="Y394" s="9"/>
      <c r="Z394" s="204"/>
      <c r="AA394" s="9"/>
      <c r="AB394" s="9"/>
      <c r="AC394" s="9"/>
      <c r="AD394" s="9"/>
    </row>
    <row r="395" ht="15.75" customHeight="1">
      <c r="A395" s="9"/>
      <c r="B395" s="9"/>
      <c r="C395" s="9"/>
      <c r="D395" s="9"/>
      <c r="E395" s="9"/>
      <c r="F395" s="9"/>
      <c r="G395" s="9"/>
      <c r="H395" s="223"/>
      <c r="I395" s="9"/>
      <c r="J395" s="9"/>
      <c r="K395" s="9"/>
      <c r="L395" s="9"/>
      <c r="M395" s="9"/>
      <c r="N395" s="9"/>
      <c r="O395" s="9"/>
      <c r="P395" s="9"/>
      <c r="Q395" s="223"/>
      <c r="R395" s="9"/>
      <c r="S395" s="9"/>
      <c r="T395" s="9"/>
      <c r="U395" s="9"/>
      <c r="V395" s="9"/>
      <c r="W395" s="971"/>
      <c r="X395" s="9"/>
      <c r="Y395" s="9"/>
      <c r="Z395" s="204"/>
      <c r="AA395" s="9"/>
      <c r="AB395" s="9"/>
      <c r="AC395" s="9"/>
      <c r="AD395" s="9"/>
    </row>
    <row r="396" ht="15.75" customHeight="1">
      <c r="A396" s="9"/>
      <c r="B396" s="9"/>
      <c r="C396" s="9"/>
      <c r="D396" s="9"/>
      <c r="E396" s="9"/>
      <c r="F396" s="9"/>
      <c r="G396" s="9"/>
      <c r="H396" s="223"/>
      <c r="I396" s="9"/>
      <c r="J396" s="9"/>
      <c r="K396" s="9"/>
      <c r="L396" s="9"/>
      <c r="M396" s="9"/>
      <c r="N396" s="9"/>
      <c r="O396" s="9"/>
      <c r="P396" s="9"/>
      <c r="Q396" s="223"/>
      <c r="R396" s="9"/>
      <c r="S396" s="9"/>
      <c r="T396" s="9"/>
      <c r="U396" s="9"/>
      <c r="V396" s="9"/>
      <c r="W396" s="971"/>
      <c r="X396" s="9"/>
      <c r="Y396" s="9"/>
      <c r="Z396" s="204"/>
      <c r="AA396" s="9"/>
      <c r="AB396" s="9"/>
      <c r="AC396" s="9"/>
      <c r="AD396" s="9"/>
    </row>
    <row r="397" ht="15.75" customHeight="1">
      <c r="A397" s="9"/>
      <c r="B397" s="9"/>
      <c r="C397" s="9"/>
      <c r="D397" s="9"/>
      <c r="E397" s="9"/>
      <c r="F397" s="9"/>
      <c r="G397" s="9"/>
      <c r="H397" s="223"/>
      <c r="I397" s="9"/>
      <c r="J397" s="9"/>
      <c r="K397" s="9"/>
      <c r="L397" s="9"/>
      <c r="M397" s="9"/>
      <c r="N397" s="9"/>
      <c r="O397" s="9"/>
      <c r="P397" s="9"/>
      <c r="Q397" s="223"/>
      <c r="R397" s="9"/>
      <c r="S397" s="9"/>
      <c r="T397" s="9"/>
      <c r="U397" s="9"/>
      <c r="V397" s="9"/>
      <c r="W397" s="971"/>
      <c r="X397" s="9"/>
      <c r="Y397" s="9"/>
      <c r="Z397" s="204"/>
      <c r="AA397" s="9"/>
      <c r="AB397" s="9"/>
      <c r="AC397" s="9"/>
      <c r="AD397" s="9"/>
    </row>
    <row r="398" ht="15.75" customHeight="1">
      <c r="A398" s="9"/>
      <c r="B398" s="9"/>
      <c r="C398" s="9"/>
      <c r="D398" s="9"/>
      <c r="E398" s="9"/>
      <c r="F398" s="9"/>
      <c r="G398" s="9"/>
      <c r="H398" s="223"/>
      <c r="I398" s="9"/>
      <c r="J398" s="9"/>
      <c r="K398" s="9"/>
      <c r="L398" s="9"/>
      <c r="M398" s="9"/>
      <c r="N398" s="9"/>
      <c r="O398" s="9"/>
      <c r="P398" s="9"/>
      <c r="Q398" s="223"/>
      <c r="R398" s="9"/>
      <c r="S398" s="9"/>
      <c r="T398" s="9"/>
      <c r="U398" s="9"/>
      <c r="V398" s="9"/>
      <c r="W398" s="971"/>
      <c r="X398" s="9"/>
      <c r="Y398" s="9"/>
      <c r="Z398" s="204"/>
      <c r="AA398" s="9"/>
      <c r="AB398" s="9"/>
      <c r="AC398" s="9"/>
      <c r="AD398" s="9"/>
    </row>
    <row r="399" ht="15.75" customHeight="1">
      <c r="A399" s="9"/>
      <c r="B399" s="9"/>
      <c r="C399" s="9"/>
      <c r="D399" s="9"/>
      <c r="E399" s="9"/>
      <c r="F399" s="9"/>
      <c r="G399" s="9"/>
      <c r="H399" s="223"/>
      <c r="I399" s="9"/>
      <c r="J399" s="9"/>
      <c r="K399" s="9"/>
      <c r="L399" s="9"/>
      <c r="M399" s="9"/>
      <c r="N399" s="9"/>
      <c r="O399" s="9"/>
      <c r="P399" s="9"/>
      <c r="Q399" s="223"/>
      <c r="R399" s="9"/>
      <c r="S399" s="9"/>
      <c r="T399" s="9"/>
      <c r="U399" s="9"/>
      <c r="V399" s="9"/>
      <c r="W399" s="971"/>
      <c r="X399" s="9"/>
      <c r="Y399" s="9"/>
      <c r="Z399" s="204"/>
      <c r="AA399" s="9"/>
      <c r="AB399" s="9"/>
      <c r="AC399" s="9"/>
      <c r="AD399" s="9"/>
    </row>
    <row r="400" ht="15.75" customHeight="1">
      <c r="A400" s="9"/>
      <c r="B400" s="9"/>
      <c r="C400" s="9"/>
      <c r="D400" s="9"/>
      <c r="E400" s="9"/>
      <c r="F400" s="9"/>
      <c r="G400" s="9"/>
      <c r="H400" s="223"/>
      <c r="I400" s="9"/>
      <c r="J400" s="9"/>
      <c r="K400" s="9"/>
      <c r="L400" s="9"/>
      <c r="M400" s="9"/>
      <c r="N400" s="9"/>
      <c r="O400" s="9"/>
      <c r="P400" s="9"/>
      <c r="Q400" s="223"/>
      <c r="R400" s="9"/>
      <c r="S400" s="9"/>
      <c r="T400" s="9"/>
      <c r="U400" s="9"/>
      <c r="V400" s="9"/>
      <c r="W400" s="971"/>
      <c r="X400" s="9"/>
      <c r="Y400" s="9"/>
      <c r="Z400" s="204"/>
      <c r="AA400" s="9"/>
      <c r="AB400" s="9"/>
      <c r="AC400" s="9"/>
      <c r="AD400" s="9"/>
    </row>
    <row r="401" ht="15.75" customHeight="1">
      <c r="A401" s="9"/>
      <c r="B401" s="9"/>
      <c r="C401" s="9"/>
      <c r="D401" s="9"/>
      <c r="E401" s="9"/>
      <c r="F401" s="9"/>
      <c r="G401" s="9"/>
      <c r="H401" s="223"/>
      <c r="I401" s="9"/>
      <c r="J401" s="9"/>
      <c r="K401" s="9"/>
      <c r="L401" s="9"/>
      <c r="M401" s="9"/>
      <c r="N401" s="9"/>
      <c r="O401" s="9"/>
      <c r="P401" s="9"/>
      <c r="Q401" s="223"/>
      <c r="R401" s="9"/>
      <c r="S401" s="9"/>
      <c r="T401" s="9"/>
      <c r="U401" s="9"/>
      <c r="V401" s="9"/>
      <c r="W401" s="971"/>
      <c r="X401" s="9"/>
      <c r="Y401" s="9"/>
      <c r="Z401" s="204"/>
      <c r="AA401" s="9"/>
      <c r="AB401" s="9"/>
      <c r="AC401" s="9"/>
      <c r="AD401" s="9"/>
    </row>
    <row r="402" ht="15.75" customHeight="1">
      <c r="A402" s="9"/>
      <c r="B402" s="9"/>
      <c r="C402" s="9"/>
      <c r="D402" s="9"/>
      <c r="E402" s="9"/>
      <c r="F402" s="9"/>
      <c r="G402" s="9"/>
      <c r="H402" s="223"/>
      <c r="I402" s="9"/>
      <c r="J402" s="9"/>
      <c r="K402" s="9"/>
      <c r="L402" s="9"/>
      <c r="M402" s="9"/>
      <c r="N402" s="9"/>
      <c r="O402" s="9"/>
      <c r="P402" s="9"/>
      <c r="Q402" s="223"/>
      <c r="R402" s="9"/>
      <c r="S402" s="9"/>
      <c r="T402" s="9"/>
      <c r="U402" s="9"/>
      <c r="V402" s="9"/>
      <c r="W402" s="971"/>
      <c r="X402" s="9"/>
      <c r="Y402" s="9"/>
      <c r="Z402" s="204"/>
      <c r="AA402" s="9"/>
      <c r="AB402" s="9"/>
      <c r="AC402" s="9"/>
      <c r="AD402" s="9"/>
    </row>
    <row r="403" ht="15.75" customHeight="1">
      <c r="A403" s="9"/>
      <c r="B403" s="9"/>
      <c r="C403" s="9"/>
      <c r="D403" s="9"/>
      <c r="E403" s="9"/>
      <c r="F403" s="9"/>
      <c r="G403" s="9"/>
      <c r="H403" s="223"/>
      <c r="I403" s="9"/>
      <c r="J403" s="9"/>
      <c r="K403" s="9"/>
      <c r="L403" s="9"/>
      <c r="M403" s="9"/>
      <c r="N403" s="9"/>
      <c r="O403" s="9"/>
      <c r="P403" s="9"/>
      <c r="Q403" s="223"/>
      <c r="R403" s="9"/>
      <c r="S403" s="9"/>
      <c r="T403" s="9"/>
      <c r="U403" s="9"/>
      <c r="V403" s="9"/>
      <c r="W403" s="971"/>
      <c r="X403" s="9"/>
      <c r="Y403" s="9"/>
      <c r="Z403" s="204"/>
      <c r="AA403" s="9"/>
      <c r="AB403" s="9"/>
      <c r="AC403" s="9"/>
      <c r="AD403" s="9"/>
    </row>
    <row r="404" ht="15.75" customHeight="1">
      <c r="A404" s="9"/>
      <c r="B404" s="9"/>
      <c r="C404" s="9"/>
      <c r="D404" s="9"/>
      <c r="E404" s="9"/>
      <c r="F404" s="9"/>
      <c r="G404" s="9"/>
      <c r="H404" s="223"/>
      <c r="I404" s="9"/>
      <c r="J404" s="9"/>
      <c r="K404" s="9"/>
      <c r="L404" s="9"/>
      <c r="M404" s="9"/>
      <c r="N404" s="9"/>
      <c r="O404" s="9"/>
      <c r="P404" s="9"/>
      <c r="Q404" s="223"/>
      <c r="R404" s="9"/>
      <c r="S404" s="9"/>
      <c r="T404" s="9"/>
      <c r="U404" s="9"/>
      <c r="V404" s="9"/>
      <c r="W404" s="971"/>
      <c r="X404" s="9"/>
      <c r="Y404" s="9"/>
      <c r="Z404" s="204"/>
      <c r="AA404" s="9"/>
      <c r="AB404" s="9"/>
      <c r="AC404" s="9"/>
      <c r="AD404" s="9"/>
    </row>
    <row r="405" ht="15.75" customHeight="1">
      <c r="A405" s="9"/>
      <c r="B405" s="9"/>
      <c r="C405" s="9"/>
      <c r="D405" s="9"/>
      <c r="E405" s="9"/>
      <c r="F405" s="9"/>
      <c r="G405" s="9"/>
      <c r="H405" s="223"/>
      <c r="I405" s="9"/>
      <c r="J405" s="9"/>
      <c r="K405" s="9"/>
      <c r="L405" s="9"/>
      <c r="M405" s="9"/>
      <c r="N405" s="9"/>
      <c r="O405" s="9"/>
      <c r="P405" s="9"/>
      <c r="Q405" s="223"/>
      <c r="R405" s="9"/>
      <c r="S405" s="9"/>
      <c r="T405" s="9"/>
      <c r="U405" s="9"/>
      <c r="V405" s="9"/>
      <c r="W405" s="971"/>
      <c r="X405" s="9"/>
      <c r="Y405" s="9"/>
      <c r="Z405" s="204"/>
      <c r="AA405" s="9"/>
      <c r="AB405" s="9"/>
      <c r="AC405" s="9"/>
      <c r="AD405" s="9"/>
    </row>
    <row r="406" ht="15.75" customHeight="1">
      <c r="A406" s="9"/>
      <c r="B406" s="9"/>
      <c r="C406" s="9"/>
      <c r="D406" s="9"/>
      <c r="E406" s="9"/>
      <c r="F406" s="9"/>
      <c r="G406" s="9"/>
      <c r="H406" s="223"/>
      <c r="I406" s="9"/>
      <c r="J406" s="9"/>
      <c r="K406" s="9"/>
      <c r="L406" s="9"/>
      <c r="M406" s="9"/>
      <c r="N406" s="9"/>
      <c r="O406" s="9"/>
      <c r="P406" s="9"/>
      <c r="Q406" s="223"/>
      <c r="R406" s="9"/>
      <c r="S406" s="9"/>
      <c r="T406" s="9"/>
      <c r="U406" s="9"/>
      <c r="V406" s="9"/>
      <c r="W406" s="971"/>
      <c r="X406" s="9"/>
      <c r="Y406" s="9"/>
      <c r="Z406" s="204"/>
      <c r="AA406" s="9"/>
      <c r="AB406" s="9"/>
      <c r="AC406" s="9"/>
      <c r="AD406" s="9"/>
    </row>
    <row r="407" ht="15.75" customHeight="1">
      <c r="A407" s="9"/>
      <c r="B407" s="9"/>
      <c r="C407" s="9"/>
      <c r="D407" s="9"/>
      <c r="E407" s="9"/>
      <c r="F407" s="9"/>
      <c r="G407" s="9"/>
      <c r="H407" s="223"/>
      <c r="I407" s="9"/>
      <c r="J407" s="9"/>
      <c r="K407" s="9"/>
      <c r="L407" s="9"/>
      <c r="M407" s="9"/>
      <c r="N407" s="9"/>
      <c r="O407" s="9"/>
      <c r="P407" s="9"/>
      <c r="Q407" s="223"/>
      <c r="R407" s="9"/>
      <c r="S407" s="9"/>
      <c r="T407" s="9"/>
      <c r="U407" s="9"/>
      <c r="V407" s="9"/>
      <c r="W407" s="971"/>
      <c r="X407" s="9"/>
      <c r="Y407" s="9"/>
      <c r="Z407" s="204"/>
      <c r="AA407" s="9"/>
      <c r="AB407" s="9"/>
      <c r="AC407" s="9"/>
      <c r="AD407" s="9"/>
    </row>
    <row r="408" ht="15.75" customHeight="1">
      <c r="A408" s="9"/>
      <c r="B408" s="9"/>
      <c r="C408" s="9"/>
      <c r="D408" s="9"/>
      <c r="E408" s="9"/>
      <c r="F408" s="9"/>
      <c r="G408" s="9"/>
      <c r="H408" s="223"/>
      <c r="I408" s="9"/>
      <c r="J408" s="9"/>
      <c r="K408" s="9"/>
      <c r="L408" s="9"/>
      <c r="M408" s="9"/>
      <c r="N408" s="9"/>
      <c r="O408" s="9"/>
      <c r="P408" s="9"/>
      <c r="Q408" s="223"/>
      <c r="R408" s="9"/>
      <c r="S408" s="9"/>
      <c r="T408" s="9"/>
      <c r="U408" s="9"/>
      <c r="V408" s="9"/>
      <c r="W408" s="971"/>
      <c r="X408" s="9"/>
      <c r="Y408" s="9"/>
      <c r="Z408" s="204"/>
      <c r="AA408" s="9"/>
      <c r="AB408" s="9"/>
      <c r="AC408" s="9"/>
      <c r="AD408" s="9"/>
    </row>
    <row r="409" ht="15.75" customHeight="1">
      <c r="A409" s="9"/>
      <c r="B409" s="9"/>
      <c r="C409" s="9"/>
      <c r="D409" s="9"/>
      <c r="E409" s="9"/>
      <c r="F409" s="9"/>
      <c r="G409" s="9"/>
      <c r="H409" s="223"/>
      <c r="I409" s="9"/>
      <c r="J409" s="9"/>
      <c r="K409" s="9"/>
      <c r="L409" s="9"/>
      <c r="M409" s="9"/>
      <c r="N409" s="9"/>
      <c r="O409" s="9"/>
      <c r="P409" s="9"/>
      <c r="Q409" s="223"/>
      <c r="R409" s="9"/>
      <c r="S409" s="9"/>
      <c r="T409" s="9"/>
      <c r="U409" s="9"/>
      <c r="V409" s="9"/>
      <c r="W409" s="971"/>
      <c r="X409" s="9"/>
      <c r="Y409" s="9"/>
      <c r="Z409" s="204"/>
      <c r="AA409" s="9"/>
      <c r="AB409" s="9"/>
      <c r="AC409" s="9"/>
      <c r="AD409" s="9"/>
    </row>
    <row r="410" ht="15.75" customHeight="1">
      <c r="A410" s="9"/>
      <c r="B410" s="9"/>
      <c r="C410" s="9"/>
      <c r="D410" s="9"/>
      <c r="E410" s="9"/>
      <c r="F410" s="9"/>
      <c r="G410" s="9"/>
      <c r="H410" s="223"/>
      <c r="I410" s="9"/>
      <c r="J410" s="9"/>
      <c r="K410" s="9"/>
      <c r="L410" s="9"/>
      <c r="M410" s="9"/>
      <c r="N410" s="9"/>
      <c r="O410" s="9"/>
      <c r="P410" s="9"/>
      <c r="Q410" s="223"/>
      <c r="R410" s="9"/>
      <c r="S410" s="9"/>
      <c r="T410" s="9"/>
      <c r="U410" s="9"/>
      <c r="V410" s="9"/>
      <c r="W410" s="971"/>
      <c r="X410" s="9"/>
      <c r="Y410" s="9"/>
      <c r="Z410" s="204"/>
      <c r="AA410" s="9"/>
      <c r="AB410" s="9"/>
      <c r="AC410" s="9"/>
      <c r="AD410" s="9"/>
    </row>
    <row r="411" ht="15.75" customHeight="1">
      <c r="A411" s="9"/>
      <c r="B411" s="9"/>
      <c r="C411" s="9"/>
      <c r="D411" s="9"/>
      <c r="E411" s="9"/>
      <c r="F411" s="9"/>
      <c r="G411" s="9"/>
      <c r="H411" s="223"/>
      <c r="I411" s="9"/>
      <c r="J411" s="9"/>
      <c r="K411" s="9"/>
      <c r="L411" s="9"/>
      <c r="M411" s="9"/>
      <c r="N411" s="9"/>
      <c r="O411" s="9"/>
      <c r="P411" s="9"/>
      <c r="Q411" s="223"/>
      <c r="R411" s="9"/>
      <c r="S411" s="9"/>
      <c r="T411" s="9"/>
      <c r="U411" s="9"/>
      <c r="V411" s="9"/>
      <c r="W411" s="971"/>
      <c r="X411" s="9"/>
      <c r="Y411" s="9"/>
      <c r="Z411" s="204"/>
      <c r="AA411" s="9"/>
      <c r="AB411" s="9"/>
      <c r="AC411" s="9"/>
      <c r="AD411" s="9"/>
    </row>
    <row r="412" ht="15.75" customHeight="1">
      <c r="A412" s="9"/>
      <c r="B412" s="9"/>
      <c r="C412" s="9"/>
      <c r="D412" s="9"/>
      <c r="E412" s="9"/>
      <c r="F412" s="9"/>
      <c r="G412" s="9"/>
      <c r="H412" s="223"/>
      <c r="I412" s="9"/>
      <c r="J412" s="9"/>
      <c r="K412" s="9"/>
      <c r="L412" s="9"/>
      <c r="M412" s="9"/>
      <c r="N412" s="9"/>
      <c r="O412" s="9"/>
      <c r="P412" s="9"/>
      <c r="Q412" s="223"/>
      <c r="R412" s="9"/>
      <c r="S412" s="9"/>
      <c r="T412" s="9"/>
      <c r="U412" s="9"/>
      <c r="V412" s="9"/>
      <c r="W412" s="971"/>
      <c r="X412" s="9"/>
      <c r="Y412" s="9"/>
      <c r="Z412" s="204"/>
      <c r="AA412" s="9"/>
      <c r="AB412" s="9"/>
      <c r="AC412" s="9"/>
      <c r="AD412" s="9"/>
    </row>
    <row r="413" ht="15.75" customHeight="1">
      <c r="A413" s="9"/>
      <c r="B413" s="9"/>
      <c r="C413" s="9"/>
      <c r="D413" s="9"/>
      <c r="E413" s="9"/>
      <c r="F413" s="9"/>
      <c r="G413" s="9"/>
      <c r="H413" s="223"/>
      <c r="I413" s="9"/>
      <c r="J413" s="9"/>
      <c r="K413" s="9"/>
      <c r="L413" s="9"/>
      <c r="M413" s="9"/>
      <c r="N413" s="9"/>
      <c r="O413" s="9"/>
      <c r="P413" s="9"/>
      <c r="Q413" s="223"/>
      <c r="R413" s="9"/>
      <c r="S413" s="9"/>
      <c r="T413" s="9"/>
      <c r="U413" s="9"/>
      <c r="V413" s="9"/>
      <c r="W413" s="971"/>
      <c r="X413" s="9"/>
      <c r="Y413" s="9"/>
      <c r="Z413" s="204"/>
      <c r="AA413" s="9"/>
      <c r="AB413" s="9"/>
      <c r="AC413" s="9"/>
      <c r="AD413" s="9"/>
    </row>
    <row r="414" ht="15.75" customHeight="1">
      <c r="A414" s="9"/>
      <c r="B414" s="9"/>
      <c r="C414" s="9"/>
      <c r="D414" s="9"/>
      <c r="E414" s="9"/>
      <c r="F414" s="9"/>
      <c r="G414" s="9"/>
      <c r="H414" s="223"/>
      <c r="I414" s="9"/>
      <c r="J414" s="9"/>
      <c r="K414" s="9"/>
      <c r="L414" s="9"/>
      <c r="M414" s="9"/>
      <c r="N414" s="9"/>
      <c r="O414" s="9"/>
      <c r="P414" s="9"/>
      <c r="Q414" s="223"/>
      <c r="R414" s="9"/>
      <c r="S414" s="9"/>
      <c r="T414" s="9"/>
      <c r="U414" s="9"/>
      <c r="V414" s="9"/>
      <c r="W414" s="971"/>
      <c r="X414" s="9"/>
      <c r="Y414" s="9"/>
      <c r="Z414" s="204"/>
      <c r="AA414" s="9"/>
      <c r="AB414" s="9"/>
      <c r="AC414" s="9"/>
      <c r="AD414" s="9"/>
    </row>
    <row r="415" ht="15.75" customHeight="1">
      <c r="A415" s="9"/>
      <c r="B415" s="9"/>
      <c r="C415" s="9"/>
      <c r="D415" s="9"/>
      <c r="E415" s="9"/>
      <c r="F415" s="9"/>
      <c r="G415" s="9"/>
      <c r="H415" s="223"/>
      <c r="I415" s="9"/>
      <c r="J415" s="9"/>
      <c r="K415" s="9"/>
      <c r="L415" s="9"/>
      <c r="M415" s="9"/>
      <c r="N415" s="9"/>
      <c r="O415" s="9"/>
      <c r="P415" s="9"/>
      <c r="Q415" s="223"/>
      <c r="R415" s="9"/>
      <c r="S415" s="9"/>
      <c r="T415" s="9"/>
      <c r="U415" s="9"/>
      <c r="V415" s="9"/>
      <c r="W415" s="971"/>
      <c r="X415" s="9"/>
      <c r="Y415" s="9"/>
      <c r="Z415" s="204"/>
      <c r="AA415" s="9"/>
      <c r="AB415" s="9"/>
      <c r="AC415" s="9"/>
      <c r="AD415" s="9"/>
    </row>
    <row r="416" ht="15.75" customHeight="1">
      <c r="A416" s="9"/>
      <c r="B416" s="9"/>
      <c r="C416" s="9"/>
      <c r="D416" s="9"/>
      <c r="E416" s="9"/>
      <c r="F416" s="9"/>
      <c r="G416" s="9"/>
      <c r="H416" s="223"/>
      <c r="I416" s="9"/>
      <c r="J416" s="9"/>
      <c r="K416" s="9"/>
      <c r="L416" s="9"/>
      <c r="M416" s="9"/>
      <c r="N416" s="9"/>
      <c r="O416" s="9"/>
      <c r="P416" s="9"/>
      <c r="Q416" s="223"/>
      <c r="R416" s="9"/>
      <c r="S416" s="9"/>
      <c r="T416" s="9"/>
      <c r="U416" s="9"/>
      <c r="V416" s="9"/>
      <c r="W416" s="971"/>
      <c r="X416" s="9"/>
      <c r="Y416" s="9"/>
      <c r="Z416" s="204"/>
      <c r="AA416" s="9"/>
      <c r="AB416" s="9"/>
      <c r="AC416" s="9"/>
      <c r="AD416" s="9"/>
    </row>
    <row r="417" ht="15.75" customHeight="1">
      <c r="A417" s="9"/>
      <c r="B417" s="9"/>
      <c r="C417" s="9"/>
      <c r="D417" s="9"/>
      <c r="E417" s="9"/>
      <c r="F417" s="9"/>
      <c r="G417" s="9"/>
      <c r="H417" s="223"/>
      <c r="I417" s="9"/>
      <c r="J417" s="9"/>
      <c r="K417" s="9"/>
      <c r="L417" s="9"/>
      <c r="M417" s="9"/>
      <c r="N417" s="9"/>
      <c r="O417" s="9"/>
      <c r="P417" s="9"/>
      <c r="Q417" s="223"/>
      <c r="R417" s="9"/>
      <c r="S417" s="9"/>
      <c r="T417" s="9"/>
      <c r="U417" s="9"/>
      <c r="V417" s="9"/>
      <c r="W417" s="971"/>
      <c r="X417" s="9"/>
      <c r="Y417" s="9"/>
      <c r="Z417" s="204"/>
      <c r="AA417" s="9"/>
      <c r="AB417" s="9"/>
      <c r="AC417" s="9"/>
      <c r="AD417" s="9"/>
    </row>
    <row r="418" ht="15.75" customHeight="1">
      <c r="A418" s="9"/>
      <c r="B418" s="9"/>
      <c r="C418" s="9"/>
      <c r="D418" s="9"/>
      <c r="E418" s="9"/>
      <c r="F418" s="9"/>
      <c r="G418" s="9"/>
      <c r="H418" s="223"/>
      <c r="I418" s="9"/>
      <c r="J418" s="9"/>
      <c r="K418" s="9"/>
      <c r="L418" s="9"/>
      <c r="M418" s="9"/>
      <c r="N418" s="9"/>
      <c r="O418" s="9"/>
      <c r="P418" s="9"/>
      <c r="Q418" s="223"/>
      <c r="R418" s="9"/>
      <c r="S418" s="9"/>
      <c r="T418" s="9"/>
      <c r="U418" s="9"/>
      <c r="V418" s="9"/>
      <c r="W418" s="971"/>
      <c r="X418" s="9"/>
      <c r="Y418" s="9"/>
      <c r="Z418" s="204"/>
      <c r="AA418" s="9"/>
      <c r="AB418" s="9"/>
      <c r="AC418" s="9"/>
      <c r="AD418" s="9"/>
    </row>
    <row r="419" ht="15.75" customHeight="1">
      <c r="A419" s="9"/>
      <c r="B419" s="9"/>
      <c r="C419" s="9"/>
      <c r="D419" s="9"/>
      <c r="E419" s="9"/>
      <c r="F419" s="9"/>
      <c r="G419" s="9"/>
      <c r="H419" s="223"/>
      <c r="I419" s="9"/>
      <c r="J419" s="9"/>
      <c r="K419" s="9"/>
      <c r="L419" s="9"/>
      <c r="M419" s="9"/>
      <c r="N419" s="9"/>
      <c r="O419" s="9"/>
      <c r="P419" s="9"/>
      <c r="Q419" s="223"/>
      <c r="R419" s="9"/>
      <c r="S419" s="9"/>
      <c r="T419" s="9"/>
      <c r="U419" s="9"/>
      <c r="V419" s="9"/>
      <c r="W419" s="971"/>
      <c r="X419" s="9"/>
      <c r="Y419" s="9"/>
      <c r="Z419" s="204"/>
      <c r="AA419" s="9"/>
      <c r="AB419" s="9"/>
      <c r="AC419" s="9"/>
      <c r="AD419" s="9"/>
    </row>
    <row r="420" ht="15.75" customHeight="1">
      <c r="A420" s="9"/>
      <c r="B420" s="9"/>
      <c r="C420" s="9"/>
      <c r="D420" s="9"/>
      <c r="E420" s="9"/>
      <c r="F420" s="9"/>
      <c r="G420" s="9"/>
      <c r="H420" s="223"/>
      <c r="I420" s="9"/>
      <c r="J420" s="9"/>
      <c r="K420" s="9"/>
      <c r="L420" s="9"/>
      <c r="M420" s="9"/>
      <c r="N420" s="9"/>
      <c r="O420" s="9"/>
      <c r="P420" s="9"/>
      <c r="Q420" s="223"/>
      <c r="R420" s="9"/>
      <c r="S420" s="9"/>
      <c r="T420" s="9"/>
      <c r="U420" s="9"/>
      <c r="V420" s="9"/>
      <c r="W420" s="971"/>
      <c r="X420" s="9"/>
      <c r="Y420" s="9"/>
      <c r="Z420" s="204"/>
      <c r="AA420" s="9"/>
      <c r="AB420" s="9"/>
      <c r="AC420" s="9"/>
      <c r="AD420" s="9"/>
    </row>
    <row r="421" ht="15.75" customHeight="1">
      <c r="A421" s="9"/>
      <c r="B421" s="9"/>
      <c r="C421" s="9"/>
      <c r="D421" s="9"/>
      <c r="E421" s="9"/>
      <c r="F421" s="9"/>
      <c r="G421" s="9"/>
      <c r="H421" s="223"/>
      <c r="I421" s="9"/>
      <c r="J421" s="9"/>
      <c r="K421" s="9"/>
      <c r="L421" s="9"/>
      <c r="M421" s="9"/>
      <c r="N421" s="9"/>
      <c r="O421" s="9"/>
      <c r="P421" s="9"/>
      <c r="Q421" s="223"/>
      <c r="R421" s="9"/>
      <c r="S421" s="9"/>
      <c r="T421" s="9"/>
      <c r="U421" s="9"/>
      <c r="V421" s="9"/>
      <c r="W421" s="971"/>
      <c r="X421" s="9"/>
      <c r="Y421" s="9"/>
      <c r="Z421" s="204"/>
      <c r="AA421" s="9"/>
      <c r="AB421" s="9"/>
      <c r="AC421" s="9"/>
      <c r="AD421" s="9"/>
    </row>
    <row r="422" ht="15.75" customHeight="1">
      <c r="A422" s="9"/>
      <c r="B422" s="9"/>
      <c r="C422" s="9"/>
      <c r="D422" s="9"/>
      <c r="E422" s="9"/>
      <c r="F422" s="9"/>
      <c r="G422" s="9"/>
      <c r="H422" s="223"/>
      <c r="I422" s="9"/>
      <c r="J422" s="9"/>
      <c r="K422" s="9"/>
      <c r="L422" s="9"/>
      <c r="M422" s="9"/>
      <c r="N422" s="9"/>
      <c r="O422" s="9"/>
      <c r="P422" s="9"/>
      <c r="Q422" s="223"/>
      <c r="R422" s="9"/>
      <c r="S422" s="9"/>
      <c r="T422" s="9"/>
      <c r="U422" s="9"/>
      <c r="V422" s="9"/>
      <c r="W422" s="971"/>
      <c r="X422" s="9"/>
      <c r="Y422" s="9"/>
      <c r="Z422" s="204"/>
      <c r="AA422" s="9"/>
      <c r="AB422" s="9"/>
      <c r="AC422" s="9"/>
      <c r="AD422" s="9"/>
    </row>
    <row r="423" ht="15.75" customHeight="1">
      <c r="A423" s="9"/>
      <c r="B423" s="9"/>
      <c r="C423" s="9"/>
      <c r="D423" s="9"/>
      <c r="E423" s="9"/>
      <c r="F423" s="9"/>
      <c r="G423" s="9"/>
      <c r="H423" s="223"/>
      <c r="I423" s="9"/>
      <c r="J423" s="9"/>
      <c r="K423" s="9"/>
      <c r="L423" s="9"/>
      <c r="M423" s="9"/>
      <c r="N423" s="9"/>
      <c r="O423" s="9"/>
      <c r="P423" s="9"/>
      <c r="Q423" s="223"/>
      <c r="R423" s="9"/>
      <c r="S423" s="9"/>
      <c r="T423" s="9"/>
      <c r="U423" s="9"/>
      <c r="V423" s="9"/>
      <c r="W423" s="971"/>
      <c r="X423" s="9"/>
      <c r="Y423" s="9"/>
      <c r="Z423" s="204"/>
      <c r="AA423" s="9"/>
      <c r="AB423" s="9"/>
      <c r="AC423" s="9"/>
      <c r="AD423" s="9"/>
    </row>
    <row r="424" ht="15.75" customHeight="1">
      <c r="A424" s="9"/>
      <c r="B424" s="9"/>
      <c r="C424" s="9"/>
      <c r="D424" s="9"/>
      <c r="E424" s="9"/>
      <c r="F424" s="9"/>
      <c r="G424" s="9"/>
      <c r="H424" s="223"/>
      <c r="I424" s="9"/>
      <c r="J424" s="9"/>
      <c r="K424" s="9"/>
      <c r="L424" s="9"/>
      <c r="M424" s="9"/>
      <c r="N424" s="9"/>
      <c r="O424" s="9"/>
      <c r="P424" s="9"/>
      <c r="Q424" s="223"/>
      <c r="R424" s="9"/>
      <c r="S424" s="9"/>
      <c r="T424" s="9"/>
      <c r="U424" s="9"/>
      <c r="V424" s="9"/>
      <c r="W424" s="971"/>
      <c r="X424" s="9"/>
      <c r="Y424" s="9"/>
      <c r="Z424" s="204"/>
      <c r="AA424" s="9"/>
      <c r="AB424" s="9"/>
      <c r="AC424" s="9"/>
      <c r="AD424" s="9"/>
    </row>
    <row r="425" ht="15.75" customHeight="1">
      <c r="A425" s="9"/>
      <c r="B425" s="9"/>
      <c r="C425" s="9"/>
      <c r="D425" s="9"/>
      <c r="E425" s="9"/>
      <c r="F425" s="9"/>
      <c r="G425" s="9"/>
      <c r="H425" s="223"/>
      <c r="I425" s="9"/>
      <c r="J425" s="9"/>
      <c r="K425" s="9"/>
      <c r="L425" s="9"/>
      <c r="M425" s="9"/>
      <c r="N425" s="9"/>
      <c r="O425" s="9"/>
      <c r="P425" s="9"/>
      <c r="Q425" s="223"/>
      <c r="R425" s="9"/>
      <c r="S425" s="9"/>
      <c r="T425" s="9"/>
      <c r="U425" s="9"/>
      <c r="V425" s="9"/>
      <c r="W425" s="971"/>
      <c r="X425" s="9"/>
      <c r="Y425" s="9"/>
      <c r="Z425" s="204"/>
      <c r="AA425" s="9"/>
      <c r="AB425" s="9"/>
      <c r="AC425" s="9"/>
      <c r="AD425" s="9"/>
    </row>
    <row r="426" ht="15.75" customHeight="1">
      <c r="A426" s="9"/>
      <c r="B426" s="9"/>
      <c r="C426" s="9"/>
      <c r="D426" s="9"/>
      <c r="E426" s="9"/>
      <c r="F426" s="9"/>
      <c r="G426" s="9"/>
      <c r="H426" s="223"/>
      <c r="I426" s="9"/>
      <c r="J426" s="9"/>
      <c r="K426" s="9"/>
      <c r="L426" s="9"/>
      <c r="M426" s="9"/>
      <c r="N426" s="9"/>
      <c r="O426" s="9"/>
      <c r="P426" s="9"/>
      <c r="Q426" s="223"/>
      <c r="R426" s="9"/>
      <c r="S426" s="9"/>
      <c r="T426" s="9"/>
      <c r="U426" s="9"/>
      <c r="V426" s="9"/>
      <c r="W426" s="971"/>
      <c r="X426" s="9"/>
      <c r="Y426" s="9"/>
      <c r="Z426" s="204"/>
      <c r="AA426" s="9"/>
      <c r="AB426" s="9"/>
      <c r="AC426" s="9"/>
      <c r="AD426" s="9"/>
    </row>
    <row r="427" ht="15.75" customHeight="1">
      <c r="A427" s="9"/>
      <c r="B427" s="9"/>
      <c r="C427" s="9"/>
      <c r="D427" s="9"/>
      <c r="E427" s="9"/>
      <c r="F427" s="9"/>
      <c r="G427" s="9"/>
      <c r="H427" s="223"/>
      <c r="I427" s="9"/>
      <c r="J427" s="9"/>
      <c r="K427" s="9"/>
      <c r="L427" s="9"/>
      <c r="M427" s="9"/>
      <c r="N427" s="9"/>
      <c r="O427" s="9"/>
      <c r="P427" s="9"/>
      <c r="Q427" s="223"/>
      <c r="R427" s="9"/>
      <c r="S427" s="9"/>
      <c r="T427" s="9"/>
      <c r="U427" s="9"/>
      <c r="V427" s="9"/>
      <c r="W427" s="971"/>
      <c r="X427" s="9"/>
      <c r="Y427" s="9"/>
      <c r="Z427" s="204"/>
      <c r="AA427" s="9"/>
      <c r="AB427" s="9"/>
      <c r="AC427" s="9"/>
      <c r="AD427" s="9"/>
    </row>
    <row r="428" ht="15.75" customHeight="1">
      <c r="A428" s="9"/>
      <c r="B428" s="9"/>
      <c r="C428" s="9"/>
      <c r="D428" s="9"/>
      <c r="E428" s="9"/>
      <c r="F428" s="9"/>
      <c r="G428" s="9"/>
      <c r="H428" s="223"/>
      <c r="I428" s="9"/>
      <c r="J428" s="9"/>
      <c r="K428" s="9"/>
      <c r="L428" s="9"/>
      <c r="M428" s="9"/>
      <c r="N428" s="9"/>
      <c r="O428" s="9"/>
      <c r="P428" s="9"/>
      <c r="Q428" s="223"/>
      <c r="R428" s="9"/>
      <c r="S428" s="9"/>
      <c r="T428" s="9"/>
      <c r="U428" s="9"/>
      <c r="V428" s="9"/>
      <c r="W428" s="971"/>
      <c r="X428" s="9"/>
      <c r="Y428" s="9"/>
      <c r="Z428" s="204"/>
      <c r="AA428" s="9"/>
      <c r="AB428" s="9"/>
      <c r="AC428" s="9"/>
      <c r="AD428" s="9"/>
    </row>
    <row r="429" ht="15.75" customHeight="1">
      <c r="A429" s="9"/>
      <c r="B429" s="9"/>
      <c r="C429" s="9"/>
      <c r="D429" s="9"/>
      <c r="E429" s="9"/>
      <c r="F429" s="9"/>
      <c r="G429" s="9"/>
      <c r="H429" s="223"/>
      <c r="I429" s="9"/>
      <c r="J429" s="9"/>
      <c r="K429" s="9"/>
      <c r="L429" s="9"/>
      <c r="M429" s="9"/>
      <c r="N429" s="9"/>
      <c r="O429" s="9"/>
      <c r="P429" s="9"/>
      <c r="Q429" s="223"/>
      <c r="R429" s="9"/>
      <c r="S429" s="9"/>
      <c r="T429" s="9"/>
      <c r="U429" s="9"/>
      <c r="V429" s="9"/>
      <c r="W429" s="971"/>
      <c r="X429" s="9"/>
      <c r="Y429" s="9"/>
      <c r="Z429" s="204"/>
      <c r="AA429" s="9"/>
      <c r="AB429" s="9"/>
      <c r="AC429" s="9"/>
      <c r="AD429" s="9"/>
    </row>
    <row r="430" ht="15.75" customHeight="1">
      <c r="A430" s="9"/>
      <c r="B430" s="9"/>
      <c r="C430" s="9"/>
      <c r="D430" s="9"/>
      <c r="E430" s="9"/>
      <c r="F430" s="9"/>
      <c r="G430" s="9"/>
      <c r="H430" s="223"/>
      <c r="I430" s="9"/>
      <c r="J430" s="9"/>
      <c r="K430" s="9"/>
      <c r="L430" s="9"/>
      <c r="M430" s="9"/>
      <c r="N430" s="9"/>
      <c r="O430" s="9"/>
      <c r="P430" s="9"/>
      <c r="Q430" s="223"/>
      <c r="R430" s="9"/>
      <c r="S430" s="9"/>
      <c r="T430" s="9"/>
      <c r="U430" s="9"/>
      <c r="V430" s="9"/>
      <c r="W430" s="971"/>
      <c r="X430" s="9"/>
      <c r="Y430" s="9"/>
      <c r="Z430" s="204"/>
      <c r="AA430" s="9"/>
      <c r="AB430" s="9"/>
      <c r="AC430" s="9"/>
      <c r="AD430" s="9"/>
    </row>
    <row r="431" ht="15.75" customHeight="1">
      <c r="A431" s="9"/>
      <c r="B431" s="9"/>
      <c r="C431" s="9"/>
      <c r="D431" s="9"/>
      <c r="E431" s="9"/>
      <c r="F431" s="9"/>
      <c r="G431" s="9"/>
      <c r="H431" s="223"/>
      <c r="I431" s="9"/>
      <c r="J431" s="9"/>
      <c r="K431" s="9"/>
      <c r="L431" s="9"/>
      <c r="M431" s="9"/>
      <c r="N431" s="9"/>
      <c r="O431" s="9"/>
      <c r="P431" s="9"/>
      <c r="Q431" s="223"/>
      <c r="R431" s="9"/>
      <c r="S431" s="9"/>
      <c r="T431" s="9"/>
      <c r="U431" s="9"/>
      <c r="V431" s="9"/>
      <c r="W431" s="971"/>
      <c r="X431" s="9"/>
      <c r="Y431" s="9"/>
      <c r="Z431" s="204"/>
      <c r="AA431" s="9"/>
      <c r="AB431" s="9"/>
      <c r="AC431" s="9"/>
      <c r="AD431" s="9"/>
    </row>
    <row r="432" ht="15.75" customHeight="1">
      <c r="A432" s="9"/>
      <c r="B432" s="9"/>
      <c r="C432" s="9"/>
      <c r="D432" s="9"/>
      <c r="E432" s="9"/>
      <c r="F432" s="9"/>
      <c r="G432" s="9"/>
      <c r="H432" s="223"/>
      <c r="I432" s="9"/>
      <c r="J432" s="9"/>
      <c r="K432" s="9"/>
      <c r="L432" s="9"/>
      <c r="M432" s="9"/>
      <c r="N432" s="9"/>
      <c r="O432" s="9"/>
      <c r="P432" s="9"/>
      <c r="Q432" s="223"/>
      <c r="R432" s="9"/>
      <c r="S432" s="9"/>
      <c r="T432" s="9"/>
      <c r="U432" s="9"/>
      <c r="V432" s="9"/>
      <c r="W432" s="971"/>
      <c r="X432" s="9"/>
      <c r="Y432" s="9"/>
      <c r="Z432" s="204"/>
      <c r="AA432" s="9"/>
      <c r="AB432" s="9"/>
      <c r="AC432" s="9"/>
      <c r="AD432" s="9"/>
    </row>
    <row r="433" ht="15.75" customHeight="1">
      <c r="A433" s="9"/>
      <c r="B433" s="9"/>
      <c r="C433" s="9"/>
      <c r="D433" s="9"/>
      <c r="E433" s="9"/>
      <c r="F433" s="9"/>
      <c r="G433" s="9"/>
      <c r="H433" s="223"/>
      <c r="I433" s="9"/>
      <c r="J433" s="9"/>
      <c r="K433" s="9"/>
      <c r="L433" s="9"/>
      <c r="M433" s="9"/>
      <c r="N433" s="9"/>
      <c r="O433" s="9"/>
      <c r="P433" s="9"/>
      <c r="Q433" s="223"/>
      <c r="R433" s="9"/>
      <c r="S433" s="9"/>
      <c r="T433" s="9"/>
      <c r="U433" s="9"/>
      <c r="V433" s="9"/>
      <c r="W433" s="971"/>
      <c r="X433" s="9"/>
      <c r="Y433" s="9"/>
      <c r="Z433" s="204"/>
      <c r="AA433" s="9"/>
      <c r="AB433" s="9"/>
      <c r="AC433" s="9"/>
      <c r="AD433" s="9"/>
    </row>
    <row r="434" ht="15.75" customHeight="1">
      <c r="A434" s="9"/>
      <c r="B434" s="9"/>
      <c r="C434" s="9"/>
      <c r="D434" s="9"/>
      <c r="E434" s="9"/>
      <c r="F434" s="9"/>
      <c r="G434" s="9"/>
      <c r="H434" s="223"/>
      <c r="I434" s="9"/>
      <c r="J434" s="9"/>
      <c r="K434" s="9"/>
      <c r="L434" s="9"/>
      <c r="M434" s="9"/>
      <c r="N434" s="9"/>
      <c r="O434" s="9"/>
      <c r="P434" s="9"/>
      <c r="Q434" s="223"/>
      <c r="R434" s="9"/>
      <c r="S434" s="9"/>
      <c r="T434" s="9"/>
      <c r="U434" s="9"/>
      <c r="V434" s="9"/>
      <c r="W434" s="971"/>
      <c r="X434" s="9"/>
      <c r="Y434" s="9"/>
      <c r="Z434" s="204"/>
      <c r="AA434" s="9"/>
      <c r="AB434" s="9"/>
      <c r="AC434" s="9"/>
      <c r="AD434" s="9"/>
    </row>
    <row r="435" ht="15.75" customHeight="1">
      <c r="A435" s="9"/>
      <c r="B435" s="9"/>
      <c r="C435" s="9"/>
      <c r="D435" s="9"/>
      <c r="E435" s="9"/>
      <c r="F435" s="9"/>
      <c r="G435" s="9"/>
      <c r="H435" s="223"/>
      <c r="I435" s="9"/>
      <c r="J435" s="9"/>
      <c r="K435" s="9"/>
      <c r="L435" s="9"/>
      <c r="M435" s="9"/>
      <c r="N435" s="9"/>
      <c r="O435" s="9"/>
      <c r="P435" s="9"/>
      <c r="Q435" s="223"/>
      <c r="R435" s="9"/>
      <c r="S435" s="9"/>
      <c r="T435" s="9"/>
      <c r="U435" s="9"/>
      <c r="V435" s="9"/>
      <c r="W435" s="971"/>
      <c r="X435" s="9"/>
      <c r="Y435" s="9"/>
      <c r="Z435" s="204"/>
      <c r="AA435" s="9"/>
      <c r="AB435" s="9"/>
      <c r="AC435" s="9"/>
      <c r="AD435" s="9"/>
    </row>
    <row r="436" ht="15.75" customHeight="1">
      <c r="A436" s="9"/>
      <c r="B436" s="9"/>
      <c r="C436" s="9"/>
      <c r="D436" s="9"/>
      <c r="E436" s="9"/>
      <c r="F436" s="9"/>
      <c r="G436" s="9"/>
      <c r="H436" s="223"/>
      <c r="I436" s="9"/>
      <c r="J436" s="9"/>
      <c r="K436" s="9"/>
      <c r="L436" s="9"/>
      <c r="M436" s="9"/>
      <c r="N436" s="9"/>
      <c r="O436" s="9"/>
      <c r="P436" s="9"/>
      <c r="Q436" s="223"/>
      <c r="R436" s="9"/>
      <c r="S436" s="9"/>
      <c r="T436" s="9"/>
      <c r="U436" s="9"/>
      <c r="V436" s="9"/>
      <c r="W436" s="971"/>
      <c r="X436" s="9"/>
      <c r="Y436" s="9"/>
      <c r="Z436" s="204"/>
      <c r="AA436" s="9"/>
      <c r="AB436" s="9"/>
      <c r="AC436" s="9"/>
      <c r="AD436" s="9"/>
    </row>
    <row r="437" ht="15.75" customHeight="1">
      <c r="A437" s="9"/>
      <c r="B437" s="9"/>
      <c r="C437" s="9"/>
      <c r="D437" s="9"/>
      <c r="E437" s="9"/>
      <c r="F437" s="9"/>
      <c r="G437" s="9"/>
      <c r="H437" s="223"/>
      <c r="I437" s="9"/>
      <c r="J437" s="9"/>
      <c r="K437" s="9"/>
      <c r="L437" s="9"/>
      <c r="M437" s="9"/>
      <c r="N437" s="9"/>
      <c r="O437" s="9"/>
      <c r="P437" s="9"/>
      <c r="Q437" s="223"/>
      <c r="R437" s="9"/>
      <c r="S437" s="9"/>
      <c r="T437" s="9"/>
      <c r="U437" s="9"/>
      <c r="V437" s="9"/>
      <c r="W437" s="971"/>
      <c r="X437" s="9"/>
      <c r="Y437" s="9"/>
      <c r="Z437" s="204"/>
      <c r="AA437" s="9"/>
      <c r="AB437" s="9"/>
      <c r="AC437" s="9"/>
      <c r="AD437" s="9"/>
    </row>
    <row r="438" ht="15.75" customHeight="1">
      <c r="A438" s="9"/>
      <c r="B438" s="9"/>
      <c r="C438" s="9"/>
      <c r="D438" s="9"/>
      <c r="E438" s="9"/>
      <c r="F438" s="9"/>
      <c r="G438" s="9"/>
      <c r="H438" s="223"/>
      <c r="I438" s="9"/>
      <c r="J438" s="9"/>
      <c r="K438" s="9"/>
      <c r="L438" s="9"/>
      <c r="M438" s="9"/>
      <c r="N438" s="9"/>
      <c r="O438" s="9"/>
      <c r="P438" s="9"/>
      <c r="Q438" s="223"/>
      <c r="R438" s="9"/>
      <c r="S438" s="9"/>
      <c r="T438" s="9"/>
      <c r="U438" s="9"/>
      <c r="V438" s="9"/>
      <c r="W438" s="971"/>
      <c r="X438" s="9"/>
      <c r="Y438" s="9"/>
      <c r="Z438" s="204"/>
      <c r="AA438" s="9"/>
      <c r="AB438" s="9"/>
      <c r="AC438" s="9"/>
      <c r="AD438" s="9"/>
    </row>
    <row r="439" ht="15.75" customHeight="1">
      <c r="A439" s="9"/>
      <c r="B439" s="9"/>
      <c r="C439" s="9"/>
      <c r="D439" s="9"/>
      <c r="E439" s="9"/>
      <c r="F439" s="9"/>
      <c r="G439" s="9"/>
      <c r="H439" s="223"/>
      <c r="I439" s="9"/>
      <c r="J439" s="9"/>
      <c r="K439" s="9"/>
      <c r="L439" s="9"/>
      <c r="M439" s="9"/>
      <c r="N439" s="9"/>
      <c r="O439" s="9"/>
      <c r="P439" s="9"/>
      <c r="Q439" s="223"/>
      <c r="R439" s="9"/>
      <c r="S439" s="9"/>
      <c r="T439" s="9"/>
      <c r="U439" s="9"/>
      <c r="V439" s="9"/>
      <c r="W439" s="971"/>
      <c r="X439" s="9"/>
      <c r="Y439" s="9"/>
      <c r="Z439" s="204"/>
      <c r="AA439" s="9"/>
      <c r="AB439" s="9"/>
      <c r="AC439" s="9"/>
      <c r="AD439" s="9"/>
    </row>
    <row r="440" ht="15.75" customHeight="1">
      <c r="A440" s="9"/>
      <c r="B440" s="9"/>
      <c r="C440" s="9"/>
      <c r="D440" s="9"/>
      <c r="E440" s="9"/>
      <c r="F440" s="9"/>
      <c r="G440" s="9"/>
      <c r="H440" s="223"/>
      <c r="I440" s="9"/>
      <c r="J440" s="9"/>
      <c r="K440" s="9"/>
      <c r="L440" s="9"/>
      <c r="M440" s="9"/>
      <c r="N440" s="9"/>
      <c r="O440" s="9"/>
      <c r="P440" s="9"/>
      <c r="Q440" s="223"/>
      <c r="R440" s="9"/>
      <c r="S440" s="9"/>
      <c r="T440" s="9"/>
      <c r="U440" s="9"/>
      <c r="V440" s="9"/>
      <c r="W440" s="971"/>
      <c r="X440" s="9"/>
      <c r="Y440" s="9"/>
      <c r="Z440" s="204"/>
      <c r="AA440" s="9"/>
      <c r="AB440" s="9"/>
      <c r="AC440" s="9"/>
      <c r="AD440" s="9"/>
    </row>
    <row r="441" ht="15.75" customHeight="1">
      <c r="A441" s="9"/>
      <c r="B441" s="9"/>
      <c r="C441" s="9"/>
      <c r="D441" s="9"/>
      <c r="E441" s="9"/>
      <c r="F441" s="9"/>
      <c r="G441" s="9"/>
      <c r="H441" s="223"/>
      <c r="I441" s="9"/>
      <c r="J441" s="9"/>
      <c r="K441" s="9"/>
      <c r="L441" s="9"/>
      <c r="M441" s="9"/>
      <c r="N441" s="9"/>
      <c r="O441" s="9"/>
      <c r="P441" s="9"/>
      <c r="Q441" s="223"/>
      <c r="R441" s="9"/>
      <c r="S441" s="9"/>
      <c r="T441" s="9"/>
      <c r="U441" s="9"/>
      <c r="V441" s="9"/>
      <c r="W441" s="971"/>
      <c r="X441" s="9"/>
      <c r="Y441" s="9"/>
      <c r="Z441" s="204"/>
      <c r="AA441" s="9"/>
      <c r="AB441" s="9"/>
      <c r="AC441" s="9"/>
      <c r="AD441" s="9"/>
    </row>
    <row r="442" ht="15.75" customHeight="1">
      <c r="A442" s="9"/>
      <c r="B442" s="9"/>
      <c r="C442" s="9"/>
      <c r="D442" s="9"/>
      <c r="E442" s="9"/>
      <c r="F442" s="9"/>
      <c r="G442" s="9"/>
      <c r="H442" s="223"/>
      <c r="I442" s="9"/>
      <c r="J442" s="9"/>
      <c r="K442" s="9"/>
      <c r="L442" s="9"/>
      <c r="M442" s="9"/>
      <c r="N442" s="9"/>
      <c r="O442" s="9"/>
      <c r="P442" s="9"/>
      <c r="Q442" s="223"/>
      <c r="R442" s="9"/>
      <c r="S442" s="9"/>
      <c r="T442" s="9"/>
      <c r="U442" s="9"/>
      <c r="V442" s="9"/>
      <c r="W442" s="971"/>
      <c r="X442" s="9"/>
      <c r="Y442" s="9"/>
      <c r="Z442" s="204"/>
      <c r="AA442" s="9"/>
      <c r="AB442" s="9"/>
      <c r="AC442" s="9"/>
      <c r="AD442" s="9"/>
    </row>
    <row r="443" ht="15.75" customHeight="1">
      <c r="A443" s="9"/>
      <c r="B443" s="9"/>
      <c r="C443" s="9"/>
      <c r="D443" s="9"/>
      <c r="E443" s="9"/>
      <c r="F443" s="9"/>
      <c r="G443" s="9"/>
      <c r="H443" s="223"/>
      <c r="I443" s="9"/>
      <c r="J443" s="9"/>
      <c r="K443" s="9"/>
      <c r="L443" s="9"/>
      <c r="M443" s="9"/>
      <c r="N443" s="9"/>
      <c r="O443" s="9"/>
      <c r="P443" s="9"/>
      <c r="Q443" s="223"/>
      <c r="R443" s="9"/>
      <c r="S443" s="9"/>
      <c r="T443" s="9"/>
      <c r="U443" s="9"/>
      <c r="V443" s="9"/>
      <c r="W443" s="971"/>
      <c r="X443" s="9"/>
      <c r="Y443" s="9"/>
      <c r="Z443" s="204"/>
      <c r="AA443" s="9"/>
      <c r="AB443" s="9"/>
      <c r="AC443" s="9"/>
      <c r="AD443" s="9"/>
    </row>
    <row r="444" ht="15.75" customHeight="1">
      <c r="A444" s="9"/>
      <c r="B444" s="9"/>
      <c r="C444" s="9"/>
      <c r="D444" s="9"/>
      <c r="E444" s="9"/>
      <c r="F444" s="9"/>
      <c r="G444" s="9"/>
      <c r="H444" s="223"/>
      <c r="I444" s="9"/>
      <c r="J444" s="9"/>
      <c r="K444" s="9"/>
      <c r="L444" s="9"/>
      <c r="M444" s="9"/>
      <c r="N444" s="9"/>
      <c r="O444" s="9"/>
      <c r="P444" s="9"/>
      <c r="Q444" s="223"/>
      <c r="R444" s="9"/>
      <c r="S444" s="9"/>
      <c r="T444" s="9"/>
      <c r="U444" s="9"/>
      <c r="V444" s="9"/>
      <c r="W444" s="971"/>
      <c r="X444" s="9"/>
      <c r="Y444" s="9"/>
      <c r="Z444" s="204"/>
      <c r="AA444" s="9"/>
      <c r="AB444" s="9"/>
      <c r="AC444" s="9"/>
      <c r="AD444" s="9"/>
    </row>
    <row r="445" ht="15.75" customHeight="1">
      <c r="A445" s="9"/>
      <c r="B445" s="9"/>
      <c r="C445" s="9"/>
      <c r="D445" s="9"/>
      <c r="E445" s="9"/>
      <c r="F445" s="9"/>
      <c r="G445" s="9"/>
      <c r="H445" s="223"/>
      <c r="I445" s="9"/>
      <c r="J445" s="9"/>
      <c r="K445" s="9"/>
      <c r="L445" s="9"/>
      <c r="M445" s="9"/>
      <c r="N445" s="9"/>
      <c r="O445" s="9"/>
      <c r="P445" s="9"/>
      <c r="Q445" s="223"/>
      <c r="R445" s="9"/>
      <c r="S445" s="9"/>
      <c r="T445" s="9"/>
      <c r="U445" s="9"/>
      <c r="V445" s="9"/>
      <c r="W445" s="971"/>
      <c r="X445" s="9"/>
      <c r="Y445" s="9"/>
      <c r="Z445" s="204"/>
      <c r="AA445" s="9"/>
      <c r="AB445" s="9"/>
      <c r="AC445" s="9"/>
      <c r="AD445" s="9"/>
    </row>
    <row r="446" ht="15.75" customHeight="1">
      <c r="A446" s="9"/>
      <c r="B446" s="9"/>
      <c r="C446" s="9"/>
      <c r="D446" s="9"/>
      <c r="E446" s="9"/>
      <c r="F446" s="9"/>
      <c r="G446" s="9"/>
      <c r="H446" s="223"/>
      <c r="I446" s="9"/>
      <c r="J446" s="9"/>
      <c r="K446" s="9"/>
      <c r="L446" s="9"/>
      <c r="M446" s="9"/>
      <c r="N446" s="9"/>
      <c r="O446" s="9"/>
      <c r="P446" s="9"/>
      <c r="Q446" s="223"/>
      <c r="R446" s="9"/>
      <c r="S446" s="9"/>
      <c r="T446" s="9"/>
      <c r="U446" s="9"/>
      <c r="V446" s="9"/>
      <c r="W446" s="971"/>
      <c r="X446" s="9"/>
      <c r="Y446" s="9"/>
      <c r="Z446" s="204"/>
      <c r="AA446" s="9"/>
      <c r="AB446" s="9"/>
      <c r="AC446" s="9"/>
      <c r="AD446" s="9"/>
    </row>
    <row r="447" ht="15.75" customHeight="1">
      <c r="A447" s="9"/>
      <c r="B447" s="9"/>
      <c r="C447" s="9"/>
      <c r="D447" s="9"/>
      <c r="E447" s="9"/>
      <c r="F447" s="9"/>
      <c r="G447" s="9"/>
      <c r="H447" s="223"/>
      <c r="I447" s="9"/>
      <c r="J447" s="9"/>
      <c r="K447" s="9"/>
      <c r="L447" s="9"/>
      <c r="M447" s="9"/>
      <c r="N447" s="9"/>
      <c r="O447" s="9"/>
      <c r="P447" s="9"/>
      <c r="Q447" s="223"/>
      <c r="R447" s="9"/>
      <c r="S447" s="9"/>
      <c r="T447" s="9"/>
      <c r="U447" s="9"/>
      <c r="V447" s="9"/>
      <c r="W447" s="971"/>
      <c r="X447" s="9"/>
      <c r="Y447" s="9"/>
      <c r="Z447" s="204"/>
      <c r="AA447" s="9"/>
      <c r="AB447" s="9"/>
      <c r="AC447" s="9"/>
      <c r="AD447" s="9"/>
    </row>
    <row r="448" ht="15.75" customHeight="1">
      <c r="A448" s="9"/>
      <c r="B448" s="9"/>
      <c r="C448" s="9"/>
      <c r="D448" s="9"/>
      <c r="E448" s="9"/>
      <c r="F448" s="9"/>
      <c r="G448" s="9"/>
      <c r="H448" s="223"/>
      <c r="I448" s="9"/>
      <c r="J448" s="9"/>
      <c r="K448" s="9"/>
      <c r="L448" s="9"/>
      <c r="M448" s="9"/>
      <c r="N448" s="9"/>
      <c r="O448" s="9"/>
      <c r="P448" s="9"/>
      <c r="Q448" s="223"/>
      <c r="R448" s="9"/>
      <c r="S448" s="9"/>
      <c r="T448" s="9"/>
      <c r="U448" s="9"/>
      <c r="V448" s="9"/>
      <c r="W448" s="971"/>
      <c r="X448" s="9"/>
      <c r="Y448" s="9"/>
      <c r="Z448" s="204"/>
      <c r="AA448" s="9"/>
      <c r="AB448" s="9"/>
      <c r="AC448" s="9"/>
      <c r="AD448" s="9"/>
    </row>
    <row r="449" ht="15.75" customHeight="1">
      <c r="A449" s="9"/>
      <c r="B449" s="9"/>
      <c r="C449" s="9"/>
      <c r="D449" s="9"/>
      <c r="E449" s="9"/>
      <c r="F449" s="9"/>
      <c r="G449" s="9"/>
      <c r="H449" s="223"/>
      <c r="I449" s="9"/>
      <c r="J449" s="9"/>
      <c r="K449" s="9"/>
      <c r="L449" s="9"/>
      <c r="M449" s="9"/>
      <c r="N449" s="9"/>
      <c r="O449" s="9"/>
      <c r="P449" s="9"/>
      <c r="Q449" s="223"/>
      <c r="R449" s="9"/>
      <c r="S449" s="9"/>
      <c r="T449" s="9"/>
      <c r="U449" s="9"/>
      <c r="V449" s="9"/>
      <c r="W449" s="971"/>
      <c r="X449" s="9"/>
      <c r="Y449" s="9"/>
      <c r="Z449" s="204"/>
      <c r="AA449" s="9"/>
      <c r="AB449" s="9"/>
      <c r="AC449" s="9"/>
      <c r="AD449" s="9"/>
    </row>
    <row r="450" ht="15.75" customHeight="1">
      <c r="A450" s="9"/>
      <c r="B450" s="9"/>
      <c r="C450" s="9"/>
      <c r="D450" s="9"/>
      <c r="E450" s="9"/>
      <c r="F450" s="9"/>
      <c r="G450" s="9"/>
      <c r="H450" s="223"/>
      <c r="I450" s="9"/>
      <c r="J450" s="9"/>
      <c r="K450" s="9"/>
      <c r="L450" s="9"/>
      <c r="M450" s="9"/>
      <c r="N450" s="9"/>
      <c r="O450" s="9"/>
      <c r="P450" s="9"/>
      <c r="Q450" s="223"/>
      <c r="R450" s="9"/>
      <c r="S450" s="9"/>
      <c r="T450" s="9"/>
      <c r="U450" s="9"/>
      <c r="V450" s="9"/>
      <c r="W450" s="971"/>
      <c r="X450" s="9"/>
      <c r="Y450" s="9"/>
      <c r="Z450" s="204"/>
      <c r="AA450" s="9"/>
      <c r="AB450" s="9"/>
      <c r="AC450" s="9"/>
      <c r="AD450" s="9"/>
    </row>
    <row r="451" ht="15.75" customHeight="1">
      <c r="A451" s="9"/>
      <c r="B451" s="9"/>
      <c r="C451" s="9"/>
      <c r="D451" s="9"/>
      <c r="E451" s="9"/>
      <c r="F451" s="9"/>
      <c r="G451" s="9"/>
      <c r="H451" s="223"/>
      <c r="I451" s="9"/>
      <c r="J451" s="9"/>
      <c r="K451" s="9"/>
      <c r="L451" s="9"/>
      <c r="M451" s="9"/>
      <c r="N451" s="9"/>
      <c r="O451" s="9"/>
      <c r="P451" s="9"/>
      <c r="Q451" s="223"/>
      <c r="R451" s="9"/>
      <c r="S451" s="9"/>
      <c r="T451" s="9"/>
      <c r="U451" s="9"/>
      <c r="V451" s="9"/>
      <c r="W451" s="971"/>
      <c r="X451" s="9"/>
      <c r="Y451" s="9"/>
      <c r="Z451" s="204"/>
      <c r="AA451" s="9"/>
      <c r="AB451" s="9"/>
      <c r="AC451" s="9"/>
      <c r="AD451" s="9"/>
    </row>
    <row r="452" ht="15.75" customHeight="1">
      <c r="A452" s="9"/>
      <c r="B452" s="9"/>
      <c r="C452" s="9"/>
      <c r="D452" s="9"/>
      <c r="E452" s="9"/>
      <c r="F452" s="9"/>
      <c r="G452" s="9"/>
      <c r="H452" s="223"/>
      <c r="I452" s="9"/>
      <c r="J452" s="9"/>
      <c r="K452" s="9"/>
      <c r="L452" s="9"/>
      <c r="M452" s="9"/>
      <c r="N452" s="9"/>
      <c r="O452" s="9"/>
      <c r="P452" s="9"/>
      <c r="Q452" s="223"/>
      <c r="R452" s="9"/>
      <c r="S452" s="9"/>
      <c r="T452" s="9"/>
      <c r="U452" s="9"/>
      <c r="V452" s="9"/>
      <c r="W452" s="971"/>
      <c r="X452" s="9"/>
      <c r="Y452" s="9"/>
      <c r="Z452" s="204"/>
      <c r="AA452" s="9"/>
      <c r="AB452" s="9"/>
      <c r="AC452" s="9"/>
      <c r="AD452" s="9"/>
    </row>
    <row r="453" ht="15.75" customHeight="1">
      <c r="A453" s="9"/>
      <c r="B453" s="9"/>
      <c r="C453" s="9"/>
      <c r="D453" s="9"/>
      <c r="E453" s="9"/>
      <c r="F453" s="9"/>
      <c r="G453" s="9"/>
      <c r="H453" s="223"/>
      <c r="I453" s="9"/>
      <c r="J453" s="9"/>
      <c r="K453" s="9"/>
      <c r="L453" s="9"/>
      <c r="M453" s="9"/>
      <c r="N453" s="9"/>
      <c r="O453" s="9"/>
      <c r="P453" s="9"/>
      <c r="Q453" s="223"/>
      <c r="R453" s="9"/>
      <c r="S453" s="9"/>
      <c r="T453" s="9"/>
      <c r="U453" s="9"/>
      <c r="V453" s="9"/>
      <c r="W453" s="971"/>
      <c r="X453" s="9"/>
      <c r="Y453" s="9"/>
      <c r="Z453" s="204"/>
      <c r="AA453" s="9"/>
      <c r="AB453" s="9"/>
      <c r="AC453" s="9"/>
      <c r="AD453" s="9"/>
    </row>
    <row r="454" ht="15.75" customHeight="1">
      <c r="A454" s="9"/>
      <c r="B454" s="9"/>
      <c r="C454" s="9"/>
      <c r="D454" s="9"/>
      <c r="E454" s="9"/>
      <c r="F454" s="9"/>
      <c r="G454" s="9"/>
      <c r="H454" s="223"/>
      <c r="I454" s="9"/>
      <c r="J454" s="9"/>
      <c r="K454" s="9"/>
      <c r="L454" s="9"/>
      <c r="M454" s="9"/>
      <c r="N454" s="9"/>
      <c r="O454" s="9"/>
      <c r="P454" s="9"/>
      <c r="Q454" s="223"/>
      <c r="R454" s="9"/>
      <c r="S454" s="9"/>
      <c r="T454" s="9"/>
      <c r="U454" s="9"/>
      <c r="V454" s="9"/>
      <c r="W454" s="971"/>
      <c r="X454" s="9"/>
      <c r="Y454" s="9"/>
      <c r="Z454" s="204"/>
      <c r="AA454" s="9"/>
      <c r="AB454" s="9"/>
      <c r="AC454" s="9"/>
      <c r="AD454" s="9"/>
    </row>
    <row r="455" ht="15.75" customHeight="1">
      <c r="A455" s="9"/>
      <c r="B455" s="9"/>
      <c r="C455" s="9"/>
      <c r="D455" s="9"/>
      <c r="E455" s="9"/>
      <c r="F455" s="9"/>
      <c r="G455" s="9"/>
      <c r="H455" s="223"/>
      <c r="I455" s="9"/>
      <c r="J455" s="9"/>
      <c r="K455" s="9"/>
      <c r="L455" s="9"/>
      <c r="M455" s="9"/>
      <c r="N455" s="9"/>
      <c r="O455" s="9"/>
      <c r="P455" s="9"/>
      <c r="Q455" s="223"/>
      <c r="R455" s="9"/>
      <c r="S455" s="9"/>
      <c r="T455" s="9"/>
      <c r="U455" s="9"/>
      <c r="V455" s="9"/>
      <c r="W455" s="971"/>
      <c r="X455" s="9"/>
      <c r="Y455" s="9"/>
      <c r="Z455" s="204"/>
      <c r="AA455" s="9"/>
      <c r="AB455" s="9"/>
      <c r="AC455" s="9"/>
      <c r="AD455" s="9"/>
    </row>
    <row r="456" ht="15.75" customHeight="1">
      <c r="A456" s="9"/>
      <c r="B456" s="9"/>
      <c r="C456" s="9"/>
      <c r="D456" s="9"/>
      <c r="E456" s="9"/>
      <c r="F456" s="9"/>
      <c r="G456" s="9"/>
      <c r="H456" s="223"/>
      <c r="I456" s="9"/>
      <c r="J456" s="9"/>
      <c r="K456" s="9"/>
      <c r="L456" s="9"/>
      <c r="M456" s="9"/>
      <c r="N456" s="9"/>
      <c r="O456" s="9"/>
      <c r="P456" s="9"/>
      <c r="Q456" s="223"/>
      <c r="R456" s="9"/>
      <c r="S456" s="9"/>
      <c r="T456" s="9"/>
      <c r="U456" s="9"/>
      <c r="V456" s="9"/>
      <c r="W456" s="971"/>
      <c r="X456" s="9"/>
      <c r="Y456" s="9"/>
      <c r="Z456" s="204"/>
      <c r="AA456" s="9"/>
      <c r="AB456" s="9"/>
      <c r="AC456" s="9"/>
      <c r="AD456" s="9"/>
    </row>
    <row r="457" ht="15.75" customHeight="1">
      <c r="A457" s="9"/>
      <c r="B457" s="9"/>
      <c r="C457" s="9"/>
      <c r="D457" s="9"/>
      <c r="E457" s="9"/>
      <c r="F457" s="9"/>
      <c r="G457" s="9"/>
      <c r="H457" s="223"/>
      <c r="I457" s="9"/>
      <c r="J457" s="9"/>
      <c r="K457" s="9"/>
      <c r="L457" s="9"/>
      <c r="M457" s="9"/>
      <c r="N457" s="9"/>
      <c r="O457" s="9"/>
      <c r="P457" s="9"/>
      <c r="Q457" s="223"/>
      <c r="R457" s="9"/>
      <c r="S457" s="9"/>
      <c r="T457" s="9"/>
      <c r="U457" s="9"/>
      <c r="V457" s="9"/>
      <c r="W457" s="971"/>
      <c r="X457" s="9"/>
      <c r="Y457" s="9"/>
      <c r="Z457" s="204"/>
      <c r="AA457" s="9"/>
      <c r="AB457" s="9"/>
      <c r="AC457" s="9"/>
      <c r="AD457" s="9"/>
    </row>
    <row r="458" ht="15.75" customHeight="1">
      <c r="A458" s="9"/>
      <c r="B458" s="9"/>
      <c r="C458" s="9"/>
      <c r="D458" s="9"/>
      <c r="E458" s="9"/>
      <c r="F458" s="9"/>
      <c r="G458" s="9"/>
      <c r="H458" s="223"/>
      <c r="I458" s="9"/>
      <c r="J458" s="9"/>
      <c r="K458" s="9"/>
      <c r="L458" s="9"/>
      <c r="M458" s="9"/>
      <c r="N458" s="9"/>
      <c r="O458" s="9"/>
      <c r="P458" s="9"/>
      <c r="Q458" s="223"/>
      <c r="R458" s="9"/>
      <c r="S458" s="9"/>
      <c r="T458" s="9"/>
      <c r="U458" s="9"/>
      <c r="V458" s="9"/>
      <c r="W458" s="971"/>
      <c r="X458" s="9"/>
      <c r="Y458" s="9"/>
      <c r="Z458" s="204"/>
      <c r="AA458" s="9"/>
      <c r="AB458" s="9"/>
      <c r="AC458" s="9"/>
      <c r="AD458" s="9"/>
    </row>
    <row r="459" ht="15.75" customHeight="1">
      <c r="A459" s="9"/>
      <c r="B459" s="9"/>
      <c r="C459" s="9"/>
      <c r="D459" s="9"/>
      <c r="E459" s="9"/>
      <c r="F459" s="9"/>
      <c r="G459" s="9"/>
      <c r="H459" s="223"/>
      <c r="I459" s="9"/>
      <c r="J459" s="9"/>
      <c r="K459" s="9"/>
      <c r="L459" s="9"/>
      <c r="M459" s="9"/>
      <c r="N459" s="9"/>
      <c r="O459" s="9"/>
      <c r="P459" s="9"/>
      <c r="Q459" s="223"/>
      <c r="R459" s="9"/>
      <c r="S459" s="9"/>
      <c r="T459" s="9"/>
      <c r="U459" s="9"/>
      <c r="V459" s="9"/>
      <c r="W459" s="971"/>
      <c r="X459" s="9"/>
      <c r="Y459" s="9"/>
      <c r="Z459" s="204"/>
      <c r="AA459" s="9"/>
      <c r="AB459" s="9"/>
      <c r="AC459" s="9"/>
      <c r="AD459" s="9"/>
    </row>
    <row r="460" ht="15.75" customHeight="1">
      <c r="A460" s="9"/>
      <c r="B460" s="9"/>
      <c r="C460" s="9"/>
      <c r="D460" s="9"/>
      <c r="E460" s="9"/>
      <c r="F460" s="9"/>
      <c r="G460" s="9"/>
      <c r="H460" s="223"/>
      <c r="I460" s="9"/>
      <c r="J460" s="9"/>
      <c r="K460" s="9"/>
      <c r="L460" s="9"/>
      <c r="M460" s="9"/>
      <c r="N460" s="9"/>
      <c r="O460" s="9"/>
      <c r="P460" s="9"/>
      <c r="Q460" s="223"/>
      <c r="R460" s="9"/>
      <c r="S460" s="9"/>
      <c r="T460" s="9"/>
      <c r="U460" s="9"/>
      <c r="V460" s="9"/>
      <c r="W460" s="971"/>
      <c r="X460" s="9"/>
      <c r="Y460" s="9"/>
      <c r="Z460" s="204"/>
      <c r="AA460" s="9"/>
      <c r="AB460" s="9"/>
      <c r="AC460" s="9"/>
      <c r="AD460" s="9"/>
    </row>
    <row r="461" ht="15.75" customHeight="1">
      <c r="A461" s="9"/>
      <c r="B461" s="9"/>
      <c r="C461" s="9"/>
      <c r="D461" s="9"/>
      <c r="E461" s="9"/>
      <c r="F461" s="9"/>
      <c r="G461" s="9"/>
      <c r="H461" s="223"/>
      <c r="I461" s="9"/>
      <c r="J461" s="9"/>
      <c r="K461" s="9"/>
      <c r="L461" s="9"/>
      <c r="M461" s="9"/>
      <c r="N461" s="9"/>
      <c r="O461" s="9"/>
      <c r="P461" s="9"/>
      <c r="Q461" s="223"/>
      <c r="R461" s="9"/>
      <c r="S461" s="9"/>
      <c r="T461" s="9"/>
      <c r="U461" s="9"/>
      <c r="V461" s="9"/>
      <c r="W461" s="971"/>
      <c r="X461" s="9"/>
      <c r="Y461" s="9"/>
      <c r="Z461" s="204"/>
      <c r="AA461" s="9"/>
      <c r="AB461" s="9"/>
      <c r="AC461" s="9"/>
      <c r="AD461" s="9"/>
    </row>
    <row r="462" ht="15.75" customHeight="1">
      <c r="A462" s="9"/>
      <c r="B462" s="9"/>
      <c r="C462" s="9"/>
      <c r="D462" s="9"/>
      <c r="E462" s="9"/>
      <c r="F462" s="9"/>
      <c r="G462" s="9"/>
      <c r="H462" s="223"/>
      <c r="I462" s="9"/>
      <c r="J462" s="9"/>
      <c r="K462" s="9"/>
      <c r="L462" s="9"/>
      <c r="M462" s="9"/>
      <c r="N462" s="9"/>
      <c r="O462" s="9"/>
      <c r="P462" s="9"/>
      <c r="Q462" s="223"/>
      <c r="R462" s="9"/>
      <c r="S462" s="9"/>
      <c r="T462" s="9"/>
      <c r="U462" s="9"/>
      <c r="V462" s="9"/>
      <c r="W462" s="971"/>
      <c r="X462" s="9"/>
      <c r="Y462" s="9"/>
      <c r="Z462" s="204"/>
      <c r="AA462" s="9"/>
      <c r="AB462" s="9"/>
      <c r="AC462" s="9"/>
      <c r="AD462" s="9"/>
    </row>
    <row r="463" ht="15.75" customHeight="1">
      <c r="A463" s="9"/>
      <c r="B463" s="9"/>
      <c r="C463" s="9"/>
      <c r="D463" s="9"/>
      <c r="E463" s="9"/>
      <c r="F463" s="9"/>
      <c r="G463" s="9"/>
      <c r="H463" s="223"/>
      <c r="I463" s="9"/>
      <c r="J463" s="9"/>
      <c r="K463" s="9"/>
      <c r="L463" s="9"/>
      <c r="M463" s="9"/>
      <c r="N463" s="9"/>
      <c r="O463" s="9"/>
      <c r="P463" s="9"/>
      <c r="Q463" s="223"/>
      <c r="R463" s="9"/>
      <c r="S463" s="9"/>
      <c r="T463" s="9"/>
      <c r="U463" s="9"/>
      <c r="V463" s="9"/>
      <c r="W463" s="971"/>
      <c r="X463" s="9"/>
      <c r="Y463" s="9"/>
      <c r="Z463" s="204"/>
      <c r="AA463" s="9"/>
      <c r="AB463" s="9"/>
      <c r="AC463" s="9"/>
      <c r="AD463" s="9"/>
    </row>
    <row r="464" ht="15.75" customHeight="1">
      <c r="A464" s="9"/>
      <c r="B464" s="9"/>
      <c r="C464" s="9"/>
      <c r="D464" s="9"/>
      <c r="E464" s="9"/>
      <c r="F464" s="9"/>
      <c r="G464" s="9"/>
      <c r="H464" s="223"/>
      <c r="I464" s="9"/>
      <c r="J464" s="9"/>
      <c r="K464" s="9"/>
      <c r="L464" s="9"/>
      <c r="M464" s="9"/>
      <c r="N464" s="9"/>
      <c r="O464" s="9"/>
      <c r="P464" s="9"/>
      <c r="Q464" s="223"/>
      <c r="R464" s="9"/>
      <c r="S464" s="9"/>
      <c r="T464" s="9"/>
      <c r="U464" s="9"/>
      <c r="V464" s="9"/>
      <c r="W464" s="971"/>
      <c r="X464" s="9"/>
      <c r="Y464" s="9"/>
      <c r="Z464" s="204"/>
      <c r="AA464" s="9"/>
      <c r="AB464" s="9"/>
      <c r="AC464" s="9"/>
      <c r="AD464" s="9"/>
    </row>
    <row r="465" ht="15.75" customHeight="1">
      <c r="A465" s="9"/>
      <c r="B465" s="9"/>
      <c r="C465" s="9"/>
      <c r="D465" s="9"/>
      <c r="E465" s="9"/>
      <c r="F465" s="9"/>
      <c r="G465" s="9"/>
      <c r="H465" s="223"/>
      <c r="I465" s="9"/>
      <c r="J465" s="9"/>
      <c r="K465" s="9"/>
      <c r="L465" s="9"/>
      <c r="M465" s="9"/>
      <c r="N465" s="9"/>
      <c r="O465" s="9"/>
      <c r="P465" s="9"/>
      <c r="Q465" s="223"/>
      <c r="R465" s="9"/>
      <c r="S465" s="9"/>
      <c r="T465" s="9"/>
      <c r="U465" s="9"/>
      <c r="V465" s="9"/>
      <c r="W465" s="971"/>
      <c r="X465" s="9"/>
      <c r="Y465" s="9"/>
      <c r="Z465" s="204"/>
      <c r="AA465" s="9"/>
      <c r="AB465" s="9"/>
      <c r="AC465" s="9"/>
      <c r="AD465" s="9"/>
    </row>
    <row r="466" ht="15.75" customHeight="1">
      <c r="A466" s="9"/>
      <c r="B466" s="9"/>
      <c r="C466" s="9"/>
      <c r="D466" s="9"/>
      <c r="E466" s="9"/>
      <c r="F466" s="9"/>
      <c r="G466" s="9"/>
      <c r="H466" s="223"/>
      <c r="I466" s="9"/>
      <c r="J466" s="9"/>
      <c r="K466" s="9"/>
      <c r="L466" s="9"/>
      <c r="M466" s="9"/>
      <c r="N466" s="9"/>
      <c r="O466" s="9"/>
      <c r="P466" s="9"/>
      <c r="Q466" s="223"/>
      <c r="R466" s="9"/>
      <c r="S466" s="9"/>
      <c r="T466" s="9"/>
      <c r="U466" s="9"/>
      <c r="V466" s="9"/>
      <c r="W466" s="971"/>
      <c r="X466" s="9"/>
      <c r="Y466" s="9"/>
      <c r="Z466" s="204"/>
      <c r="AA466" s="9"/>
      <c r="AB466" s="9"/>
      <c r="AC466" s="9"/>
      <c r="AD466" s="9"/>
    </row>
    <row r="467" ht="15.75" customHeight="1">
      <c r="A467" s="9"/>
      <c r="B467" s="9"/>
      <c r="C467" s="9"/>
      <c r="D467" s="9"/>
      <c r="E467" s="9"/>
      <c r="F467" s="9"/>
      <c r="G467" s="9"/>
      <c r="H467" s="223"/>
      <c r="I467" s="9"/>
      <c r="J467" s="9"/>
      <c r="K467" s="9"/>
      <c r="L467" s="9"/>
      <c r="M467" s="9"/>
      <c r="N467" s="9"/>
      <c r="O467" s="9"/>
      <c r="P467" s="9"/>
      <c r="Q467" s="223"/>
      <c r="R467" s="9"/>
      <c r="S467" s="9"/>
      <c r="T467" s="9"/>
      <c r="U467" s="9"/>
      <c r="V467" s="9"/>
      <c r="W467" s="971"/>
      <c r="X467" s="9"/>
      <c r="Y467" s="9"/>
      <c r="Z467" s="204"/>
      <c r="AA467" s="9"/>
      <c r="AB467" s="9"/>
      <c r="AC467" s="9"/>
      <c r="AD467" s="9"/>
    </row>
    <row r="468" ht="15.75" customHeight="1">
      <c r="A468" s="9"/>
      <c r="B468" s="9"/>
      <c r="C468" s="9"/>
      <c r="D468" s="9"/>
      <c r="E468" s="9"/>
      <c r="F468" s="9"/>
      <c r="G468" s="9"/>
      <c r="H468" s="223"/>
      <c r="I468" s="9"/>
      <c r="J468" s="9"/>
      <c r="K468" s="9"/>
      <c r="L468" s="9"/>
      <c r="M468" s="9"/>
      <c r="N468" s="9"/>
      <c r="O468" s="9"/>
      <c r="P468" s="9"/>
      <c r="Q468" s="223"/>
      <c r="R468" s="9"/>
      <c r="S468" s="9"/>
      <c r="T468" s="9"/>
      <c r="U468" s="9"/>
      <c r="V468" s="9"/>
      <c r="W468" s="971"/>
      <c r="X468" s="9"/>
      <c r="Y468" s="9"/>
      <c r="Z468" s="204"/>
      <c r="AA468" s="9"/>
      <c r="AB468" s="9"/>
      <c r="AC468" s="9"/>
      <c r="AD468" s="9"/>
    </row>
    <row r="469" ht="15.75" customHeight="1">
      <c r="A469" s="9"/>
      <c r="B469" s="9"/>
      <c r="C469" s="9"/>
      <c r="D469" s="9"/>
      <c r="E469" s="9"/>
      <c r="F469" s="9"/>
      <c r="G469" s="9"/>
      <c r="H469" s="223"/>
      <c r="I469" s="9"/>
      <c r="J469" s="9"/>
      <c r="K469" s="9"/>
      <c r="L469" s="9"/>
      <c r="M469" s="9"/>
      <c r="N469" s="9"/>
      <c r="O469" s="9"/>
      <c r="P469" s="9"/>
      <c r="Q469" s="223"/>
      <c r="R469" s="9"/>
      <c r="S469" s="9"/>
      <c r="T469" s="9"/>
      <c r="U469" s="9"/>
      <c r="V469" s="9"/>
      <c r="W469" s="971"/>
      <c r="X469" s="9"/>
      <c r="Y469" s="9"/>
      <c r="Z469" s="204"/>
      <c r="AA469" s="9"/>
      <c r="AB469" s="9"/>
      <c r="AC469" s="9"/>
      <c r="AD469" s="9"/>
    </row>
    <row r="470" ht="15.75" customHeight="1">
      <c r="A470" s="9"/>
      <c r="B470" s="9"/>
      <c r="C470" s="9"/>
      <c r="D470" s="9"/>
      <c r="E470" s="9"/>
      <c r="F470" s="9"/>
      <c r="G470" s="9"/>
      <c r="H470" s="223"/>
      <c r="I470" s="9"/>
      <c r="J470" s="9"/>
      <c r="K470" s="9"/>
      <c r="L470" s="9"/>
      <c r="M470" s="9"/>
      <c r="N470" s="9"/>
      <c r="O470" s="9"/>
      <c r="P470" s="9"/>
      <c r="Q470" s="223"/>
      <c r="R470" s="9"/>
      <c r="S470" s="9"/>
      <c r="T470" s="9"/>
      <c r="U470" s="9"/>
      <c r="V470" s="9"/>
      <c r="W470" s="971"/>
      <c r="X470" s="9"/>
      <c r="Y470" s="9"/>
      <c r="Z470" s="204"/>
      <c r="AA470" s="9"/>
      <c r="AB470" s="9"/>
      <c r="AC470" s="9"/>
      <c r="AD470" s="9"/>
    </row>
    <row r="471" ht="15.75" customHeight="1">
      <c r="A471" s="9"/>
      <c r="B471" s="9"/>
      <c r="C471" s="9"/>
      <c r="D471" s="9"/>
      <c r="E471" s="9"/>
      <c r="F471" s="9"/>
      <c r="G471" s="9"/>
      <c r="H471" s="223"/>
      <c r="I471" s="9"/>
      <c r="J471" s="9"/>
      <c r="K471" s="9"/>
      <c r="L471" s="9"/>
      <c r="M471" s="9"/>
      <c r="N471" s="9"/>
      <c r="O471" s="9"/>
      <c r="P471" s="9"/>
      <c r="Q471" s="223"/>
      <c r="R471" s="9"/>
      <c r="S471" s="9"/>
      <c r="T471" s="9"/>
      <c r="U471" s="9"/>
      <c r="V471" s="9"/>
      <c r="W471" s="971"/>
      <c r="X471" s="9"/>
      <c r="Y471" s="9"/>
      <c r="Z471" s="204"/>
      <c r="AA471" s="9"/>
      <c r="AB471" s="9"/>
      <c r="AC471" s="9"/>
      <c r="AD471" s="9"/>
    </row>
    <row r="472" ht="15.75" customHeight="1">
      <c r="A472" s="9"/>
      <c r="B472" s="9"/>
      <c r="C472" s="9"/>
      <c r="D472" s="9"/>
      <c r="E472" s="9"/>
      <c r="F472" s="9"/>
      <c r="G472" s="9"/>
      <c r="H472" s="223"/>
      <c r="I472" s="9"/>
      <c r="J472" s="9"/>
      <c r="K472" s="9"/>
      <c r="L472" s="9"/>
      <c r="M472" s="9"/>
      <c r="N472" s="9"/>
      <c r="O472" s="9"/>
      <c r="P472" s="9"/>
      <c r="Q472" s="223"/>
      <c r="R472" s="9"/>
      <c r="S472" s="9"/>
      <c r="T472" s="9"/>
      <c r="U472" s="9"/>
      <c r="V472" s="9"/>
      <c r="W472" s="971"/>
      <c r="X472" s="9"/>
      <c r="Y472" s="9"/>
      <c r="Z472" s="204"/>
      <c r="AA472" s="9"/>
      <c r="AB472" s="9"/>
      <c r="AC472" s="9"/>
      <c r="AD472" s="9"/>
    </row>
    <row r="473" ht="15.75" customHeight="1">
      <c r="A473" s="9"/>
      <c r="B473" s="9"/>
      <c r="C473" s="9"/>
      <c r="D473" s="9"/>
      <c r="E473" s="9"/>
      <c r="F473" s="9"/>
      <c r="G473" s="9"/>
      <c r="H473" s="223"/>
      <c r="I473" s="9"/>
      <c r="J473" s="9"/>
      <c r="K473" s="9"/>
      <c r="L473" s="9"/>
      <c r="M473" s="9"/>
      <c r="N473" s="9"/>
      <c r="O473" s="9"/>
      <c r="P473" s="9"/>
      <c r="Q473" s="223"/>
      <c r="R473" s="9"/>
      <c r="S473" s="9"/>
      <c r="T473" s="9"/>
      <c r="U473" s="9"/>
      <c r="V473" s="9"/>
      <c r="W473" s="971"/>
      <c r="X473" s="9"/>
      <c r="Y473" s="9"/>
      <c r="Z473" s="204"/>
      <c r="AA473" s="9"/>
      <c r="AB473" s="9"/>
      <c r="AC473" s="9"/>
      <c r="AD473" s="9"/>
    </row>
    <row r="474" ht="15.75" customHeight="1">
      <c r="A474" s="9"/>
      <c r="B474" s="9"/>
      <c r="C474" s="9"/>
      <c r="D474" s="9"/>
      <c r="E474" s="9"/>
      <c r="F474" s="9"/>
      <c r="G474" s="9"/>
      <c r="H474" s="223"/>
      <c r="I474" s="9"/>
      <c r="J474" s="9"/>
      <c r="K474" s="9"/>
      <c r="L474" s="9"/>
      <c r="M474" s="9"/>
      <c r="N474" s="9"/>
      <c r="O474" s="9"/>
      <c r="P474" s="9"/>
      <c r="Q474" s="223"/>
      <c r="R474" s="9"/>
      <c r="S474" s="9"/>
      <c r="T474" s="9"/>
      <c r="U474" s="9"/>
      <c r="V474" s="9"/>
      <c r="W474" s="971"/>
      <c r="X474" s="9"/>
      <c r="Y474" s="9"/>
      <c r="Z474" s="204"/>
      <c r="AA474" s="9"/>
      <c r="AB474" s="9"/>
      <c r="AC474" s="9"/>
      <c r="AD474" s="9"/>
    </row>
    <row r="475" ht="15.75" customHeight="1">
      <c r="A475" s="9"/>
      <c r="B475" s="9"/>
      <c r="C475" s="9"/>
      <c r="D475" s="9"/>
      <c r="E475" s="9"/>
      <c r="F475" s="9"/>
      <c r="G475" s="9"/>
      <c r="H475" s="223"/>
      <c r="I475" s="9"/>
      <c r="J475" s="9"/>
      <c r="K475" s="9"/>
      <c r="L475" s="9"/>
      <c r="M475" s="9"/>
      <c r="N475" s="9"/>
      <c r="O475" s="9"/>
      <c r="P475" s="9"/>
      <c r="Q475" s="223"/>
      <c r="R475" s="9"/>
      <c r="S475" s="9"/>
      <c r="T475" s="9"/>
      <c r="U475" s="9"/>
      <c r="V475" s="9"/>
      <c r="W475" s="971"/>
      <c r="X475" s="9"/>
      <c r="Y475" s="9"/>
      <c r="Z475" s="204"/>
      <c r="AA475" s="9"/>
      <c r="AB475" s="9"/>
      <c r="AC475" s="9"/>
      <c r="AD475" s="9"/>
    </row>
    <row r="476" ht="15.75" customHeight="1">
      <c r="A476" s="9"/>
      <c r="B476" s="9"/>
      <c r="C476" s="9"/>
      <c r="D476" s="9"/>
      <c r="E476" s="9"/>
      <c r="F476" s="9"/>
      <c r="G476" s="9"/>
      <c r="H476" s="223"/>
      <c r="I476" s="9"/>
      <c r="J476" s="9"/>
      <c r="K476" s="9"/>
      <c r="L476" s="9"/>
      <c r="M476" s="9"/>
      <c r="N476" s="9"/>
      <c r="O476" s="9"/>
      <c r="P476" s="9"/>
      <c r="Q476" s="223"/>
      <c r="R476" s="9"/>
      <c r="S476" s="9"/>
      <c r="T476" s="9"/>
      <c r="U476" s="9"/>
      <c r="V476" s="9"/>
      <c r="W476" s="971"/>
      <c r="X476" s="9"/>
      <c r="Y476" s="9"/>
      <c r="Z476" s="204"/>
      <c r="AA476" s="9"/>
      <c r="AB476" s="9"/>
      <c r="AC476" s="9"/>
      <c r="AD476" s="9"/>
    </row>
    <row r="477" ht="15.75" customHeight="1">
      <c r="A477" s="9"/>
      <c r="B477" s="9"/>
      <c r="C477" s="9"/>
      <c r="D477" s="9"/>
      <c r="E477" s="9"/>
      <c r="F477" s="9"/>
      <c r="G477" s="9"/>
      <c r="H477" s="223"/>
      <c r="I477" s="9"/>
      <c r="J477" s="9"/>
      <c r="K477" s="9"/>
      <c r="L477" s="9"/>
      <c r="M477" s="9"/>
      <c r="N477" s="9"/>
      <c r="O477" s="9"/>
      <c r="P477" s="9"/>
      <c r="Q477" s="223"/>
      <c r="R477" s="9"/>
      <c r="S477" s="9"/>
      <c r="T477" s="9"/>
      <c r="U477" s="9"/>
      <c r="V477" s="9"/>
      <c r="W477" s="971"/>
      <c r="X477" s="9"/>
      <c r="Y477" s="9"/>
      <c r="Z477" s="204"/>
      <c r="AA477" s="9"/>
      <c r="AB477" s="9"/>
      <c r="AC477" s="9"/>
      <c r="AD477" s="9"/>
    </row>
    <row r="478" ht="15.75" customHeight="1">
      <c r="A478" s="9"/>
      <c r="B478" s="9"/>
      <c r="C478" s="9"/>
      <c r="D478" s="9"/>
      <c r="E478" s="9"/>
      <c r="F478" s="9"/>
      <c r="G478" s="9"/>
      <c r="H478" s="223"/>
      <c r="I478" s="9"/>
      <c r="J478" s="9"/>
      <c r="K478" s="9"/>
      <c r="L478" s="9"/>
      <c r="M478" s="9"/>
      <c r="N478" s="9"/>
      <c r="O478" s="9"/>
      <c r="P478" s="9"/>
      <c r="Q478" s="223"/>
      <c r="R478" s="9"/>
      <c r="S478" s="9"/>
      <c r="T478" s="9"/>
      <c r="U478" s="9"/>
      <c r="V478" s="9"/>
      <c r="W478" s="971"/>
      <c r="X478" s="9"/>
      <c r="Y478" s="9"/>
      <c r="Z478" s="204"/>
      <c r="AA478" s="9"/>
      <c r="AB478" s="9"/>
      <c r="AC478" s="9"/>
      <c r="AD478" s="9"/>
    </row>
    <row r="479" ht="15.75" customHeight="1">
      <c r="A479" s="9"/>
      <c r="B479" s="9"/>
      <c r="C479" s="9"/>
      <c r="D479" s="9"/>
      <c r="E479" s="9"/>
      <c r="F479" s="9"/>
      <c r="G479" s="9"/>
      <c r="H479" s="223"/>
      <c r="I479" s="9"/>
      <c r="J479" s="9"/>
      <c r="K479" s="9"/>
      <c r="L479" s="9"/>
      <c r="M479" s="9"/>
      <c r="N479" s="9"/>
      <c r="O479" s="9"/>
      <c r="P479" s="9"/>
      <c r="Q479" s="223"/>
      <c r="R479" s="9"/>
      <c r="S479" s="9"/>
      <c r="T479" s="9"/>
      <c r="U479" s="9"/>
      <c r="V479" s="9"/>
      <c r="W479" s="971"/>
      <c r="X479" s="9"/>
      <c r="Y479" s="9"/>
      <c r="Z479" s="204"/>
      <c r="AA479" s="9"/>
      <c r="AB479" s="9"/>
      <c r="AC479" s="9"/>
      <c r="AD479" s="9"/>
    </row>
    <row r="480" ht="15.75" customHeight="1">
      <c r="A480" s="9"/>
      <c r="B480" s="9"/>
      <c r="C480" s="9"/>
      <c r="D480" s="9"/>
      <c r="E480" s="9"/>
      <c r="F480" s="9"/>
      <c r="G480" s="9"/>
      <c r="H480" s="223"/>
      <c r="I480" s="9"/>
      <c r="J480" s="9"/>
      <c r="K480" s="9"/>
      <c r="L480" s="9"/>
      <c r="M480" s="9"/>
      <c r="N480" s="9"/>
      <c r="O480" s="9"/>
      <c r="P480" s="9"/>
      <c r="Q480" s="223"/>
      <c r="R480" s="9"/>
      <c r="S480" s="9"/>
      <c r="T480" s="9"/>
      <c r="U480" s="9"/>
      <c r="V480" s="9"/>
      <c r="W480" s="971"/>
      <c r="X480" s="9"/>
      <c r="Y480" s="9"/>
      <c r="Z480" s="204"/>
      <c r="AA480" s="9"/>
      <c r="AB480" s="9"/>
      <c r="AC480" s="9"/>
      <c r="AD480" s="9"/>
    </row>
    <row r="481" ht="15.75" customHeight="1">
      <c r="A481" s="9"/>
      <c r="B481" s="9"/>
      <c r="C481" s="9"/>
      <c r="D481" s="9"/>
      <c r="E481" s="9"/>
      <c r="F481" s="9"/>
      <c r="G481" s="9"/>
      <c r="H481" s="223"/>
      <c r="I481" s="9"/>
      <c r="J481" s="9"/>
      <c r="K481" s="9"/>
      <c r="L481" s="9"/>
      <c r="M481" s="9"/>
      <c r="N481" s="9"/>
      <c r="O481" s="9"/>
      <c r="P481" s="9"/>
      <c r="Q481" s="223"/>
      <c r="R481" s="9"/>
      <c r="S481" s="9"/>
      <c r="T481" s="9"/>
      <c r="U481" s="9"/>
      <c r="V481" s="9"/>
      <c r="W481" s="971"/>
      <c r="X481" s="9"/>
      <c r="Y481" s="9"/>
      <c r="Z481" s="204"/>
      <c r="AA481" s="9"/>
      <c r="AB481" s="9"/>
      <c r="AC481" s="9"/>
      <c r="AD481" s="9"/>
    </row>
    <row r="482" ht="15.75" customHeight="1">
      <c r="A482" s="9"/>
      <c r="B482" s="9"/>
      <c r="C482" s="9"/>
      <c r="D482" s="9"/>
      <c r="E482" s="9"/>
      <c r="F482" s="9"/>
      <c r="G482" s="9"/>
      <c r="H482" s="223"/>
      <c r="I482" s="9"/>
      <c r="J482" s="9"/>
      <c r="K482" s="9"/>
      <c r="L482" s="9"/>
      <c r="M482" s="9"/>
      <c r="N482" s="9"/>
      <c r="O482" s="9"/>
      <c r="P482" s="9"/>
      <c r="Q482" s="223"/>
      <c r="R482" s="9"/>
      <c r="S482" s="9"/>
      <c r="T482" s="9"/>
      <c r="U482" s="9"/>
      <c r="V482" s="9"/>
      <c r="W482" s="971"/>
      <c r="X482" s="9"/>
      <c r="Y482" s="9"/>
      <c r="Z482" s="204"/>
      <c r="AA482" s="9"/>
      <c r="AB482" s="9"/>
      <c r="AC482" s="9"/>
      <c r="AD482" s="9"/>
    </row>
    <row r="483" ht="15.75" customHeight="1">
      <c r="A483" s="9"/>
      <c r="B483" s="9"/>
      <c r="C483" s="9"/>
      <c r="D483" s="9"/>
      <c r="E483" s="9"/>
      <c r="F483" s="9"/>
      <c r="G483" s="9"/>
      <c r="H483" s="223"/>
      <c r="I483" s="9"/>
      <c r="J483" s="9"/>
      <c r="K483" s="9"/>
      <c r="L483" s="9"/>
      <c r="M483" s="9"/>
      <c r="N483" s="9"/>
      <c r="O483" s="9"/>
      <c r="P483" s="9"/>
      <c r="Q483" s="223"/>
      <c r="R483" s="9"/>
      <c r="S483" s="9"/>
      <c r="T483" s="9"/>
      <c r="U483" s="9"/>
      <c r="V483" s="9"/>
      <c r="W483" s="971"/>
      <c r="X483" s="9"/>
      <c r="Y483" s="9"/>
      <c r="Z483" s="204"/>
      <c r="AA483" s="9"/>
      <c r="AB483" s="9"/>
      <c r="AC483" s="9"/>
      <c r="AD483" s="9"/>
    </row>
    <row r="484" ht="15.75" customHeight="1">
      <c r="A484" s="9"/>
      <c r="B484" s="9"/>
      <c r="C484" s="9"/>
      <c r="D484" s="9"/>
      <c r="E484" s="9"/>
      <c r="F484" s="9"/>
      <c r="G484" s="9"/>
      <c r="H484" s="223"/>
      <c r="I484" s="9"/>
      <c r="J484" s="9"/>
      <c r="K484" s="9"/>
      <c r="L484" s="9"/>
      <c r="M484" s="9"/>
      <c r="N484" s="9"/>
      <c r="O484" s="9"/>
      <c r="P484" s="9"/>
      <c r="Q484" s="223"/>
      <c r="R484" s="9"/>
      <c r="S484" s="9"/>
      <c r="T484" s="9"/>
      <c r="U484" s="9"/>
      <c r="V484" s="9"/>
      <c r="W484" s="971"/>
      <c r="X484" s="9"/>
      <c r="Y484" s="9"/>
      <c r="Z484" s="204"/>
      <c r="AA484" s="9"/>
      <c r="AB484" s="9"/>
      <c r="AC484" s="9"/>
      <c r="AD484" s="9"/>
    </row>
    <row r="485" ht="15.75" customHeight="1">
      <c r="A485" s="9"/>
      <c r="B485" s="9"/>
      <c r="C485" s="9"/>
      <c r="D485" s="9"/>
      <c r="E485" s="9"/>
      <c r="F485" s="9"/>
      <c r="G485" s="9"/>
      <c r="H485" s="223"/>
      <c r="I485" s="9"/>
      <c r="J485" s="9"/>
      <c r="K485" s="9"/>
      <c r="L485" s="9"/>
      <c r="M485" s="9"/>
      <c r="N485" s="9"/>
      <c r="O485" s="9"/>
      <c r="P485" s="9"/>
      <c r="Q485" s="223"/>
      <c r="R485" s="9"/>
      <c r="S485" s="9"/>
      <c r="T485" s="9"/>
      <c r="U485" s="9"/>
      <c r="V485" s="9"/>
      <c r="W485" s="971"/>
      <c r="X485" s="9"/>
      <c r="Y485" s="9"/>
      <c r="Z485" s="204"/>
      <c r="AA485" s="9"/>
      <c r="AB485" s="9"/>
      <c r="AC485" s="9"/>
      <c r="AD485" s="9"/>
    </row>
    <row r="486" ht="15.75" customHeight="1">
      <c r="A486" s="9"/>
      <c r="B486" s="9"/>
      <c r="C486" s="9"/>
      <c r="D486" s="9"/>
      <c r="E486" s="9"/>
      <c r="F486" s="9"/>
      <c r="G486" s="9"/>
      <c r="H486" s="223"/>
      <c r="I486" s="9"/>
      <c r="J486" s="9"/>
      <c r="K486" s="9"/>
      <c r="L486" s="9"/>
      <c r="M486" s="9"/>
      <c r="N486" s="9"/>
      <c r="O486" s="9"/>
      <c r="P486" s="9"/>
      <c r="Q486" s="223"/>
      <c r="R486" s="9"/>
      <c r="S486" s="9"/>
      <c r="T486" s="9"/>
      <c r="U486" s="9"/>
      <c r="V486" s="9"/>
      <c r="W486" s="971"/>
      <c r="X486" s="9"/>
      <c r="Y486" s="9"/>
      <c r="Z486" s="204"/>
      <c r="AA486" s="9"/>
      <c r="AB486" s="9"/>
      <c r="AC486" s="9"/>
      <c r="AD486" s="9"/>
    </row>
    <row r="487" ht="15.75" customHeight="1">
      <c r="A487" s="9"/>
      <c r="B487" s="9"/>
      <c r="C487" s="9"/>
      <c r="D487" s="9"/>
      <c r="E487" s="9"/>
      <c r="F487" s="9"/>
      <c r="G487" s="9"/>
      <c r="H487" s="223"/>
      <c r="I487" s="9"/>
      <c r="J487" s="9"/>
      <c r="K487" s="9"/>
      <c r="L487" s="9"/>
      <c r="M487" s="9"/>
      <c r="N487" s="9"/>
      <c r="O487" s="9"/>
      <c r="P487" s="9"/>
      <c r="Q487" s="223"/>
      <c r="R487" s="9"/>
      <c r="S487" s="9"/>
      <c r="T487" s="9"/>
      <c r="U487" s="9"/>
      <c r="V487" s="9"/>
      <c r="W487" s="971"/>
      <c r="X487" s="9"/>
      <c r="Y487" s="9"/>
      <c r="Z487" s="204"/>
      <c r="AA487" s="9"/>
      <c r="AB487" s="9"/>
      <c r="AC487" s="9"/>
      <c r="AD487" s="9"/>
    </row>
    <row r="488" ht="15.75" customHeight="1">
      <c r="A488" s="9"/>
      <c r="B488" s="9"/>
      <c r="C488" s="9"/>
      <c r="D488" s="9"/>
      <c r="E488" s="9"/>
      <c r="F488" s="9"/>
      <c r="G488" s="9"/>
      <c r="H488" s="223"/>
      <c r="I488" s="9"/>
      <c r="J488" s="9"/>
      <c r="K488" s="9"/>
      <c r="L488" s="9"/>
      <c r="M488" s="9"/>
      <c r="N488" s="9"/>
      <c r="O488" s="9"/>
      <c r="P488" s="9"/>
      <c r="Q488" s="223"/>
      <c r="R488" s="9"/>
      <c r="S488" s="9"/>
      <c r="T488" s="9"/>
      <c r="U488" s="9"/>
      <c r="V488" s="9"/>
      <c r="W488" s="971"/>
      <c r="X488" s="9"/>
      <c r="Y488" s="9"/>
      <c r="Z488" s="204"/>
      <c r="AA488" s="9"/>
      <c r="AB488" s="9"/>
      <c r="AC488" s="9"/>
      <c r="AD488" s="9"/>
    </row>
    <row r="489" ht="15.75" customHeight="1">
      <c r="A489" s="9"/>
      <c r="B489" s="9"/>
      <c r="C489" s="9"/>
      <c r="D489" s="9"/>
      <c r="E489" s="9"/>
      <c r="F489" s="9"/>
      <c r="G489" s="9"/>
      <c r="H489" s="223"/>
      <c r="I489" s="9"/>
      <c r="J489" s="9"/>
      <c r="K489" s="9"/>
      <c r="L489" s="9"/>
      <c r="M489" s="9"/>
      <c r="N489" s="9"/>
      <c r="O489" s="9"/>
      <c r="P489" s="9"/>
      <c r="Q489" s="223"/>
      <c r="R489" s="9"/>
      <c r="S489" s="9"/>
      <c r="T489" s="9"/>
      <c r="U489" s="9"/>
      <c r="V489" s="9"/>
      <c r="W489" s="971"/>
      <c r="X489" s="9"/>
      <c r="Y489" s="9"/>
      <c r="Z489" s="204"/>
      <c r="AA489" s="9"/>
      <c r="AB489" s="9"/>
      <c r="AC489" s="9"/>
      <c r="AD489" s="9"/>
    </row>
    <row r="490" ht="15.75" customHeight="1">
      <c r="A490" s="9"/>
      <c r="B490" s="9"/>
      <c r="C490" s="9"/>
      <c r="D490" s="9"/>
      <c r="E490" s="9"/>
      <c r="F490" s="9"/>
      <c r="G490" s="9"/>
      <c r="H490" s="223"/>
      <c r="I490" s="9"/>
      <c r="J490" s="9"/>
      <c r="K490" s="9"/>
      <c r="L490" s="9"/>
      <c r="M490" s="9"/>
      <c r="N490" s="9"/>
      <c r="O490" s="9"/>
      <c r="P490" s="9"/>
      <c r="Q490" s="223"/>
      <c r="R490" s="9"/>
      <c r="S490" s="9"/>
      <c r="T490" s="9"/>
      <c r="U490" s="9"/>
      <c r="V490" s="9"/>
      <c r="W490" s="971"/>
      <c r="X490" s="9"/>
      <c r="Y490" s="9"/>
      <c r="Z490" s="204"/>
      <c r="AA490" s="9"/>
      <c r="AB490" s="9"/>
      <c r="AC490" s="9"/>
      <c r="AD490" s="9"/>
    </row>
    <row r="491" ht="15.75" customHeight="1">
      <c r="A491" s="9"/>
      <c r="B491" s="9"/>
      <c r="C491" s="9"/>
      <c r="D491" s="9"/>
      <c r="E491" s="9"/>
      <c r="F491" s="9"/>
      <c r="G491" s="9"/>
      <c r="H491" s="223"/>
      <c r="I491" s="9"/>
      <c r="J491" s="9"/>
      <c r="K491" s="9"/>
      <c r="L491" s="9"/>
      <c r="M491" s="9"/>
      <c r="N491" s="9"/>
      <c r="O491" s="9"/>
      <c r="P491" s="9"/>
      <c r="Q491" s="223"/>
      <c r="R491" s="9"/>
      <c r="S491" s="9"/>
      <c r="T491" s="9"/>
      <c r="U491" s="9"/>
      <c r="V491" s="9"/>
      <c r="W491" s="971"/>
      <c r="X491" s="9"/>
      <c r="Y491" s="9"/>
      <c r="Z491" s="204"/>
      <c r="AA491" s="9"/>
      <c r="AB491" s="9"/>
      <c r="AC491" s="9"/>
      <c r="AD491" s="9"/>
    </row>
    <row r="492" ht="15.75" customHeight="1">
      <c r="A492" s="9"/>
      <c r="B492" s="9"/>
      <c r="C492" s="9"/>
      <c r="D492" s="9"/>
      <c r="E492" s="9"/>
      <c r="F492" s="9"/>
      <c r="G492" s="9"/>
      <c r="H492" s="223"/>
      <c r="I492" s="9"/>
      <c r="J492" s="9"/>
      <c r="K492" s="9"/>
      <c r="L492" s="9"/>
      <c r="M492" s="9"/>
      <c r="N492" s="9"/>
      <c r="O492" s="9"/>
      <c r="P492" s="9"/>
      <c r="Q492" s="223"/>
      <c r="R492" s="9"/>
      <c r="S492" s="9"/>
      <c r="T492" s="9"/>
      <c r="U492" s="9"/>
      <c r="V492" s="9"/>
      <c r="W492" s="971"/>
      <c r="X492" s="9"/>
      <c r="Y492" s="9"/>
      <c r="Z492" s="204"/>
      <c r="AA492" s="9"/>
      <c r="AB492" s="9"/>
      <c r="AC492" s="9"/>
      <c r="AD492" s="9"/>
    </row>
    <row r="493" ht="15.75" customHeight="1">
      <c r="A493" s="9"/>
      <c r="B493" s="9"/>
      <c r="C493" s="9"/>
      <c r="D493" s="9"/>
      <c r="E493" s="9"/>
      <c r="F493" s="9"/>
      <c r="G493" s="9"/>
      <c r="H493" s="223"/>
      <c r="I493" s="9"/>
      <c r="J493" s="9"/>
      <c r="K493" s="9"/>
      <c r="L493" s="9"/>
      <c r="M493" s="9"/>
      <c r="N493" s="9"/>
      <c r="O493" s="9"/>
      <c r="P493" s="9"/>
      <c r="Q493" s="223"/>
      <c r="R493" s="9"/>
      <c r="S493" s="9"/>
      <c r="T493" s="9"/>
      <c r="U493" s="9"/>
      <c r="V493" s="9"/>
      <c r="W493" s="971"/>
      <c r="X493" s="9"/>
      <c r="Y493" s="9"/>
      <c r="Z493" s="204"/>
      <c r="AA493" s="9"/>
      <c r="AB493" s="9"/>
      <c r="AC493" s="9"/>
      <c r="AD493" s="9"/>
    </row>
    <row r="494" ht="15.75" customHeight="1">
      <c r="A494" s="9"/>
      <c r="B494" s="9"/>
      <c r="C494" s="9"/>
      <c r="D494" s="9"/>
      <c r="E494" s="9"/>
      <c r="F494" s="9"/>
      <c r="G494" s="9"/>
      <c r="H494" s="223"/>
      <c r="I494" s="9"/>
      <c r="J494" s="9"/>
      <c r="K494" s="9"/>
      <c r="L494" s="9"/>
      <c r="M494" s="9"/>
      <c r="N494" s="9"/>
      <c r="O494" s="9"/>
      <c r="P494" s="9"/>
      <c r="Q494" s="223"/>
      <c r="R494" s="9"/>
      <c r="S494" s="9"/>
      <c r="T494" s="9"/>
      <c r="U494" s="9"/>
      <c r="V494" s="9"/>
      <c r="W494" s="971"/>
      <c r="X494" s="9"/>
      <c r="Y494" s="9"/>
      <c r="Z494" s="204"/>
      <c r="AA494" s="9"/>
      <c r="AB494" s="9"/>
      <c r="AC494" s="9"/>
      <c r="AD494" s="9"/>
    </row>
    <row r="495" ht="15.75" customHeight="1">
      <c r="A495" s="9"/>
      <c r="B495" s="9"/>
      <c r="C495" s="9"/>
      <c r="D495" s="9"/>
      <c r="E495" s="9"/>
      <c r="F495" s="9"/>
      <c r="G495" s="9"/>
      <c r="H495" s="223"/>
      <c r="I495" s="9"/>
      <c r="J495" s="9"/>
      <c r="K495" s="9"/>
      <c r="L495" s="9"/>
      <c r="M495" s="9"/>
      <c r="N495" s="9"/>
      <c r="O495" s="9"/>
      <c r="P495" s="9"/>
      <c r="Q495" s="223"/>
      <c r="R495" s="9"/>
      <c r="S495" s="9"/>
      <c r="T495" s="9"/>
      <c r="U495" s="9"/>
      <c r="V495" s="9"/>
      <c r="W495" s="971"/>
      <c r="X495" s="9"/>
      <c r="Y495" s="9"/>
      <c r="Z495" s="204"/>
      <c r="AA495" s="9"/>
      <c r="AB495" s="9"/>
      <c r="AC495" s="9"/>
      <c r="AD495" s="9"/>
    </row>
    <row r="496" ht="15.75" customHeight="1">
      <c r="A496" s="9"/>
      <c r="B496" s="9"/>
      <c r="C496" s="9"/>
      <c r="D496" s="9"/>
      <c r="E496" s="9"/>
      <c r="F496" s="9"/>
      <c r="G496" s="9"/>
      <c r="H496" s="223"/>
      <c r="I496" s="9"/>
      <c r="J496" s="9"/>
      <c r="K496" s="9"/>
      <c r="L496" s="9"/>
      <c r="M496" s="9"/>
      <c r="N496" s="9"/>
      <c r="O496" s="9"/>
      <c r="P496" s="9"/>
      <c r="Q496" s="223"/>
      <c r="R496" s="9"/>
      <c r="S496" s="9"/>
      <c r="T496" s="9"/>
      <c r="U496" s="9"/>
      <c r="V496" s="9"/>
      <c r="W496" s="971"/>
      <c r="X496" s="9"/>
      <c r="Y496" s="9"/>
      <c r="Z496" s="204"/>
      <c r="AA496" s="9"/>
      <c r="AB496" s="9"/>
      <c r="AC496" s="9"/>
      <c r="AD496" s="9"/>
    </row>
    <row r="497" ht="15.75" customHeight="1">
      <c r="A497" s="9"/>
      <c r="B497" s="9"/>
      <c r="C497" s="9"/>
      <c r="D497" s="9"/>
      <c r="E497" s="9"/>
      <c r="F497" s="9"/>
      <c r="G497" s="9"/>
      <c r="H497" s="223"/>
      <c r="I497" s="9"/>
      <c r="J497" s="9"/>
      <c r="K497" s="9"/>
      <c r="L497" s="9"/>
      <c r="M497" s="9"/>
      <c r="N497" s="9"/>
      <c r="O497" s="9"/>
      <c r="P497" s="9"/>
      <c r="Q497" s="223"/>
      <c r="R497" s="9"/>
      <c r="S497" s="9"/>
      <c r="T497" s="9"/>
      <c r="U497" s="9"/>
      <c r="V497" s="9"/>
      <c r="W497" s="971"/>
      <c r="X497" s="9"/>
      <c r="Y497" s="9"/>
      <c r="Z497" s="204"/>
      <c r="AA497" s="9"/>
      <c r="AB497" s="9"/>
      <c r="AC497" s="9"/>
      <c r="AD497" s="9"/>
    </row>
    <row r="498" ht="15.75" customHeight="1">
      <c r="A498" s="9"/>
      <c r="B498" s="9"/>
      <c r="C498" s="9"/>
      <c r="D498" s="9"/>
      <c r="E498" s="9"/>
      <c r="F498" s="9"/>
      <c r="G498" s="9"/>
      <c r="H498" s="223"/>
      <c r="I498" s="9"/>
      <c r="J498" s="9"/>
      <c r="K498" s="9"/>
      <c r="L498" s="9"/>
      <c r="M498" s="9"/>
      <c r="N498" s="9"/>
      <c r="O498" s="9"/>
      <c r="P498" s="9"/>
      <c r="Q498" s="223"/>
      <c r="R498" s="9"/>
      <c r="S498" s="9"/>
      <c r="T498" s="9"/>
      <c r="U498" s="9"/>
      <c r="V498" s="9"/>
      <c r="W498" s="971"/>
      <c r="X498" s="9"/>
      <c r="Y498" s="9"/>
      <c r="Z498" s="204"/>
      <c r="AA498" s="9"/>
      <c r="AB498" s="9"/>
      <c r="AC498" s="9"/>
      <c r="AD498" s="9"/>
    </row>
    <row r="499" ht="15.75" customHeight="1">
      <c r="A499" s="9"/>
      <c r="B499" s="9"/>
      <c r="C499" s="9"/>
      <c r="D499" s="9"/>
      <c r="E499" s="9"/>
      <c r="F499" s="9"/>
      <c r="G499" s="9"/>
      <c r="H499" s="223"/>
      <c r="I499" s="9"/>
      <c r="J499" s="9"/>
      <c r="K499" s="9"/>
      <c r="L499" s="9"/>
      <c r="M499" s="9"/>
      <c r="N499" s="9"/>
      <c r="O499" s="9"/>
      <c r="P499" s="9"/>
      <c r="Q499" s="223"/>
      <c r="R499" s="9"/>
      <c r="S499" s="9"/>
      <c r="T499" s="9"/>
      <c r="U499" s="9"/>
      <c r="V499" s="9"/>
      <c r="W499" s="971"/>
      <c r="X499" s="9"/>
      <c r="Y499" s="9"/>
      <c r="Z499" s="204"/>
      <c r="AA499" s="9"/>
      <c r="AB499" s="9"/>
      <c r="AC499" s="9"/>
      <c r="AD499" s="9"/>
    </row>
    <row r="500" ht="15.75" customHeight="1">
      <c r="A500" s="9"/>
      <c r="B500" s="9"/>
      <c r="C500" s="9"/>
      <c r="D500" s="9"/>
      <c r="E500" s="9"/>
      <c r="F500" s="9"/>
      <c r="G500" s="9"/>
      <c r="H500" s="223"/>
      <c r="I500" s="9"/>
      <c r="J500" s="9"/>
      <c r="K500" s="9"/>
      <c r="L500" s="9"/>
      <c r="M500" s="9"/>
      <c r="N500" s="9"/>
      <c r="O500" s="9"/>
      <c r="P500" s="9"/>
      <c r="Q500" s="223"/>
      <c r="R500" s="9"/>
      <c r="S500" s="9"/>
      <c r="T500" s="9"/>
      <c r="U500" s="9"/>
      <c r="V500" s="9"/>
      <c r="W500" s="971"/>
      <c r="X500" s="9"/>
      <c r="Y500" s="9"/>
      <c r="Z500" s="204"/>
      <c r="AA500" s="9"/>
      <c r="AB500" s="9"/>
      <c r="AC500" s="9"/>
      <c r="AD500" s="9"/>
    </row>
    <row r="501" ht="15.75" customHeight="1">
      <c r="A501" s="9"/>
      <c r="B501" s="9"/>
      <c r="C501" s="9"/>
      <c r="D501" s="9"/>
      <c r="E501" s="9"/>
      <c r="F501" s="9"/>
      <c r="G501" s="9"/>
      <c r="H501" s="223"/>
      <c r="I501" s="9"/>
      <c r="J501" s="9"/>
      <c r="K501" s="9"/>
      <c r="L501" s="9"/>
      <c r="M501" s="9"/>
      <c r="N501" s="9"/>
      <c r="O501" s="9"/>
      <c r="P501" s="9"/>
      <c r="Q501" s="223"/>
      <c r="R501" s="9"/>
      <c r="S501" s="9"/>
      <c r="T501" s="9"/>
      <c r="U501" s="9"/>
      <c r="V501" s="9"/>
      <c r="W501" s="971"/>
      <c r="X501" s="9"/>
      <c r="Y501" s="9"/>
      <c r="Z501" s="204"/>
      <c r="AA501" s="9"/>
      <c r="AB501" s="9"/>
      <c r="AC501" s="9"/>
      <c r="AD501" s="9"/>
    </row>
    <row r="502" ht="15.75" customHeight="1">
      <c r="A502" s="9"/>
      <c r="B502" s="9"/>
      <c r="C502" s="9"/>
      <c r="D502" s="9"/>
      <c r="E502" s="9"/>
      <c r="F502" s="9"/>
      <c r="G502" s="9"/>
      <c r="H502" s="223"/>
      <c r="I502" s="9"/>
      <c r="J502" s="9"/>
      <c r="K502" s="9"/>
      <c r="L502" s="9"/>
      <c r="M502" s="9"/>
      <c r="N502" s="9"/>
      <c r="O502" s="9"/>
      <c r="P502" s="9"/>
      <c r="Q502" s="223"/>
      <c r="R502" s="9"/>
      <c r="S502" s="9"/>
      <c r="T502" s="9"/>
      <c r="U502" s="9"/>
      <c r="V502" s="9"/>
      <c r="W502" s="971"/>
      <c r="X502" s="9"/>
      <c r="Y502" s="9"/>
      <c r="Z502" s="204"/>
      <c r="AA502" s="9"/>
      <c r="AB502" s="9"/>
      <c r="AC502" s="9"/>
      <c r="AD502" s="9"/>
    </row>
    <row r="503" ht="15.75" customHeight="1">
      <c r="A503" s="9"/>
      <c r="B503" s="9"/>
      <c r="C503" s="9"/>
      <c r="D503" s="9"/>
      <c r="E503" s="9"/>
      <c r="F503" s="9"/>
      <c r="G503" s="9"/>
      <c r="H503" s="223"/>
      <c r="I503" s="9"/>
      <c r="J503" s="9"/>
      <c r="K503" s="9"/>
      <c r="L503" s="9"/>
      <c r="M503" s="9"/>
      <c r="N503" s="9"/>
      <c r="O503" s="9"/>
      <c r="P503" s="9"/>
      <c r="Q503" s="223"/>
      <c r="R503" s="9"/>
      <c r="S503" s="9"/>
      <c r="T503" s="9"/>
      <c r="U503" s="9"/>
      <c r="V503" s="9"/>
      <c r="W503" s="971"/>
      <c r="X503" s="9"/>
      <c r="Y503" s="9"/>
      <c r="Z503" s="204"/>
      <c r="AA503" s="9"/>
      <c r="AB503" s="9"/>
      <c r="AC503" s="9"/>
      <c r="AD503" s="9"/>
    </row>
    <row r="504" ht="15.75" customHeight="1">
      <c r="A504" s="9"/>
      <c r="B504" s="9"/>
      <c r="C504" s="9"/>
      <c r="D504" s="9"/>
      <c r="E504" s="9"/>
      <c r="F504" s="9"/>
      <c r="G504" s="9"/>
      <c r="H504" s="223"/>
      <c r="I504" s="9"/>
      <c r="J504" s="9"/>
      <c r="K504" s="9"/>
      <c r="L504" s="9"/>
      <c r="M504" s="9"/>
      <c r="N504" s="9"/>
      <c r="O504" s="9"/>
      <c r="P504" s="9"/>
      <c r="Q504" s="223"/>
      <c r="R504" s="9"/>
      <c r="S504" s="9"/>
      <c r="T504" s="9"/>
      <c r="U504" s="9"/>
      <c r="V504" s="9"/>
      <c r="W504" s="971"/>
      <c r="X504" s="9"/>
      <c r="Y504" s="9"/>
      <c r="Z504" s="204"/>
      <c r="AA504" s="9"/>
      <c r="AB504" s="9"/>
      <c r="AC504" s="9"/>
      <c r="AD504" s="9"/>
    </row>
    <row r="505" ht="15.75" customHeight="1">
      <c r="A505" s="9"/>
      <c r="B505" s="9"/>
      <c r="C505" s="9"/>
      <c r="D505" s="9"/>
      <c r="E505" s="9"/>
      <c r="F505" s="9"/>
      <c r="G505" s="9"/>
      <c r="H505" s="223"/>
      <c r="I505" s="9"/>
      <c r="J505" s="9"/>
      <c r="K505" s="9"/>
      <c r="L505" s="9"/>
      <c r="M505" s="9"/>
      <c r="N505" s="9"/>
      <c r="O505" s="9"/>
      <c r="P505" s="9"/>
      <c r="Q505" s="223"/>
      <c r="R505" s="9"/>
      <c r="S505" s="9"/>
      <c r="T505" s="9"/>
      <c r="U505" s="9"/>
      <c r="V505" s="9"/>
      <c r="W505" s="971"/>
      <c r="X505" s="9"/>
      <c r="Y505" s="9"/>
      <c r="Z505" s="204"/>
      <c r="AA505" s="9"/>
      <c r="AB505" s="9"/>
      <c r="AC505" s="9"/>
      <c r="AD505" s="9"/>
    </row>
    <row r="506" ht="15.75" customHeight="1">
      <c r="A506" s="9"/>
      <c r="B506" s="9"/>
      <c r="C506" s="9"/>
      <c r="D506" s="9"/>
      <c r="E506" s="9"/>
      <c r="F506" s="9"/>
      <c r="G506" s="9"/>
      <c r="H506" s="223"/>
      <c r="I506" s="9"/>
      <c r="J506" s="9"/>
      <c r="K506" s="9"/>
      <c r="L506" s="9"/>
      <c r="M506" s="9"/>
      <c r="N506" s="9"/>
      <c r="O506" s="9"/>
      <c r="P506" s="9"/>
      <c r="Q506" s="223"/>
      <c r="R506" s="9"/>
      <c r="S506" s="9"/>
      <c r="T506" s="9"/>
      <c r="U506" s="9"/>
      <c r="V506" s="9"/>
      <c r="W506" s="971"/>
      <c r="X506" s="9"/>
      <c r="Y506" s="9"/>
      <c r="Z506" s="204"/>
      <c r="AA506" s="9"/>
      <c r="AB506" s="9"/>
      <c r="AC506" s="9"/>
      <c r="AD506" s="9"/>
    </row>
    <row r="507" ht="15.75" customHeight="1">
      <c r="A507" s="9"/>
      <c r="B507" s="9"/>
      <c r="C507" s="9"/>
      <c r="D507" s="9"/>
      <c r="E507" s="9"/>
      <c r="F507" s="9"/>
      <c r="G507" s="9"/>
      <c r="H507" s="223"/>
      <c r="I507" s="9"/>
      <c r="J507" s="9"/>
      <c r="K507" s="9"/>
      <c r="L507" s="9"/>
      <c r="M507" s="9"/>
      <c r="N507" s="9"/>
      <c r="O507" s="9"/>
      <c r="P507" s="9"/>
      <c r="Q507" s="223"/>
      <c r="R507" s="9"/>
      <c r="S507" s="9"/>
      <c r="T507" s="9"/>
      <c r="U507" s="9"/>
      <c r="V507" s="9"/>
      <c r="W507" s="971"/>
      <c r="X507" s="9"/>
      <c r="Y507" s="9"/>
      <c r="Z507" s="204"/>
      <c r="AA507" s="9"/>
      <c r="AB507" s="9"/>
      <c r="AC507" s="9"/>
      <c r="AD507" s="9"/>
    </row>
    <row r="508" ht="15.75" customHeight="1">
      <c r="A508" s="9"/>
      <c r="B508" s="9"/>
      <c r="C508" s="9"/>
      <c r="D508" s="9"/>
      <c r="E508" s="9"/>
      <c r="F508" s="9"/>
      <c r="G508" s="9"/>
      <c r="H508" s="223"/>
      <c r="I508" s="9"/>
      <c r="J508" s="9"/>
      <c r="K508" s="9"/>
      <c r="L508" s="9"/>
      <c r="M508" s="9"/>
      <c r="N508" s="9"/>
      <c r="O508" s="9"/>
      <c r="P508" s="9"/>
      <c r="Q508" s="223"/>
      <c r="R508" s="9"/>
      <c r="S508" s="9"/>
      <c r="T508" s="9"/>
      <c r="U508" s="9"/>
      <c r="V508" s="9"/>
      <c r="W508" s="971"/>
      <c r="X508" s="9"/>
      <c r="Y508" s="9"/>
      <c r="Z508" s="204"/>
      <c r="AA508" s="9"/>
      <c r="AB508" s="9"/>
      <c r="AC508" s="9"/>
      <c r="AD508" s="9"/>
    </row>
    <row r="509" ht="15.75" customHeight="1">
      <c r="A509" s="9"/>
      <c r="B509" s="9"/>
      <c r="C509" s="9"/>
      <c r="D509" s="9"/>
      <c r="E509" s="9"/>
      <c r="F509" s="9"/>
      <c r="G509" s="9"/>
      <c r="H509" s="223"/>
      <c r="I509" s="9"/>
      <c r="J509" s="9"/>
      <c r="K509" s="9"/>
      <c r="L509" s="9"/>
      <c r="M509" s="9"/>
      <c r="N509" s="9"/>
      <c r="O509" s="9"/>
      <c r="P509" s="9"/>
      <c r="Q509" s="223"/>
      <c r="R509" s="9"/>
      <c r="S509" s="9"/>
      <c r="T509" s="9"/>
      <c r="U509" s="9"/>
      <c r="V509" s="9"/>
      <c r="W509" s="971"/>
      <c r="X509" s="9"/>
      <c r="Y509" s="9"/>
      <c r="Z509" s="204"/>
      <c r="AA509" s="9"/>
      <c r="AB509" s="9"/>
      <c r="AC509" s="9"/>
      <c r="AD509" s="9"/>
    </row>
    <row r="510" ht="15.75" customHeight="1">
      <c r="A510" s="9"/>
      <c r="B510" s="9"/>
      <c r="C510" s="9"/>
      <c r="D510" s="9"/>
      <c r="E510" s="9"/>
      <c r="F510" s="9"/>
      <c r="G510" s="9"/>
      <c r="H510" s="223"/>
      <c r="I510" s="9"/>
      <c r="J510" s="9"/>
      <c r="K510" s="9"/>
      <c r="L510" s="9"/>
      <c r="M510" s="9"/>
      <c r="N510" s="9"/>
      <c r="O510" s="9"/>
      <c r="P510" s="9"/>
      <c r="Q510" s="223"/>
      <c r="R510" s="9"/>
      <c r="S510" s="9"/>
      <c r="T510" s="9"/>
      <c r="U510" s="9"/>
      <c r="V510" s="9"/>
      <c r="W510" s="971"/>
      <c r="X510" s="9"/>
      <c r="Y510" s="9"/>
      <c r="Z510" s="204"/>
      <c r="AA510" s="9"/>
      <c r="AB510" s="9"/>
      <c r="AC510" s="9"/>
      <c r="AD510" s="9"/>
    </row>
    <row r="511" ht="15.75" customHeight="1">
      <c r="A511" s="9"/>
      <c r="B511" s="9"/>
      <c r="C511" s="9"/>
      <c r="D511" s="9"/>
      <c r="E511" s="9"/>
      <c r="F511" s="9"/>
      <c r="G511" s="9"/>
      <c r="H511" s="223"/>
      <c r="I511" s="9"/>
      <c r="J511" s="9"/>
      <c r="K511" s="9"/>
      <c r="L511" s="9"/>
      <c r="M511" s="9"/>
      <c r="N511" s="9"/>
      <c r="O511" s="9"/>
      <c r="P511" s="9"/>
      <c r="Q511" s="223"/>
      <c r="R511" s="9"/>
      <c r="S511" s="9"/>
      <c r="T511" s="9"/>
      <c r="U511" s="9"/>
      <c r="V511" s="9"/>
      <c r="W511" s="971"/>
      <c r="X511" s="9"/>
      <c r="Y511" s="9"/>
      <c r="Z511" s="204"/>
      <c r="AA511" s="9"/>
      <c r="AB511" s="9"/>
      <c r="AC511" s="9"/>
      <c r="AD511" s="9"/>
    </row>
    <row r="512" ht="15.75" customHeight="1">
      <c r="A512" s="9"/>
      <c r="B512" s="9"/>
      <c r="C512" s="9"/>
      <c r="D512" s="9"/>
      <c r="E512" s="9"/>
      <c r="F512" s="9"/>
      <c r="G512" s="9"/>
      <c r="H512" s="223"/>
      <c r="I512" s="9"/>
      <c r="J512" s="9"/>
      <c r="K512" s="9"/>
      <c r="L512" s="9"/>
      <c r="M512" s="9"/>
      <c r="N512" s="9"/>
      <c r="O512" s="9"/>
      <c r="P512" s="9"/>
      <c r="Q512" s="223"/>
      <c r="R512" s="9"/>
      <c r="S512" s="9"/>
      <c r="T512" s="9"/>
      <c r="U512" s="9"/>
      <c r="V512" s="9"/>
      <c r="W512" s="971"/>
      <c r="X512" s="9"/>
      <c r="Y512" s="9"/>
      <c r="Z512" s="204"/>
      <c r="AA512" s="9"/>
      <c r="AB512" s="9"/>
      <c r="AC512" s="9"/>
      <c r="AD512" s="9"/>
    </row>
    <row r="513" ht="15.75" customHeight="1">
      <c r="A513" s="9"/>
      <c r="B513" s="9"/>
      <c r="C513" s="9"/>
      <c r="D513" s="9"/>
      <c r="E513" s="9"/>
      <c r="F513" s="9"/>
      <c r="G513" s="9"/>
      <c r="H513" s="223"/>
      <c r="I513" s="9"/>
      <c r="J513" s="9"/>
      <c r="K513" s="9"/>
      <c r="L513" s="9"/>
      <c r="M513" s="9"/>
      <c r="N513" s="9"/>
      <c r="O513" s="9"/>
      <c r="P513" s="9"/>
      <c r="Q513" s="223"/>
      <c r="R513" s="9"/>
      <c r="S513" s="9"/>
      <c r="T513" s="9"/>
      <c r="U513" s="9"/>
      <c r="V513" s="9"/>
      <c r="W513" s="971"/>
      <c r="X513" s="9"/>
      <c r="Y513" s="9"/>
      <c r="Z513" s="204"/>
      <c r="AA513" s="9"/>
      <c r="AB513" s="9"/>
      <c r="AC513" s="9"/>
      <c r="AD513" s="9"/>
    </row>
    <row r="514" ht="15.75" customHeight="1">
      <c r="A514" s="9"/>
      <c r="B514" s="9"/>
      <c r="C514" s="9"/>
      <c r="D514" s="9"/>
      <c r="E514" s="9"/>
      <c r="F514" s="9"/>
      <c r="G514" s="9"/>
      <c r="H514" s="223"/>
      <c r="I514" s="9"/>
      <c r="J514" s="9"/>
      <c r="K514" s="9"/>
      <c r="L514" s="9"/>
      <c r="M514" s="9"/>
      <c r="N514" s="9"/>
      <c r="O514" s="9"/>
      <c r="P514" s="9"/>
      <c r="Q514" s="223"/>
      <c r="R514" s="9"/>
      <c r="S514" s="9"/>
      <c r="T514" s="9"/>
      <c r="U514" s="9"/>
      <c r="V514" s="9"/>
      <c r="W514" s="971"/>
      <c r="X514" s="9"/>
      <c r="Y514" s="9"/>
      <c r="Z514" s="204"/>
      <c r="AA514" s="9"/>
      <c r="AB514" s="9"/>
      <c r="AC514" s="9"/>
      <c r="AD514" s="9"/>
    </row>
    <row r="515" ht="15.75" customHeight="1">
      <c r="A515" s="9"/>
      <c r="B515" s="9"/>
      <c r="C515" s="9"/>
      <c r="D515" s="9"/>
      <c r="E515" s="9"/>
      <c r="F515" s="9"/>
      <c r="G515" s="9"/>
      <c r="H515" s="223"/>
      <c r="I515" s="9"/>
      <c r="J515" s="9"/>
      <c r="K515" s="9"/>
      <c r="L515" s="9"/>
      <c r="M515" s="9"/>
      <c r="N515" s="9"/>
      <c r="O515" s="9"/>
      <c r="P515" s="9"/>
      <c r="Q515" s="223"/>
      <c r="R515" s="9"/>
      <c r="S515" s="9"/>
      <c r="T515" s="9"/>
      <c r="U515" s="9"/>
      <c r="V515" s="9"/>
      <c r="W515" s="971"/>
      <c r="X515" s="9"/>
      <c r="Y515" s="9"/>
      <c r="Z515" s="204"/>
      <c r="AA515" s="9"/>
      <c r="AB515" s="9"/>
      <c r="AC515" s="9"/>
      <c r="AD515" s="9"/>
    </row>
    <row r="516" ht="15.75" customHeight="1">
      <c r="A516" s="9"/>
      <c r="B516" s="9"/>
      <c r="C516" s="9"/>
      <c r="D516" s="9"/>
      <c r="E516" s="9"/>
      <c r="F516" s="9"/>
      <c r="G516" s="9"/>
      <c r="H516" s="223"/>
      <c r="I516" s="9"/>
      <c r="J516" s="9"/>
      <c r="K516" s="9"/>
      <c r="L516" s="9"/>
      <c r="M516" s="9"/>
      <c r="N516" s="9"/>
      <c r="O516" s="9"/>
      <c r="P516" s="9"/>
      <c r="Q516" s="223"/>
      <c r="R516" s="9"/>
      <c r="S516" s="9"/>
      <c r="T516" s="9"/>
      <c r="U516" s="9"/>
      <c r="V516" s="9"/>
      <c r="W516" s="971"/>
      <c r="X516" s="9"/>
      <c r="Y516" s="9"/>
      <c r="Z516" s="204"/>
      <c r="AA516" s="9"/>
      <c r="AB516" s="9"/>
      <c r="AC516" s="9"/>
      <c r="AD516" s="9"/>
    </row>
    <row r="517" ht="15.75" customHeight="1">
      <c r="A517" s="9"/>
      <c r="B517" s="9"/>
      <c r="C517" s="9"/>
      <c r="D517" s="9"/>
      <c r="E517" s="9"/>
      <c r="F517" s="9"/>
      <c r="G517" s="9"/>
      <c r="H517" s="223"/>
      <c r="I517" s="9"/>
      <c r="J517" s="9"/>
      <c r="K517" s="9"/>
      <c r="L517" s="9"/>
      <c r="M517" s="9"/>
      <c r="N517" s="9"/>
      <c r="O517" s="9"/>
      <c r="P517" s="9"/>
      <c r="Q517" s="223"/>
      <c r="R517" s="9"/>
      <c r="S517" s="9"/>
      <c r="T517" s="9"/>
      <c r="U517" s="9"/>
      <c r="V517" s="9"/>
      <c r="W517" s="971"/>
      <c r="X517" s="9"/>
      <c r="Y517" s="9"/>
      <c r="Z517" s="204"/>
      <c r="AA517" s="9"/>
      <c r="AB517" s="9"/>
      <c r="AC517" s="9"/>
      <c r="AD517" s="9"/>
    </row>
    <row r="518" ht="15.75" customHeight="1">
      <c r="A518" s="9"/>
      <c r="B518" s="9"/>
      <c r="C518" s="9"/>
      <c r="D518" s="9"/>
      <c r="E518" s="9"/>
      <c r="F518" s="9"/>
      <c r="G518" s="9"/>
      <c r="H518" s="223"/>
      <c r="I518" s="9"/>
      <c r="J518" s="9"/>
      <c r="K518" s="9"/>
      <c r="L518" s="9"/>
      <c r="M518" s="9"/>
      <c r="N518" s="9"/>
      <c r="O518" s="9"/>
      <c r="P518" s="9"/>
      <c r="Q518" s="223"/>
      <c r="R518" s="9"/>
      <c r="S518" s="9"/>
      <c r="T518" s="9"/>
      <c r="U518" s="9"/>
      <c r="V518" s="9"/>
      <c r="W518" s="971"/>
      <c r="X518" s="9"/>
      <c r="Y518" s="9"/>
      <c r="Z518" s="204"/>
      <c r="AA518" s="9"/>
      <c r="AB518" s="9"/>
      <c r="AC518" s="9"/>
      <c r="AD518" s="9"/>
    </row>
    <row r="519" ht="15.75" customHeight="1">
      <c r="A519" s="9"/>
      <c r="B519" s="9"/>
      <c r="C519" s="9"/>
      <c r="D519" s="9"/>
      <c r="E519" s="9"/>
      <c r="F519" s="9"/>
      <c r="G519" s="9"/>
      <c r="H519" s="223"/>
      <c r="I519" s="9"/>
      <c r="J519" s="9"/>
      <c r="K519" s="9"/>
      <c r="L519" s="9"/>
      <c r="M519" s="9"/>
      <c r="N519" s="9"/>
      <c r="O519" s="9"/>
      <c r="P519" s="9"/>
      <c r="Q519" s="223"/>
      <c r="R519" s="9"/>
      <c r="S519" s="9"/>
      <c r="T519" s="9"/>
      <c r="U519" s="9"/>
      <c r="V519" s="9"/>
      <c r="W519" s="971"/>
      <c r="X519" s="9"/>
      <c r="Y519" s="9"/>
      <c r="Z519" s="204"/>
      <c r="AA519" s="9"/>
      <c r="AB519" s="9"/>
      <c r="AC519" s="9"/>
      <c r="AD519" s="9"/>
    </row>
    <row r="520" ht="15.75" customHeight="1">
      <c r="A520" s="9"/>
      <c r="B520" s="9"/>
      <c r="C520" s="9"/>
      <c r="D520" s="9"/>
      <c r="E520" s="9"/>
      <c r="F520" s="9"/>
      <c r="G520" s="9"/>
      <c r="H520" s="223"/>
      <c r="I520" s="9"/>
      <c r="J520" s="9"/>
      <c r="K520" s="9"/>
      <c r="L520" s="9"/>
      <c r="M520" s="9"/>
      <c r="N520" s="9"/>
      <c r="O520" s="9"/>
      <c r="P520" s="9"/>
      <c r="Q520" s="223"/>
      <c r="R520" s="9"/>
      <c r="S520" s="9"/>
      <c r="T520" s="9"/>
      <c r="U520" s="9"/>
      <c r="V520" s="9"/>
      <c r="W520" s="971"/>
      <c r="X520" s="9"/>
      <c r="Y520" s="9"/>
      <c r="Z520" s="204"/>
      <c r="AA520" s="9"/>
      <c r="AB520" s="9"/>
      <c r="AC520" s="9"/>
      <c r="AD520" s="9"/>
    </row>
    <row r="521" ht="15.75" customHeight="1">
      <c r="A521" s="9"/>
      <c r="B521" s="9"/>
      <c r="C521" s="9"/>
      <c r="D521" s="9"/>
      <c r="E521" s="9"/>
      <c r="F521" s="9"/>
      <c r="G521" s="9"/>
      <c r="H521" s="223"/>
      <c r="I521" s="9"/>
      <c r="J521" s="9"/>
      <c r="K521" s="9"/>
      <c r="L521" s="9"/>
      <c r="M521" s="9"/>
      <c r="N521" s="9"/>
      <c r="O521" s="9"/>
      <c r="P521" s="9"/>
      <c r="Q521" s="223"/>
      <c r="R521" s="9"/>
      <c r="S521" s="9"/>
      <c r="T521" s="9"/>
      <c r="U521" s="9"/>
      <c r="V521" s="9"/>
      <c r="W521" s="971"/>
      <c r="X521" s="9"/>
      <c r="Y521" s="9"/>
      <c r="Z521" s="204"/>
      <c r="AA521" s="9"/>
      <c r="AB521" s="9"/>
      <c r="AC521" s="9"/>
      <c r="AD521" s="9"/>
    </row>
    <row r="522" ht="15.75" customHeight="1">
      <c r="A522" s="9"/>
      <c r="B522" s="9"/>
      <c r="C522" s="9"/>
      <c r="D522" s="9"/>
      <c r="E522" s="9"/>
      <c r="F522" s="9"/>
      <c r="G522" s="9"/>
      <c r="H522" s="223"/>
      <c r="I522" s="9"/>
      <c r="J522" s="9"/>
      <c r="K522" s="9"/>
      <c r="L522" s="9"/>
      <c r="M522" s="9"/>
      <c r="N522" s="9"/>
      <c r="O522" s="9"/>
      <c r="P522" s="9"/>
      <c r="Q522" s="223"/>
      <c r="R522" s="9"/>
      <c r="S522" s="9"/>
      <c r="T522" s="9"/>
      <c r="U522" s="9"/>
      <c r="V522" s="9"/>
      <c r="W522" s="971"/>
      <c r="X522" s="9"/>
      <c r="Y522" s="9"/>
      <c r="Z522" s="204"/>
      <c r="AA522" s="9"/>
      <c r="AB522" s="9"/>
      <c r="AC522" s="9"/>
      <c r="AD522" s="9"/>
    </row>
    <row r="523" ht="15.75" customHeight="1">
      <c r="A523" s="9"/>
      <c r="B523" s="9"/>
      <c r="C523" s="9"/>
      <c r="D523" s="9"/>
      <c r="E523" s="9"/>
      <c r="F523" s="9"/>
      <c r="G523" s="9"/>
      <c r="H523" s="223"/>
      <c r="I523" s="9"/>
      <c r="J523" s="9"/>
      <c r="K523" s="9"/>
      <c r="L523" s="9"/>
      <c r="M523" s="9"/>
      <c r="N523" s="9"/>
      <c r="O523" s="9"/>
      <c r="P523" s="9"/>
      <c r="Q523" s="223"/>
      <c r="R523" s="9"/>
      <c r="S523" s="9"/>
      <c r="T523" s="9"/>
      <c r="U523" s="9"/>
      <c r="V523" s="9"/>
      <c r="W523" s="971"/>
      <c r="X523" s="9"/>
      <c r="Y523" s="9"/>
      <c r="Z523" s="204"/>
      <c r="AA523" s="9"/>
      <c r="AB523" s="9"/>
      <c r="AC523" s="9"/>
      <c r="AD523" s="9"/>
    </row>
    <row r="524" ht="15.75" customHeight="1">
      <c r="A524" s="9"/>
      <c r="B524" s="9"/>
      <c r="C524" s="9"/>
      <c r="D524" s="9"/>
      <c r="E524" s="9"/>
      <c r="F524" s="9"/>
      <c r="G524" s="9"/>
      <c r="H524" s="223"/>
      <c r="I524" s="9"/>
      <c r="J524" s="9"/>
      <c r="K524" s="9"/>
      <c r="L524" s="9"/>
      <c r="M524" s="9"/>
      <c r="N524" s="9"/>
      <c r="O524" s="9"/>
      <c r="P524" s="9"/>
      <c r="Q524" s="223"/>
      <c r="R524" s="9"/>
      <c r="S524" s="9"/>
      <c r="T524" s="9"/>
      <c r="U524" s="9"/>
      <c r="V524" s="9"/>
      <c r="W524" s="971"/>
      <c r="X524" s="9"/>
      <c r="Y524" s="9"/>
      <c r="Z524" s="204"/>
      <c r="AA524" s="9"/>
      <c r="AB524" s="9"/>
      <c r="AC524" s="9"/>
      <c r="AD524" s="9"/>
    </row>
    <row r="525" ht="15.75" customHeight="1">
      <c r="A525" s="9"/>
      <c r="B525" s="9"/>
      <c r="C525" s="9"/>
      <c r="D525" s="9"/>
      <c r="E525" s="9"/>
      <c r="F525" s="9"/>
      <c r="G525" s="9"/>
      <c r="H525" s="223"/>
      <c r="I525" s="9"/>
      <c r="J525" s="9"/>
      <c r="K525" s="9"/>
      <c r="L525" s="9"/>
      <c r="M525" s="9"/>
      <c r="N525" s="9"/>
      <c r="O525" s="9"/>
      <c r="P525" s="9"/>
      <c r="Q525" s="223"/>
      <c r="R525" s="9"/>
      <c r="S525" s="9"/>
      <c r="T525" s="9"/>
      <c r="U525" s="9"/>
      <c r="V525" s="9"/>
      <c r="W525" s="971"/>
      <c r="X525" s="9"/>
      <c r="Y525" s="9"/>
      <c r="Z525" s="204"/>
      <c r="AA525" s="9"/>
      <c r="AB525" s="9"/>
      <c r="AC525" s="9"/>
      <c r="AD525" s="9"/>
    </row>
    <row r="526" ht="15.75" customHeight="1">
      <c r="A526" s="9"/>
      <c r="B526" s="9"/>
      <c r="C526" s="9"/>
      <c r="D526" s="9"/>
      <c r="E526" s="9"/>
      <c r="F526" s="9"/>
      <c r="G526" s="9"/>
      <c r="H526" s="223"/>
      <c r="I526" s="9"/>
      <c r="J526" s="9"/>
      <c r="K526" s="9"/>
      <c r="L526" s="9"/>
      <c r="M526" s="9"/>
      <c r="N526" s="9"/>
      <c r="O526" s="9"/>
      <c r="P526" s="9"/>
      <c r="Q526" s="223"/>
      <c r="R526" s="9"/>
      <c r="S526" s="9"/>
      <c r="T526" s="9"/>
      <c r="U526" s="9"/>
      <c r="V526" s="9"/>
      <c r="W526" s="971"/>
      <c r="X526" s="9"/>
      <c r="Y526" s="9"/>
      <c r="Z526" s="204"/>
      <c r="AA526" s="9"/>
      <c r="AB526" s="9"/>
      <c r="AC526" s="9"/>
      <c r="AD526" s="9"/>
    </row>
    <row r="527" ht="15.75" customHeight="1">
      <c r="A527" s="9"/>
      <c r="B527" s="9"/>
      <c r="C527" s="9"/>
      <c r="D527" s="9"/>
      <c r="E527" s="9"/>
      <c r="F527" s="9"/>
      <c r="G527" s="9"/>
      <c r="H527" s="223"/>
      <c r="I527" s="9"/>
      <c r="J527" s="9"/>
      <c r="K527" s="9"/>
      <c r="L527" s="9"/>
      <c r="M527" s="9"/>
      <c r="N527" s="9"/>
      <c r="O527" s="9"/>
      <c r="P527" s="9"/>
      <c r="Q527" s="223"/>
      <c r="R527" s="9"/>
      <c r="S527" s="9"/>
      <c r="T527" s="9"/>
      <c r="U527" s="9"/>
      <c r="V527" s="9"/>
      <c r="W527" s="971"/>
      <c r="X527" s="9"/>
      <c r="Y527" s="9"/>
      <c r="Z527" s="204"/>
      <c r="AA527" s="9"/>
      <c r="AB527" s="9"/>
      <c r="AC527" s="9"/>
      <c r="AD527" s="9"/>
    </row>
    <row r="528" ht="15.75" customHeight="1">
      <c r="A528" s="9"/>
      <c r="B528" s="9"/>
      <c r="C528" s="9"/>
      <c r="D528" s="9"/>
      <c r="E528" s="9"/>
      <c r="F528" s="9"/>
      <c r="G528" s="9"/>
      <c r="H528" s="223"/>
      <c r="I528" s="9"/>
      <c r="J528" s="9"/>
      <c r="K528" s="9"/>
      <c r="L528" s="9"/>
      <c r="M528" s="9"/>
      <c r="N528" s="9"/>
      <c r="O528" s="9"/>
      <c r="P528" s="9"/>
      <c r="Q528" s="223"/>
      <c r="R528" s="9"/>
      <c r="S528" s="9"/>
      <c r="T528" s="9"/>
      <c r="U528" s="9"/>
      <c r="V528" s="9"/>
      <c r="W528" s="971"/>
      <c r="X528" s="9"/>
      <c r="Y528" s="9"/>
      <c r="Z528" s="204"/>
      <c r="AA528" s="9"/>
      <c r="AB528" s="9"/>
      <c r="AC528" s="9"/>
      <c r="AD528" s="9"/>
    </row>
    <row r="529" ht="15.75" customHeight="1">
      <c r="A529" s="9"/>
      <c r="B529" s="9"/>
      <c r="C529" s="9"/>
      <c r="D529" s="9"/>
      <c r="E529" s="9"/>
      <c r="F529" s="9"/>
      <c r="G529" s="9"/>
      <c r="H529" s="223"/>
      <c r="I529" s="9"/>
      <c r="J529" s="9"/>
      <c r="K529" s="9"/>
      <c r="L529" s="9"/>
      <c r="M529" s="9"/>
      <c r="N529" s="9"/>
      <c r="O529" s="9"/>
      <c r="P529" s="9"/>
      <c r="Q529" s="223"/>
      <c r="R529" s="9"/>
      <c r="S529" s="9"/>
      <c r="T529" s="9"/>
      <c r="U529" s="9"/>
      <c r="V529" s="9"/>
      <c r="W529" s="971"/>
      <c r="X529" s="9"/>
      <c r="Y529" s="9"/>
      <c r="Z529" s="204"/>
      <c r="AA529" s="9"/>
      <c r="AB529" s="9"/>
      <c r="AC529" s="9"/>
      <c r="AD529" s="9"/>
    </row>
    <row r="530" ht="15.75" customHeight="1">
      <c r="A530" s="9"/>
      <c r="B530" s="9"/>
      <c r="C530" s="9"/>
      <c r="D530" s="9"/>
      <c r="E530" s="9"/>
      <c r="F530" s="9"/>
      <c r="G530" s="9"/>
      <c r="H530" s="223"/>
      <c r="I530" s="9"/>
      <c r="J530" s="9"/>
      <c r="K530" s="9"/>
      <c r="L530" s="9"/>
      <c r="M530" s="9"/>
      <c r="N530" s="9"/>
      <c r="O530" s="9"/>
      <c r="P530" s="9"/>
      <c r="Q530" s="223"/>
      <c r="R530" s="9"/>
      <c r="S530" s="9"/>
      <c r="T530" s="9"/>
      <c r="U530" s="9"/>
      <c r="V530" s="9"/>
      <c r="W530" s="971"/>
      <c r="X530" s="9"/>
      <c r="Y530" s="9"/>
      <c r="Z530" s="204"/>
      <c r="AA530" s="9"/>
      <c r="AB530" s="9"/>
      <c r="AC530" s="9"/>
      <c r="AD530" s="9"/>
    </row>
    <row r="531" ht="15.75" customHeight="1">
      <c r="A531" s="9"/>
      <c r="B531" s="9"/>
      <c r="C531" s="9"/>
      <c r="D531" s="9"/>
      <c r="E531" s="9"/>
      <c r="F531" s="9"/>
      <c r="G531" s="9"/>
      <c r="H531" s="223"/>
      <c r="I531" s="9"/>
      <c r="J531" s="9"/>
      <c r="K531" s="9"/>
      <c r="L531" s="9"/>
      <c r="M531" s="9"/>
      <c r="N531" s="9"/>
      <c r="O531" s="9"/>
      <c r="P531" s="9"/>
      <c r="Q531" s="223"/>
      <c r="R531" s="9"/>
      <c r="S531" s="9"/>
      <c r="T531" s="9"/>
      <c r="U531" s="9"/>
      <c r="V531" s="9"/>
      <c r="W531" s="971"/>
      <c r="X531" s="9"/>
      <c r="Y531" s="9"/>
      <c r="Z531" s="204"/>
      <c r="AA531" s="9"/>
      <c r="AB531" s="9"/>
      <c r="AC531" s="9"/>
      <c r="AD531" s="9"/>
    </row>
    <row r="532" ht="15.75" customHeight="1">
      <c r="A532" s="9"/>
      <c r="B532" s="9"/>
      <c r="C532" s="9"/>
      <c r="D532" s="9"/>
      <c r="E532" s="9"/>
      <c r="F532" s="9"/>
      <c r="G532" s="9"/>
      <c r="H532" s="223"/>
      <c r="I532" s="9"/>
      <c r="J532" s="9"/>
      <c r="K532" s="9"/>
      <c r="L532" s="9"/>
      <c r="M532" s="9"/>
      <c r="N532" s="9"/>
      <c r="O532" s="9"/>
      <c r="P532" s="9"/>
      <c r="Q532" s="223"/>
      <c r="R532" s="9"/>
      <c r="S532" s="9"/>
      <c r="T532" s="9"/>
      <c r="U532" s="9"/>
      <c r="V532" s="9"/>
      <c r="W532" s="971"/>
      <c r="X532" s="9"/>
      <c r="Y532" s="9"/>
      <c r="Z532" s="204"/>
      <c r="AA532" s="9"/>
      <c r="AB532" s="9"/>
      <c r="AC532" s="9"/>
      <c r="AD532" s="9"/>
    </row>
    <row r="533" ht="15.75" customHeight="1">
      <c r="A533" s="9"/>
      <c r="B533" s="9"/>
      <c r="C533" s="9"/>
      <c r="D533" s="9"/>
      <c r="E533" s="9"/>
      <c r="F533" s="9"/>
      <c r="G533" s="9"/>
      <c r="H533" s="223"/>
      <c r="I533" s="9"/>
      <c r="J533" s="9"/>
      <c r="K533" s="9"/>
      <c r="L533" s="9"/>
      <c r="M533" s="9"/>
      <c r="N533" s="9"/>
      <c r="O533" s="9"/>
      <c r="P533" s="9"/>
      <c r="Q533" s="223"/>
      <c r="R533" s="9"/>
      <c r="S533" s="9"/>
      <c r="T533" s="9"/>
      <c r="U533" s="9"/>
      <c r="V533" s="9"/>
      <c r="W533" s="971"/>
      <c r="X533" s="9"/>
      <c r="Y533" s="9"/>
      <c r="Z533" s="204"/>
      <c r="AA533" s="9"/>
      <c r="AB533" s="9"/>
      <c r="AC533" s="9"/>
      <c r="AD533" s="9"/>
    </row>
    <row r="534" ht="15.75" customHeight="1">
      <c r="A534" s="9"/>
      <c r="B534" s="9"/>
      <c r="C534" s="9"/>
      <c r="D534" s="9"/>
      <c r="E534" s="9"/>
      <c r="F534" s="9"/>
      <c r="G534" s="9"/>
      <c r="H534" s="223"/>
      <c r="I534" s="9"/>
      <c r="J534" s="9"/>
      <c r="K534" s="9"/>
      <c r="L534" s="9"/>
      <c r="M534" s="9"/>
      <c r="N534" s="9"/>
      <c r="O534" s="9"/>
      <c r="P534" s="9"/>
      <c r="Q534" s="223"/>
      <c r="R534" s="9"/>
      <c r="S534" s="9"/>
      <c r="T534" s="9"/>
      <c r="U534" s="9"/>
      <c r="V534" s="9"/>
      <c r="W534" s="971"/>
      <c r="X534" s="9"/>
      <c r="Y534" s="9"/>
      <c r="Z534" s="204"/>
      <c r="AA534" s="9"/>
      <c r="AB534" s="9"/>
      <c r="AC534" s="9"/>
      <c r="AD534" s="9"/>
    </row>
    <row r="535" ht="15.75" customHeight="1">
      <c r="A535" s="9"/>
      <c r="B535" s="9"/>
      <c r="C535" s="9"/>
      <c r="D535" s="9"/>
      <c r="E535" s="9"/>
      <c r="F535" s="9"/>
      <c r="G535" s="9"/>
      <c r="H535" s="223"/>
      <c r="I535" s="9"/>
      <c r="J535" s="9"/>
      <c r="K535" s="9"/>
      <c r="L535" s="9"/>
      <c r="M535" s="9"/>
      <c r="N535" s="9"/>
      <c r="O535" s="9"/>
      <c r="P535" s="9"/>
      <c r="Q535" s="223"/>
      <c r="R535" s="9"/>
      <c r="S535" s="9"/>
      <c r="T535" s="9"/>
      <c r="U535" s="9"/>
      <c r="V535" s="9"/>
      <c r="W535" s="971"/>
      <c r="X535" s="9"/>
      <c r="Y535" s="9"/>
      <c r="Z535" s="204"/>
      <c r="AA535" s="9"/>
      <c r="AB535" s="9"/>
      <c r="AC535" s="9"/>
      <c r="AD535" s="9"/>
    </row>
    <row r="536" ht="15.75" customHeight="1">
      <c r="A536" s="9"/>
      <c r="B536" s="9"/>
      <c r="C536" s="9"/>
      <c r="D536" s="9"/>
      <c r="E536" s="9"/>
      <c r="F536" s="9"/>
      <c r="G536" s="9"/>
      <c r="H536" s="223"/>
      <c r="I536" s="9"/>
      <c r="J536" s="9"/>
      <c r="K536" s="9"/>
      <c r="L536" s="9"/>
      <c r="M536" s="9"/>
      <c r="N536" s="9"/>
      <c r="O536" s="9"/>
      <c r="P536" s="9"/>
      <c r="Q536" s="223"/>
      <c r="R536" s="9"/>
      <c r="S536" s="9"/>
      <c r="T536" s="9"/>
      <c r="U536" s="9"/>
      <c r="V536" s="9"/>
      <c r="W536" s="971"/>
      <c r="X536" s="9"/>
      <c r="Y536" s="9"/>
      <c r="Z536" s="204"/>
      <c r="AA536" s="9"/>
      <c r="AB536" s="9"/>
      <c r="AC536" s="9"/>
      <c r="AD536" s="9"/>
    </row>
    <row r="537" ht="15.75" customHeight="1">
      <c r="A537" s="9"/>
      <c r="B537" s="9"/>
      <c r="C537" s="9"/>
      <c r="D537" s="9"/>
      <c r="E537" s="9"/>
      <c r="F537" s="9"/>
      <c r="G537" s="9"/>
      <c r="H537" s="223"/>
      <c r="I537" s="9"/>
      <c r="J537" s="9"/>
      <c r="K537" s="9"/>
      <c r="L537" s="9"/>
      <c r="M537" s="9"/>
      <c r="N537" s="9"/>
      <c r="O537" s="9"/>
      <c r="P537" s="9"/>
      <c r="Q537" s="223"/>
      <c r="R537" s="9"/>
      <c r="S537" s="9"/>
      <c r="T537" s="9"/>
      <c r="U537" s="9"/>
      <c r="V537" s="9"/>
      <c r="W537" s="971"/>
      <c r="X537" s="9"/>
      <c r="Y537" s="9"/>
      <c r="Z537" s="204"/>
      <c r="AA537" s="9"/>
      <c r="AB537" s="9"/>
      <c r="AC537" s="9"/>
      <c r="AD537" s="9"/>
    </row>
    <row r="538" ht="15.75" customHeight="1">
      <c r="A538" s="9"/>
      <c r="B538" s="9"/>
      <c r="C538" s="9"/>
      <c r="D538" s="9"/>
      <c r="E538" s="9"/>
      <c r="F538" s="9"/>
      <c r="G538" s="9"/>
      <c r="H538" s="223"/>
      <c r="I538" s="9"/>
      <c r="J538" s="9"/>
      <c r="K538" s="9"/>
      <c r="L538" s="9"/>
      <c r="M538" s="9"/>
      <c r="N538" s="9"/>
      <c r="O538" s="9"/>
      <c r="P538" s="9"/>
      <c r="Q538" s="223"/>
      <c r="R538" s="9"/>
      <c r="S538" s="9"/>
      <c r="T538" s="9"/>
      <c r="U538" s="9"/>
      <c r="V538" s="9"/>
      <c r="W538" s="971"/>
      <c r="X538" s="9"/>
      <c r="Y538" s="9"/>
      <c r="Z538" s="204"/>
      <c r="AA538" s="9"/>
      <c r="AB538" s="9"/>
      <c r="AC538" s="9"/>
      <c r="AD538" s="9"/>
    </row>
    <row r="539" ht="15.75" customHeight="1">
      <c r="A539" s="9"/>
      <c r="B539" s="9"/>
      <c r="C539" s="9"/>
      <c r="D539" s="9"/>
      <c r="E539" s="9"/>
      <c r="F539" s="9"/>
      <c r="G539" s="9"/>
      <c r="H539" s="223"/>
      <c r="I539" s="9"/>
      <c r="J539" s="9"/>
      <c r="K539" s="9"/>
      <c r="L539" s="9"/>
      <c r="M539" s="9"/>
      <c r="N539" s="9"/>
      <c r="O539" s="9"/>
      <c r="P539" s="9"/>
      <c r="Q539" s="223"/>
      <c r="R539" s="9"/>
      <c r="S539" s="9"/>
      <c r="T539" s="9"/>
      <c r="U539" s="9"/>
      <c r="V539" s="9"/>
      <c r="W539" s="971"/>
      <c r="X539" s="9"/>
      <c r="Y539" s="9"/>
      <c r="Z539" s="204"/>
      <c r="AA539" s="9"/>
      <c r="AB539" s="9"/>
      <c r="AC539" s="9"/>
      <c r="AD539" s="9"/>
    </row>
    <row r="540" ht="15.75" customHeight="1">
      <c r="A540" s="9"/>
      <c r="B540" s="9"/>
      <c r="C540" s="9"/>
      <c r="D540" s="9"/>
      <c r="E540" s="9"/>
      <c r="F540" s="9"/>
      <c r="G540" s="9"/>
      <c r="H540" s="223"/>
      <c r="I540" s="9"/>
      <c r="J540" s="9"/>
      <c r="K540" s="9"/>
      <c r="L540" s="9"/>
      <c r="M540" s="9"/>
      <c r="N540" s="9"/>
      <c r="O540" s="9"/>
      <c r="P540" s="9"/>
      <c r="Q540" s="223"/>
      <c r="R540" s="9"/>
      <c r="S540" s="9"/>
      <c r="T540" s="9"/>
      <c r="U540" s="9"/>
      <c r="V540" s="9"/>
      <c r="W540" s="971"/>
      <c r="X540" s="9"/>
      <c r="Y540" s="9"/>
      <c r="Z540" s="204"/>
      <c r="AA540" s="9"/>
      <c r="AB540" s="9"/>
      <c r="AC540" s="9"/>
      <c r="AD540" s="9"/>
    </row>
    <row r="541" ht="15.75" customHeight="1">
      <c r="A541" s="9"/>
      <c r="B541" s="9"/>
      <c r="C541" s="9"/>
      <c r="D541" s="9"/>
      <c r="E541" s="9"/>
      <c r="F541" s="9"/>
      <c r="G541" s="9"/>
      <c r="H541" s="223"/>
      <c r="I541" s="9"/>
      <c r="J541" s="9"/>
      <c r="K541" s="9"/>
      <c r="L541" s="9"/>
      <c r="M541" s="9"/>
      <c r="N541" s="9"/>
      <c r="O541" s="9"/>
      <c r="P541" s="9"/>
      <c r="Q541" s="223"/>
      <c r="R541" s="9"/>
      <c r="S541" s="9"/>
      <c r="T541" s="9"/>
      <c r="U541" s="9"/>
      <c r="V541" s="9"/>
      <c r="W541" s="971"/>
      <c r="X541" s="9"/>
      <c r="Y541" s="9"/>
      <c r="Z541" s="204"/>
      <c r="AA541" s="9"/>
      <c r="AB541" s="9"/>
      <c r="AC541" s="9"/>
      <c r="AD541" s="9"/>
    </row>
    <row r="542" ht="15.75" customHeight="1">
      <c r="A542" s="9"/>
      <c r="B542" s="9"/>
      <c r="C542" s="9"/>
      <c r="D542" s="9"/>
      <c r="E542" s="9"/>
      <c r="F542" s="9"/>
      <c r="G542" s="9"/>
      <c r="H542" s="223"/>
      <c r="I542" s="9"/>
      <c r="J542" s="9"/>
      <c r="K542" s="9"/>
      <c r="L542" s="9"/>
      <c r="M542" s="9"/>
      <c r="N542" s="9"/>
      <c r="O542" s="9"/>
      <c r="P542" s="9"/>
      <c r="Q542" s="223"/>
      <c r="R542" s="9"/>
      <c r="S542" s="9"/>
      <c r="T542" s="9"/>
      <c r="U542" s="9"/>
      <c r="V542" s="9"/>
      <c r="W542" s="971"/>
      <c r="X542" s="9"/>
      <c r="Y542" s="9"/>
      <c r="Z542" s="204"/>
      <c r="AA542" s="9"/>
      <c r="AB542" s="9"/>
      <c r="AC542" s="9"/>
      <c r="AD542" s="9"/>
    </row>
    <row r="543" ht="15.75" customHeight="1">
      <c r="A543" s="9"/>
      <c r="B543" s="9"/>
      <c r="C543" s="9"/>
      <c r="D543" s="9"/>
      <c r="E543" s="9"/>
      <c r="F543" s="9"/>
      <c r="G543" s="9"/>
      <c r="H543" s="223"/>
      <c r="I543" s="9"/>
      <c r="J543" s="9"/>
      <c r="K543" s="9"/>
      <c r="L543" s="9"/>
      <c r="M543" s="9"/>
      <c r="N543" s="9"/>
      <c r="O543" s="9"/>
      <c r="P543" s="9"/>
      <c r="Q543" s="223"/>
      <c r="R543" s="9"/>
      <c r="S543" s="9"/>
      <c r="T543" s="9"/>
      <c r="U543" s="9"/>
      <c r="V543" s="9"/>
      <c r="W543" s="971"/>
      <c r="X543" s="9"/>
      <c r="Y543" s="9"/>
      <c r="Z543" s="204"/>
      <c r="AA543" s="9"/>
      <c r="AB543" s="9"/>
      <c r="AC543" s="9"/>
      <c r="AD543" s="9"/>
    </row>
    <row r="544" ht="15.75" customHeight="1">
      <c r="A544" s="9"/>
      <c r="B544" s="9"/>
      <c r="C544" s="9"/>
      <c r="D544" s="9"/>
      <c r="E544" s="9"/>
      <c r="F544" s="9"/>
      <c r="G544" s="9"/>
      <c r="H544" s="223"/>
      <c r="I544" s="9"/>
      <c r="J544" s="9"/>
      <c r="K544" s="9"/>
      <c r="L544" s="9"/>
      <c r="M544" s="9"/>
      <c r="N544" s="9"/>
      <c r="O544" s="9"/>
      <c r="P544" s="9"/>
      <c r="Q544" s="223"/>
      <c r="R544" s="9"/>
      <c r="S544" s="9"/>
      <c r="T544" s="9"/>
      <c r="U544" s="9"/>
      <c r="V544" s="9"/>
      <c r="W544" s="971"/>
      <c r="X544" s="9"/>
      <c r="Y544" s="9"/>
      <c r="Z544" s="204"/>
      <c r="AA544" s="9"/>
      <c r="AB544" s="9"/>
      <c r="AC544" s="9"/>
      <c r="AD544" s="9"/>
    </row>
    <row r="545" ht="15.75" customHeight="1">
      <c r="A545" s="9"/>
      <c r="B545" s="9"/>
      <c r="C545" s="9"/>
      <c r="D545" s="9"/>
      <c r="E545" s="9"/>
      <c r="F545" s="9"/>
      <c r="G545" s="9"/>
      <c r="H545" s="223"/>
      <c r="I545" s="9"/>
      <c r="J545" s="9"/>
      <c r="K545" s="9"/>
      <c r="L545" s="9"/>
      <c r="M545" s="9"/>
      <c r="N545" s="9"/>
      <c r="O545" s="9"/>
      <c r="P545" s="9"/>
      <c r="Q545" s="223"/>
      <c r="R545" s="9"/>
      <c r="S545" s="9"/>
      <c r="T545" s="9"/>
      <c r="U545" s="9"/>
      <c r="V545" s="9"/>
      <c r="W545" s="971"/>
      <c r="X545" s="9"/>
      <c r="Y545" s="9"/>
      <c r="Z545" s="204"/>
      <c r="AA545" s="9"/>
      <c r="AB545" s="9"/>
      <c r="AC545" s="9"/>
      <c r="AD545" s="9"/>
    </row>
    <row r="546" ht="15.75" customHeight="1">
      <c r="A546" s="9"/>
      <c r="B546" s="9"/>
      <c r="C546" s="9"/>
      <c r="D546" s="9"/>
      <c r="E546" s="9"/>
      <c r="F546" s="9"/>
      <c r="G546" s="9"/>
      <c r="H546" s="223"/>
      <c r="I546" s="9"/>
      <c r="J546" s="9"/>
      <c r="K546" s="9"/>
      <c r="L546" s="9"/>
      <c r="M546" s="9"/>
      <c r="N546" s="9"/>
      <c r="O546" s="9"/>
      <c r="P546" s="9"/>
      <c r="Q546" s="223"/>
      <c r="R546" s="9"/>
      <c r="S546" s="9"/>
      <c r="T546" s="9"/>
      <c r="U546" s="9"/>
      <c r="V546" s="9"/>
      <c r="W546" s="971"/>
      <c r="X546" s="9"/>
      <c r="Y546" s="9"/>
      <c r="Z546" s="204"/>
      <c r="AA546" s="9"/>
      <c r="AB546" s="9"/>
      <c r="AC546" s="9"/>
      <c r="AD546" s="9"/>
    </row>
    <row r="547" ht="15.75" customHeight="1">
      <c r="A547" s="9"/>
      <c r="B547" s="9"/>
      <c r="C547" s="9"/>
      <c r="D547" s="9"/>
      <c r="E547" s="9"/>
      <c r="F547" s="9"/>
      <c r="G547" s="9"/>
      <c r="H547" s="223"/>
      <c r="I547" s="9"/>
      <c r="J547" s="9"/>
      <c r="K547" s="9"/>
      <c r="L547" s="9"/>
      <c r="M547" s="9"/>
      <c r="N547" s="9"/>
      <c r="O547" s="9"/>
      <c r="P547" s="9"/>
      <c r="Q547" s="223"/>
      <c r="R547" s="9"/>
      <c r="S547" s="9"/>
      <c r="T547" s="9"/>
      <c r="U547" s="9"/>
      <c r="V547" s="9"/>
      <c r="W547" s="971"/>
      <c r="X547" s="9"/>
      <c r="Y547" s="9"/>
      <c r="Z547" s="204"/>
      <c r="AA547" s="9"/>
      <c r="AB547" s="9"/>
      <c r="AC547" s="9"/>
      <c r="AD547" s="9"/>
    </row>
    <row r="548" ht="15.75" customHeight="1">
      <c r="A548" s="9"/>
      <c r="B548" s="9"/>
      <c r="C548" s="9"/>
      <c r="D548" s="9"/>
      <c r="E548" s="9"/>
      <c r="F548" s="9"/>
      <c r="G548" s="9"/>
      <c r="H548" s="223"/>
      <c r="I548" s="9"/>
      <c r="J548" s="9"/>
      <c r="K548" s="9"/>
      <c r="L548" s="9"/>
      <c r="M548" s="9"/>
      <c r="N548" s="9"/>
      <c r="O548" s="9"/>
      <c r="P548" s="9"/>
      <c r="Q548" s="223"/>
      <c r="R548" s="9"/>
      <c r="S548" s="9"/>
      <c r="T548" s="9"/>
      <c r="U548" s="9"/>
      <c r="V548" s="9"/>
      <c r="W548" s="971"/>
      <c r="X548" s="9"/>
      <c r="Y548" s="9"/>
      <c r="Z548" s="204"/>
      <c r="AA548" s="9"/>
      <c r="AB548" s="9"/>
      <c r="AC548" s="9"/>
      <c r="AD548" s="9"/>
    </row>
    <row r="549" ht="15.75" customHeight="1">
      <c r="A549" s="9"/>
      <c r="B549" s="9"/>
      <c r="C549" s="9"/>
      <c r="D549" s="9"/>
      <c r="E549" s="9"/>
      <c r="F549" s="9"/>
      <c r="G549" s="9"/>
      <c r="H549" s="223"/>
      <c r="I549" s="9"/>
      <c r="J549" s="9"/>
      <c r="K549" s="9"/>
      <c r="L549" s="9"/>
      <c r="M549" s="9"/>
      <c r="N549" s="9"/>
      <c r="O549" s="9"/>
      <c r="P549" s="9"/>
      <c r="Q549" s="223"/>
      <c r="R549" s="9"/>
      <c r="S549" s="9"/>
      <c r="T549" s="9"/>
      <c r="U549" s="9"/>
      <c r="V549" s="9"/>
      <c r="W549" s="971"/>
      <c r="X549" s="9"/>
      <c r="Y549" s="9"/>
      <c r="Z549" s="204"/>
      <c r="AA549" s="9"/>
      <c r="AB549" s="9"/>
      <c r="AC549" s="9"/>
      <c r="AD549" s="9"/>
    </row>
    <row r="550" ht="15.75" customHeight="1">
      <c r="A550" s="9"/>
      <c r="B550" s="9"/>
      <c r="C550" s="9"/>
      <c r="D550" s="9"/>
      <c r="E550" s="9"/>
      <c r="F550" s="9"/>
      <c r="G550" s="9"/>
      <c r="H550" s="223"/>
      <c r="I550" s="9"/>
      <c r="J550" s="9"/>
      <c r="K550" s="9"/>
      <c r="L550" s="9"/>
      <c r="M550" s="9"/>
      <c r="N550" s="9"/>
      <c r="O550" s="9"/>
      <c r="P550" s="9"/>
      <c r="Q550" s="223"/>
      <c r="R550" s="9"/>
      <c r="S550" s="9"/>
      <c r="T550" s="9"/>
      <c r="U550" s="9"/>
      <c r="V550" s="9"/>
      <c r="W550" s="971"/>
      <c r="X550" s="9"/>
      <c r="Y550" s="9"/>
      <c r="Z550" s="204"/>
      <c r="AA550" s="9"/>
      <c r="AB550" s="9"/>
      <c r="AC550" s="9"/>
      <c r="AD550" s="9"/>
    </row>
    <row r="551" ht="15.75" customHeight="1">
      <c r="A551" s="9"/>
      <c r="B551" s="9"/>
      <c r="C551" s="9"/>
      <c r="D551" s="9"/>
      <c r="E551" s="9"/>
      <c r="F551" s="9"/>
      <c r="G551" s="9"/>
      <c r="H551" s="223"/>
      <c r="I551" s="9"/>
      <c r="J551" s="9"/>
      <c r="K551" s="9"/>
      <c r="L551" s="9"/>
      <c r="M551" s="9"/>
      <c r="N551" s="9"/>
      <c r="O551" s="9"/>
      <c r="P551" s="9"/>
      <c r="Q551" s="223"/>
      <c r="R551" s="9"/>
      <c r="S551" s="9"/>
      <c r="T551" s="9"/>
      <c r="U551" s="9"/>
      <c r="V551" s="9"/>
      <c r="W551" s="971"/>
      <c r="X551" s="9"/>
      <c r="Y551" s="9"/>
      <c r="Z551" s="204"/>
      <c r="AA551" s="9"/>
      <c r="AB551" s="9"/>
      <c r="AC551" s="9"/>
      <c r="AD551" s="9"/>
    </row>
    <row r="552" ht="15.75" customHeight="1">
      <c r="A552" s="9"/>
      <c r="B552" s="9"/>
      <c r="C552" s="9"/>
      <c r="D552" s="9"/>
      <c r="E552" s="9"/>
      <c r="F552" s="9"/>
      <c r="G552" s="9"/>
      <c r="H552" s="223"/>
      <c r="I552" s="9"/>
      <c r="J552" s="9"/>
      <c r="K552" s="9"/>
      <c r="L552" s="9"/>
      <c r="M552" s="9"/>
      <c r="N552" s="9"/>
      <c r="O552" s="9"/>
      <c r="P552" s="9"/>
      <c r="Q552" s="223"/>
      <c r="R552" s="9"/>
      <c r="S552" s="9"/>
      <c r="T552" s="9"/>
      <c r="U552" s="9"/>
      <c r="V552" s="9"/>
      <c r="W552" s="971"/>
      <c r="X552" s="9"/>
      <c r="Y552" s="9"/>
      <c r="Z552" s="204"/>
      <c r="AA552" s="9"/>
      <c r="AB552" s="9"/>
      <c r="AC552" s="9"/>
      <c r="AD552" s="9"/>
    </row>
    <row r="553" ht="15.75" customHeight="1">
      <c r="A553" s="9"/>
      <c r="B553" s="9"/>
      <c r="C553" s="9"/>
      <c r="D553" s="9"/>
      <c r="E553" s="9"/>
      <c r="F553" s="9"/>
      <c r="G553" s="9"/>
      <c r="H553" s="223"/>
      <c r="I553" s="9"/>
      <c r="J553" s="9"/>
      <c r="K553" s="9"/>
      <c r="L553" s="9"/>
      <c r="M553" s="9"/>
      <c r="N553" s="9"/>
      <c r="O553" s="9"/>
      <c r="P553" s="9"/>
      <c r="Q553" s="223"/>
      <c r="R553" s="9"/>
      <c r="S553" s="9"/>
      <c r="T553" s="9"/>
      <c r="U553" s="9"/>
      <c r="V553" s="9"/>
      <c r="W553" s="971"/>
      <c r="X553" s="9"/>
      <c r="Y553" s="9"/>
      <c r="Z553" s="204"/>
      <c r="AA553" s="9"/>
      <c r="AB553" s="9"/>
      <c r="AC553" s="9"/>
      <c r="AD553" s="9"/>
    </row>
    <row r="554" ht="15.75" customHeight="1">
      <c r="A554" s="9"/>
      <c r="B554" s="9"/>
      <c r="C554" s="9"/>
      <c r="D554" s="9"/>
      <c r="E554" s="9"/>
      <c r="F554" s="9"/>
      <c r="G554" s="9"/>
      <c r="H554" s="223"/>
      <c r="I554" s="9"/>
      <c r="J554" s="9"/>
      <c r="K554" s="9"/>
      <c r="L554" s="9"/>
      <c r="M554" s="9"/>
      <c r="N554" s="9"/>
      <c r="O554" s="9"/>
      <c r="P554" s="9"/>
      <c r="Q554" s="223"/>
      <c r="R554" s="9"/>
      <c r="S554" s="9"/>
      <c r="T554" s="9"/>
      <c r="U554" s="9"/>
      <c r="V554" s="9"/>
      <c r="W554" s="971"/>
      <c r="X554" s="9"/>
      <c r="Y554" s="9"/>
      <c r="Z554" s="204"/>
      <c r="AA554" s="9"/>
      <c r="AB554" s="9"/>
      <c r="AC554" s="9"/>
      <c r="AD554" s="9"/>
    </row>
    <row r="555" ht="15.75" customHeight="1">
      <c r="A555" s="9"/>
      <c r="B555" s="9"/>
      <c r="C555" s="9"/>
      <c r="D555" s="9"/>
      <c r="E555" s="9"/>
      <c r="F555" s="9"/>
      <c r="G555" s="9"/>
      <c r="H555" s="223"/>
      <c r="I555" s="9"/>
      <c r="J555" s="9"/>
      <c r="K555" s="9"/>
      <c r="L555" s="9"/>
      <c r="M555" s="9"/>
      <c r="N555" s="9"/>
      <c r="O555" s="9"/>
      <c r="P555" s="9"/>
      <c r="Q555" s="223"/>
      <c r="R555" s="9"/>
      <c r="S555" s="9"/>
      <c r="T555" s="9"/>
      <c r="U555" s="9"/>
      <c r="V555" s="9"/>
      <c r="W555" s="971"/>
      <c r="X555" s="9"/>
      <c r="Y555" s="9"/>
      <c r="Z555" s="204"/>
      <c r="AA555" s="9"/>
      <c r="AB555" s="9"/>
      <c r="AC555" s="9"/>
      <c r="AD555" s="9"/>
    </row>
    <row r="556" ht="15.75" customHeight="1">
      <c r="A556" s="9"/>
      <c r="B556" s="9"/>
      <c r="C556" s="9"/>
      <c r="D556" s="9"/>
      <c r="E556" s="9"/>
      <c r="F556" s="9"/>
      <c r="G556" s="9"/>
      <c r="H556" s="223"/>
      <c r="I556" s="9"/>
      <c r="J556" s="9"/>
      <c r="K556" s="9"/>
      <c r="L556" s="9"/>
      <c r="M556" s="9"/>
      <c r="N556" s="9"/>
      <c r="O556" s="9"/>
      <c r="P556" s="9"/>
      <c r="Q556" s="223"/>
      <c r="R556" s="9"/>
      <c r="S556" s="9"/>
      <c r="T556" s="9"/>
      <c r="U556" s="9"/>
      <c r="V556" s="9"/>
      <c r="W556" s="971"/>
      <c r="X556" s="9"/>
      <c r="Y556" s="9"/>
      <c r="Z556" s="204"/>
      <c r="AA556" s="9"/>
      <c r="AB556" s="9"/>
      <c r="AC556" s="9"/>
      <c r="AD556" s="9"/>
    </row>
    <row r="557" ht="15.75" customHeight="1">
      <c r="A557" s="9"/>
      <c r="B557" s="9"/>
      <c r="C557" s="9"/>
      <c r="D557" s="9"/>
      <c r="E557" s="9"/>
      <c r="F557" s="9"/>
      <c r="G557" s="9"/>
      <c r="H557" s="223"/>
      <c r="I557" s="9"/>
      <c r="J557" s="9"/>
      <c r="K557" s="9"/>
      <c r="L557" s="9"/>
      <c r="M557" s="9"/>
      <c r="N557" s="9"/>
      <c r="O557" s="9"/>
      <c r="P557" s="9"/>
      <c r="Q557" s="223"/>
      <c r="R557" s="9"/>
      <c r="S557" s="9"/>
      <c r="T557" s="9"/>
      <c r="U557" s="9"/>
      <c r="V557" s="9"/>
      <c r="W557" s="971"/>
      <c r="X557" s="9"/>
      <c r="Y557" s="9"/>
      <c r="Z557" s="204"/>
      <c r="AA557" s="9"/>
      <c r="AB557" s="9"/>
      <c r="AC557" s="9"/>
      <c r="AD557" s="9"/>
    </row>
    <row r="558" ht="15.75" customHeight="1">
      <c r="A558" s="9"/>
      <c r="B558" s="9"/>
      <c r="C558" s="9"/>
      <c r="D558" s="9"/>
      <c r="E558" s="9"/>
      <c r="F558" s="9"/>
      <c r="G558" s="9"/>
      <c r="H558" s="223"/>
      <c r="I558" s="9"/>
      <c r="J558" s="9"/>
      <c r="K558" s="9"/>
      <c r="L558" s="9"/>
      <c r="M558" s="9"/>
      <c r="N558" s="9"/>
      <c r="O558" s="9"/>
      <c r="P558" s="9"/>
      <c r="Q558" s="223"/>
      <c r="R558" s="9"/>
      <c r="S558" s="9"/>
      <c r="T558" s="9"/>
      <c r="U558" s="9"/>
      <c r="V558" s="9"/>
      <c r="W558" s="971"/>
      <c r="X558" s="9"/>
      <c r="Y558" s="9"/>
      <c r="Z558" s="204"/>
      <c r="AA558" s="9"/>
      <c r="AB558" s="9"/>
      <c r="AC558" s="9"/>
      <c r="AD558" s="9"/>
    </row>
    <row r="559" ht="15.75" customHeight="1">
      <c r="A559" s="9"/>
      <c r="B559" s="9"/>
      <c r="C559" s="9"/>
      <c r="D559" s="9"/>
      <c r="E559" s="9"/>
      <c r="F559" s="9"/>
      <c r="G559" s="9"/>
      <c r="H559" s="223"/>
      <c r="I559" s="9"/>
      <c r="J559" s="9"/>
      <c r="K559" s="9"/>
      <c r="L559" s="9"/>
      <c r="M559" s="9"/>
      <c r="N559" s="9"/>
      <c r="O559" s="9"/>
      <c r="P559" s="9"/>
      <c r="Q559" s="223"/>
      <c r="R559" s="9"/>
      <c r="S559" s="9"/>
      <c r="T559" s="9"/>
      <c r="U559" s="9"/>
      <c r="V559" s="9"/>
      <c r="W559" s="971"/>
      <c r="X559" s="9"/>
      <c r="Y559" s="9"/>
      <c r="Z559" s="204"/>
      <c r="AA559" s="9"/>
      <c r="AB559" s="9"/>
      <c r="AC559" s="9"/>
      <c r="AD559" s="9"/>
    </row>
    <row r="560" ht="15.75" customHeight="1">
      <c r="A560" s="9"/>
      <c r="B560" s="9"/>
      <c r="C560" s="9"/>
      <c r="D560" s="9"/>
      <c r="E560" s="9"/>
      <c r="F560" s="9"/>
      <c r="G560" s="9"/>
      <c r="H560" s="223"/>
      <c r="I560" s="9"/>
      <c r="J560" s="9"/>
      <c r="K560" s="9"/>
      <c r="L560" s="9"/>
      <c r="M560" s="9"/>
      <c r="N560" s="9"/>
      <c r="O560" s="9"/>
      <c r="P560" s="9"/>
      <c r="Q560" s="223"/>
      <c r="R560" s="9"/>
      <c r="S560" s="9"/>
      <c r="T560" s="9"/>
      <c r="U560" s="9"/>
      <c r="V560" s="9"/>
      <c r="W560" s="971"/>
      <c r="X560" s="9"/>
      <c r="Y560" s="9"/>
      <c r="Z560" s="204"/>
      <c r="AA560" s="9"/>
      <c r="AB560" s="9"/>
      <c r="AC560" s="9"/>
      <c r="AD560" s="9"/>
    </row>
    <row r="561" ht="15.75" customHeight="1">
      <c r="A561" s="9"/>
      <c r="B561" s="9"/>
      <c r="C561" s="9"/>
      <c r="D561" s="9"/>
      <c r="E561" s="9"/>
      <c r="F561" s="9"/>
      <c r="G561" s="9"/>
      <c r="H561" s="223"/>
      <c r="I561" s="9"/>
      <c r="J561" s="9"/>
      <c r="K561" s="9"/>
      <c r="L561" s="9"/>
      <c r="M561" s="9"/>
      <c r="N561" s="9"/>
      <c r="O561" s="9"/>
      <c r="P561" s="9"/>
      <c r="Q561" s="223"/>
      <c r="R561" s="9"/>
      <c r="S561" s="9"/>
      <c r="T561" s="9"/>
      <c r="U561" s="9"/>
      <c r="V561" s="9"/>
      <c r="W561" s="971"/>
      <c r="X561" s="9"/>
      <c r="Y561" s="9"/>
      <c r="Z561" s="204"/>
      <c r="AA561" s="9"/>
      <c r="AB561" s="9"/>
      <c r="AC561" s="9"/>
      <c r="AD561" s="9"/>
    </row>
    <row r="562" ht="15.75" customHeight="1">
      <c r="A562" s="9"/>
      <c r="B562" s="9"/>
      <c r="C562" s="9"/>
      <c r="D562" s="9"/>
      <c r="E562" s="9"/>
      <c r="F562" s="9"/>
      <c r="G562" s="9"/>
      <c r="H562" s="223"/>
      <c r="I562" s="9"/>
      <c r="J562" s="9"/>
      <c r="K562" s="9"/>
      <c r="L562" s="9"/>
      <c r="M562" s="9"/>
      <c r="N562" s="9"/>
      <c r="O562" s="9"/>
      <c r="P562" s="9"/>
      <c r="Q562" s="223"/>
      <c r="R562" s="9"/>
      <c r="S562" s="9"/>
      <c r="T562" s="9"/>
      <c r="U562" s="9"/>
      <c r="V562" s="9"/>
      <c r="W562" s="971"/>
      <c r="X562" s="9"/>
      <c r="Y562" s="9"/>
      <c r="Z562" s="204"/>
      <c r="AA562" s="9"/>
      <c r="AB562" s="9"/>
      <c r="AC562" s="9"/>
      <c r="AD562" s="9"/>
    </row>
    <row r="563" ht="15.75" customHeight="1">
      <c r="A563" s="9"/>
      <c r="B563" s="9"/>
      <c r="C563" s="9"/>
      <c r="D563" s="9"/>
      <c r="E563" s="9"/>
      <c r="F563" s="9"/>
      <c r="G563" s="9"/>
      <c r="H563" s="223"/>
      <c r="I563" s="9"/>
      <c r="J563" s="9"/>
      <c r="K563" s="9"/>
      <c r="L563" s="9"/>
      <c r="M563" s="9"/>
      <c r="N563" s="9"/>
      <c r="O563" s="9"/>
      <c r="P563" s="9"/>
      <c r="Q563" s="223"/>
      <c r="R563" s="9"/>
      <c r="S563" s="9"/>
      <c r="T563" s="9"/>
      <c r="U563" s="9"/>
      <c r="V563" s="9"/>
      <c r="W563" s="971"/>
      <c r="X563" s="9"/>
      <c r="Y563" s="9"/>
      <c r="Z563" s="204"/>
      <c r="AA563" s="9"/>
      <c r="AB563" s="9"/>
      <c r="AC563" s="9"/>
      <c r="AD563" s="9"/>
    </row>
    <row r="564" ht="15.75" customHeight="1">
      <c r="A564" s="9"/>
      <c r="B564" s="9"/>
      <c r="C564" s="9"/>
      <c r="D564" s="9"/>
      <c r="E564" s="9"/>
      <c r="F564" s="9"/>
      <c r="G564" s="9"/>
      <c r="H564" s="223"/>
      <c r="I564" s="9"/>
      <c r="J564" s="9"/>
      <c r="K564" s="9"/>
      <c r="L564" s="9"/>
      <c r="M564" s="9"/>
      <c r="N564" s="9"/>
      <c r="O564" s="9"/>
      <c r="P564" s="9"/>
      <c r="Q564" s="223"/>
      <c r="R564" s="9"/>
      <c r="S564" s="9"/>
      <c r="T564" s="9"/>
      <c r="U564" s="9"/>
      <c r="V564" s="9"/>
      <c r="W564" s="971"/>
      <c r="X564" s="9"/>
      <c r="Y564" s="9"/>
      <c r="Z564" s="204"/>
      <c r="AA564" s="9"/>
      <c r="AB564" s="9"/>
      <c r="AC564" s="9"/>
      <c r="AD564" s="9"/>
    </row>
    <row r="565" ht="15.75" customHeight="1">
      <c r="A565" s="9"/>
      <c r="B565" s="9"/>
      <c r="C565" s="9"/>
      <c r="D565" s="9"/>
      <c r="E565" s="9"/>
      <c r="F565" s="9"/>
      <c r="G565" s="9"/>
      <c r="H565" s="223"/>
      <c r="I565" s="9"/>
      <c r="J565" s="9"/>
      <c r="K565" s="9"/>
      <c r="L565" s="9"/>
      <c r="M565" s="9"/>
      <c r="N565" s="9"/>
      <c r="O565" s="9"/>
      <c r="P565" s="9"/>
      <c r="Q565" s="223"/>
      <c r="R565" s="9"/>
      <c r="S565" s="9"/>
      <c r="T565" s="9"/>
      <c r="U565" s="9"/>
      <c r="V565" s="9"/>
      <c r="W565" s="971"/>
      <c r="X565" s="9"/>
      <c r="Y565" s="9"/>
      <c r="Z565" s="204"/>
      <c r="AA565" s="9"/>
      <c r="AB565" s="9"/>
      <c r="AC565" s="9"/>
      <c r="AD565" s="9"/>
    </row>
    <row r="566" ht="15.75" customHeight="1">
      <c r="A566" s="9"/>
      <c r="B566" s="9"/>
      <c r="C566" s="9"/>
      <c r="D566" s="9"/>
      <c r="E566" s="9"/>
      <c r="F566" s="9"/>
      <c r="G566" s="9"/>
      <c r="H566" s="223"/>
      <c r="I566" s="9"/>
      <c r="J566" s="9"/>
      <c r="K566" s="9"/>
      <c r="L566" s="9"/>
      <c r="M566" s="9"/>
      <c r="N566" s="9"/>
      <c r="O566" s="9"/>
      <c r="P566" s="9"/>
      <c r="Q566" s="223"/>
      <c r="R566" s="9"/>
      <c r="S566" s="9"/>
      <c r="T566" s="9"/>
      <c r="U566" s="9"/>
      <c r="V566" s="9"/>
      <c r="W566" s="971"/>
      <c r="X566" s="9"/>
      <c r="Y566" s="9"/>
      <c r="Z566" s="204"/>
      <c r="AA566" s="9"/>
      <c r="AB566" s="9"/>
      <c r="AC566" s="9"/>
      <c r="AD566" s="9"/>
    </row>
    <row r="567" ht="15.75" customHeight="1">
      <c r="A567" s="9"/>
      <c r="B567" s="9"/>
      <c r="C567" s="9"/>
      <c r="D567" s="9"/>
      <c r="E567" s="9"/>
      <c r="F567" s="9"/>
      <c r="G567" s="9"/>
      <c r="H567" s="223"/>
      <c r="I567" s="9"/>
      <c r="J567" s="9"/>
      <c r="K567" s="9"/>
      <c r="L567" s="9"/>
      <c r="M567" s="9"/>
      <c r="N567" s="9"/>
      <c r="O567" s="9"/>
      <c r="P567" s="9"/>
      <c r="Q567" s="223"/>
      <c r="R567" s="9"/>
      <c r="S567" s="9"/>
      <c r="T567" s="9"/>
      <c r="U567" s="9"/>
      <c r="V567" s="9"/>
      <c r="W567" s="971"/>
      <c r="X567" s="9"/>
      <c r="Y567" s="9"/>
      <c r="Z567" s="204"/>
      <c r="AA567" s="9"/>
      <c r="AB567" s="9"/>
      <c r="AC567" s="9"/>
      <c r="AD567" s="9"/>
    </row>
    <row r="568" ht="15.75" customHeight="1">
      <c r="A568" s="9"/>
      <c r="B568" s="9"/>
      <c r="C568" s="9"/>
      <c r="D568" s="9"/>
      <c r="E568" s="9"/>
      <c r="F568" s="9"/>
      <c r="G568" s="9"/>
      <c r="H568" s="223"/>
      <c r="I568" s="9"/>
      <c r="J568" s="9"/>
      <c r="K568" s="9"/>
      <c r="L568" s="9"/>
      <c r="M568" s="9"/>
      <c r="N568" s="9"/>
      <c r="O568" s="9"/>
      <c r="P568" s="9"/>
      <c r="Q568" s="223"/>
      <c r="R568" s="9"/>
      <c r="S568" s="9"/>
      <c r="T568" s="9"/>
      <c r="U568" s="9"/>
      <c r="V568" s="9"/>
      <c r="W568" s="971"/>
      <c r="X568" s="9"/>
      <c r="Y568" s="9"/>
      <c r="Z568" s="204"/>
      <c r="AA568" s="9"/>
      <c r="AB568" s="9"/>
      <c r="AC568" s="9"/>
      <c r="AD568" s="9"/>
    </row>
    <row r="569" ht="15.75" customHeight="1">
      <c r="A569" s="9"/>
      <c r="B569" s="9"/>
      <c r="C569" s="9"/>
      <c r="D569" s="9"/>
      <c r="E569" s="9"/>
      <c r="F569" s="9"/>
      <c r="G569" s="9"/>
      <c r="H569" s="223"/>
      <c r="I569" s="9"/>
      <c r="J569" s="9"/>
      <c r="K569" s="9"/>
      <c r="L569" s="9"/>
      <c r="M569" s="9"/>
      <c r="N569" s="9"/>
      <c r="O569" s="9"/>
      <c r="P569" s="9"/>
      <c r="Q569" s="223"/>
      <c r="R569" s="9"/>
      <c r="S569" s="9"/>
      <c r="T569" s="9"/>
      <c r="U569" s="9"/>
      <c r="V569" s="9"/>
      <c r="W569" s="971"/>
      <c r="X569" s="9"/>
      <c r="Y569" s="9"/>
      <c r="Z569" s="204"/>
      <c r="AA569" s="9"/>
      <c r="AB569" s="9"/>
      <c r="AC569" s="9"/>
      <c r="AD569" s="9"/>
    </row>
    <row r="570" ht="15.75" customHeight="1">
      <c r="A570" s="9"/>
      <c r="B570" s="9"/>
      <c r="C570" s="9"/>
      <c r="D570" s="9"/>
      <c r="E570" s="9"/>
      <c r="F570" s="9"/>
      <c r="G570" s="9"/>
      <c r="H570" s="223"/>
      <c r="I570" s="9"/>
      <c r="J570" s="9"/>
      <c r="K570" s="9"/>
      <c r="L570" s="9"/>
      <c r="M570" s="9"/>
      <c r="N570" s="9"/>
      <c r="O570" s="9"/>
      <c r="P570" s="9"/>
      <c r="Q570" s="223"/>
      <c r="R570" s="9"/>
      <c r="S570" s="9"/>
      <c r="T570" s="9"/>
      <c r="U570" s="9"/>
      <c r="V570" s="9"/>
      <c r="W570" s="971"/>
      <c r="X570" s="9"/>
      <c r="Y570" s="9"/>
      <c r="Z570" s="204"/>
      <c r="AA570" s="9"/>
      <c r="AB570" s="9"/>
      <c r="AC570" s="9"/>
      <c r="AD570" s="9"/>
    </row>
    <row r="571" ht="15.75" customHeight="1">
      <c r="A571" s="9"/>
      <c r="B571" s="9"/>
      <c r="C571" s="9"/>
      <c r="D571" s="9"/>
      <c r="E571" s="9"/>
      <c r="F571" s="9"/>
      <c r="G571" s="9"/>
      <c r="H571" s="223"/>
      <c r="I571" s="9"/>
      <c r="J571" s="9"/>
      <c r="K571" s="9"/>
      <c r="L571" s="9"/>
      <c r="M571" s="9"/>
      <c r="N571" s="9"/>
      <c r="O571" s="9"/>
      <c r="P571" s="9"/>
      <c r="Q571" s="223"/>
      <c r="R571" s="9"/>
      <c r="S571" s="9"/>
      <c r="T571" s="9"/>
      <c r="U571" s="9"/>
      <c r="V571" s="9"/>
      <c r="W571" s="971"/>
      <c r="X571" s="9"/>
      <c r="Y571" s="9"/>
      <c r="Z571" s="204"/>
      <c r="AA571" s="9"/>
      <c r="AB571" s="9"/>
      <c r="AC571" s="9"/>
      <c r="AD571" s="9"/>
    </row>
    <row r="572" ht="15.75" customHeight="1">
      <c r="A572" s="9"/>
      <c r="B572" s="9"/>
      <c r="C572" s="9"/>
      <c r="D572" s="9"/>
      <c r="E572" s="9"/>
      <c r="F572" s="9"/>
      <c r="G572" s="9"/>
      <c r="H572" s="223"/>
      <c r="I572" s="9"/>
      <c r="J572" s="9"/>
      <c r="K572" s="9"/>
      <c r="L572" s="9"/>
      <c r="M572" s="9"/>
      <c r="N572" s="9"/>
      <c r="O572" s="9"/>
      <c r="P572" s="9"/>
      <c r="Q572" s="223"/>
      <c r="R572" s="9"/>
      <c r="S572" s="9"/>
      <c r="T572" s="9"/>
      <c r="U572" s="9"/>
      <c r="V572" s="9"/>
      <c r="W572" s="971"/>
      <c r="X572" s="9"/>
      <c r="Y572" s="9"/>
      <c r="Z572" s="204"/>
      <c r="AA572" s="9"/>
      <c r="AB572" s="9"/>
      <c r="AC572" s="9"/>
      <c r="AD572" s="9"/>
    </row>
    <row r="573" ht="15.75" customHeight="1">
      <c r="A573" s="9"/>
      <c r="B573" s="9"/>
      <c r="C573" s="9"/>
      <c r="D573" s="9"/>
      <c r="E573" s="9"/>
      <c r="F573" s="9"/>
      <c r="G573" s="9"/>
      <c r="H573" s="223"/>
      <c r="I573" s="9"/>
      <c r="J573" s="9"/>
      <c r="K573" s="9"/>
      <c r="L573" s="9"/>
      <c r="M573" s="9"/>
      <c r="N573" s="9"/>
      <c r="O573" s="9"/>
      <c r="P573" s="9"/>
      <c r="Q573" s="223"/>
      <c r="R573" s="9"/>
      <c r="S573" s="9"/>
      <c r="T573" s="9"/>
      <c r="U573" s="9"/>
      <c r="V573" s="9"/>
      <c r="W573" s="971"/>
      <c r="X573" s="9"/>
      <c r="Y573" s="9"/>
      <c r="Z573" s="204"/>
      <c r="AA573" s="9"/>
      <c r="AB573" s="9"/>
      <c r="AC573" s="9"/>
      <c r="AD573" s="9"/>
    </row>
    <row r="574" ht="15.75" customHeight="1">
      <c r="A574" s="9"/>
      <c r="B574" s="9"/>
      <c r="C574" s="9"/>
      <c r="D574" s="9"/>
      <c r="E574" s="9"/>
      <c r="F574" s="9"/>
      <c r="G574" s="9"/>
      <c r="H574" s="223"/>
      <c r="I574" s="9"/>
      <c r="J574" s="9"/>
      <c r="K574" s="9"/>
      <c r="L574" s="9"/>
      <c r="M574" s="9"/>
      <c r="N574" s="9"/>
      <c r="O574" s="9"/>
      <c r="P574" s="9"/>
      <c r="Q574" s="223"/>
      <c r="R574" s="9"/>
      <c r="S574" s="9"/>
      <c r="T574" s="9"/>
      <c r="U574" s="9"/>
      <c r="V574" s="9"/>
      <c r="W574" s="971"/>
      <c r="X574" s="9"/>
      <c r="Y574" s="9"/>
      <c r="Z574" s="204"/>
      <c r="AA574" s="9"/>
      <c r="AB574" s="9"/>
      <c r="AC574" s="9"/>
      <c r="AD574" s="9"/>
    </row>
    <row r="575" ht="15.75" customHeight="1">
      <c r="A575" s="9"/>
      <c r="B575" s="9"/>
      <c r="C575" s="9"/>
      <c r="D575" s="9"/>
      <c r="E575" s="9"/>
      <c r="F575" s="9"/>
      <c r="G575" s="9"/>
      <c r="H575" s="223"/>
      <c r="I575" s="9"/>
      <c r="J575" s="9"/>
      <c r="K575" s="9"/>
      <c r="L575" s="9"/>
      <c r="M575" s="9"/>
      <c r="N575" s="9"/>
      <c r="O575" s="9"/>
      <c r="P575" s="9"/>
      <c r="Q575" s="223"/>
      <c r="R575" s="9"/>
      <c r="S575" s="9"/>
      <c r="T575" s="9"/>
      <c r="U575" s="9"/>
      <c r="V575" s="9"/>
      <c r="W575" s="971"/>
      <c r="X575" s="9"/>
      <c r="Y575" s="9"/>
      <c r="Z575" s="204"/>
      <c r="AA575" s="9"/>
      <c r="AB575" s="9"/>
      <c r="AC575" s="9"/>
      <c r="AD575" s="9"/>
    </row>
    <row r="576" ht="15.75" customHeight="1">
      <c r="A576" s="9"/>
      <c r="B576" s="9"/>
      <c r="C576" s="9"/>
      <c r="D576" s="9"/>
      <c r="E576" s="9"/>
      <c r="F576" s="9"/>
      <c r="G576" s="9"/>
      <c r="H576" s="223"/>
      <c r="I576" s="9"/>
      <c r="J576" s="9"/>
      <c r="K576" s="9"/>
      <c r="L576" s="9"/>
      <c r="M576" s="9"/>
      <c r="N576" s="9"/>
      <c r="O576" s="9"/>
      <c r="P576" s="9"/>
      <c r="Q576" s="223"/>
      <c r="R576" s="9"/>
      <c r="S576" s="9"/>
      <c r="T576" s="9"/>
      <c r="U576" s="9"/>
      <c r="V576" s="9"/>
      <c r="W576" s="971"/>
      <c r="X576" s="9"/>
      <c r="Y576" s="9"/>
      <c r="Z576" s="204"/>
      <c r="AA576" s="9"/>
      <c r="AB576" s="9"/>
      <c r="AC576" s="9"/>
      <c r="AD576" s="9"/>
    </row>
    <row r="577" ht="15.75" customHeight="1">
      <c r="A577" s="9"/>
      <c r="B577" s="9"/>
      <c r="C577" s="9"/>
      <c r="D577" s="9"/>
      <c r="E577" s="9"/>
      <c r="F577" s="9"/>
      <c r="G577" s="9"/>
      <c r="H577" s="223"/>
      <c r="I577" s="9"/>
      <c r="J577" s="9"/>
      <c r="K577" s="9"/>
      <c r="L577" s="9"/>
      <c r="M577" s="9"/>
      <c r="N577" s="9"/>
      <c r="O577" s="9"/>
      <c r="P577" s="9"/>
      <c r="Q577" s="223"/>
      <c r="R577" s="9"/>
      <c r="S577" s="9"/>
      <c r="T577" s="9"/>
      <c r="U577" s="9"/>
      <c r="V577" s="9"/>
      <c r="W577" s="971"/>
      <c r="X577" s="9"/>
      <c r="Y577" s="9"/>
      <c r="Z577" s="204"/>
      <c r="AA577" s="9"/>
      <c r="AB577" s="9"/>
      <c r="AC577" s="9"/>
      <c r="AD577" s="9"/>
    </row>
    <row r="578" ht="15.75" customHeight="1">
      <c r="A578" s="9"/>
      <c r="B578" s="9"/>
      <c r="C578" s="9"/>
      <c r="D578" s="9"/>
      <c r="E578" s="9"/>
      <c r="F578" s="9"/>
      <c r="G578" s="9"/>
      <c r="H578" s="223"/>
      <c r="I578" s="9"/>
      <c r="J578" s="9"/>
      <c r="K578" s="9"/>
      <c r="L578" s="9"/>
      <c r="M578" s="9"/>
      <c r="N578" s="9"/>
      <c r="O578" s="9"/>
      <c r="P578" s="9"/>
      <c r="Q578" s="223"/>
      <c r="R578" s="9"/>
      <c r="S578" s="9"/>
      <c r="T578" s="9"/>
      <c r="U578" s="9"/>
      <c r="V578" s="9"/>
      <c r="W578" s="971"/>
      <c r="X578" s="9"/>
      <c r="Y578" s="9"/>
      <c r="Z578" s="204"/>
      <c r="AA578" s="9"/>
      <c r="AB578" s="9"/>
      <c r="AC578" s="9"/>
      <c r="AD578" s="9"/>
    </row>
    <row r="579" ht="15.75" customHeight="1">
      <c r="A579" s="9"/>
      <c r="B579" s="9"/>
      <c r="C579" s="9"/>
      <c r="D579" s="9"/>
      <c r="E579" s="9"/>
      <c r="F579" s="9"/>
      <c r="G579" s="9"/>
      <c r="H579" s="223"/>
      <c r="I579" s="9"/>
      <c r="J579" s="9"/>
      <c r="K579" s="9"/>
      <c r="L579" s="9"/>
      <c r="M579" s="9"/>
      <c r="N579" s="9"/>
      <c r="O579" s="9"/>
      <c r="P579" s="9"/>
      <c r="Q579" s="223"/>
      <c r="R579" s="9"/>
      <c r="S579" s="9"/>
      <c r="T579" s="9"/>
      <c r="U579" s="9"/>
      <c r="V579" s="9"/>
      <c r="W579" s="971"/>
      <c r="X579" s="9"/>
      <c r="Y579" s="9"/>
      <c r="Z579" s="204"/>
      <c r="AA579" s="9"/>
      <c r="AB579" s="9"/>
      <c r="AC579" s="9"/>
      <c r="AD579" s="9"/>
    </row>
    <row r="580" ht="15.75" customHeight="1">
      <c r="A580" s="9"/>
      <c r="B580" s="9"/>
      <c r="C580" s="9"/>
      <c r="D580" s="9"/>
      <c r="E580" s="9"/>
      <c r="F580" s="9"/>
      <c r="G580" s="9"/>
      <c r="H580" s="223"/>
      <c r="I580" s="9"/>
      <c r="J580" s="9"/>
      <c r="K580" s="9"/>
      <c r="L580" s="9"/>
      <c r="M580" s="9"/>
      <c r="N580" s="9"/>
      <c r="O580" s="9"/>
      <c r="P580" s="9"/>
      <c r="Q580" s="223"/>
      <c r="R580" s="9"/>
      <c r="S580" s="9"/>
      <c r="T580" s="9"/>
      <c r="U580" s="9"/>
      <c r="V580" s="9"/>
      <c r="W580" s="971"/>
      <c r="X580" s="9"/>
      <c r="Y580" s="9"/>
      <c r="Z580" s="204"/>
      <c r="AA580" s="9"/>
      <c r="AB580" s="9"/>
      <c r="AC580" s="9"/>
      <c r="AD580" s="9"/>
    </row>
    <row r="581" ht="15.75" customHeight="1">
      <c r="A581" s="9"/>
      <c r="B581" s="9"/>
      <c r="C581" s="9"/>
      <c r="D581" s="9"/>
      <c r="E581" s="9"/>
      <c r="F581" s="9"/>
      <c r="G581" s="9"/>
      <c r="H581" s="223"/>
      <c r="I581" s="9"/>
      <c r="J581" s="9"/>
      <c r="K581" s="9"/>
      <c r="L581" s="9"/>
      <c r="M581" s="9"/>
      <c r="N581" s="9"/>
      <c r="O581" s="9"/>
      <c r="P581" s="9"/>
      <c r="Q581" s="223"/>
      <c r="R581" s="9"/>
      <c r="S581" s="9"/>
      <c r="T581" s="9"/>
      <c r="U581" s="9"/>
      <c r="V581" s="9"/>
      <c r="W581" s="971"/>
      <c r="X581" s="9"/>
      <c r="Y581" s="9"/>
      <c r="Z581" s="204"/>
      <c r="AA581" s="9"/>
      <c r="AB581" s="9"/>
      <c r="AC581" s="9"/>
      <c r="AD581" s="9"/>
    </row>
    <row r="582" ht="15.75" customHeight="1">
      <c r="A582" s="9"/>
      <c r="B582" s="9"/>
      <c r="C582" s="9"/>
      <c r="D582" s="9"/>
      <c r="E582" s="9"/>
      <c r="F582" s="9"/>
      <c r="G582" s="9"/>
      <c r="H582" s="223"/>
      <c r="I582" s="9"/>
      <c r="J582" s="9"/>
      <c r="K582" s="9"/>
      <c r="L582" s="9"/>
      <c r="M582" s="9"/>
      <c r="N582" s="9"/>
      <c r="O582" s="9"/>
      <c r="P582" s="9"/>
      <c r="Q582" s="223"/>
      <c r="R582" s="9"/>
      <c r="S582" s="9"/>
      <c r="T582" s="9"/>
      <c r="U582" s="9"/>
      <c r="V582" s="9"/>
      <c r="W582" s="971"/>
      <c r="X582" s="9"/>
      <c r="Y582" s="9"/>
      <c r="Z582" s="204"/>
      <c r="AA582" s="9"/>
      <c r="AB582" s="9"/>
      <c r="AC582" s="9"/>
      <c r="AD582" s="9"/>
    </row>
    <row r="583" ht="15.75" customHeight="1">
      <c r="A583" s="9"/>
      <c r="B583" s="9"/>
      <c r="C583" s="9"/>
      <c r="D583" s="9"/>
      <c r="E583" s="9"/>
      <c r="F583" s="9"/>
      <c r="G583" s="9"/>
      <c r="H583" s="223"/>
      <c r="I583" s="9"/>
      <c r="J583" s="9"/>
      <c r="K583" s="9"/>
      <c r="L583" s="9"/>
      <c r="M583" s="9"/>
      <c r="N583" s="9"/>
      <c r="O583" s="9"/>
      <c r="P583" s="9"/>
      <c r="Q583" s="223"/>
      <c r="R583" s="9"/>
      <c r="S583" s="9"/>
      <c r="T583" s="9"/>
      <c r="U583" s="9"/>
      <c r="V583" s="9"/>
      <c r="W583" s="971"/>
      <c r="X583" s="9"/>
      <c r="Y583" s="9"/>
      <c r="Z583" s="204"/>
      <c r="AA583" s="9"/>
      <c r="AB583" s="9"/>
      <c r="AC583" s="9"/>
      <c r="AD583" s="9"/>
    </row>
    <row r="584" ht="15.75" customHeight="1">
      <c r="A584" s="9"/>
      <c r="B584" s="9"/>
      <c r="C584" s="9"/>
      <c r="D584" s="9"/>
      <c r="E584" s="9"/>
      <c r="F584" s="9"/>
      <c r="G584" s="9"/>
      <c r="H584" s="223"/>
      <c r="I584" s="9"/>
      <c r="J584" s="9"/>
      <c r="K584" s="9"/>
      <c r="L584" s="9"/>
      <c r="M584" s="9"/>
      <c r="N584" s="9"/>
      <c r="O584" s="9"/>
      <c r="P584" s="9"/>
      <c r="Q584" s="223"/>
      <c r="R584" s="9"/>
      <c r="S584" s="9"/>
      <c r="T584" s="9"/>
      <c r="U584" s="9"/>
      <c r="V584" s="9"/>
      <c r="W584" s="971"/>
      <c r="X584" s="9"/>
      <c r="Y584" s="9"/>
      <c r="Z584" s="204"/>
      <c r="AA584" s="9"/>
      <c r="AB584" s="9"/>
      <c r="AC584" s="9"/>
      <c r="AD584" s="9"/>
    </row>
    <row r="585" ht="15.75" customHeight="1">
      <c r="A585" s="9"/>
      <c r="B585" s="9"/>
      <c r="C585" s="9"/>
      <c r="D585" s="9"/>
      <c r="E585" s="9"/>
      <c r="F585" s="9"/>
      <c r="G585" s="9"/>
      <c r="H585" s="223"/>
      <c r="I585" s="9"/>
      <c r="J585" s="9"/>
      <c r="K585" s="9"/>
      <c r="L585" s="9"/>
      <c r="M585" s="9"/>
      <c r="N585" s="9"/>
      <c r="O585" s="9"/>
      <c r="P585" s="9"/>
      <c r="Q585" s="223"/>
      <c r="R585" s="9"/>
      <c r="S585" s="9"/>
      <c r="T585" s="9"/>
      <c r="U585" s="9"/>
      <c r="V585" s="9"/>
      <c r="W585" s="971"/>
      <c r="X585" s="9"/>
      <c r="Y585" s="9"/>
      <c r="Z585" s="204"/>
      <c r="AA585" s="9"/>
      <c r="AB585" s="9"/>
      <c r="AC585" s="9"/>
      <c r="AD585" s="9"/>
    </row>
    <row r="586" ht="15.75" customHeight="1">
      <c r="A586" s="9"/>
      <c r="B586" s="9"/>
      <c r="C586" s="9"/>
      <c r="D586" s="9"/>
      <c r="E586" s="9"/>
      <c r="F586" s="9"/>
      <c r="G586" s="9"/>
      <c r="H586" s="223"/>
      <c r="I586" s="9"/>
      <c r="J586" s="9"/>
      <c r="K586" s="9"/>
      <c r="L586" s="9"/>
      <c r="M586" s="9"/>
      <c r="N586" s="9"/>
      <c r="O586" s="9"/>
      <c r="P586" s="9"/>
      <c r="Q586" s="223"/>
      <c r="R586" s="9"/>
      <c r="S586" s="9"/>
      <c r="T586" s="9"/>
      <c r="U586" s="9"/>
      <c r="V586" s="9"/>
      <c r="W586" s="971"/>
      <c r="X586" s="9"/>
      <c r="Y586" s="9"/>
      <c r="Z586" s="204"/>
      <c r="AA586" s="9"/>
      <c r="AB586" s="9"/>
      <c r="AC586" s="9"/>
      <c r="AD586" s="9"/>
    </row>
    <row r="587" ht="15.75" customHeight="1">
      <c r="A587" s="9"/>
      <c r="B587" s="9"/>
      <c r="C587" s="9"/>
      <c r="D587" s="9"/>
      <c r="E587" s="9"/>
      <c r="F587" s="9"/>
      <c r="G587" s="9"/>
      <c r="H587" s="223"/>
      <c r="I587" s="9"/>
      <c r="J587" s="9"/>
      <c r="K587" s="9"/>
      <c r="L587" s="9"/>
      <c r="M587" s="9"/>
      <c r="N587" s="9"/>
      <c r="O587" s="9"/>
      <c r="P587" s="9"/>
      <c r="Q587" s="223"/>
      <c r="R587" s="9"/>
      <c r="S587" s="9"/>
      <c r="T587" s="9"/>
      <c r="U587" s="9"/>
      <c r="V587" s="9"/>
      <c r="W587" s="971"/>
      <c r="X587" s="9"/>
      <c r="Y587" s="9"/>
      <c r="Z587" s="204"/>
      <c r="AA587" s="9"/>
      <c r="AB587" s="9"/>
      <c r="AC587" s="9"/>
      <c r="AD587" s="9"/>
    </row>
    <row r="588" ht="15.75" customHeight="1">
      <c r="A588" s="9"/>
      <c r="B588" s="9"/>
      <c r="C588" s="9"/>
      <c r="D588" s="9"/>
      <c r="E588" s="9"/>
      <c r="F588" s="9"/>
      <c r="G588" s="9"/>
      <c r="H588" s="223"/>
      <c r="I588" s="9"/>
      <c r="J588" s="9"/>
      <c r="K588" s="9"/>
      <c r="L588" s="9"/>
      <c r="M588" s="9"/>
      <c r="N588" s="9"/>
      <c r="O588" s="9"/>
      <c r="P588" s="9"/>
      <c r="Q588" s="223"/>
      <c r="R588" s="9"/>
      <c r="S588" s="9"/>
      <c r="T588" s="9"/>
      <c r="U588" s="9"/>
      <c r="V588" s="9"/>
      <c r="W588" s="971"/>
      <c r="X588" s="9"/>
      <c r="Y588" s="9"/>
      <c r="Z588" s="204"/>
      <c r="AA588" s="9"/>
      <c r="AB588" s="9"/>
      <c r="AC588" s="9"/>
      <c r="AD588" s="9"/>
    </row>
    <row r="589" ht="15.75" customHeight="1">
      <c r="A589" s="9"/>
      <c r="B589" s="9"/>
      <c r="C589" s="9"/>
      <c r="D589" s="9"/>
      <c r="E589" s="9"/>
      <c r="F589" s="9"/>
      <c r="G589" s="9"/>
      <c r="H589" s="223"/>
      <c r="I589" s="9"/>
      <c r="J589" s="9"/>
      <c r="K589" s="9"/>
      <c r="L589" s="9"/>
      <c r="M589" s="9"/>
      <c r="N589" s="9"/>
      <c r="O589" s="9"/>
      <c r="P589" s="9"/>
      <c r="Q589" s="223"/>
      <c r="R589" s="9"/>
      <c r="S589" s="9"/>
      <c r="T589" s="9"/>
      <c r="U589" s="9"/>
      <c r="V589" s="9"/>
      <c r="W589" s="971"/>
      <c r="X589" s="9"/>
      <c r="Y589" s="9"/>
      <c r="Z589" s="204"/>
      <c r="AA589" s="9"/>
      <c r="AB589" s="9"/>
      <c r="AC589" s="9"/>
      <c r="AD589" s="9"/>
    </row>
    <row r="590" ht="15.75" customHeight="1">
      <c r="A590" s="9"/>
      <c r="B590" s="9"/>
      <c r="C590" s="9"/>
      <c r="D590" s="9"/>
      <c r="E590" s="9"/>
      <c r="F590" s="9"/>
      <c r="G590" s="9"/>
      <c r="H590" s="223"/>
      <c r="I590" s="9"/>
      <c r="J590" s="9"/>
      <c r="K590" s="9"/>
      <c r="L590" s="9"/>
      <c r="M590" s="9"/>
      <c r="N590" s="9"/>
      <c r="O590" s="9"/>
      <c r="P590" s="9"/>
      <c r="Q590" s="223"/>
      <c r="R590" s="9"/>
      <c r="S590" s="9"/>
      <c r="T590" s="9"/>
      <c r="U590" s="9"/>
      <c r="V590" s="9"/>
      <c r="W590" s="971"/>
      <c r="X590" s="9"/>
      <c r="Y590" s="9"/>
      <c r="Z590" s="204"/>
      <c r="AA590" s="9"/>
      <c r="AB590" s="9"/>
      <c r="AC590" s="9"/>
      <c r="AD590" s="9"/>
    </row>
    <row r="591" ht="15.75" customHeight="1">
      <c r="A591" s="9"/>
      <c r="B591" s="9"/>
      <c r="C591" s="9"/>
      <c r="D591" s="9"/>
      <c r="E591" s="9"/>
      <c r="F591" s="9"/>
      <c r="G591" s="9"/>
      <c r="H591" s="223"/>
      <c r="I591" s="9"/>
      <c r="J591" s="9"/>
      <c r="K591" s="9"/>
      <c r="L591" s="9"/>
      <c r="M591" s="9"/>
      <c r="N591" s="9"/>
      <c r="O591" s="9"/>
      <c r="P591" s="9"/>
      <c r="Q591" s="223"/>
      <c r="R591" s="9"/>
      <c r="S591" s="9"/>
      <c r="T591" s="9"/>
      <c r="U591" s="9"/>
      <c r="V591" s="9"/>
      <c r="W591" s="971"/>
      <c r="X591" s="9"/>
      <c r="Y591" s="9"/>
      <c r="Z591" s="204"/>
      <c r="AA591" s="9"/>
      <c r="AB591" s="9"/>
      <c r="AC591" s="9"/>
      <c r="AD591" s="9"/>
    </row>
    <row r="592" ht="15.75" customHeight="1">
      <c r="A592" s="9"/>
      <c r="B592" s="9"/>
      <c r="C592" s="9"/>
      <c r="D592" s="9"/>
      <c r="E592" s="9"/>
      <c r="F592" s="9"/>
      <c r="G592" s="9"/>
      <c r="H592" s="223"/>
      <c r="I592" s="9"/>
      <c r="J592" s="9"/>
      <c r="K592" s="9"/>
      <c r="L592" s="9"/>
      <c r="M592" s="9"/>
      <c r="N592" s="9"/>
      <c r="O592" s="9"/>
      <c r="P592" s="9"/>
      <c r="Q592" s="223"/>
      <c r="R592" s="9"/>
      <c r="S592" s="9"/>
      <c r="T592" s="9"/>
      <c r="U592" s="9"/>
      <c r="V592" s="9"/>
      <c r="W592" s="971"/>
      <c r="X592" s="9"/>
      <c r="Y592" s="9"/>
      <c r="Z592" s="204"/>
      <c r="AA592" s="9"/>
      <c r="AB592" s="9"/>
      <c r="AC592" s="9"/>
      <c r="AD592" s="9"/>
    </row>
    <row r="593" ht="15.75" customHeight="1">
      <c r="A593" s="9"/>
      <c r="B593" s="9"/>
      <c r="C593" s="9"/>
      <c r="D593" s="9"/>
      <c r="E593" s="9"/>
      <c r="F593" s="9"/>
      <c r="G593" s="9"/>
      <c r="H593" s="223"/>
      <c r="I593" s="9"/>
      <c r="J593" s="9"/>
      <c r="K593" s="9"/>
      <c r="L593" s="9"/>
      <c r="M593" s="9"/>
      <c r="N593" s="9"/>
      <c r="O593" s="9"/>
      <c r="P593" s="9"/>
      <c r="Q593" s="223"/>
      <c r="R593" s="9"/>
      <c r="S593" s="9"/>
      <c r="T593" s="9"/>
      <c r="U593" s="9"/>
      <c r="V593" s="9"/>
      <c r="W593" s="971"/>
      <c r="X593" s="9"/>
      <c r="Y593" s="9"/>
      <c r="Z593" s="204"/>
      <c r="AA593" s="9"/>
      <c r="AB593" s="9"/>
      <c r="AC593" s="9"/>
      <c r="AD593" s="9"/>
    </row>
    <row r="594" ht="15.75" customHeight="1">
      <c r="A594" s="9"/>
      <c r="B594" s="9"/>
      <c r="C594" s="9"/>
      <c r="D594" s="9"/>
      <c r="E594" s="9"/>
      <c r="F594" s="9"/>
      <c r="G594" s="9"/>
      <c r="H594" s="223"/>
      <c r="I594" s="9"/>
      <c r="J594" s="9"/>
      <c r="K594" s="9"/>
      <c r="L594" s="9"/>
      <c r="M594" s="9"/>
      <c r="N594" s="9"/>
      <c r="O594" s="9"/>
      <c r="P594" s="9"/>
      <c r="Q594" s="223"/>
      <c r="R594" s="9"/>
      <c r="S594" s="9"/>
      <c r="T594" s="9"/>
      <c r="U594" s="9"/>
      <c r="V594" s="9"/>
      <c r="W594" s="971"/>
      <c r="X594" s="9"/>
      <c r="Y594" s="9"/>
      <c r="Z594" s="204"/>
      <c r="AA594" s="9"/>
      <c r="AB594" s="9"/>
      <c r="AC594" s="9"/>
      <c r="AD594" s="9"/>
    </row>
    <row r="595" ht="15.75" customHeight="1">
      <c r="A595" s="9"/>
      <c r="B595" s="9"/>
      <c r="C595" s="9"/>
      <c r="D595" s="9"/>
      <c r="E595" s="9"/>
      <c r="F595" s="9"/>
      <c r="G595" s="9"/>
      <c r="H595" s="223"/>
      <c r="I595" s="9"/>
      <c r="J595" s="9"/>
      <c r="K595" s="9"/>
      <c r="L595" s="9"/>
      <c r="M595" s="9"/>
      <c r="N595" s="9"/>
      <c r="O595" s="9"/>
      <c r="P595" s="9"/>
      <c r="Q595" s="223"/>
      <c r="R595" s="9"/>
      <c r="S595" s="9"/>
      <c r="T595" s="9"/>
      <c r="U595" s="9"/>
      <c r="V595" s="9"/>
      <c r="W595" s="971"/>
      <c r="X595" s="9"/>
      <c r="Y595" s="9"/>
      <c r="Z595" s="204"/>
      <c r="AA595" s="9"/>
      <c r="AB595" s="9"/>
      <c r="AC595" s="9"/>
      <c r="AD595" s="9"/>
    </row>
    <row r="596" ht="15.75" customHeight="1">
      <c r="A596" s="9"/>
      <c r="B596" s="9"/>
      <c r="C596" s="9"/>
      <c r="D596" s="9"/>
      <c r="E596" s="9"/>
      <c r="F596" s="9"/>
      <c r="G596" s="9"/>
      <c r="H596" s="223"/>
      <c r="I596" s="9"/>
      <c r="J596" s="9"/>
      <c r="K596" s="9"/>
      <c r="L596" s="9"/>
      <c r="M596" s="9"/>
      <c r="N596" s="9"/>
      <c r="O596" s="9"/>
      <c r="P596" s="9"/>
      <c r="Q596" s="223"/>
      <c r="R596" s="9"/>
      <c r="S596" s="9"/>
      <c r="T596" s="9"/>
      <c r="U596" s="9"/>
      <c r="V596" s="9"/>
      <c r="W596" s="971"/>
      <c r="X596" s="9"/>
      <c r="Y596" s="9"/>
      <c r="Z596" s="204"/>
      <c r="AA596" s="9"/>
      <c r="AB596" s="9"/>
      <c r="AC596" s="9"/>
      <c r="AD596" s="9"/>
    </row>
    <row r="597" ht="15.75" customHeight="1">
      <c r="A597" s="9"/>
      <c r="B597" s="9"/>
      <c r="C597" s="9"/>
      <c r="D597" s="9"/>
      <c r="E597" s="9"/>
      <c r="F597" s="9"/>
      <c r="G597" s="9"/>
      <c r="H597" s="223"/>
      <c r="I597" s="9"/>
      <c r="J597" s="9"/>
      <c r="K597" s="9"/>
      <c r="L597" s="9"/>
      <c r="M597" s="9"/>
      <c r="N597" s="9"/>
      <c r="O597" s="9"/>
      <c r="P597" s="9"/>
      <c r="Q597" s="223"/>
      <c r="R597" s="9"/>
      <c r="S597" s="9"/>
      <c r="T597" s="9"/>
      <c r="U597" s="9"/>
      <c r="V597" s="9"/>
      <c r="W597" s="971"/>
      <c r="X597" s="9"/>
      <c r="Y597" s="9"/>
      <c r="Z597" s="204"/>
      <c r="AA597" s="9"/>
      <c r="AB597" s="9"/>
      <c r="AC597" s="9"/>
      <c r="AD597" s="9"/>
    </row>
    <row r="598" ht="15.75" customHeight="1">
      <c r="A598" s="9"/>
      <c r="B598" s="9"/>
      <c r="C598" s="9"/>
      <c r="D598" s="9"/>
      <c r="E598" s="9"/>
      <c r="F598" s="9"/>
      <c r="G598" s="9"/>
      <c r="H598" s="223"/>
      <c r="I598" s="9"/>
      <c r="J598" s="9"/>
      <c r="K598" s="9"/>
      <c r="L598" s="9"/>
      <c r="M598" s="9"/>
      <c r="N598" s="9"/>
      <c r="O598" s="9"/>
      <c r="P598" s="9"/>
      <c r="Q598" s="223"/>
      <c r="R598" s="9"/>
      <c r="S598" s="9"/>
      <c r="T598" s="9"/>
      <c r="U598" s="9"/>
      <c r="V598" s="9"/>
      <c r="W598" s="971"/>
      <c r="X598" s="9"/>
      <c r="Y598" s="9"/>
      <c r="Z598" s="204"/>
      <c r="AA598" s="9"/>
      <c r="AB598" s="9"/>
      <c r="AC598" s="9"/>
      <c r="AD598" s="9"/>
    </row>
    <row r="599" ht="15.75" customHeight="1">
      <c r="A599" s="9"/>
      <c r="B599" s="9"/>
      <c r="C599" s="9"/>
      <c r="D599" s="9"/>
      <c r="E599" s="9"/>
      <c r="F599" s="9"/>
      <c r="G599" s="9"/>
      <c r="H599" s="223"/>
      <c r="I599" s="9"/>
      <c r="J599" s="9"/>
      <c r="K599" s="9"/>
      <c r="L599" s="9"/>
      <c r="M599" s="9"/>
      <c r="N599" s="9"/>
      <c r="O599" s="9"/>
      <c r="P599" s="9"/>
      <c r="Q599" s="223"/>
      <c r="R599" s="9"/>
      <c r="S599" s="9"/>
      <c r="T599" s="9"/>
      <c r="U599" s="9"/>
      <c r="V599" s="9"/>
      <c r="W599" s="971"/>
      <c r="X599" s="9"/>
      <c r="Y599" s="9"/>
      <c r="Z599" s="204"/>
      <c r="AA599" s="9"/>
      <c r="AB599" s="9"/>
      <c r="AC599" s="9"/>
      <c r="AD599" s="9"/>
    </row>
    <row r="600" ht="15.75" customHeight="1">
      <c r="A600" s="9"/>
      <c r="B600" s="9"/>
      <c r="C600" s="9"/>
      <c r="D600" s="9"/>
      <c r="E600" s="9"/>
      <c r="F600" s="9"/>
      <c r="G600" s="9"/>
      <c r="H600" s="223"/>
      <c r="I600" s="9"/>
      <c r="J600" s="9"/>
      <c r="K600" s="9"/>
      <c r="L600" s="9"/>
      <c r="M600" s="9"/>
      <c r="N600" s="9"/>
      <c r="O600" s="9"/>
      <c r="P600" s="9"/>
      <c r="Q600" s="223"/>
      <c r="R600" s="9"/>
      <c r="S600" s="9"/>
      <c r="T600" s="9"/>
      <c r="U600" s="9"/>
      <c r="V600" s="9"/>
      <c r="W600" s="971"/>
      <c r="X600" s="9"/>
      <c r="Y600" s="9"/>
      <c r="Z600" s="204"/>
      <c r="AA600" s="9"/>
      <c r="AB600" s="9"/>
      <c r="AC600" s="9"/>
      <c r="AD600" s="9"/>
    </row>
    <row r="601" ht="15.75" customHeight="1">
      <c r="A601" s="9"/>
      <c r="B601" s="9"/>
      <c r="C601" s="9"/>
      <c r="D601" s="9"/>
      <c r="E601" s="9"/>
      <c r="F601" s="9"/>
      <c r="G601" s="9"/>
      <c r="H601" s="223"/>
      <c r="I601" s="9"/>
      <c r="J601" s="9"/>
      <c r="K601" s="9"/>
      <c r="L601" s="9"/>
      <c r="M601" s="9"/>
      <c r="N601" s="9"/>
      <c r="O601" s="9"/>
      <c r="P601" s="9"/>
      <c r="Q601" s="223"/>
      <c r="R601" s="9"/>
      <c r="S601" s="9"/>
      <c r="T601" s="9"/>
      <c r="U601" s="9"/>
      <c r="V601" s="9"/>
      <c r="W601" s="971"/>
      <c r="X601" s="9"/>
      <c r="Y601" s="9"/>
      <c r="Z601" s="204"/>
      <c r="AA601" s="9"/>
      <c r="AB601" s="9"/>
      <c r="AC601" s="9"/>
      <c r="AD601" s="9"/>
    </row>
    <row r="602" ht="15.75" customHeight="1">
      <c r="A602" s="9"/>
      <c r="B602" s="9"/>
      <c r="C602" s="9"/>
      <c r="D602" s="9"/>
      <c r="E602" s="9"/>
      <c r="F602" s="9"/>
      <c r="G602" s="9"/>
      <c r="H602" s="223"/>
      <c r="I602" s="9"/>
      <c r="J602" s="9"/>
      <c r="K602" s="9"/>
      <c r="L602" s="9"/>
      <c r="M602" s="9"/>
      <c r="N602" s="9"/>
      <c r="O602" s="9"/>
      <c r="P602" s="9"/>
      <c r="Q602" s="223"/>
      <c r="R602" s="9"/>
      <c r="S602" s="9"/>
      <c r="T602" s="9"/>
      <c r="U602" s="9"/>
      <c r="V602" s="9"/>
      <c r="W602" s="971"/>
      <c r="X602" s="9"/>
      <c r="Y602" s="9"/>
      <c r="Z602" s="204"/>
      <c r="AA602" s="9"/>
      <c r="AB602" s="9"/>
      <c r="AC602" s="9"/>
      <c r="AD602" s="9"/>
    </row>
    <row r="603" ht="15.75" customHeight="1">
      <c r="A603" s="9"/>
      <c r="B603" s="9"/>
      <c r="C603" s="9"/>
      <c r="D603" s="9"/>
      <c r="E603" s="9"/>
      <c r="F603" s="9"/>
      <c r="G603" s="9"/>
      <c r="H603" s="223"/>
      <c r="I603" s="9"/>
      <c r="J603" s="9"/>
      <c r="K603" s="9"/>
      <c r="L603" s="9"/>
      <c r="M603" s="9"/>
      <c r="N603" s="9"/>
      <c r="O603" s="9"/>
      <c r="P603" s="9"/>
      <c r="Q603" s="223"/>
      <c r="R603" s="9"/>
      <c r="S603" s="9"/>
      <c r="T603" s="9"/>
      <c r="U603" s="9"/>
      <c r="V603" s="9"/>
      <c r="W603" s="971"/>
      <c r="X603" s="9"/>
      <c r="Y603" s="9"/>
      <c r="Z603" s="204"/>
      <c r="AA603" s="9"/>
      <c r="AB603" s="9"/>
      <c r="AC603" s="9"/>
      <c r="AD603" s="9"/>
    </row>
    <row r="604" ht="15.75" customHeight="1">
      <c r="A604" s="9"/>
      <c r="B604" s="9"/>
      <c r="C604" s="9"/>
      <c r="D604" s="9"/>
      <c r="E604" s="9"/>
      <c r="F604" s="9"/>
      <c r="G604" s="9"/>
      <c r="H604" s="223"/>
      <c r="I604" s="9"/>
      <c r="J604" s="9"/>
      <c r="K604" s="9"/>
      <c r="L604" s="9"/>
      <c r="M604" s="9"/>
      <c r="N604" s="9"/>
      <c r="O604" s="9"/>
      <c r="P604" s="9"/>
      <c r="Q604" s="223"/>
      <c r="R604" s="9"/>
      <c r="S604" s="9"/>
      <c r="T604" s="9"/>
      <c r="U604" s="9"/>
      <c r="V604" s="9"/>
      <c r="W604" s="971"/>
      <c r="X604" s="9"/>
      <c r="Y604" s="9"/>
      <c r="Z604" s="204"/>
      <c r="AA604" s="9"/>
      <c r="AB604" s="9"/>
      <c r="AC604" s="9"/>
      <c r="AD604" s="9"/>
    </row>
    <row r="605" ht="15.75" customHeight="1">
      <c r="A605" s="9"/>
      <c r="B605" s="9"/>
      <c r="C605" s="9"/>
      <c r="D605" s="9"/>
      <c r="E605" s="9"/>
      <c r="F605" s="9"/>
      <c r="G605" s="9"/>
      <c r="H605" s="223"/>
      <c r="I605" s="9"/>
      <c r="J605" s="9"/>
      <c r="K605" s="9"/>
      <c r="L605" s="9"/>
      <c r="M605" s="9"/>
      <c r="N605" s="9"/>
      <c r="O605" s="9"/>
      <c r="P605" s="9"/>
      <c r="Q605" s="223"/>
      <c r="R605" s="9"/>
      <c r="S605" s="9"/>
      <c r="T605" s="9"/>
      <c r="U605" s="9"/>
      <c r="V605" s="9"/>
      <c r="W605" s="971"/>
      <c r="X605" s="9"/>
      <c r="Y605" s="9"/>
      <c r="Z605" s="204"/>
      <c r="AA605" s="9"/>
      <c r="AB605" s="9"/>
      <c r="AC605" s="9"/>
      <c r="AD605" s="9"/>
    </row>
    <row r="606" ht="15.75" customHeight="1">
      <c r="A606" s="9"/>
      <c r="B606" s="9"/>
      <c r="C606" s="9"/>
      <c r="D606" s="9"/>
      <c r="E606" s="9"/>
      <c r="F606" s="9"/>
      <c r="G606" s="9"/>
      <c r="H606" s="223"/>
      <c r="I606" s="9"/>
      <c r="J606" s="9"/>
      <c r="K606" s="9"/>
      <c r="L606" s="9"/>
      <c r="M606" s="9"/>
      <c r="N606" s="9"/>
      <c r="O606" s="9"/>
      <c r="P606" s="9"/>
      <c r="Q606" s="223"/>
      <c r="R606" s="9"/>
      <c r="S606" s="9"/>
      <c r="T606" s="9"/>
      <c r="U606" s="9"/>
      <c r="V606" s="9"/>
      <c r="W606" s="971"/>
      <c r="X606" s="9"/>
      <c r="Y606" s="9"/>
      <c r="Z606" s="204"/>
      <c r="AA606" s="9"/>
      <c r="AB606" s="9"/>
      <c r="AC606" s="9"/>
      <c r="AD606" s="9"/>
    </row>
    <row r="607" ht="15.75" customHeight="1">
      <c r="A607" s="9"/>
      <c r="B607" s="9"/>
      <c r="C607" s="9"/>
      <c r="D607" s="9"/>
      <c r="E607" s="9"/>
      <c r="F607" s="9"/>
      <c r="G607" s="9"/>
      <c r="H607" s="223"/>
      <c r="I607" s="9"/>
      <c r="J607" s="9"/>
      <c r="K607" s="9"/>
      <c r="L607" s="9"/>
      <c r="M607" s="9"/>
      <c r="N607" s="9"/>
      <c r="O607" s="9"/>
      <c r="P607" s="9"/>
      <c r="Q607" s="223"/>
      <c r="R607" s="9"/>
      <c r="S607" s="9"/>
      <c r="T607" s="9"/>
      <c r="U607" s="9"/>
      <c r="V607" s="9"/>
      <c r="W607" s="971"/>
      <c r="X607" s="9"/>
      <c r="Y607" s="9"/>
      <c r="Z607" s="204"/>
      <c r="AA607" s="9"/>
      <c r="AB607" s="9"/>
      <c r="AC607" s="9"/>
      <c r="AD607" s="9"/>
    </row>
    <row r="608" ht="15.75" customHeight="1">
      <c r="A608" s="9"/>
      <c r="B608" s="9"/>
      <c r="C608" s="9"/>
      <c r="D608" s="9"/>
      <c r="E608" s="9"/>
      <c r="F608" s="9"/>
      <c r="G608" s="9"/>
      <c r="H608" s="223"/>
      <c r="I608" s="9"/>
      <c r="J608" s="9"/>
      <c r="K608" s="9"/>
      <c r="L608" s="9"/>
      <c r="M608" s="9"/>
      <c r="N608" s="9"/>
      <c r="O608" s="9"/>
      <c r="P608" s="9"/>
      <c r="Q608" s="223"/>
      <c r="R608" s="9"/>
      <c r="S608" s="9"/>
      <c r="T608" s="9"/>
      <c r="U608" s="9"/>
      <c r="V608" s="9"/>
      <c r="W608" s="971"/>
      <c r="X608" s="9"/>
      <c r="Y608" s="9"/>
      <c r="Z608" s="204"/>
      <c r="AA608" s="9"/>
      <c r="AB608" s="9"/>
      <c r="AC608" s="9"/>
      <c r="AD608" s="9"/>
    </row>
    <row r="609" ht="15.75" customHeight="1">
      <c r="A609" s="9"/>
      <c r="B609" s="9"/>
      <c r="C609" s="9"/>
      <c r="D609" s="9"/>
      <c r="E609" s="9"/>
      <c r="F609" s="9"/>
      <c r="G609" s="9"/>
      <c r="H609" s="223"/>
      <c r="I609" s="9"/>
      <c r="J609" s="9"/>
      <c r="K609" s="9"/>
      <c r="L609" s="9"/>
      <c r="M609" s="9"/>
      <c r="N609" s="9"/>
      <c r="O609" s="9"/>
      <c r="P609" s="9"/>
      <c r="Q609" s="223"/>
      <c r="R609" s="9"/>
      <c r="S609" s="9"/>
      <c r="T609" s="9"/>
      <c r="U609" s="9"/>
      <c r="V609" s="9"/>
      <c r="W609" s="971"/>
      <c r="X609" s="9"/>
      <c r="Y609" s="9"/>
      <c r="Z609" s="204"/>
      <c r="AA609" s="9"/>
      <c r="AB609" s="9"/>
      <c r="AC609" s="9"/>
      <c r="AD609" s="9"/>
    </row>
    <row r="610" ht="15.75" customHeight="1">
      <c r="A610" s="9"/>
      <c r="B610" s="9"/>
      <c r="C610" s="9"/>
      <c r="D610" s="9"/>
      <c r="E610" s="9"/>
      <c r="F610" s="9"/>
      <c r="G610" s="9"/>
      <c r="H610" s="223"/>
      <c r="I610" s="9"/>
      <c r="J610" s="9"/>
      <c r="K610" s="9"/>
      <c r="L610" s="9"/>
      <c r="M610" s="9"/>
      <c r="N610" s="9"/>
      <c r="O610" s="9"/>
      <c r="P610" s="9"/>
      <c r="Q610" s="223"/>
      <c r="R610" s="9"/>
      <c r="S610" s="9"/>
      <c r="T610" s="9"/>
      <c r="U610" s="9"/>
      <c r="V610" s="9"/>
      <c r="W610" s="971"/>
      <c r="X610" s="9"/>
      <c r="Y610" s="9"/>
      <c r="Z610" s="204"/>
      <c r="AA610" s="9"/>
      <c r="AB610" s="9"/>
      <c r="AC610" s="9"/>
      <c r="AD610" s="9"/>
    </row>
    <row r="611" ht="15.75" customHeight="1">
      <c r="A611" s="9"/>
      <c r="B611" s="9"/>
      <c r="C611" s="9"/>
      <c r="D611" s="9"/>
      <c r="E611" s="9"/>
      <c r="F611" s="9"/>
      <c r="G611" s="9"/>
      <c r="H611" s="223"/>
      <c r="I611" s="9"/>
      <c r="J611" s="9"/>
      <c r="K611" s="9"/>
      <c r="L611" s="9"/>
      <c r="M611" s="9"/>
      <c r="N611" s="9"/>
      <c r="O611" s="9"/>
      <c r="P611" s="9"/>
      <c r="Q611" s="223"/>
      <c r="R611" s="9"/>
      <c r="S611" s="9"/>
      <c r="T611" s="9"/>
      <c r="U611" s="9"/>
      <c r="V611" s="9"/>
      <c r="W611" s="971"/>
      <c r="X611" s="9"/>
      <c r="Y611" s="9"/>
      <c r="Z611" s="204"/>
      <c r="AA611" s="9"/>
      <c r="AB611" s="9"/>
      <c r="AC611" s="9"/>
      <c r="AD611" s="9"/>
    </row>
    <row r="612" ht="15.75" customHeight="1">
      <c r="A612" s="9"/>
      <c r="B612" s="9"/>
      <c r="C612" s="9"/>
      <c r="D612" s="9"/>
      <c r="E612" s="9"/>
      <c r="F612" s="9"/>
      <c r="G612" s="9"/>
      <c r="H612" s="223"/>
      <c r="I612" s="9"/>
      <c r="J612" s="9"/>
      <c r="K612" s="9"/>
      <c r="L612" s="9"/>
      <c r="M612" s="9"/>
      <c r="N612" s="9"/>
      <c r="O612" s="9"/>
      <c r="P612" s="9"/>
      <c r="Q612" s="223"/>
      <c r="R612" s="9"/>
      <c r="S612" s="9"/>
      <c r="T612" s="9"/>
      <c r="U612" s="9"/>
      <c r="V612" s="9"/>
      <c r="W612" s="971"/>
      <c r="X612" s="9"/>
      <c r="Y612" s="9"/>
      <c r="Z612" s="204"/>
      <c r="AA612" s="9"/>
      <c r="AB612" s="9"/>
      <c r="AC612" s="9"/>
      <c r="AD612" s="9"/>
    </row>
    <row r="613" ht="15.75" customHeight="1">
      <c r="A613" s="9"/>
      <c r="B613" s="9"/>
      <c r="C613" s="9"/>
      <c r="D613" s="9"/>
      <c r="E613" s="9"/>
      <c r="F613" s="9"/>
      <c r="G613" s="9"/>
      <c r="H613" s="223"/>
      <c r="I613" s="9"/>
      <c r="J613" s="9"/>
      <c r="K613" s="9"/>
      <c r="L613" s="9"/>
      <c r="M613" s="9"/>
      <c r="N613" s="9"/>
      <c r="O613" s="9"/>
      <c r="P613" s="9"/>
      <c r="Q613" s="223"/>
      <c r="R613" s="9"/>
      <c r="S613" s="9"/>
      <c r="T613" s="9"/>
      <c r="U613" s="9"/>
      <c r="V613" s="9"/>
      <c r="W613" s="971"/>
      <c r="X613" s="9"/>
      <c r="Y613" s="9"/>
      <c r="Z613" s="204"/>
      <c r="AA613" s="9"/>
      <c r="AB613" s="9"/>
      <c r="AC613" s="9"/>
      <c r="AD613" s="9"/>
    </row>
    <row r="614" ht="15.75" customHeight="1">
      <c r="A614" s="9"/>
      <c r="B614" s="9"/>
      <c r="C614" s="9"/>
      <c r="D614" s="9"/>
      <c r="E614" s="9"/>
      <c r="F614" s="9"/>
      <c r="G614" s="9"/>
      <c r="H614" s="223"/>
      <c r="I614" s="9"/>
      <c r="J614" s="9"/>
      <c r="K614" s="9"/>
      <c r="L614" s="9"/>
      <c r="M614" s="9"/>
      <c r="N614" s="9"/>
      <c r="O614" s="9"/>
      <c r="P614" s="9"/>
      <c r="Q614" s="223"/>
      <c r="R614" s="9"/>
      <c r="S614" s="9"/>
      <c r="T614" s="9"/>
      <c r="U614" s="9"/>
      <c r="V614" s="9"/>
      <c r="W614" s="971"/>
      <c r="X614" s="9"/>
      <c r="Y614" s="9"/>
      <c r="Z614" s="204"/>
      <c r="AA614" s="9"/>
      <c r="AB614" s="9"/>
      <c r="AC614" s="9"/>
      <c r="AD614" s="9"/>
    </row>
    <row r="615" ht="15.75" customHeight="1">
      <c r="A615" s="9"/>
      <c r="B615" s="9"/>
      <c r="C615" s="9"/>
      <c r="D615" s="9"/>
      <c r="E615" s="9"/>
      <c r="F615" s="9"/>
      <c r="G615" s="9"/>
      <c r="H615" s="223"/>
      <c r="I615" s="9"/>
      <c r="J615" s="9"/>
      <c r="K615" s="9"/>
      <c r="L615" s="9"/>
      <c r="M615" s="9"/>
      <c r="N615" s="9"/>
      <c r="O615" s="9"/>
      <c r="P615" s="9"/>
      <c r="Q615" s="223"/>
      <c r="R615" s="9"/>
      <c r="S615" s="9"/>
      <c r="T615" s="9"/>
      <c r="U615" s="9"/>
      <c r="V615" s="9"/>
      <c r="W615" s="971"/>
      <c r="X615" s="9"/>
      <c r="Y615" s="9"/>
      <c r="Z615" s="204"/>
      <c r="AA615" s="9"/>
      <c r="AB615" s="9"/>
      <c r="AC615" s="9"/>
      <c r="AD615" s="9"/>
    </row>
    <row r="616" ht="15.75" customHeight="1">
      <c r="A616" s="9"/>
      <c r="B616" s="9"/>
      <c r="C616" s="9"/>
      <c r="D616" s="9"/>
      <c r="E616" s="9"/>
      <c r="F616" s="9"/>
      <c r="G616" s="9"/>
      <c r="H616" s="223"/>
      <c r="I616" s="9"/>
      <c r="J616" s="9"/>
      <c r="K616" s="9"/>
      <c r="L616" s="9"/>
      <c r="M616" s="9"/>
      <c r="N616" s="9"/>
      <c r="O616" s="9"/>
      <c r="P616" s="9"/>
      <c r="Q616" s="223"/>
      <c r="R616" s="9"/>
      <c r="S616" s="9"/>
      <c r="T616" s="9"/>
      <c r="U616" s="9"/>
      <c r="V616" s="9"/>
      <c r="W616" s="971"/>
      <c r="X616" s="9"/>
      <c r="Y616" s="9"/>
      <c r="Z616" s="204"/>
      <c r="AA616" s="9"/>
      <c r="AB616" s="9"/>
      <c r="AC616" s="9"/>
      <c r="AD616" s="9"/>
    </row>
    <row r="617" ht="15.75" customHeight="1">
      <c r="A617" s="9"/>
      <c r="B617" s="9"/>
      <c r="C617" s="9"/>
      <c r="D617" s="9"/>
      <c r="E617" s="9"/>
      <c r="F617" s="9"/>
      <c r="G617" s="9"/>
      <c r="H617" s="223"/>
      <c r="I617" s="9"/>
      <c r="J617" s="9"/>
      <c r="K617" s="9"/>
      <c r="L617" s="9"/>
      <c r="M617" s="9"/>
      <c r="N617" s="9"/>
      <c r="O617" s="9"/>
      <c r="P617" s="9"/>
      <c r="Q617" s="223"/>
      <c r="R617" s="9"/>
      <c r="S617" s="9"/>
      <c r="T617" s="9"/>
      <c r="U617" s="9"/>
      <c r="V617" s="9"/>
      <c r="W617" s="971"/>
      <c r="X617" s="9"/>
      <c r="Y617" s="9"/>
      <c r="Z617" s="204"/>
      <c r="AA617" s="9"/>
      <c r="AB617" s="9"/>
      <c r="AC617" s="9"/>
      <c r="AD617" s="9"/>
    </row>
    <row r="618" ht="15.75" customHeight="1">
      <c r="A618" s="9"/>
      <c r="B618" s="9"/>
      <c r="C618" s="9"/>
      <c r="D618" s="9"/>
      <c r="E618" s="9"/>
      <c r="F618" s="9"/>
      <c r="G618" s="9"/>
      <c r="H618" s="223"/>
      <c r="I618" s="9"/>
      <c r="J618" s="9"/>
      <c r="K618" s="9"/>
      <c r="L618" s="9"/>
      <c r="M618" s="9"/>
      <c r="N618" s="9"/>
      <c r="O618" s="9"/>
      <c r="P618" s="9"/>
      <c r="Q618" s="223"/>
      <c r="R618" s="9"/>
      <c r="S618" s="9"/>
      <c r="T618" s="9"/>
      <c r="U618" s="9"/>
      <c r="V618" s="9"/>
      <c r="W618" s="971"/>
      <c r="X618" s="9"/>
      <c r="Y618" s="9"/>
      <c r="Z618" s="204"/>
      <c r="AA618" s="9"/>
      <c r="AB618" s="9"/>
      <c r="AC618" s="9"/>
      <c r="AD618" s="9"/>
    </row>
    <row r="619" ht="15.75" customHeight="1">
      <c r="A619" s="9"/>
      <c r="B619" s="9"/>
      <c r="C619" s="9"/>
      <c r="D619" s="9"/>
      <c r="E619" s="9"/>
      <c r="F619" s="9"/>
      <c r="G619" s="9"/>
      <c r="H619" s="223"/>
      <c r="I619" s="9"/>
      <c r="J619" s="9"/>
      <c r="K619" s="9"/>
      <c r="L619" s="9"/>
      <c r="M619" s="9"/>
      <c r="N619" s="9"/>
      <c r="O619" s="9"/>
      <c r="P619" s="9"/>
      <c r="Q619" s="223"/>
      <c r="R619" s="9"/>
      <c r="S619" s="9"/>
      <c r="T619" s="9"/>
      <c r="U619" s="9"/>
      <c r="V619" s="9"/>
      <c r="W619" s="971"/>
      <c r="X619" s="9"/>
      <c r="Y619" s="9"/>
      <c r="Z619" s="204"/>
      <c r="AA619" s="9"/>
      <c r="AB619" s="9"/>
      <c r="AC619" s="9"/>
      <c r="AD619" s="9"/>
    </row>
    <row r="620" ht="15.75" customHeight="1">
      <c r="A620" s="9"/>
      <c r="B620" s="9"/>
      <c r="C620" s="9"/>
      <c r="D620" s="9"/>
      <c r="E620" s="9"/>
      <c r="F620" s="9"/>
      <c r="G620" s="9"/>
      <c r="H620" s="223"/>
      <c r="I620" s="9"/>
      <c r="J620" s="9"/>
      <c r="K620" s="9"/>
      <c r="L620" s="9"/>
      <c r="M620" s="9"/>
      <c r="N620" s="9"/>
      <c r="O620" s="9"/>
      <c r="P620" s="9"/>
      <c r="Q620" s="223"/>
      <c r="R620" s="9"/>
      <c r="S620" s="9"/>
      <c r="T620" s="9"/>
      <c r="U620" s="9"/>
      <c r="V620" s="9"/>
      <c r="W620" s="971"/>
      <c r="X620" s="9"/>
      <c r="Y620" s="9"/>
      <c r="Z620" s="204"/>
      <c r="AA620" s="9"/>
      <c r="AB620" s="9"/>
      <c r="AC620" s="9"/>
      <c r="AD620" s="9"/>
    </row>
    <row r="621" ht="15.75" customHeight="1">
      <c r="A621" s="9"/>
      <c r="B621" s="9"/>
      <c r="C621" s="9"/>
      <c r="D621" s="9"/>
      <c r="E621" s="9"/>
      <c r="F621" s="9"/>
      <c r="G621" s="9"/>
      <c r="H621" s="223"/>
      <c r="I621" s="9"/>
      <c r="J621" s="9"/>
      <c r="K621" s="9"/>
      <c r="L621" s="9"/>
      <c r="M621" s="9"/>
      <c r="N621" s="9"/>
      <c r="O621" s="9"/>
      <c r="P621" s="9"/>
      <c r="Q621" s="223"/>
      <c r="R621" s="9"/>
      <c r="S621" s="9"/>
      <c r="T621" s="9"/>
      <c r="U621" s="9"/>
      <c r="V621" s="9"/>
      <c r="W621" s="971"/>
      <c r="X621" s="9"/>
      <c r="Y621" s="9"/>
      <c r="Z621" s="204"/>
      <c r="AA621" s="9"/>
      <c r="AB621" s="9"/>
      <c r="AC621" s="9"/>
      <c r="AD621" s="9"/>
    </row>
    <row r="622" ht="15.75" customHeight="1">
      <c r="A622" s="9"/>
      <c r="B622" s="9"/>
      <c r="C622" s="9"/>
      <c r="D622" s="9"/>
      <c r="E622" s="9"/>
      <c r="F622" s="9"/>
      <c r="G622" s="9"/>
      <c r="H622" s="223"/>
      <c r="I622" s="9"/>
      <c r="J622" s="9"/>
      <c r="K622" s="9"/>
      <c r="L622" s="9"/>
      <c r="M622" s="9"/>
      <c r="N622" s="9"/>
      <c r="O622" s="9"/>
      <c r="P622" s="9"/>
      <c r="Q622" s="223"/>
      <c r="R622" s="9"/>
      <c r="S622" s="9"/>
      <c r="T622" s="9"/>
      <c r="U622" s="9"/>
      <c r="V622" s="9"/>
      <c r="W622" s="971"/>
      <c r="X622" s="9"/>
      <c r="Y622" s="9"/>
      <c r="Z622" s="204"/>
      <c r="AA622" s="9"/>
      <c r="AB622" s="9"/>
      <c r="AC622" s="9"/>
      <c r="AD622" s="9"/>
    </row>
    <row r="623" ht="15.75" customHeight="1">
      <c r="A623" s="9"/>
      <c r="B623" s="9"/>
      <c r="C623" s="9"/>
      <c r="D623" s="9"/>
      <c r="E623" s="9"/>
      <c r="F623" s="9"/>
      <c r="G623" s="9"/>
      <c r="H623" s="223"/>
      <c r="I623" s="9"/>
      <c r="J623" s="9"/>
      <c r="K623" s="9"/>
      <c r="L623" s="9"/>
      <c r="M623" s="9"/>
      <c r="N623" s="9"/>
      <c r="O623" s="9"/>
      <c r="P623" s="9"/>
      <c r="Q623" s="223"/>
      <c r="R623" s="9"/>
      <c r="S623" s="9"/>
      <c r="T623" s="9"/>
      <c r="U623" s="9"/>
      <c r="V623" s="9"/>
      <c r="W623" s="971"/>
      <c r="X623" s="9"/>
      <c r="Y623" s="9"/>
      <c r="Z623" s="204"/>
      <c r="AA623" s="9"/>
      <c r="AB623" s="9"/>
      <c r="AC623" s="9"/>
      <c r="AD623" s="9"/>
    </row>
    <row r="624" ht="15.75" customHeight="1">
      <c r="A624" s="9"/>
      <c r="B624" s="9"/>
      <c r="C624" s="9"/>
      <c r="D624" s="9"/>
      <c r="E624" s="9"/>
      <c r="F624" s="9"/>
      <c r="G624" s="9"/>
      <c r="H624" s="223"/>
      <c r="I624" s="9"/>
      <c r="J624" s="9"/>
      <c r="K624" s="9"/>
      <c r="L624" s="9"/>
      <c r="M624" s="9"/>
      <c r="N624" s="9"/>
      <c r="O624" s="9"/>
      <c r="P624" s="9"/>
      <c r="Q624" s="223"/>
      <c r="R624" s="9"/>
      <c r="S624" s="9"/>
      <c r="T624" s="9"/>
      <c r="U624" s="9"/>
      <c r="V624" s="9"/>
      <c r="W624" s="971"/>
      <c r="X624" s="9"/>
      <c r="Y624" s="9"/>
      <c r="Z624" s="204"/>
      <c r="AA624" s="9"/>
      <c r="AB624" s="9"/>
      <c r="AC624" s="9"/>
      <c r="AD624" s="9"/>
    </row>
    <row r="625" ht="15.75" customHeight="1">
      <c r="A625" s="9"/>
      <c r="B625" s="9"/>
      <c r="C625" s="9"/>
      <c r="D625" s="9"/>
      <c r="E625" s="9"/>
      <c r="F625" s="9"/>
      <c r="G625" s="9"/>
      <c r="H625" s="223"/>
      <c r="I625" s="9"/>
      <c r="J625" s="9"/>
      <c r="K625" s="9"/>
      <c r="L625" s="9"/>
      <c r="M625" s="9"/>
      <c r="N625" s="9"/>
      <c r="O625" s="9"/>
      <c r="P625" s="9"/>
      <c r="Q625" s="223"/>
      <c r="R625" s="9"/>
      <c r="S625" s="9"/>
      <c r="T625" s="9"/>
      <c r="U625" s="9"/>
      <c r="V625" s="9"/>
      <c r="W625" s="971"/>
      <c r="X625" s="9"/>
      <c r="Y625" s="9"/>
      <c r="Z625" s="204"/>
      <c r="AA625" s="9"/>
      <c r="AB625" s="9"/>
      <c r="AC625" s="9"/>
      <c r="AD625" s="9"/>
    </row>
    <row r="626" ht="15.75" customHeight="1">
      <c r="A626" s="9"/>
      <c r="B626" s="9"/>
      <c r="C626" s="9"/>
      <c r="D626" s="9"/>
      <c r="E626" s="9"/>
      <c r="F626" s="9"/>
      <c r="G626" s="9"/>
      <c r="H626" s="223"/>
      <c r="I626" s="9"/>
      <c r="J626" s="9"/>
      <c r="K626" s="9"/>
      <c r="L626" s="9"/>
      <c r="M626" s="9"/>
      <c r="N626" s="9"/>
      <c r="O626" s="9"/>
      <c r="P626" s="9"/>
      <c r="Q626" s="223"/>
      <c r="R626" s="9"/>
      <c r="S626" s="9"/>
      <c r="T626" s="9"/>
      <c r="U626" s="9"/>
      <c r="V626" s="9"/>
      <c r="W626" s="971"/>
      <c r="X626" s="9"/>
      <c r="Y626" s="9"/>
      <c r="Z626" s="204"/>
      <c r="AA626" s="9"/>
      <c r="AB626" s="9"/>
      <c r="AC626" s="9"/>
      <c r="AD626" s="9"/>
    </row>
    <row r="627" ht="15.75" customHeight="1">
      <c r="A627" s="9"/>
      <c r="B627" s="9"/>
      <c r="C627" s="9"/>
      <c r="D627" s="9"/>
      <c r="E627" s="9"/>
      <c r="F627" s="9"/>
      <c r="G627" s="9"/>
      <c r="H627" s="223"/>
      <c r="I627" s="9"/>
      <c r="J627" s="9"/>
      <c r="K627" s="9"/>
      <c r="L627" s="9"/>
      <c r="M627" s="9"/>
      <c r="N627" s="9"/>
      <c r="O627" s="9"/>
      <c r="P627" s="9"/>
      <c r="Q627" s="223"/>
      <c r="R627" s="9"/>
      <c r="S627" s="9"/>
      <c r="T627" s="9"/>
      <c r="U627" s="9"/>
      <c r="V627" s="9"/>
      <c r="W627" s="971"/>
      <c r="X627" s="9"/>
      <c r="Y627" s="9"/>
      <c r="Z627" s="204"/>
      <c r="AA627" s="9"/>
      <c r="AB627" s="9"/>
      <c r="AC627" s="9"/>
      <c r="AD627" s="9"/>
    </row>
    <row r="628" ht="15.75" customHeight="1">
      <c r="A628" s="9"/>
      <c r="B628" s="9"/>
      <c r="C628" s="9"/>
      <c r="D628" s="9"/>
      <c r="E628" s="9"/>
      <c r="F628" s="9"/>
      <c r="G628" s="9"/>
      <c r="H628" s="223"/>
      <c r="I628" s="9"/>
      <c r="J628" s="9"/>
      <c r="K628" s="9"/>
      <c r="L628" s="9"/>
      <c r="M628" s="9"/>
      <c r="N628" s="9"/>
      <c r="O628" s="9"/>
      <c r="P628" s="9"/>
      <c r="Q628" s="223"/>
      <c r="R628" s="9"/>
      <c r="S628" s="9"/>
      <c r="T628" s="9"/>
      <c r="U628" s="9"/>
      <c r="V628" s="9"/>
      <c r="W628" s="971"/>
      <c r="X628" s="9"/>
      <c r="Y628" s="9"/>
      <c r="Z628" s="204"/>
      <c r="AA628" s="9"/>
      <c r="AB628" s="9"/>
      <c r="AC628" s="9"/>
      <c r="AD628" s="9"/>
    </row>
    <row r="629" ht="15.75" customHeight="1">
      <c r="A629" s="9"/>
      <c r="B629" s="9"/>
      <c r="C629" s="9"/>
      <c r="D629" s="9"/>
      <c r="E629" s="9"/>
      <c r="F629" s="9"/>
      <c r="G629" s="9"/>
      <c r="H629" s="223"/>
      <c r="I629" s="9"/>
      <c r="J629" s="9"/>
      <c r="K629" s="9"/>
      <c r="L629" s="9"/>
      <c r="M629" s="9"/>
      <c r="N629" s="9"/>
      <c r="O629" s="9"/>
      <c r="P629" s="9"/>
      <c r="Q629" s="223"/>
      <c r="R629" s="9"/>
      <c r="S629" s="9"/>
      <c r="T629" s="9"/>
      <c r="U629" s="9"/>
      <c r="V629" s="9"/>
      <c r="W629" s="971"/>
      <c r="X629" s="9"/>
      <c r="Y629" s="9"/>
      <c r="Z629" s="204"/>
      <c r="AA629" s="9"/>
      <c r="AB629" s="9"/>
      <c r="AC629" s="9"/>
      <c r="AD629" s="9"/>
    </row>
    <row r="630" ht="15.75" customHeight="1">
      <c r="A630" s="9"/>
      <c r="B630" s="9"/>
      <c r="C630" s="9"/>
      <c r="D630" s="9"/>
      <c r="E630" s="9"/>
      <c r="F630" s="9"/>
      <c r="G630" s="9"/>
      <c r="H630" s="223"/>
      <c r="I630" s="9"/>
      <c r="J630" s="9"/>
      <c r="K630" s="9"/>
      <c r="L630" s="9"/>
      <c r="M630" s="9"/>
      <c r="N630" s="9"/>
      <c r="O630" s="9"/>
      <c r="P630" s="9"/>
      <c r="Q630" s="223"/>
      <c r="R630" s="9"/>
      <c r="S630" s="9"/>
      <c r="T630" s="9"/>
      <c r="U630" s="9"/>
      <c r="V630" s="9"/>
      <c r="W630" s="971"/>
      <c r="X630" s="9"/>
      <c r="Y630" s="9"/>
      <c r="Z630" s="204"/>
      <c r="AA630" s="9"/>
      <c r="AB630" s="9"/>
      <c r="AC630" s="9"/>
      <c r="AD630" s="9"/>
    </row>
    <row r="631" ht="15.75" customHeight="1">
      <c r="A631" s="9"/>
      <c r="B631" s="9"/>
      <c r="C631" s="9"/>
      <c r="D631" s="9"/>
      <c r="E631" s="9"/>
      <c r="F631" s="9"/>
      <c r="G631" s="9"/>
      <c r="H631" s="223"/>
      <c r="I631" s="9"/>
      <c r="J631" s="9"/>
      <c r="K631" s="9"/>
      <c r="L631" s="9"/>
      <c r="M631" s="9"/>
      <c r="N631" s="9"/>
      <c r="O631" s="9"/>
      <c r="P631" s="9"/>
      <c r="Q631" s="223"/>
      <c r="R631" s="9"/>
      <c r="S631" s="9"/>
      <c r="T631" s="9"/>
      <c r="U631" s="9"/>
      <c r="V631" s="9"/>
      <c r="W631" s="971"/>
      <c r="X631" s="9"/>
      <c r="Y631" s="9"/>
      <c r="Z631" s="204"/>
      <c r="AA631" s="9"/>
      <c r="AB631" s="9"/>
      <c r="AC631" s="9"/>
      <c r="AD631" s="9"/>
    </row>
    <row r="632" ht="15.75" customHeight="1">
      <c r="A632" s="9"/>
      <c r="B632" s="9"/>
      <c r="C632" s="9"/>
      <c r="D632" s="9"/>
      <c r="E632" s="9"/>
      <c r="F632" s="9"/>
      <c r="G632" s="9"/>
      <c r="H632" s="223"/>
      <c r="I632" s="9"/>
      <c r="J632" s="9"/>
      <c r="K632" s="9"/>
      <c r="L632" s="9"/>
      <c r="M632" s="9"/>
      <c r="N632" s="9"/>
      <c r="O632" s="9"/>
      <c r="P632" s="9"/>
      <c r="Q632" s="223"/>
      <c r="R632" s="9"/>
      <c r="S632" s="9"/>
      <c r="T632" s="9"/>
      <c r="U632" s="9"/>
      <c r="V632" s="9"/>
      <c r="W632" s="971"/>
      <c r="X632" s="9"/>
      <c r="Y632" s="9"/>
      <c r="Z632" s="204"/>
      <c r="AA632" s="9"/>
      <c r="AB632" s="9"/>
      <c r="AC632" s="9"/>
      <c r="AD632" s="9"/>
    </row>
    <row r="633" ht="15.75" customHeight="1">
      <c r="A633" s="9"/>
      <c r="B633" s="9"/>
      <c r="C633" s="9"/>
      <c r="D633" s="9"/>
      <c r="E633" s="9"/>
      <c r="F633" s="9"/>
      <c r="G633" s="9"/>
      <c r="H633" s="223"/>
      <c r="I633" s="9"/>
      <c r="J633" s="9"/>
      <c r="K633" s="9"/>
      <c r="L633" s="9"/>
      <c r="M633" s="9"/>
      <c r="N633" s="9"/>
      <c r="O633" s="9"/>
      <c r="P633" s="9"/>
      <c r="Q633" s="223"/>
      <c r="R633" s="9"/>
      <c r="S633" s="9"/>
      <c r="T633" s="9"/>
      <c r="U633" s="9"/>
      <c r="V633" s="9"/>
      <c r="W633" s="971"/>
      <c r="X633" s="9"/>
      <c r="Y633" s="9"/>
      <c r="Z633" s="204"/>
      <c r="AA633" s="9"/>
      <c r="AB633" s="9"/>
      <c r="AC633" s="9"/>
      <c r="AD633" s="9"/>
    </row>
    <row r="634" ht="15.75" customHeight="1">
      <c r="A634" s="9"/>
      <c r="B634" s="9"/>
      <c r="C634" s="9"/>
      <c r="D634" s="9"/>
      <c r="E634" s="9"/>
      <c r="F634" s="9"/>
      <c r="G634" s="9"/>
      <c r="H634" s="223"/>
      <c r="I634" s="9"/>
      <c r="J634" s="9"/>
      <c r="K634" s="9"/>
      <c r="L634" s="9"/>
      <c r="M634" s="9"/>
      <c r="N634" s="9"/>
      <c r="O634" s="9"/>
      <c r="P634" s="9"/>
      <c r="Q634" s="223"/>
      <c r="R634" s="9"/>
      <c r="S634" s="9"/>
      <c r="T634" s="9"/>
      <c r="U634" s="9"/>
      <c r="V634" s="9"/>
      <c r="W634" s="971"/>
      <c r="X634" s="9"/>
      <c r="Y634" s="9"/>
      <c r="Z634" s="204"/>
      <c r="AA634" s="9"/>
      <c r="AB634" s="9"/>
      <c r="AC634" s="9"/>
      <c r="AD634" s="9"/>
    </row>
    <row r="635" ht="15.75" customHeight="1">
      <c r="A635" s="9"/>
      <c r="B635" s="9"/>
      <c r="C635" s="9"/>
      <c r="D635" s="9"/>
      <c r="E635" s="9"/>
      <c r="F635" s="9"/>
      <c r="G635" s="9"/>
      <c r="H635" s="223"/>
      <c r="I635" s="9"/>
      <c r="J635" s="9"/>
      <c r="K635" s="9"/>
      <c r="L635" s="9"/>
      <c r="M635" s="9"/>
      <c r="N635" s="9"/>
      <c r="O635" s="9"/>
      <c r="P635" s="9"/>
      <c r="Q635" s="223"/>
      <c r="R635" s="9"/>
      <c r="S635" s="9"/>
      <c r="T635" s="9"/>
      <c r="U635" s="9"/>
      <c r="V635" s="9"/>
      <c r="W635" s="971"/>
      <c r="X635" s="9"/>
      <c r="Y635" s="9"/>
      <c r="Z635" s="204"/>
      <c r="AA635" s="9"/>
      <c r="AB635" s="9"/>
      <c r="AC635" s="9"/>
      <c r="AD635" s="9"/>
    </row>
    <row r="636" ht="15.75" customHeight="1">
      <c r="A636" s="9"/>
      <c r="B636" s="9"/>
      <c r="C636" s="9"/>
      <c r="D636" s="9"/>
      <c r="E636" s="9"/>
      <c r="F636" s="9"/>
      <c r="G636" s="9"/>
      <c r="H636" s="223"/>
      <c r="I636" s="9"/>
      <c r="J636" s="9"/>
      <c r="K636" s="9"/>
      <c r="L636" s="9"/>
      <c r="M636" s="9"/>
      <c r="N636" s="9"/>
      <c r="O636" s="9"/>
      <c r="P636" s="9"/>
      <c r="Q636" s="223"/>
      <c r="R636" s="9"/>
      <c r="S636" s="9"/>
      <c r="T636" s="9"/>
      <c r="U636" s="9"/>
      <c r="V636" s="9"/>
      <c r="W636" s="971"/>
      <c r="X636" s="9"/>
      <c r="Y636" s="9"/>
      <c r="Z636" s="204"/>
      <c r="AA636" s="9"/>
      <c r="AB636" s="9"/>
      <c r="AC636" s="9"/>
      <c r="AD636" s="9"/>
    </row>
    <row r="637" ht="15.75" customHeight="1">
      <c r="A637" s="9"/>
      <c r="B637" s="9"/>
      <c r="C637" s="9"/>
      <c r="D637" s="9"/>
      <c r="E637" s="9"/>
      <c r="F637" s="9"/>
      <c r="G637" s="9"/>
      <c r="H637" s="223"/>
      <c r="I637" s="9"/>
      <c r="J637" s="9"/>
      <c r="K637" s="9"/>
      <c r="L637" s="9"/>
      <c r="M637" s="9"/>
      <c r="N637" s="9"/>
      <c r="O637" s="9"/>
      <c r="P637" s="9"/>
      <c r="Q637" s="223"/>
      <c r="R637" s="9"/>
      <c r="S637" s="9"/>
      <c r="T637" s="9"/>
      <c r="U637" s="9"/>
      <c r="V637" s="9"/>
      <c r="W637" s="971"/>
      <c r="X637" s="9"/>
      <c r="Y637" s="9"/>
      <c r="Z637" s="204"/>
      <c r="AA637" s="9"/>
      <c r="AB637" s="9"/>
      <c r="AC637" s="9"/>
      <c r="AD637" s="9"/>
    </row>
    <row r="638" ht="15.75" customHeight="1">
      <c r="A638" s="9"/>
      <c r="B638" s="9"/>
      <c r="C638" s="9"/>
      <c r="D638" s="9"/>
      <c r="E638" s="9"/>
      <c r="F638" s="9"/>
      <c r="G638" s="9"/>
      <c r="H638" s="223"/>
      <c r="I638" s="9"/>
      <c r="J638" s="9"/>
      <c r="K638" s="9"/>
      <c r="L638" s="9"/>
      <c r="M638" s="9"/>
      <c r="N638" s="9"/>
      <c r="O638" s="9"/>
      <c r="P638" s="9"/>
      <c r="Q638" s="223"/>
      <c r="R638" s="9"/>
      <c r="S638" s="9"/>
      <c r="T638" s="9"/>
      <c r="U638" s="9"/>
      <c r="V638" s="9"/>
      <c r="W638" s="971"/>
      <c r="X638" s="9"/>
      <c r="Y638" s="9"/>
      <c r="Z638" s="204"/>
      <c r="AA638" s="9"/>
      <c r="AB638" s="9"/>
      <c r="AC638" s="9"/>
      <c r="AD638" s="9"/>
    </row>
    <row r="639" ht="15.75" customHeight="1">
      <c r="A639" s="9"/>
      <c r="B639" s="9"/>
      <c r="C639" s="9"/>
      <c r="D639" s="9"/>
      <c r="E639" s="9"/>
      <c r="F639" s="9"/>
      <c r="G639" s="9"/>
      <c r="H639" s="223"/>
      <c r="I639" s="9"/>
      <c r="J639" s="9"/>
      <c r="K639" s="9"/>
      <c r="L639" s="9"/>
      <c r="M639" s="9"/>
      <c r="N639" s="9"/>
      <c r="O639" s="9"/>
      <c r="P639" s="9"/>
      <c r="Q639" s="223"/>
      <c r="R639" s="9"/>
      <c r="S639" s="9"/>
      <c r="T639" s="9"/>
      <c r="U639" s="9"/>
      <c r="V639" s="9"/>
      <c r="W639" s="971"/>
      <c r="X639" s="9"/>
      <c r="Y639" s="9"/>
      <c r="Z639" s="204"/>
      <c r="AA639" s="9"/>
      <c r="AB639" s="9"/>
      <c r="AC639" s="9"/>
      <c r="AD639" s="9"/>
    </row>
    <row r="640" ht="15.75" customHeight="1">
      <c r="A640" s="9"/>
      <c r="B640" s="9"/>
      <c r="C640" s="9"/>
      <c r="D640" s="9"/>
      <c r="E640" s="9"/>
      <c r="F640" s="9"/>
      <c r="G640" s="9"/>
      <c r="H640" s="223"/>
      <c r="I640" s="9"/>
      <c r="J640" s="9"/>
      <c r="K640" s="9"/>
      <c r="L640" s="9"/>
      <c r="M640" s="9"/>
      <c r="N640" s="9"/>
      <c r="O640" s="9"/>
      <c r="P640" s="9"/>
      <c r="Q640" s="223"/>
      <c r="R640" s="9"/>
      <c r="S640" s="9"/>
      <c r="T640" s="9"/>
      <c r="U640" s="9"/>
      <c r="V640" s="9"/>
      <c r="W640" s="971"/>
      <c r="X640" s="9"/>
      <c r="Y640" s="9"/>
      <c r="Z640" s="204"/>
      <c r="AA640" s="9"/>
      <c r="AB640" s="9"/>
      <c r="AC640" s="9"/>
      <c r="AD640" s="9"/>
    </row>
    <row r="641" ht="15.75" customHeight="1">
      <c r="A641" s="9"/>
      <c r="B641" s="9"/>
      <c r="C641" s="9"/>
      <c r="D641" s="9"/>
      <c r="E641" s="9"/>
      <c r="F641" s="9"/>
      <c r="G641" s="9"/>
      <c r="H641" s="223"/>
      <c r="I641" s="9"/>
      <c r="J641" s="9"/>
      <c r="K641" s="9"/>
      <c r="L641" s="9"/>
      <c r="M641" s="9"/>
      <c r="N641" s="9"/>
      <c r="O641" s="9"/>
      <c r="P641" s="9"/>
      <c r="Q641" s="223"/>
      <c r="R641" s="9"/>
      <c r="S641" s="9"/>
      <c r="T641" s="9"/>
      <c r="U641" s="9"/>
      <c r="V641" s="9"/>
      <c r="W641" s="971"/>
      <c r="X641" s="9"/>
      <c r="Y641" s="9"/>
      <c r="Z641" s="204"/>
      <c r="AA641" s="9"/>
      <c r="AB641" s="9"/>
      <c r="AC641" s="9"/>
      <c r="AD641" s="9"/>
    </row>
    <row r="642" ht="15.75" customHeight="1">
      <c r="A642" s="9"/>
      <c r="B642" s="9"/>
      <c r="C642" s="9"/>
      <c r="D642" s="9"/>
      <c r="E642" s="9"/>
      <c r="F642" s="9"/>
      <c r="G642" s="9"/>
      <c r="H642" s="223"/>
      <c r="I642" s="9"/>
      <c r="J642" s="9"/>
      <c r="K642" s="9"/>
      <c r="L642" s="9"/>
      <c r="M642" s="9"/>
      <c r="N642" s="9"/>
      <c r="O642" s="9"/>
      <c r="P642" s="9"/>
      <c r="Q642" s="223"/>
      <c r="R642" s="9"/>
      <c r="S642" s="9"/>
      <c r="T642" s="9"/>
      <c r="U642" s="9"/>
      <c r="V642" s="9"/>
      <c r="W642" s="971"/>
      <c r="X642" s="9"/>
      <c r="Y642" s="9"/>
      <c r="Z642" s="204"/>
      <c r="AA642" s="9"/>
      <c r="AB642" s="9"/>
      <c r="AC642" s="9"/>
      <c r="AD642" s="9"/>
    </row>
    <row r="643" ht="15.75" customHeight="1">
      <c r="A643" s="9"/>
      <c r="B643" s="9"/>
      <c r="C643" s="9"/>
      <c r="D643" s="9"/>
      <c r="E643" s="9"/>
      <c r="F643" s="9"/>
      <c r="G643" s="9"/>
      <c r="H643" s="223"/>
      <c r="I643" s="9"/>
      <c r="J643" s="9"/>
      <c r="K643" s="9"/>
      <c r="L643" s="9"/>
      <c r="M643" s="9"/>
      <c r="N643" s="9"/>
      <c r="O643" s="9"/>
      <c r="P643" s="9"/>
      <c r="Q643" s="223"/>
      <c r="R643" s="9"/>
      <c r="S643" s="9"/>
      <c r="T643" s="9"/>
      <c r="U643" s="9"/>
      <c r="V643" s="9"/>
      <c r="W643" s="971"/>
      <c r="X643" s="9"/>
      <c r="Y643" s="9"/>
      <c r="Z643" s="204"/>
      <c r="AA643" s="9"/>
      <c r="AB643" s="9"/>
      <c r="AC643" s="9"/>
      <c r="AD643" s="9"/>
    </row>
    <row r="644" ht="15.75" customHeight="1">
      <c r="A644" s="9"/>
      <c r="B644" s="9"/>
      <c r="C644" s="9"/>
      <c r="D644" s="9"/>
      <c r="E644" s="9"/>
      <c r="F644" s="9"/>
      <c r="G644" s="9"/>
      <c r="H644" s="223"/>
      <c r="I644" s="9"/>
      <c r="J644" s="9"/>
      <c r="K644" s="9"/>
      <c r="L644" s="9"/>
      <c r="M644" s="9"/>
      <c r="N644" s="9"/>
      <c r="O644" s="9"/>
      <c r="P644" s="9"/>
      <c r="Q644" s="223"/>
      <c r="R644" s="9"/>
      <c r="S644" s="9"/>
      <c r="T644" s="9"/>
      <c r="U644" s="9"/>
      <c r="V644" s="9"/>
      <c r="W644" s="971"/>
      <c r="X644" s="9"/>
      <c r="Y644" s="9"/>
      <c r="Z644" s="204"/>
      <c r="AA644" s="9"/>
      <c r="AB644" s="9"/>
      <c r="AC644" s="9"/>
      <c r="AD644" s="9"/>
    </row>
    <row r="645" ht="15.75" customHeight="1">
      <c r="A645" s="9"/>
      <c r="B645" s="9"/>
      <c r="C645" s="9"/>
      <c r="D645" s="9"/>
      <c r="E645" s="9"/>
      <c r="F645" s="9"/>
      <c r="G645" s="9"/>
      <c r="H645" s="223"/>
      <c r="I645" s="9"/>
      <c r="J645" s="9"/>
      <c r="K645" s="9"/>
      <c r="L645" s="9"/>
      <c r="M645" s="9"/>
      <c r="N645" s="9"/>
      <c r="O645" s="9"/>
      <c r="P645" s="9"/>
      <c r="Q645" s="223"/>
      <c r="R645" s="9"/>
      <c r="S645" s="9"/>
      <c r="T645" s="9"/>
      <c r="U645" s="9"/>
      <c r="V645" s="9"/>
      <c r="W645" s="971"/>
      <c r="X645" s="9"/>
      <c r="Y645" s="9"/>
      <c r="Z645" s="204"/>
      <c r="AA645" s="9"/>
      <c r="AB645" s="9"/>
      <c r="AC645" s="9"/>
      <c r="AD645" s="9"/>
    </row>
    <row r="646" ht="15.75" customHeight="1">
      <c r="A646" s="9"/>
      <c r="B646" s="9"/>
      <c r="C646" s="9"/>
      <c r="D646" s="9"/>
      <c r="E646" s="9"/>
      <c r="F646" s="9"/>
      <c r="G646" s="9"/>
      <c r="H646" s="223"/>
      <c r="I646" s="9"/>
      <c r="J646" s="9"/>
      <c r="K646" s="9"/>
      <c r="L646" s="9"/>
      <c r="M646" s="9"/>
      <c r="N646" s="9"/>
      <c r="O646" s="9"/>
      <c r="P646" s="9"/>
      <c r="Q646" s="223"/>
      <c r="R646" s="9"/>
      <c r="S646" s="9"/>
      <c r="T646" s="9"/>
      <c r="U646" s="9"/>
      <c r="V646" s="9"/>
      <c r="W646" s="971"/>
      <c r="X646" s="9"/>
      <c r="Y646" s="9"/>
      <c r="Z646" s="204"/>
      <c r="AA646" s="9"/>
      <c r="AB646" s="9"/>
      <c r="AC646" s="9"/>
      <c r="AD646" s="9"/>
    </row>
    <row r="647" ht="15.75" customHeight="1">
      <c r="A647" s="9"/>
      <c r="B647" s="9"/>
      <c r="C647" s="9"/>
      <c r="D647" s="9"/>
      <c r="E647" s="9"/>
      <c r="F647" s="9"/>
      <c r="G647" s="9"/>
      <c r="H647" s="223"/>
      <c r="I647" s="9"/>
      <c r="J647" s="9"/>
      <c r="K647" s="9"/>
      <c r="L647" s="9"/>
      <c r="M647" s="9"/>
      <c r="N647" s="9"/>
      <c r="O647" s="9"/>
      <c r="P647" s="9"/>
      <c r="Q647" s="223"/>
      <c r="R647" s="9"/>
      <c r="S647" s="9"/>
      <c r="T647" s="9"/>
      <c r="U647" s="9"/>
      <c r="V647" s="9"/>
      <c r="W647" s="971"/>
      <c r="X647" s="9"/>
      <c r="Y647" s="9"/>
      <c r="Z647" s="204"/>
      <c r="AA647" s="9"/>
      <c r="AB647" s="9"/>
      <c r="AC647" s="9"/>
      <c r="AD647" s="9"/>
    </row>
    <row r="648" ht="15.75" customHeight="1">
      <c r="A648" s="9"/>
      <c r="B648" s="9"/>
      <c r="C648" s="9"/>
      <c r="D648" s="9"/>
      <c r="E648" s="9"/>
      <c r="F648" s="9"/>
      <c r="G648" s="9"/>
      <c r="H648" s="223"/>
      <c r="I648" s="9"/>
      <c r="J648" s="9"/>
      <c r="K648" s="9"/>
      <c r="L648" s="9"/>
      <c r="M648" s="9"/>
      <c r="N648" s="9"/>
      <c r="O648" s="9"/>
      <c r="P648" s="9"/>
      <c r="Q648" s="223"/>
      <c r="R648" s="9"/>
      <c r="S648" s="9"/>
      <c r="T648" s="9"/>
      <c r="U648" s="9"/>
      <c r="V648" s="9"/>
      <c r="W648" s="971"/>
      <c r="X648" s="9"/>
      <c r="Y648" s="9"/>
      <c r="Z648" s="204"/>
      <c r="AA648" s="9"/>
      <c r="AB648" s="9"/>
      <c r="AC648" s="9"/>
      <c r="AD648" s="9"/>
    </row>
    <row r="649" ht="15.75" customHeight="1">
      <c r="A649" s="9"/>
      <c r="B649" s="9"/>
      <c r="C649" s="9"/>
      <c r="D649" s="9"/>
      <c r="E649" s="9"/>
      <c r="F649" s="9"/>
      <c r="G649" s="9"/>
      <c r="H649" s="223"/>
      <c r="I649" s="9"/>
      <c r="J649" s="9"/>
      <c r="K649" s="9"/>
      <c r="L649" s="9"/>
      <c r="M649" s="9"/>
      <c r="N649" s="9"/>
      <c r="O649" s="9"/>
      <c r="P649" s="9"/>
      <c r="Q649" s="223"/>
      <c r="R649" s="9"/>
      <c r="S649" s="9"/>
      <c r="T649" s="9"/>
      <c r="U649" s="9"/>
      <c r="V649" s="9"/>
      <c r="W649" s="971"/>
      <c r="X649" s="9"/>
      <c r="Y649" s="9"/>
      <c r="Z649" s="204"/>
      <c r="AA649" s="9"/>
      <c r="AB649" s="9"/>
      <c r="AC649" s="9"/>
      <c r="AD649" s="9"/>
    </row>
    <row r="650" ht="15.75" customHeight="1">
      <c r="A650" s="9"/>
      <c r="B650" s="9"/>
      <c r="C650" s="9"/>
      <c r="D650" s="9"/>
      <c r="E650" s="9"/>
      <c r="F650" s="9"/>
      <c r="G650" s="9"/>
      <c r="H650" s="223"/>
      <c r="I650" s="9"/>
      <c r="J650" s="9"/>
      <c r="K650" s="9"/>
      <c r="L650" s="9"/>
      <c r="M650" s="9"/>
      <c r="N650" s="9"/>
      <c r="O650" s="9"/>
      <c r="P650" s="9"/>
      <c r="Q650" s="223"/>
      <c r="R650" s="9"/>
      <c r="S650" s="9"/>
      <c r="T650" s="9"/>
      <c r="U650" s="9"/>
      <c r="V650" s="9"/>
      <c r="W650" s="971"/>
      <c r="X650" s="9"/>
      <c r="Y650" s="9"/>
      <c r="Z650" s="204"/>
      <c r="AA650" s="9"/>
      <c r="AB650" s="9"/>
      <c r="AC650" s="9"/>
      <c r="AD650" s="9"/>
    </row>
    <row r="651" ht="15.75" customHeight="1">
      <c r="A651" s="9"/>
      <c r="B651" s="9"/>
      <c r="C651" s="9"/>
      <c r="D651" s="9"/>
      <c r="E651" s="9"/>
      <c r="F651" s="9"/>
      <c r="G651" s="9"/>
      <c r="H651" s="223"/>
      <c r="I651" s="9"/>
      <c r="J651" s="9"/>
      <c r="K651" s="9"/>
      <c r="L651" s="9"/>
      <c r="M651" s="9"/>
      <c r="N651" s="9"/>
      <c r="O651" s="9"/>
      <c r="P651" s="9"/>
      <c r="Q651" s="223"/>
      <c r="R651" s="9"/>
      <c r="S651" s="9"/>
      <c r="T651" s="9"/>
      <c r="U651" s="9"/>
      <c r="V651" s="9"/>
      <c r="W651" s="971"/>
      <c r="X651" s="9"/>
      <c r="Y651" s="9"/>
      <c r="Z651" s="204"/>
      <c r="AA651" s="9"/>
      <c r="AB651" s="9"/>
      <c r="AC651" s="9"/>
      <c r="AD651" s="9"/>
    </row>
    <row r="652" ht="15.75" customHeight="1">
      <c r="A652" s="9"/>
      <c r="B652" s="9"/>
      <c r="C652" s="9"/>
      <c r="D652" s="9"/>
      <c r="E652" s="9"/>
      <c r="F652" s="9"/>
      <c r="G652" s="9"/>
      <c r="H652" s="223"/>
      <c r="I652" s="9"/>
      <c r="J652" s="9"/>
      <c r="K652" s="9"/>
      <c r="L652" s="9"/>
      <c r="M652" s="9"/>
      <c r="N652" s="9"/>
      <c r="O652" s="9"/>
      <c r="P652" s="9"/>
      <c r="Q652" s="223"/>
      <c r="R652" s="9"/>
      <c r="S652" s="9"/>
      <c r="T652" s="9"/>
      <c r="U652" s="9"/>
      <c r="V652" s="9"/>
      <c r="W652" s="971"/>
      <c r="X652" s="9"/>
      <c r="Y652" s="9"/>
      <c r="Z652" s="204"/>
      <c r="AA652" s="9"/>
      <c r="AB652" s="9"/>
      <c r="AC652" s="9"/>
      <c r="AD652" s="9"/>
    </row>
    <row r="653" ht="15.75" customHeight="1">
      <c r="A653" s="9"/>
      <c r="B653" s="9"/>
      <c r="C653" s="9"/>
      <c r="D653" s="9"/>
      <c r="E653" s="9"/>
      <c r="F653" s="9"/>
      <c r="G653" s="9"/>
      <c r="H653" s="223"/>
      <c r="I653" s="9"/>
      <c r="J653" s="9"/>
      <c r="K653" s="9"/>
      <c r="L653" s="9"/>
      <c r="M653" s="9"/>
      <c r="N653" s="9"/>
      <c r="O653" s="9"/>
      <c r="P653" s="9"/>
      <c r="Q653" s="223"/>
      <c r="R653" s="9"/>
      <c r="S653" s="9"/>
      <c r="T653" s="9"/>
      <c r="U653" s="9"/>
      <c r="V653" s="9"/>
      <c r="W653" s="971"/>
      <c r="X653" s="9"/>
      <c r="Y653" s="9"/>
      <c r="Z653" s="204"/>
      <c r="AA653" s="9"/>
      <c r="AB653" s="9"/>
      <c r="AC653" s="9"/>
      <c r="AD653" s="9"/>
    </row>
    <row r="654" ht="15.75" customHeight="1">
      <c r="A654" s="9"/>
      <c r="B654" s="9"/>
      <c r="C654" s="9"/>
      <c r="D654" s="9"/>
      <c r="E654" s="9"/>
      <c r="F654" s="9"/>
      <c r="G654" s="9"/>
      <c r="H654" s="223"/>
      <c r="I654" s="9"/>
      <c r="J654" s="9"/>
      <c r="K654" s="9"/>
      <c r="L654" s="9"/>
      <c r="M654" s="9"/>
      <c r="N654" s="9"/>
      <c r="O654" s="9"/>
      <c r="P654" s="9"/>
      <c r="Q654" s="223"/>
      <c r="R654" s="9"/>
      <c r="S654" s="9"/>
      <c r="T654" s="9"/>
      <c r="U654" s="9"/>
      <c r="V654" s="9"/>
      <c r="W654" s="971"/>
      <c r="X654" s="9"/>
      <c r="Y654" s="9"/>
      <c r="Z654" s="204"/>
      <c r="AA654" s="9"/>
      <c r="AB654" s="9"/>
      <c r="AC654" s="9"/>
      <c r="AD654" s="9"/>
    </row>
    <row r="655" ht="15.75" customHeight="1">
      <c r="A655" s="9"/>
      <c r="B655" s="9"/>
      <c r="C655" s="9"/>
      <c r="D655" s="9"/>
      <c r="E655" s="9"/>
      <c r="F655" s="9"/>
      <c r="G655" s="9"/>
      <c r="H655" s="223"/>
      <c r="I655" s="9"/>
      <c r="J655" s="9"/>
      <c r="K655" s="9"/>
      <c r="L655" s="9"/>
      <c r="M655" s="9"/>
      <c r="N655" s="9"/>
      <c r="O655" s="9"/>
      <c r="P655" s="9"/>
      <c r="Q655" s="223"/>
      <c r="R655" s="9"/>
      <c r="S655" s="9"/>
      <c r="T655" s="9"/>
      <c r="U655" s="9"/>
      <c r="V655" s="9"/>
      <c r="W655" s="971"/>
      <c r="X655" s="9"/>
      <c r="Y655" s="9"/>
      <c r="Z655" s="204"/>
      <c r="AA655" s="9"/>
      <c r="AB655" s="9"/>
      <c r="AC655" s="9"/>
      <c r="AD655" s="9"/>
    </row>
    <row r="656" ht="15.75" customHeight="1">
      <c r="A656" s="9"/>
      <c r="B656" s="9"/>
      <c r="C656" s="9"/>
      <c r="D656" s="9"/>
      <c r="E656" s="9"/>
      <c r="F656" s="9"/>
      <c r="G656" s="9"/>
      <c r="H656" s="223"/>
      <c r="I656" s="9"/>
      <c r="J656" s="9"/>
      <c r="K656" s="9"/>
      <c r="L656" s="9"/>
      <c r="M656" s="9"/>
      <c r="N656" s="9"/>
      <c r="O656" s="9"/>
      <c r="P656" s="9"/>
      <c r="Q656" s="223"/>
      <c r="R656" s="9"/>
      <c r="S656" s="9"/>
      <c r="T656" s="9"/>
      <c r="U656" s="9"/>
      <c r="V656" s="9"/>
      <c r="W656" s="971"/>
      <c r="X656" s="9"/>
      <c r="Y656" s="9"/>
      <c r="Z656" s="204"/>
      <c r="AA656" s="9"/>
      <c r="AB656" s="9"/>
      <c r="AC656" s="9"/>
      <c r="AD656" s="9"/>
    </row>
    <row r="657" ht="15.75" customHeight="1">
      <c r="A657" s="9"/>
      <c r="B657" s="9"/>
      <c r="C657" s="9"/>
      <c r="D657" s="9"/>
      <c r="E657" s="9"/>
      <c r="F657" s="9"/>
      <c r="G657" s="9"/>
      <c r="H657" s="223"/>
      <c r="I657" s="9"/>
      <c r="J657" s="9"/>
      <c r="K657" s="9"/>
      <c r="L657" s="9"/>
      <c r="M657" s="9"/>
      <c r="N657" s="9"/>
      <c r="O657" s="9"/>
      <c r="P657" s="9"/>
      <c r="Q657" s="223"/>
      <c r="R657" s="9"/>
      <c r="S657" s="9"/>
      <c r="T657" s="9"/>
      <c r="U657" s="9"/>
      <c r="V657" s="9"/>
      <c r="W657" s="971"/>
      <c r="X657" s="9"/>
      <c r="Y657" s="9"/>
      <c r="Z657" s="204"/>
      <c r="AA657" s="9"/>
      <c r="AB657" s="9"/>
      <c r="AC657" s="9"/>
      <c r="AD657" s="9"/>
    </row>
    <row r="658" ht="15.75" customHeight="1">
      <c r="A658" s="9"/>
      <c r="B658" s="9"/>
      <c r="C658" s="9"/>
      <c r="D658" s="9"/>
      <c r="E658" s="9"/>
      <c r="F658" s="9"/>
      <c r="G658" s="9"/>
      <c r="H658" s="223"/>
      <c r="I658" s="9"/>
      <c r="J658" s="9"/>
      <c r="K658" s="9"/>
      <c r="L658" s="9"/>
      <c r="M658" s="9"/>
      <c r="N658" s="9"/>
      <c r="O658" s="9"/>
      <c r="P658" s="9"/>
      <c r="Q658" s="223"/>
      <c r="R658" s="9"/>
      <c r="S658" s="9"/>
      <c r="T658" s="9"/>
      <c r="U658" s="9"/>
      <c r="V658" s="9"/>
      <c r="W658" s="971"/>
      <c r="X658" s="9"/>
      <c r="Y658" s="9"/>
      <c r="Z658" s="204"/>
      <c r="AA658" s="9"/>
      <c r="AB658" s="9"/>
      <c r="AC658" s="9"/>
      <c r="AD658" s="9"/>
    </row>
    <row r="659" ht="15.75" customHeight="1">
      <c r="A659" s="9"/>
      <c r="B659" s="9"/>
      <c r="C659" s="9"/>
      <c r="D659" s="9"/>
      <c r="E659" s="9"/>
      <c r="F659" s="9"/>
      <c r="G659" s="9"/>
      <c r="H659" s="223"/>
      <c r="I659" s="9"/>
      <c r="J659" s="9"/>
      <c r="K659" s="9"/>
      <c r="L659" s="9"/>
      <c r="M659" s="9"/>
      <c r="N659" s="9"/>
      <c r="O659" s="9"/>
      <c r="P659" s="9"/>
      <c r="Q659" s="223"/>
      <c r="R659" s="9"/>
      <c r="S659" s="9"/>
      <c r="T659" s="9"/>
      <c r="U659" s="9"/>
      <c r="V659" s="9"/>
      <c r="W659" s="971"/>
      <c r="X659" s="9"/>
      <c r="Y659" s="9"/>
      <c r="Z659" s="204"/>
      <c r="AA659" s="9"/>
      <c r="AB659" s="9"/>
      <c r="AC659" s="9"/>
      <c r="AD659" s="9"/>
    </row>
    <row r="660" ht="15.75" customHeight="1">
      <c r="A660" s="9"/>
      <c r="B660" s="9"/>
      <c r="C660" s="9"/>
      <c r="D660" s="9"/>
      <c r="E660" s="9"/>
      <c r="F660" s="9"/>
      <c r="G660" s="9"/>
      <c r="H660" s="223"/>
      <c r="I660" s="9"/>
      <c r="J660" s="9"/>
      <c r="K660" s="9"/>
      <c r="L660" s="9"/>
      <c r="M660" s="9"/>
      <c r="N660" s="9"/>
      <c r="O660" s="9"/>
      <c r="P660" s="9"/>
      <c r="Q660" s="223"/>
      <c r="R660" s="9"/>
      <c r="S660" s="9"/>
      <c r="T660" s="9"/>
      <c r="U660" s="9"/>
      <c r="V660" s="9"/>
      <c r="W660" s="971"/>
      <c r="X660" s="9"/>
      <c r="Y660" s="9"/>
      <c r="Z660" s="204"/>
      <c r="AA660" s="9"/>
      <c r="AB660" s="9"/>
      <c r="AC660" s="9"/>
      <c r="AD660" s="9"/>
    </row>
    <row r="661" ht="15.75" customHeight="1">
      <c r="A661" s="9"/>
      <c r="B661" s="9"/>
      <c r="C661" s="9"/>
      <c r="D661" s="9"/>
      <c r="E661" s="9"/>
      <c r="F661" s="9"/>
      <c r="G661" s="9"/>
      <c r="H661" s="223"/>
      <c r="I661" s="9"/>
      <c r="J661" s="9"/>
      <c r="K661" s="9"/>
      <c r="L661" s="9"/>
      <c r="M661" s="9"/>
      <c r="N661" s="9"/>
      <c r="O661" s="9"/>
      <c r="P661" s="9"/>
      <c r="Q661" s="223"/>
      <c r="R661" s="9"/>
      <c r="S661" s="9"/>
      <c r="T661" s="9"/>
      <c r="U661" s="9"/>
      <c r="V661" s="9"/>
      <c r="W661" s="971"/>
      <c r="X661" s="9"/>
      <c r="Y661" s="9"/>
      <c r="Z661" s="204"/>
      <c r="AA661" s="9"/>
      <c r="AB661" s="9"/>
      <c r="AC661" s="9"/>
      <c r="AD661" s="9"/>
    </row>
    <row r="662" ht="15.75" customHeight="1">
      <c r="A662" s="9"/>
      <c r="B662" s="9"/>
      <c r="C662" s="9"/>
      <c r="D662" s="9"/>
      <c r="E662" s="9"/>
      <c r="F662" s="9"/>
      <c r="G662" s="9"/>
      <c r="H662" s="223"/>
      <c r="I662" s="9"/>
      <c r="J662" s="9"/>
      <c r="K662" s="9"/>
      <c r="L662" s="9"/>
      <c r="M662" s="9"/>
      <c r="N662" s="9"/>
      <c r="O662" s="9"/>
      <c r="P662" s="9"/>
      <c r="Q662" s="223"/>
      <c r="R662" s="9"/>
      <c r="S662" s="9"/>
      <c r="T662" s="9"/>
      <c r="U662" s="9"/>
      <c r="V662" s="9"/>
      <c r="W662" s="971"/>
      <c r="X662" s="9"/>
      <c r="Y662" s="9"/>
      <c r="Z662" s="204"/>
      <c r="AA662" s="9"/>
      <c r="AB662" s="9"/>
      <c r="AC662" s="9"/>
      <c r="AD662" s="9"/>
    </row>
    <row r="663" ht="15.75" customHeight="1">
      <c r="A663" s="9"/>
      <c r="B663" s="9"/>
      <c r="C663" s="9"/>
      <c r="D663" s="9"/>
      <c r="E663" s="9"/>
      <c r="F663" s="9"/>
      <c r="G663" s="9"/>
      <c r="H663" s="223"/>
      <c r="I663" s="9"/>
      <c r="J663" s="9"/>
      <c r="K663" s="9"/>
      <c r="L663" s="9"/>
      <c r="M663" s="9"/>
      <c r="N663" s="9"/>
      <c r="O663" s="9"/>
      <c r="P663" s="9"/>
      <c r="Q663" s="223"/>
      <c r="R663" s="9"/>
      <c r="S663" s="9"/>
      <c r="T663" s="9"/>
      <c r="U663" s="9"/>
      <c r="V663" s="9"/>
      <c r="W663" s="971"/>
      <c r="X663" s="9"/>
      <c r="Y663" s="9"/>
      <c r="Z663" s="204"/>
      <c r="AA663" s="9"/>
      <c r="AB663" s="9"/>
      <c r="AC663" s="9"/>
      <c r="AD663" s="9"/>
    </row>
    <row r="664" ht="15.75" customHeight="1">
      <c r="A664" s="9"/>
      <c r="B664" s="9"/>
      <c r="C664" s="9"/>
      <c r="D664" s="9"/>
      <c r="E664" s="9"/>
      <c r="F664" s="9"/>
      <c r="G664" s="9"/>
      <c r="H664" s="223"/>
      <c r="I664" s="9"/>
      <c r="J664" s="9"/>
      <c r="K664" s="9"/>
      <c r="L664" s="9"/>
      <c r="M664" s="9"/>
      <c r="N664" s="9"/>
      <c r="O664" s="9"/>
      <c r="P664" s="9"/>
      <c r="Q664" s="223"/>
      <c r="R664" s="9"/>
      <c r="S664" s="9"/>
      <c r="T664" s="9"/>
      <c r="U664" s="9"/>
      <c r="V664" s="9"/>
      <c r="W664" s="971"/>
      <c r="X664" s="9"/>
      <c r="Y664" s="9"/>
      <c r="Z664" s="204"/>
      <c r="AA664" s="9"/>
      <c r="AB664" s="9"/>
      <c r="AC664" s="9"/>
      <c r="AD664" s="9"/>
    </row>
    <row r="665" ht="15.75" customHeight="1">
      <c r="A665" s="9"/>
      <c r="B665" s="9"/>
      <c r="C665" s="9"/>
      <c r="D665" s="9"/>
      <c r="E665" s="9"/>
      <c r="F665" s="9"/>
      <c r="G665" s="9"/>
      <c r="H665" s="223"/>
      <c r="I665" s="9"/>
      <c r="J665" s="9"/>
      <c r="K665" s="9"/>
      <c r="L665" s="9"/>
      <c r="M665" s="9"/>
      <c r="N665" s="9"/>
      <c r="O665" s="9"/>
      <c r="P665" s="9"/>
      <c r="Q665" s="223"/>
      <c r="R665" s="9"/>
      <c r="S665" s="9"/>
      <c r="T665" s="9"/>
      <c r="U665" s="9"/>
      <c r="V665" s="9"/>
      <c r="W665" s="971"/>
      <c r="X665" s="9"/>
      <c r="Y665" s="9"/>
      <c r="Z665" s="204"/>
      <c r="AA665" s="9"/>
      <c r="AB665" s="9"/>
      <c r="AC665" s="9"/>
      <c r="AD665" s="9"/>
    </row>
    <row r="666" ht="15.75" customHeight="1">
      <c r="A666" s="9"/>
      <c r="B666" s="9"/>
      <c r="C666" s="9"/>
      <c r="D666" s="9"/>
      <c r="E666" s="9"/>
      <c r="F666" s="9"/>
      <c r="G666" s="9"/>
      <c r="H666" s="223"/>
      <c r="I666" s="9"/>
      <c r="J666" s="9"/>
      <c r="K666" s="9"/>
      <c r="L666" s="9"/>
      <c r="M666" s="9"/>
      <c r="N666" s="9"/>
      <c r="O666" s="9"/>
      <c r="P666" s="9"/>
      <c r="Q666" s="223"/>
      <c r="R666" s="9"/>
      <c r="S666" s="9"/>
      <c r="T666" s="9"/>
      <c r="U666" s="9"/>
      <c r="V666" s="9"/>
      <c r="W666" s="971"/>
      <c r="X666" s="9"/>
      <c r="Y666" s="9"/>
      <c r="Z666" s="204"/>
      <c r="AA666" s="9"/>
      <c r="AB666" s="9"/>
      <c r="AC666" s="9"/>
      <c r="AD666" s="9"/>
    </row>
    <row r="667" ht="15.75" customHeight="1">
      <c r="A667" s="9"/>
      <c r="B667" s="9"/>
      <c r="C667" s="9"/>
      <c r="D667" s="9"/>
      <c r="E667" s="9"/>
      <c r="F667" s="9"/>
      <c r="G667" s="9"/>
      <c r="H667" s="223"/>
      <c r="I667" s="9"/>
      <c r="J667" s="9"/>
      <c r="K667" s="9"/>
      <c r="L667" s="9"/>
      <c r="M667" s="9"/>
      <c r="N667" s="9"/>
      <c r="O667" s="9"/>
      <c r="P667" s="9"/>
      <c r="Q667" s="223"/>
      <c r="R667" s="9"/>
      <c r="S667" s="9"/>
      <c r="T667" s="9"/>
      <c r="U667" s="9"/>
      <c r="V667" s="9"/>
      <c r="W667" s="971"/>
      <c r="X667" s="9"/>
      <c r="Y667" s="9"/>
      <c r="Z667" s="204"/>
      <c r="AA667" s="9"/>
      <c r="AB667" s="9"/>
      <c r="AC667" s="9"/>
      <c r="AD667" s="9"/>
    </row>
    <row r="668" ht="15.75" customHeight="1">
      <c r="A668" s="9"/>
      <c r="B668" s="9"/>
      <c r="C668" s="9"/>
      <c r="D668" s="9"/>
      <c r="E668" s="9"/>
      <c r="F668" s="9"/>
      <c r="G668" s="9"/>
      <c r="H668" s="223"/>
      <c r="I668" s="9"/>
      <c r="J668" s="9"/>
      <c r="K668" s="9"/>
      <c r="L668" s="9"/>
      <c r="M668" s="9"/>
      <c r="N668" s="9"/>
      <c r="O668" s="9"/>
      <c r="P668" s="9"/>
      <c r="Q668" s="223"/>
      <c r="R668" s="9"/>
      <c r="S668" s="9"/>
      <c r="T668" s="9"/>
      <c r="U668" s="9"/>
      <c r="V668" s="9"/>
      <c r="W668" s="971"/>
      <c r="X668" s="9"/>
      <c r="Y668" s="9"/>
      <c r="Z668" s="204"/>
      <c r="AA668" s="9"/>
      <c r="AB668" s="9"/>
      <c r="AC668" s="9"/>
      <c r="AD668" s="9"/>
    </row>
    <row r="669" ht="15.75" customHeight="1">
      <c r="A669" s="9"/>
      <c r="B669" s="9"/>
      <c r="C669" s="9"/>
      <c r="D669" s="9"/>
      <c r="E669" s="9"/>
      <c r="F669" s="9"/>
      <c r="G669" s="9"/>
      <c r="H669" s="223"/>
      <c r="I669" s="9"/>
      <c r="J669" s="9"/>
      <c r="K669" s="9"/>
      <c r="L669" s="9"/>
      <c r="M669" s="9"/>
      <c r="N669" s="9"/>
      <c r="O669" s="9"/>
      <c r="P669" s="9"/>
      <c r="Q669" s="223"/>
      <c r="R669" s="9"/>
      <c r="S669" s="9"/>
      <c r="T669" s="9"/>
      <c r="U669" s="9"/>
      <c r="V669" s="9"/>
      <c r="W669" s="971"/>
      <c r="X669" s="9"/>
      <c r="Y669" s="9"/>
      <c r="Z669" s="204"/>
      <c r="AA669" s="9"/>
      <c r="AB669" s="9"/>
      <c r="AC669" s="9"/>
      <c r="AD669" s="9"/>
    </row>
    <row r="670" ht="15.75" customHeight="1">
      <c r="A670" s="9"/>
      <c r="B670" s="9"/>
      <c r="C670" s="9"/>
      <c r="D670" s="9"/>
      <c r="E670" s="9"/>
      <c r="F670" s="9"/>
      <c r="G670" s="9"/>
      <c r="H670" s="223"/>
      <c r="I670" s="9"/>
      <c r="J670" s="9"/>
      <c r="K670" s="9"/>
      <c r="L670" s="9"/>
      <c r="M670" s="9"/>
      <c r="N670" s="9"/>
      <c r="O670" s="9"/>
      <c r="P670" s="9"/>
      <c r="Q670" s="223"/>
      <c r="R670" s="9"/>
      <c r="S670" s="9"/>
      <c r="T670" s="9"/>
      <c r="U670" s="9"/>
      <c r="V670" s="9"/>
      <c r="W670" s="971"/>
      <c r="X670" s="9"/>
      <c r="Y670" s="9"/>
      <c r="Z670" s="204"/>
      <c r="AA670" s="9"/>
      <c r="AB670" s="9"/>
      <c r="AC670" s="9"/>
      <c r="AD670" s="9"/>
    </row>
    <row r="671" ht="15.75" customHeight="1">
      <c r="A671" s="9"/>
      <c r="B671" s="9"/>
      <c r="C671" s="9"/>
      <c r="D671" s="9"/>
      <c r="E671" s="9"/>
      <c r="F671" s="9"/>
      <c r="G671" s="9"/>
      <c r="H671" s="223"/>
      <c r="I671" s="9"/>
      <c r="J671" s="9"/>
      <c r="K671" s="9"/>
      <c r="L671" s="9"/>
      <c r="M671" s="9"/>
      <c r="N671" s="9"/>
      <c r="O671" s="9"/>
      <c r="P671" s="9"/>
      <c r="Q671" s="223"/>
      <c r="R671" s="9"/>
      <c r="S671" s="9"/>
      <c r="T671" s="9"/>
      <c r="U671" s="9"/>
      <c r="V671" s="9"/>
      <c r="W671" s="971"/>
      <c r="X671" s="9"/>
      <c r="Y671" s="9"/>
      <c r="Z671" s="204"/>
      <c r="AA671" s="9"/>
      <c r="AB671" s="9"/>
      <c r="AC671" s="9"/>
      <c r="AD671" s="9"/>
    </row>
    <row r="672" ht="15.75" customHeight="1">
      <c r="A672" s="9"/>
      <c r="B672" s="9"/>
      <c r="C672" s="9"/>
      <c r="D672" s="9"/>
      <c r="E672" s="9"/>
      <c r="F672" s="9"/>
      <c r="G672" s="9"/>
      <c r="H672" s="223"/>
      <c r="I672" s="9"/>
      <c r="J672" s="9"/>
      <c r="K672" s="9"/>
      <c r="L672" s="9"/>
      <c r="M672" s="9"/>
      <c r="N672" s="9"/>
      <c r="O672" s="9"/>
      <c r="P672" s="9"/>
      <c r="Q672" s="223"/>
      <c r="R672" s="9"/>
      <c r="S672" s="9"/>
      <c r="T672" s="9"/>
      <c r="U672" s="9"/>
      <c r="V672" s="9"/>
      <c r="W672" s="971"/>
      <c r="X672" s="9"/>
      <c r="Y672" s="9"/>
      <c r="Z672" s="204"/>
      <c r="AA672" s="9"/>
      <c r="AB672" s="9"/>
      <c r="AC672" s="9"/>
      <c r="AD672" s="9"/>
    </row>
    <row r="673" ht="15.75" customHeight="1">
      <c r="A673" s="9"/>
      <c r="B673" s="9"/>
      <c r="C673" s="9"/>
      <c r="D673" s="9"/>
      <c r="E673" s="9"/>
      <c r="F673" s="9"/>
      <c r="G673" s="9"/>
      <c r="H673" s="223"/>
      <c r="I673" s="9"/>
      <c r="J673" s="9"/>
      <c r="K673" s="9"/>
      <c r="L673" s="9"/>
      <c r="M673" s="9"/>
      <c r="N673" s="9"/>
      <c r="O673" s="9"/>
      <c r="P673" s="9"/>
      <c r="Q673" s="223"/>
      <c r="R673" s="9"/>
      <c r="S673" s="9"/>
      <c r="T673" s="9"/>
      <c r="U673" s="9"/>
      <c r="V673" s="9"/>
      <c r="W673" s="971"/>
      <c r="X673" s="9"/>
      <c r="Y673" s="9"/>
      <c r="Z673" s="204"/>
      <c r="AA673" s="9"/>
      <c r="AB673" s="9"/>
      <c r="AC673" s="9"/>
      <c r="AD673" s="9"/>
    </row>
    <row r="674" ht="15.75" customHeight="1">
      <c r="A674" s="9"/>
      <c r="B674" s="9"/>
      <c r="C674" s="9"/>
      <c r="D674" s="9"/>
      <c r="E674" s="9"/>
      <c r="F674" s="9"/>
      <c r="G674" s="9"/>
      <c r="H674" s="223"/>
      <c r="I674" s="9"/>
      <c r="J674" s="9"/>
      <c r="K674" s="9"/>
      <c r="L674" s="9"/>
      <c r="M674" s="9"/>
      <c r="N674" s="9"/>
      <c r="O674" s="9"/>
      <c r="P674" s="9"/>
      <c r="Q674" s="223"/>
      <c r="R674" s="9"/>
      <c r="S674" s="9"/>
      <c r="T674" s="9"/>
      <c r="U674" s="9"/>
      <c r="V674" s="9"/>
      <c r="W674" s="971"/>
      <c r="X674" s="9"/>
      <c r="Y674" s="9"/>
      <c r="Z674" s="204"/>
      <c r="AA674" s="9"/>
      <c r="AB674" s="9"/>
      <c r="AC674" s="9"/>
      <c r="AD674" s="9"/>
    </row>
    <row r="675" ht="15.75" customHeight="1">
      <c r="A675" s="9"/>
      <c r="B675" s="9"/>
      <c r="C675" s="9"/>
      <c r="D675" s="9"/>
      <c r="E675" s="9"/>
      <c r="F675" s="9"/>
      <c r="G675" s="9"/>
      <c r="H675" s="223"/>
      <c r="I675" s="9"/>
      <c r="J675" s="9"/>
      <c r="K675" s="9"/>
      <c r="L675" s="9"/>
      <c r="M675" s="9"/>
      <c r="N675" s="9"/>
      <c r="O675" s="9"/>
      <c r="P675" s="9"/>
      <c r="Q675" s="223"/>
      <c r="R675" s="9"/>
      <c r="S675" s="9"/>
      <c r="T675" s="9"/>
      <c r="U675" s="9"/>
      <c r="V675" s="9"/>
      <c r="W675" s="971"/>
      <c r="X675" s="9"/>
      <c r="Y675" s="9"/>
      <c r="Z675" s="204"/>
      <c r="AA675" s="9"/>
      <c r="AB675" s="9"/>
      <c r="AC675" s="9"/>
      <c r="AD675" s="9"/>
    </row>
    <row r="676" ht="15.75" customHeight="1">
      <c r="A676" s="9"/>
      <c r="B676" s="9"/>
      <c r="C676" s="9"/>
      <c r="D676" s="9"/>
      <c r="E676" s="9"/>
      <c r="F676" s="9"/>
      <c r="G676" s="9"/>
      <c r="H676" s="223"/>
      <c r="I676" s="9"/>
      <c r="J676" s="9"/>
      <c r="K676" s="9"/>
      <c r="L676" s="9"/>
      <c r="M676" s="9"/>
      <c r="N676" s="9"/>
      <c r="O676" s="9"/>
      <c r="P676" s="9"/>
      <c r="Q676" s="223"/>
      <c r="R676" s="9"/>
      <c r="S676" s="9"/>
      <c r="T676" s="9"/>
      <c r="U676" s="9"/>
      <c r="V676" s="9"/>
      <c r="W676" s="971"/>
      <c r="X676" s="9"/>
      <c r="Y676" s="9"/>
      <c r="Z676" s="204"/>
      <c r="AA676" s="9"/>
      <c r="AB676" s="9"/>
      <c r="AC676" s="9"/>
      <c r="AD676" s="9"/>
    </row>
    <row r="677" ht="15.75" customHeight="1">
      <c r="A677" s="9"/>
      <c r="B677" s="9"/>
      <c r="C677" s="9"/>
      <c r="D677" s="9"/>
      <c r="E677" s="9"/>
      <c r="F677" s="9"/>
      <c r="G677" s="9"/>
      <c r="H677" s="223"/>
      <c r="I677" s="9"/>
      <c r="J677" s="9"/>
      <c r="K677" s="9"/>
      <c r="L677" s="9"/>
      <c r="M677" s="9"/>
      <c r="N677" s="9"/>
      <c r="O677" s="9"/>
      <c r="P677" s="9"/>
      <c r="Q677" s="223"/>
      <c r="R677" s="9"/>
      <c r="S677" s="9"/>
      <c r="T677" s="9"/>
      <c r="U677" s="9"/>
      <c r="V677" s="9"/>
      <c r="W677" s="971"/>
      <c r="X677" s="9"/>
      <c r="Y677" s="9"/>
      <c r="Z677" s="204"/>
      <c r="AA677" s="9"/>
      <c r="AB677" s="9"/>
      <c r="AC677" s="9"/>
      <c r="AD677" s="9"/>
    </row>
    <row r="678" ht="15.75" customHeight="1">
      <c r="A678" s="9"/>
      <c r="B678" s="9"/>
      <c r="C678" s="9"/>
      <c r="D678" s="9"/>
      <c r="E678" s="9"/>
      <c r="F678" s="9"/>
      <c r="G678" s="9"/>
      <c r="H678" s="223"/>
      <c r="I678" s="9"/>
      <c r="J678" s="9"/>
      <c r="K678" s="9"/>
      <c r="L678" s="9"/>
      <c r="M678" s="9"/>
      <c r="N678" s="9"/>
      <c r="O678" s="9"/>
      <c r="P678" s="9"/>
      <c r="Q678" s="223"/>
      <c r="R678" s="9"/>
      <c r="S678" s="9"/>
      <c r="T678" s="9"/>
      <c r="U678" s="9"/>
      <c r="V678" s="9"/>
      <c r="W678" s="971"/>
      <c r="X678" s="9"/>
      <c r="Y678" s="9"/>
      <c r="Z678" s="204"/>
      <c r="AA678" s="9"/>
      <c r="AB678" s="9"/>
      <c r="AC678" s="9"/>
      <c r="AD678" s="9"/>
    </row>
    <row r="679" ht="15.75" customHeight="1">
      <c r="A679" s="9"/>
      <c r="B679" s="9"/>
      <c r="C679" s="9"/>
      <c r="D679" s="9"/>
      <c r="E679" s="9"/>
      <c r="F679" s="9"/>
      <c r="G679" s="9"/>
      <c r="H679" s="223"/>
      <c r="I679" s="9"/>
      <c r="J679" s="9"/>
      <c r="K679" s="9"/>
      <c r="L679" s="9"/>
      <c r="M679" s="9"/>
      <c r="N679" s="9"/>
      <c r="O679" s="9"/>
      <c r="P679" s="9"/>
      <c r="Q679" s="223"/>
      <c r="R679" s="9"/>
      <c r="S679" s="9"/>
      <c r="T679" s="9"/>
      <c r="U679" s="9"/>
      <c r="V679" s="9"/>
      <c r="W679" s="971"/>
      <c r="X679" s="9"/>
      <c r="Y679" s="9"/>
      <c r="Z679" s="204"/>
      <c r="AA679" s="9"/>
      <c r="AB679" s="9"/>
      <c r="AC679" s="9"/>
      <c r="AD679" s="9"/>
    </row>
    <row r="680" ht="15.75" customHeight="1">
      <c r="A680" s="9"/>
      <c r="B680" s="9"/>
      <c r="C680" s="9"/>
      <c r="D680" s="9"/>
      <c r="E680" s="9"/>
      <c r="F680" s="9"/>
      <c r="G680" s="9"/>
      <c r="H680" s="223"/>
      <c r="I680" s="9"/>
      <c r="J680" s="9"/>
      <c r="K680" s="9"/>
      <c r="L680" s="9"/>
      <c r="M680" s="9"/>
      <c r="N680" s="9"/>
      <c r="O680" s="9"/>
      <c r="P680" s="9"/>
      <c r="Q680" s="223"/>
      <c r="R680" s="9"/>
      <c r="S680" s="9"/>
      <c r="T680" s="9"/>
      <c r="U680" s="9"/>
      <c r="V680" s="9"/>
      <c r="W680" s="971"/>
      <c r="X680" s="9"/>
      <c r="Y680" s="9"/>
      <c r="Z680" s="204"/>
      <c r="AA680" s="9"/>
      <c r="AB680" s="9"/>
      <c r="AC680" s="9"/>
      <c r="AD680" s="9"/>
    </row>
    <row r="681" ht="15.75" customHeight="1">
      <c r="A681" s="9"/>
      <c r="B681" s="9"/>
      <c r="C681" s="9"/>
      <c r="D681" s="9"/>
      <c r="E681" s="9"/>
      <c r="F681" s="9"/>
      <c r="G681" s="9"/>
      <c r="H681" s="223"/>
      <c r="I681" s="9"/>
      <c r="J681" s="9"/>
      <c r="K681" s="9"/>
      <c r="L681" s="9"/>
      <c r="M681" s="9"/>
      <c r="N681" s="9"/>
      <c r="O681" s="9"/>
      <c r="P681" s="9"/>
      <c r="Q681" s="223"/>
      <c r="R681" s="9"/>
      <c r="S681" s="9"/>
      <c r="T681" s="9"/>
      <c r="U681" s="9"/>
      <c r="V681" s="9"/>
      <c r="W681" s="971"/>
      <c r="X681" s="9"/>
      <c r="Y681" s="9"/>
      <c r="Z681" s="204"/>
      <c r="AA681" s="9"/>
      <c r="AB681" s="9"/>
      <c r="AC681" s="9"/>
      <c r="AD681" s="9"/>
    </row>
    <row r="682" ht="15.75" customHeight="1">
      <c r="A682" s="9"/>
      <c r="B682" s="9"/>
      <c r="C682" s="9"/>
      <c r="D682" s="9"/>
      <c r="E682" s="9"/>
      <c r="F682" s="9"/>
      <c r="G682" s="9"/>
      <c r="H682" s="223"/>
      <c r="I682" s="9"/>
      <c r="J682" s="9"/>
      <c r="K682" s="9"/>
      <c r="L682" s="9"/>
      <c r="M682" s="9"/>
      <c r="N682" s="9"/>
      <c r="O682" s="9"/>
      <c r="P682" s="9"/>
      <c r="Q682" s="223"/>
      <c r="R682" s="9"/>
      <c r="S682" s="9"/>
      <c r="T682" s="9"/>
      <c r="U682" s="9"/>
      <c r="V682" s="9"/>
      <c r="W682" s="971"/>
      <c r="X682" s="9"/>
      <c r="Y682" s="9"/>
      <c r="Z682" s="204"/>
      <c r="AA682" s="9"/>
      <c r="AB682" s="9"/>
      <c r="AC682" s="9"/>
      <c r="AD682" s="9"/>
    </row>
    <row r="683" ht="15.75" customHeight="1">
      <c r="A683" s="9"/>
      <c r="B683" s="9"/>
      <c r="C683" s="9"/>
      <c r="D683" s="9"/>
      <c r="E683" s="9"/>
      <c r="F683" s="9"/>
      <c r="G683" s="9"/>
      <c r="H683" s="223"/>
      <c r="I683" s="9"/>
      <c r="J683" s="9"/>
      <c r="K683" s="9"/>
      <c r="L683" s="9"/>
      <c r="M683" s="9"/>
      <c r="N683" s="9"/>
      <c r="O683" s="9"/>
      <c r="P683" s="9"/>
      <c r="Q683" s="223"/>
      <c r="R683" s="9"/>
      <c r="S683" s="9"/>
      <c r="T683" s="9"/>
      <c r="U683" s="9"/>
      <c r="V683" s="9"/>
      <c r="W683" s="971"/>
      <c r="X683" s="9"/>
      <c r="Y683" s="9"/>
      <c r="Z683" s="204"/>
      <c r="AA683" s="9"/>
      <c r="AB683" s="9"/>
      <c r="AC683" s="9"/>
      <c r="AD683" s="9"/>
    </row>
    <row r="684" ht="15.75" customHeight="1">
      <c r="A684" s="9"/>
      <c r="B684" s="9"/>
      <c r="C684" s="9"/>
      <c r="D684" s="9"/>
      <c r="E684" s="9"/>
      <c r="F684" s="9"/>
      <c r="G684" s="9"/>
      <c r="H684" s="223"/>
      <c r="I684" s="9"/>
      <c r="J684" s="9"/>
      <c r="K684" s="9"/>
      <c r="L684" s="9"/>
      <c r="M684" s="9"/>
      <c r="N684" s="9"/>
      <c r="O684" s="9"/>
      <c r="P684" s="9"/>
      <c r="Q684" s="223"/>
      <c r="R684" s="9"/>
      <c r="S684" s="9"/>
      <c r="T684" s="9"/>
      <c r="U684" s="9"/>
      <c r="V684" s="9"/>
      <c r="W684" s="971"/>
      <c r="X684" s="9"/>
      <c r="Y684" s="9"/>
      <c r="Z684" s="204"/>
      <c r="AA684" s="9"/>
      <c r="AB684" s="9"/>
      <c r="AC684" s="9"/>
      <c r="AD684" s="9"/>
    </row>
    <row r="685" ht="15.75" customHeight="1">
      <c r="A685" s="9"/>
      <c r="B685" s="9"/>
      <c r="C685" s="9"/>
      <c r="D685" s="9"/>
      <c r="E685" s="9"/>
      <c r="F685" s="9"/>
      <c r="G685" s="9"/>
      <c r="H685" s="223"/>
      <c r="I685" s="9"/>
      <c r="J685" s="9"/>
      <c r="K685" s="9"/>
      <c r="L685" s="9"/>
      <c r="M685" s="9"/>
      <c r="N685" s="9"/>
      <c r="O685" s="9"/>
      <c r="P685" s="9"/>
      <c r="Q685" s="223"/>
      <c r="R685" s="9"/>
      <c r="S685" s="9"/>
      <c r="T685" s="9"/>
      <c r="U685" s="9"/>
      <c r="V685" s="9"/>
      <c r="W685" s="971"/>
      <c r="X685" s="9"/>
      <c r="Y685" s="9"/>
      <c r="Z685" s="204"/>
      <c r="AA685" s="9"/>
      <c r="AB685" s="9"/>
      <c r="AC685" s="9"/>
      <c r="AD685" s="9"/>
    </row>
    <row r="686" ht="15.75" customHeight="1">
      <c r="A686" s="9"/>
      <c r="B686" s="9"/>
      <c r="C686" s="9"/>
      <c r="D686" s="9"/>
      <c r="E686" s="9"/>
      <c r="F686" s="9"/>
      <c r="G686" s="9"/>
      <c r="H686" s="223"/>
      <c r="I686" s="9"/>
      <c r="J686" s="9"/>
      <c r="K686" s="9"/>
      <c r="L686" s="9"/>
      <c r="M686" s="9"/>
      <c r="N686" s="9"/>
      <c r="O686" s="9"/>
      <c r="P686" s="9"/>
      <c r="Q686" s="223"/>
      <c r="R686" s="9"/>
      <c r="S686" s="9"/>
      <c r="T686" s="9"/>
      <c r="U686" s="9"/>
      <c r="V686" s="9"/>
      <c r="W686" s="971"/>
      <c r="X686" s="9"/>
      <c r="Y686" s="9"/>
      <c r="Z686" s="204"/>
      <c r="AA686" s="9"/>
      <c r="AB686" s="9"/>
      <c r="AC686" s="9"/>
      <c r="AD686" s="9"/>
    </row>
    <row r="687" ht="15.75" customHeight="1">
      <c r="A687" s="9"/>
      <c r="B687" s="9"/>
      <c r="C687" s="9"/>
      <c r="D687" s="9"/>
      <c r="E687" s="9"/>
      <c r="F687" s="9"/>
      <c r="G687" s="9"/>
      <c r="H687" s="223"/>
      <c r="I687" s="9"/>
      <c r="J687" s="9"/>
      <c r="K687" s="9"/>
      <c r="L687" s="9"/>
      <c r="M687" s="9"/>
      <c r="N687" s="9"/>
      <c r="O687" s="9"/>
      <c r="P687" s="9"/>
      <c r="Q687" s="223"/>
      <c r="R687" s="9"/>
      <c r="S687" s="9"/>
      <c r="T687" s="9"/>
      <c r="U687" s="9"/>
      <c r="V687" s="9"/>
      <c r="W687" s="971"/>
      <c r="X687" s="9"/>
      <c r="Y687" s="9"/>
      <c r="Z687" s="204"/>
      <c r="AA687" s="9"/>
      <c r="AB687" s="9"/>
      <c r="AC687" s="9"/>
      <c r="AD687" s="9"/>
    </row>
    <row r="688" ht="15.75" customHeight="1">
      <c r="A688" s="9"/>
      <c r="B688" s="9"/>
      <c r="C688" s="9"/>
      <c r="D688" s="9"/>
      <c r="E688" s="9"/>
      <c r="F688" s="9"/>
      <c r="G688" s="9"/>
      <c r="H688" s="223"/>
      <c r="I688" s="9"/>
      <c r="J688" s="9"/>
      <c r="K688" s="9"/>
      <c r="L688" s="9"/>
      <c r="M688" s="9"/>
      <c r="N688" s="9"/>
      <c r="O688" s="9"/>
      <c r="P688" s="9"/>
      <c r="Q688" s="223"/>
      <c r="R688" s="9"/>
      <c r="S688" s="9"/>
      <c r="T688" s="9"/>
      <c r="U688" s="9"/>
      <c r="V688" s="9"/>
      <c r="W688" s="971"/>
      <c r="X688" s="9"/>
      <c r="Y688" s="9"/>
      <c r="Z688" s="204"/>
      <c r="AA688" s="9"/>
      <c r="AB688" s="9"/>
      <c r="AC688" s="9"/>
      <c r="AD688" s="9"/>
    </row>
    <row r="689" ht="15.75" customHeight="1">
      <c r="A689" s="9"/>
      <c r="B689" s="9"/>
      <c r="C689" s="9"/>
      <c r="D689" s="9"/>
      <c r="E689" s="9"/>
      <c r="F689" s="9"/>
      <c r="G689" s="9"/>
      <c r="H689" s="223"/>
      <c r="I689" s="9"/>
      <c r="J689" s="9"/>
      <c r="K689" s="9"/>
      <c r="L689" s="9"/>
      <c r="M689" s="9"/>
      <c r="N689" s="9"/>
      <c r="O689" s="9"/>
      <c r="P689" s="9"/>
      <c r="Q689" s="223"/>
      <c r="R689" s="9"/>
      <c r="S689" s="9"/>
      <c r="T689" s="9"/>
      <c r="U689" s="9"/>
      <c r="V689" s="9"/>
      <c r="W689" s="971"/>
      <c r="X689" s="9"/>
      <c r="Y689" s="9"/>
      <c r="Z689" s="204"/>
      <c r="AA689" s="9"/>
      <c r="AB689" s="9"/>
      <c r="AC689" s="9"/>
      <c r="AD689" s="9"/>
    </row>
    <row r="690" ht="15.75" customHeight="1">
      <c r="A690" s="9"/>
      <c r="B690" s="9"/>
      <c r="C690" s="9"/>
      <c r="D690" s="9"/>
      <c r="E690" s="9"/>
      <c r="F690" s="9"/>
      <c r="G690" s="9"/>
      <c r="H690" s="223"/>
      <c r="I690" s="9"/>
      <c r="J690" s="9"/>
      <c r="K690" s="9"/>
      <c r="L690" s="9"/>
      <c r="M690" s="9"/>
      <c r="N690" s="9"/>
      <c r="O690" s="9"/>
      <c r="P690" s="9"/>
      <c r="Q690" s="223"/>
      <c r="R690" s="9"/>
      <c r="S690" s="9"/>
      <c r="T690" s="9"/>
      <c r="U690" s="9"/>
      <c r="V690" s="9"/>
      <c r="W690" s="971"/>
      <c r="X690" s="9"/>
      <c r="Y690" s="9"/>
      <c r="Z690" s="204"/>
      <c r="AA690" s="9"/>
      <c r="AB690" s="9"/>
      <c r="AC690" s="9"/>
      <c r="AD690" s="9"/>
    </row>
    <row r="691" ht="15.75" customHeight="1">
      <c r="A691" s="9"/>
      <c r="B691" s="9"/>
      <c r="C691" s="9"/>
      <c r="D691" s="9"/>
      <c r="E691" s="9"/>
      <c r="F691" s="9"/>
      <c r="G691" s="9"/>
      <c r="H691" s="223"/>
      <c r="I691" s="9"/>
      <c r="J691" s="9"/>
      <c r="K691" s="9"/>
      <c r="L691" s="9"/>
      <c r="M691" s="9"/>
      <c r="N691" s="9"/>
      <c r="O691" s="9"/>
      <c r="P691" s="9"/>
      <c r="Q691" s="223"/>
      <c r="R691" s="9"/>
      <c r="S691" s="9"/>
      <c r="T691" s="9"/>
      <c r="U691" s="9"/>
      <c r="V691" s="9"/>
      <c r="W691" s="971"/>
      <c r="X691" s="9"/>
      <c r="Y691" s="9"/>
      <c r="Z691" s="204"/>
      <c r="AA691" s="9"/>
      <c r="AB691" s="9"/>
      <c r="AC691" s="9"/>
      <c r="AD691" s="9"/>
    </row>
    <row r="692" ht="15.75" customHeight="1">
      <c r="A692" s="9"/>
      <c r="B692" s="9"/>
      <c r="C692" s="9"/>
      <c r="D692" s="9"/>
      <c r="E692" s="9"/>
      <c r="F692" s="9"/>
      <c r="G692" s="9"/>
      <c r="H692" s="223"/>
      <c r="I692" s="9"/>
      <c r="J692" s="9"/>
      <c r="K692" s="9"/>
      <c r="L692" s="9"/>
      <c r="M692" s="9"/>
      <c r="N692" s="9"/>
      <c r="O692" s="9"/>
      <c r="P692" s="9"/>
      <c r="Q692" s="223"/>
      <c r="R692" s="9"/>
      <c r="S692" s="9"/>
      <c r="T692" s="9"/>
      <c r="U692" s="9"/>
      <c r="V692" s="9"/>
      <c r="W692" s="971"/>
      <c r="X692" s="9"/>
      <c r="Y692" s="9"/>
      <c r="Z692" s="204"/>
      <c r="AA692" s="9"/>
      <c r="AB692" s="9"/>
      <c r="AC692" s="9"/>
      <c r="AD692" s="9"/>
    </row>
    <row r="693" ht="15.75" customHeight="1">
      <c r="A693" s="9"/>
      <c r="B693" s="9"/>
      <c r="C693" s="9"/>
      <c r="D693" s="9"/>
      <c r="E693" s="9"/>
      <c r="F693" s="9"/>
      <c r="G693" s="9"/>
      <c r="H693" s="223"/>
      <c r="I693" s="9"/>
      <c r="J693" s="9"/>
      <c r="K693" s="9"/>
      <c r="L693" s="9"/>
      <c r="M693" s="9"/>
      <c r="N693" s="9"/>
      <c r="O693" s="9"/>
      <c r="P693" s="9"/>
      <c r="Q693" s="223"/>
      <c r="R693" s="9"/>
      <c r="S693" s="9"/>
      <c r="T693" s="9"/>
      <c r="U693" s="9"/>
      <c r="V693" s="9"/>
      <c r="W693" s="971"/>
      <c r="X693" s="9"/>
      <c r="Y693" s="9"/>
      <c r="Z693" s="204"/>
      <c r="AA693" s="9"/>
      <c r="AB693" s="9"/>
      <c r="AC693" s="9"/>
      <c r="AD693" s="9"/>
    </row>
    <row r="694" ht="15.75" customHeight="1">
      <c r="A694" s="9"/>
      <c r="B694" s="9"/>
      <c r="C694" s="9"/>
      <c r="D694" s="9"/>
      <c r="E694" s="9"/>
      <c r="F694" s="9"/>
      <c r="G694" s="9"/>
      <c r="H694" s="223"/>
      <c r="I694" s="9"/>
      <c r="J694" s="9"/>
      <c r="K694" s="9"/>
      <c r="L694" s="9"/>
      <c r="M694" s="9"/>
      <c r="N694" s="9"/>
      <c r="O694" s="9"/>
      <c r="P694" s="9"/>
      <c r="Q694" s="223"/>
      <c r="R694" s="9"/>
      <c r="S694" s="9"/>
      <c r="T694" s="9"/>
      <c r="U694" s="9"/>
      <c r="V694" s="9"/>
      <c r="W694" s="971"/>
      <c r="X694" s="9"/>
      <c r="Y694" s="9"/>
      <c r="Z694" s="204"/>
      <c r="AA694" s="9"/>
      <c r="AB694" s="9"/>
      <c r="AC694" s="9"/>
      <c r="AD694" s="9"/>
    </row>
    <row r="695" ht="15.75" customHeight="1">
      <c r="A695" s="9"/>
      <c r="B695" s="9"/>
      <c r="C695" s="9"/>
      <c r="D695" s="9"/>
      <c r="E695" s="9"/>
      <c r="F695" s="9"/>
      <c r="G695" s="9"/>
      <c r="H695" s="223"/>
      <c r="I695" s="9"/>
      <c r="J695" s="9"/>
      <c r="K695" s="9"/>
      <c r="L695" s="9"/>
      <c r="M695" s="9"/>
      <c r="N695" s="9"/>
      <c r="O695" s="9"/>
      <c r="P695" s="9"/>
      <c r="Q695" s="223"/>
      <c r="R695" s="9"/>
      <c r="S695" s="9"/>
      <c r="T695" s="9"/>
      <c r="U695" s="9"/>
      <c r="V695" s="9"/>
      <c r="W695" s="971"/>
      <c r="X695" s="9"/>
      <c r="Y695" s="9"/>
      <c r="Z695" s="204"/>
      <c r="AA695" s="9"/>
      <c r="AB695" s="9"/>
      <c r="AC695" s="9"/>
      <c r="AD695" s="9"/>
    </row>
    <row r="696" ht="15.75" customHeight="1">
      <c r="A696" s="9"/>
      <c r="B696" s="9"/>
      <c r="C696" s="9"/>
      <c r="D696" s="9"/>
      <c r="E696" s="9"/>
      <c r="F696" s="9"/>
      <c r="G696" s="9"/>
      <c r="H696" s="223"/>
      <c r="I696" s="9"/>
      <c r="J696" s="9"/>
      <c r="K696" s="9"/>
      <c r="L696" s="9"/>
      <c r="M696" s="9"/>
      <c r="N696" s="9"/>
      <c r="O696" s="9"/>
      <c r="P696" s="9"/>
      <c r="Q696" s="223"/>
      <c r="R696" s="9"/>
      <c r="S696" s="9"/>
      <c r="T696" s="9"/>
      <c r="U696" s="9"/>
      <c r="V696" s="9"/>
      <c r="W696" s="971"/>
      <c r="X696" s="9"/>
      <c r="Y696" s="9"/>
      <c r="Z696" s="204"/>
      <c r="AA696" s="9"/>
      <c r="AB696" s="9"/>
      <c r="AC696" s="9"/>
      <c r="AD696" s="9"/>
    </row>
    <row r="697" ht="15.75" customHeight="1">
      <c r="A697" s="9"/>
      <c r="B697" s="9"/>
      <c r="C697" s="9"/>
      <c r="D697" s="9"/>
      <c r="E697" s="9"/>
      <c r="F697" s="9"/>
      <c r="G697" s="9"/>
      <c r="H697" s="223"/>
      <c r="I697" s="9"/>
      <c r="J697" s="9"/>
      <c r="K697" s="9"/>
      <c r="L697" s="9"/>
      <c r="M697" s="9"/>
      <c r="N697" s="9"/>
      <c r="O697" s="9"/>
      <c r="P697" s="9"/>
      <c r="Q697" s="223"/>
      <c r="R697" s="9"/>
      <c r="S697" s="9"/>
      <c r="T697" s="9"/>
      <c r="U697" s="9"/>
      <c r="V697" s="9"/>
      <c r="W697" s="971"/>
      <c r="X697" s="9"/>
      <c r="Y697" s="9"/>
      <c r="Z697" s="204"/>
      <c r="AA697" s="9"/>
      <c r="AB697" s="9"/>
      <c r="AC697" s="9"/>
      <c r="AD697" s="9"/>
    </row>
    <row r="698" ht="15.75" customHeight="1">
      <c r="A698" s="9"/>
      <c r="B698" s="9"/>
      <c r="C698" s="9"/>
      <c r="D698" s="9"/>
      <c r="E698" s="9"/>
      <c r="F698" s="9"/>
      <c r="G698" s="9"/>
      <c r="H698" s="223"/>
      <c r="I698" s="9"/>
      <c r="J698" s="9"/>
      <c r="K698" s="9"/>
      <c r="L698" s="9"/>
      <c r="M698" s="9"/>
      <c r="N698" s="9"/>
      <c r="O698" s="9"/>
      <c r="P698" s="9"/>
      <c r="Q698" s="223"/>
      <c r="R698" s="9"/>
      <c r="S698" s="9"/>
      <c r="T698" s="9"/>
      <c r="U698" s="9"/>
      <c r="V698" s="9"/>
      <c r="W698" s="971"/>
      <c r="X698" s="9"/>
      <c r="Y698" s="9"/>
      <c r="Z698" s="204"/>
      <c r="AA698" s="9"/>
      <c r="AB698" s="9"/>
      <c r="AC698" s="9"/>
      <c r="AD698" s="9"/>
    </row>
    <row r="699" ht="15.75" customHeight="1">
      <c r="A699" s="9"/>
      <c r="B699" s="9"/>
      <c r="C699" s="9"/>
      <c r="D699" s="9"/>
      <c r="E699" s="9"/>
      <c r="F699" s="9"/>
      <c r="G699" s="9"/>
      <c r="H699" s="223"/>
      <c r="I699" s="9"/>
      <c r="J699" s="9"/>
      <c r="K699" s="9"/>
      <c r="L699" s="9"/>
      <c r="M699" s="9"/>
      <c r="N699" s="9"/>
      <c r="O699" s="9"/>
      <c r="P699" s="9"/>
      <c r="Q699" s="223"/>
      <c r="R699" s="9"/>
      <c r="S699" s="9"/>
      <c r="T699" s="9"/>
      <c r="U699" s="9"/>
      <c r="V699" s="9"/>
      <c r="W699" s="971"/>
      <c r="X699" s="9"/>
      <c r="Y699" s="9"/>
      <c r="Z699" s="204"/>
      <c r="AA699" s="9"/>
      <c r="AB699" s="9"/>
      <c r="AC699" s="9"/>
      <c r="AD699" s="9"/>
    </row>
    <row r="700" ht="15.75" customHeight="1">
      <c r="A700" s="9"/>
      <c r="B700" s="9"/>
      <c r="C700" s="9"/>
      <c r="D700" s="9"/>
      <c r="E700" s="9"/>
      <c r="F700" s="9"/>
      <c r="G700" s="9"/>
      <c r="H700" s="223"/>
      <c r="I700" s="9"/>
      <c r="J700" s="9"/>
      <c r="K700" s="9"/>
      <c r="L700" s="9"/>
      <c r="M700" s="9"/>
      <c r="N700" s="9"/>
      <c r="O700" s="9"/>
      <c r="P700" s="9"/>
      <c r="Q700" s="223"/>
      <c r="R700" s="9"/>
      <c r="S700" s="9"/>
      <c r="T700" s="9"/>
      <c r="U700" s="9"/>
      <c r="V700" s="9"/>
      <c r="W700" s="971"/>
      <c r="X700" s="9"/>
      <c r="Y700" s="9"/>
      <c r="Z700" s="204"/>
      <c r="AA700" s="9"/>
      <c r="AB700" s="9"/>
      <c r="AC700" s="9"/>
      <c r="AD700" s="9"/>
    </row>
    <row r="701" ht="15.75" customHeight="1">
      <c r="A701" s="9"/>
      <c r="B701" s="9"/>
      <c r="C701" s="9"/>
      <c r="D701" s="9"/>
      <c r="E701" s="9"/>
      <c r="F701" s="9"/>
      <c r="G701" s="9"/>
      <c r="H701" s="223"/>
      <c r="I701" s="9"/>
      <c r="J701" s="9"/>
      <c r="K701" s="9"/>
      <c r="L701" s="9"/>
      <c r="M701" s="9"/>
      <c r="N701" s="9"/>
      <c r="O701" s="9"/>
      <c r="P701" s="9"/>
      <c r="Q701" s="223"/>
      <c r="R701" s="9"/>
      <c r="S701" s="9"/>
      <c r="T701" s="9"/>
      <c r="U701" s="9"/>
      <c r="V701" s="9"/>
      <c r="W701" s="971"/>
      <c r="X701" s="9"/>
      <c r="Y701" s="9"/>
      <c r="Z701" s="204"/>
      <c r="AA701" s="9"/>
      <c r="AB701" s="9"/>
      <c r="AC701" s="9"/>
      <c r="AD701" s="9"/>
    </row>
    <row r="702" ht="15.75" customHeight="1">
      <c r="A702" s="9"/>
      <c r="B702" s="9"/>
      <c r="C702" s="9"/>
      <c r="D702" s="9"/>
      <c r="E702" s="9"/>
      <c r="F702" s="9"/>
      <c r="G702" s="9"/>
      <c r="H702" s="223"/>
      <c r="I702" s="9"/>
      <c r="J702" s="9"/>
      <c r="K702" s="9"/>
      <c r="L702" s="9"/>
      <c r="M702" s="9"/>
      <c r="N702" s="9"/>
      <c r="O702" s="9"/>
      <c r="P702" s="9"/>
      <c r="Q702" s="223"/>
      <c r="R702" s="9"/>
      <c r="S702" s="9"/>
      <c r="T702" s="9"/>
      <c r="U702" s="9"/>
      <c r="V702" s="9"/>
      <c r="W702" s="971"/>
      <c r="X702" s="9"/>
      <c r="Y702" s="9"/>
      <c r="Z702" s="204"/>
      <c r="AA702" s="9"/>
      <c r="AB702" s="9"/>
      <c r="AC702" s="9"/>
      <c r="AD702" s="9"/>
    </row>
    <row r="703" ht="15.75" customHeight="1">
      <c r="A703" s="9"/>
      <c r="B703" s="9"/>
      <c r="C703" s="9"/>
      <c r="D703" s="9"/>
      <c r="E703" s="9"/>
      <c r="F703" s="9"/>
      <c r="G703" s="9"/>
      <c r="H703" s="223"/>
      <c r="I703" s="9"/>
      <c r="J703" s="9"/>
      <c r="K703" s="9"/>
      <c r="L703" s="9"/>
      <c r="M703" s="9"/>
      <c r="N703" s="9"/>
      <c r="O703" s="9"/>
      <c r="P703" s="9"/>
      <c r="Q703" s="223"/>
      <c r="R703" s="9"/>
      <c r="S703" s="9"/>
      <c r="T703" s="9"/>
      <c r="U703" s="9"/>
      <c r="V703" s="9"/>
      <c r="W703" s="971"/>
      <c r="X703" s="9"/>
      <c r="Y703" s="9"/>
      <c r="Z703" s="204"/>
      <c r="AA703" s="9"/>
      <c r="AB703" s="9"/>
      <c r="AC703" s="9"/>
      <c r="AD703" s="9"/>
    </row>
    <row r="704" ht="15.75" customHeight="1">
      <c r="A704" s="9"/>
      <c r="B704" s="9"/>
      <c r="C704" s="9"/>
      <c r="D704" s="9"/>
      <c r="E704" s="9"/>
      <c r="F704" s="9"/>
      <c r="G704" s="9"/>
      <c r="H704" s="223"/>
      <c r="I704" s="9"/>
      <c r="J704" s="9"/>
      <c r="K704" s="9"/>
      <c r="L704" s="9"/>
      <c r="M704" s="9"/>
      <c r="N704" s="9"/>
      <c r="O704" s="9"/>
      <c r="P704" s="9"/>
      <c r="Q704" s="223"/>
      <c r="R704" s="9"/>
      <c r="S704" s="9"/>
      <c r="T704" s="9"/>
      <c r="U704" s="9"/>
      <c r="V704" s="9"/>
      <c r="W704" s="971"/>
      <c r="X704" s="9"/>
      <c r="Y704" s="9"/>
      <c r="Z704" s="204"/>
      <c r="AA704" s="9"/>
      <c r="AB704" s="9"/>
      <c r="AC704" s="9"/>
      <c r="AD704" s="9"/>
    </row>
    <row r="705" ht="15.75" customHeight="1">
      <c r="A705" s="9"/>
      <c r="B705" s="9"/>
      <c r="C705" s="9"/>
      <c r="D705" s="9"/>
      <c r="E705" s="9"/>
      <c r="F705" s="9"/>
      <c r="G705" s="9"/>
      <c r="H705" s="223"/>
      <c r="I705" s="9"/>
      <c r="J705" s="9"/>
      <c r="K705" s="9"/>
      <c r="L705" s="9"/>
      <c r="M705" s="9"/>
      <c r="N705" s="9"/>
      <c r="O705" s="9"/>
      <c r="P705" s="9"/>
      <c r="Q705" s="223"/>
      <c r="R705" s="9"/>
      <c r="S705" s="9"/>
      <c r="T705" s="9"/>
      <c r="U705" s="9"/>
      <c r="V705" s="9"/>
      <c r="W705" s="971"/>
      <c r="X705" s="9"/>
      <c r="Y705" s="9"/>
      <c r="Z705" s="204"/>
      <c r="AA705" s="9"/>
      <c r="AB705" s="9"/>
      <c r="AC705" s="9"/>
      <c r="AD705" s="9"/>
    </row>
    <row r="706" ht="15.75" customHeight="1">
      <c r="A706" s="9"/>
      <c r="B706" s="9"/>
      <c r="C706" s="9"/>
      <c r="D706" s="9"/>
      <c r="E706" s="9"/>
      <c r="F706" s="9"/>
      <c r="G706" s="9"/>
      <c r="H706" s="223"/>
      <c r="I706" s="9"/>
      <c r="J706" s="9"/>
      <c r="K706" s="9"/>
      <c r="L706" s="9"/>
      <c r="M706" s="9"/>
      <c r="N706" s="9"/>
      <c r="O706" s="9"/>
      <c r="P706" s="9"/>
      <c r="Q706" s="223"/>
      <c r="R706" s="9"/>
      <c r="S706" s="9"/>
      <c r="T706" s="9"/>
      <c r="U706" s="9"/>
      <c r="V706" s="9"/>
      <c r="W706" s="971"/>
      <c r="X706" s="9"/>
      <c r="Y706" s="9"/>
      <c r="Z706" s="204"/>
      <c r="AA706" s="9"/>
      <c r="AB706" s="9"/>
      <c r="AC706" s="9"/>
      <c r="AD706" s="9"/>
    </row>
    <row r="707" ht="15.75" customHeight="1">
      <c r="A707" s="9"/>
      <c r="B707" s="9"/>
      <c r="C707" s="9"/>
      <c r="D707" s="9"/>
      <c r="E707" s="9"/>
      <c r="F707" s="9"/>
      <c r="G707" s="9"/>
      <c r="H707" s="223"/>
      <c r="I707" s="9"/>
      <c r="J707" s="9"/>
      <c r="K707" s="9"/>
      <c r="L707" s="9"/>
      <c r="M707" s="9"/>
      <c r="N707" s="9"/>
      <c r="O707" s="9"/>
      <c r="P707" s="9"/>
      <c r="Q707" s="223"/>
      <c r="R707" s="9"/>
      <c r="S707" s="9"/>
      <c r="T707" s="9"/>
      <c r="U707" s="9"/>
      <c r="V707" s="9"/>
      <c r="W707" s="971"/>
      <c r="X707" s="9"/>
      <c r="Y707" s="9"/>
      <c r="Z707" s="204"/>
      <c r="AA707" s="9"/>
      <c r="AB707" s="9"/>
      <c r="AC707" s="9"/>
      <c r="AD707" s="9"/>
    </row>
    <row r="708" ht="15.75" customHeight="1">
      <c r="A708" s="9"/>
      <c r="B708" s="9"/>
      <c r="C708" s="9"/>
      <c r="D708" s="9"/>
      <c r="E708" s="9"/>
      <c r="F708" s="9"/>
      <c r="G708" s="9"/>
      <c r="H708" s="223"/>
      <c r="I708" s="9"/>
      <c r="J708" s="9"/>
      <c r="K708" s="9"/>
      <c r="L708" s="9"/>
      <c r="M708" s="9"/>
      <c r="N708" s="9"/>
      <c r="O708" s="9"/>
      <c r="P708" s="9"/>
      <c r="Q708" s="223"/>
      <c r="R708" s="9"/>
      <c r="S708" s="9"/>
      <c r="T708" s="9"/>
      <c r="U708" s="9"/>
      <c r="V708" s="9"/>
      <c r="W708" s="971"/>
      <c r="X708" s="9"/>
      <c r="Y708" s="9"/>
      <c r="Z708" s="204"/>
      <c r="AA708" s="9"/>
      <c r="AB708" s="9"/>
      <c r="AC708" s="9"/>
      <c r="AD708" s="9"/>
    </row>
    <row r="709" ht="15.75" customHeight="1">
      <c r="A709" s="9"/>
      <c r="B709" s="9"/>
      <c r="C709" s="9"/>
      <c r="D709" s="9"/>
      <c r="E709" s="9"/>
      <c r="F709" s="9"/>
      <c r="G709" s="9"/>
      <c r="H709" s="223"/>
      <c r="I709" s="9"/>
      <c r="J709" s="9"/>
      <c r="K709" s="9"/>
      <c r="L709" s="9"/>
      <c r="M709" s="9"/>
      <c r="N709" s="9"/>
      <c r="O709" s="9"/>
      <c r="P709" s="9"/>
      <c r="Q709" s="223"/>
      <c r="R709" s="9"/>
      <c r="S709" s="9"/>
      <c r="T709" s="9"/>
      <c r="U709" s="9"/>
      <c r="V709" s="9"/>
      <c r="W709" s="971"/>
      <c r="X709" s="9"/>
      <c r="Y709" s="9"/>
      <c r="Z709" s="204"/>
      <c r="AA709" s="9"/>
      <c r="AB709" s="9"/>
      <c r="AC709" s="9"/>
      <c r="AD709" s="9"/>
    </row>
    <row r="710" ht="15.75" customHeight="1">
      <c r="A710" s="9"/>
      <c r="B710" s="9"/>
      <c r="C710" s="9"/>
      <c r="D710" s="9"/>
      <c r="E710" s="9"/>
      <c r="F710" s="9"/>
      <c r="G710" s="9"/>
      <c r="H710" s="223"/>
      <c r="I710" s="9"/>
      <c r="J710" s="9"/>
      <c r="K710" s="9"/>
      <c r="L710" s="9"/>
      <c r="M710" s="9"/>
      <c r="N710" s="9"/>
      <c r="O710" s="9"/>
      <c r="P710" s="9"/>
      <c r="Q710" s="223"/>
      <c r="R710" s="9"/>
      <c r="S710" s="9"/>
      <c r="T710" s="9"/>
      <c r="U710" s="9"/>
      <c r="V710" s="9"/>
      <c r="W710" s="971"/>
      <c r="X710" s="9"/>
      <c r="Y710" s="9"/>
      <c r="Z710" s="204"/>
      <c r="AA710" s="9"/>
      <c r="AB710" s="9"/>
      <c r="AC710" s="9"/>
      <c r="AD710" s="9"/>
    </row>
    <row r="711" ht="15.75" customHeight="1">
      <c r="A711" s="9"/>
      <c r="B711" s="9"/>
      <c r="C711" s="9"/>
      <c r="D711" s="9"/>
      <c r="E711" s="9"/>
      <c r="F711" s="9"/>
      <c r="G711" s="9"/>
      <c r="H711" s="223"/>
      <c r="I711" s="9"/>
      <c r="J711" s="9"/>
      <c r="K711" s="9"/>
      <c r="L711" s="9"/>
      <c r="M711" s="9"/>
      <c r="N711" s="9"/>
      <c r="O711" s="9"/>
      <c r="P711" s="9"/>
      <c r="Q711" s="223"/>
      <c r="R711" s="9"/>
      <c r="S711" s="9"/>
      <c r="T711" s="9"/>
      <c r="U711" s="9"/>
      <c r="V711" s="9"/>
      <c r="W711" s="971"/>
      <c r="X711" s="9"/>
      <c r="Y711" s="9"/>
      <c r="Z711" s="204"/>
      <c r="AA711" s="9"/>
      <c r="AB711" s="9"/>
      <c r="AC711" s="9"/>
      <c r="AD711" s="9"/>
    </row>
    <row r="712" ht="15.75" customHeight="1">
      <c r="A712" s="9"/>
      <c r="B712" s="9"/>
      <c r="C712" s="9"/>
      <c r="D712" s="9"/>
      <c r="E712" s="9"/>
      <c r="F712" s="9"/>
      <c r="G712" s="9"/>
      <c r="H712" s="223"/>
      <c r="I712" s="9"/>
      <c r="J712" s="9"/>
      <c r="K712" s="9"/>
      <c r="L712" s="9"/>
      <c r="M712" s="9"/>
      <c r="N712" s="9"/>
      <c r="O712" s="9"/>
      <c r="P712" s="9"/>
      <c r="Q712" s="223"/>
      <c r="R712" s="9"/>
      <c r="S712" s="9"/>
      <c r="T712" s="9"/>
      <c r="U712" s="9"/>
      <c r="V712" s="9"/>
      <c r="W712" s="971"/>
      <c r="X712" s="9"/>
      <c r="Y712" s="9"/>
      <c r="Z712" s="204"/>
      <c r="AA712" s="9"/>
      <c r="AB712" s="9"/>
      <c r="AC712" s="9"/>
      <c r="AD712" s="9"/>
    </row>
    <row r="713" ht="15.75" customHeight="1">
      <c r="A713" s="9"/>
      <c r="B713" s="9"/>
      <c r="C713" s="9"/>
      <c r="D713" s="9"/>
      <c r="E713" s="9"/>
      <c r="F713" s="9"/>
      <c r="G713" s="9"/>
      <c r="H713" s="223"/>
      <c r="I713" s="9"/>
      <c r="J713" s="9"/>
      <c r="K713" s="9"/>
      <c r="L713" s="9"/>
      <c r="M713" s="9"/>
      <c r="N713" s="9"/>
      <c r="O713" s="9"/>
      <c r="P713" s="9"/>
      <c r="Q713" s="223"/>
      <c r="R713" s="9"/>
      <c r="S713" s="9"/>
      <c r="T713" s="9"/>
      <c r="U713" s="9"/>
      <c r="V713" s="9"/>
      <c r="W713" s="971"/>
      <c r="X713" s="9"/>
      <c r="Y713" s="9"/>
      <c r="Z713" s="204"/>
      <c r="AA713" s="9"/>
      <c r="AB713" s="9"/>
      <c r="AC713" s="9"/>
      <c r="AD713" s="9"/>
    </row>
    <row r="714" ht="15.75" customHeight="1">
      <c r="A714" s="9"/>
      <c r="B714" s="9"/>
      <c r="C714" s="9"/>
      <c r="D714" s="9"/>
      <c r="E714" s="9"/>
      <c r="F714" s="9"/>
      <c r="G714" s="9"/>
      <c r="H714" s="223"/>
      <c r="I714" s="9"/>
      <c r="J714" s="9"/>
      <c r="K714" s="9"/>
      <c r="L714" s="9"/>
      <c r="M714" s="9"/>
      <c r="N714" s="9"/>
      <c r="O714" s="9"/>
      <c r="P714" s="9"/>
      <c r="Q714" s="223"/>
      <c r="R714" s="9"/>
      <c r="S714" s="9"/>
      <c r="T714" s="9"/>
      <c r="U714" s="9"/>
      <c r="V714" s="9"/>
      <c r="W714" s="971"/>
      <c r="X714" s="9"/>
      <c r="Y714" s="9"/>
      <c r="Z714" s="204"/>
      <c r="AA714" s="9"/>
      <c r="AB714" s="9"/>
      <c r="AC714" s="9"/>
      <c r="AD714" s="9"/>
    </row>
    <row r="715" ht="15.75" customHeight="1">
      <c r="A715" s="9"/>
      <c r="B715" s="9"/>
      <c r="C715" s="9"/>
      <c r="D715" s="9"/>
      <c r="E715" s="9"/>
      <c r="F715" s="9"/>
      <c r="G715" s="9"/>
      <c r="H715" s="223"/>
      <c r="I715" s="9"/>
      <c r="J715" s="9"/>
      <c r="K715" s="9"/>
      <c r="L715" s="9"/>
      <c r="M715" s="9"/>
      <c r="N715" s="9"/>
      <c r="O715" s="9"/>
      <c r="P715" s="9"/>
      <c r="Q715" s="223"/>
      <c r="R715" s="9"/>
      <c r="S715" s="9"/>
      <c r="T715" s="9"/>
      <c r="U715" s="9"/>
      <c r="V715" s="9"/>
      <c r="W715" s="971"/>
      <c r="X715" s="9"/>
      <c r="Y715" s="9"/>
      <c r="Z715" s="204"/>
      <c r="AA715" s="9"/>
      <c r="AB715" s="9"/>
      <c r="AC715" s="9"/>
      <c r="AD715" s="9"/>
    </row>
    <row r="716" ht="15.75" customHeight="1">
      <c r="A716" s="9"/>
      <c r="B716" s="9"/>
      <c r="C716" s="9"/>
      <c r="D716" s="9"/>
      <c r="E716" s="9"/>
      <c r="F716" s="9"/>
      <c r="G716" s="9"/>
      <c r="H716" s="223"/>
      <c r="I716" s="9"/>
      <c r="J716" s="9"/>
      <c r="K716" s="9"/>
      <c r="L716" s="9"/>
      <c r="M716" s="9"/>
      <c r="N716" s="9"/>
      <c r="O716" s="9"/>
      <c r="P716" s="9"/>
      <c r="Q716" s="223"/>
      <c r="R716" s="9"/>
      <c r="S716" s="9"/>
      <c r="T716" s="9"/>
      <c r="U716" s="9"/>
      <c r="V716" s="9"/>
      <c r="W716" s="971"/>
      <c r="X716" s="9"/>
      <c r="Y716" s="9"/>
      <c r="Z716" s="204"/>
      <c r="AA716" s="9"/>
      <c r="AB716" s="9"/>
      <c r="AC716" s="9"/>
      <c r="AD716" s="9"/>
    </row>
    <row r="717" ht="15.75" customHeight="1">
      <c r="A717" s="9"/>
      <c r="B717" s="9"/>
      <c r="C717" s="9"/>
      <c r="D717" s="9"/>
      <c r="E717" s="9"/>
      <c r="F717" s="9"/>
      <c r="G717" s="9"/>
      <c r="H717" s="223"/>
      <c r="I717" s="9"/>
      <c r="J717" s="9"/>
      <c r="K717" s="9"/>
      <c r="L717" s="9"/>
      <c r="M717" s="9"/>
      <c r="N717" s="9"/>
      <c r="O717" s="9"/>
      <c r="P717" s="9"/>
      <c r="Q717" s="223"/>
      <c r="R717" s="9"/>
      <c r="S717" s="9"/>
      <c r="T717" s="9"/>
      <c r="U717" s="9"/>
      <c r="V717" s="9"/>
      <c r="W717" s="971"/>
      <c r="X717" s="9"/>
      <c r="Y717" s="9"/>
      <c r="Z717" s="204"/>
      <c r="AA717" s="9"/>
      <c r="AB717" s="9"/>
      <c r="AC717" s="9"/>
      <c r="AD717" s="9"/>
    </row>
    <row r="718" ht="15.75" customHeight="1">
      <c r="A718" s="9"/>
      <c r="B718" s="9"/>
      <c r="C718" s="9"/>
      <c r="D718" s="9"/>
      <c r="E718" s="9"/>
      <c r="F718" s="9"/>
      <c r="G718" s="9"/>
      <c r="H718" s="223"/>
      <c r="I718" s="9"/>
      <c r="J718" s="9"/>
      <c r="K718" s="9"/>
      <c r="L718" s="9"/>
      <c r="M718" s="9"/>
      <c r="N718" s="9"/>
      <c r="O718" s="9"/>
      <c r="P718" s="9"/>
      <c r="Q718" s="223"/>
      <c r="R718" s="9"/>
      <c r="S718" s="9"/>
      <c r="T718" s="9"/>
      <c r="U718" s="9"/>
      <c r="V718" s="9"/>
      <c r="W718" s="971"/>
      <c r="X718" s="9"/>
      <c r="Y718" s="9"/>
      <c r="Z718" s="204"/>
      <c r="AA718" s="9"/>
      <c r="AB718" s="9"/>
      <c r="AC718" s="9"/>
      <c r="AD718" s="9"/>
    </row>
    <row r="719" ht="15.75" customHeight="1">
      <c r="A719" s="9"/>
      <c r="B719" s="9"/>
      <c r="C719" s="9"/>
      <c r="D719" s="9"/>
      <c r="E719" s="9"/>
      <c r="F719" s="9"/>
      <c r="G719" s="9"/>
      <c r="H719" s="223"/>
      <c r="I719" s="9"/>
      <c r="J719" s="9"/>
      <c r="K719" s="9"/>
      <c r="L719" s="9"/>
      <c r="M719" s="9"/>
      <c r="N719" s="9"/>
      <c r="O719" s="9"/>
      <c r="P719" s="9"/>
      <c r="Q719" s="223"/>
      <c r="R719" s="9"/>
      <c r="S719" s="9"/>
      <c r="T719" s="9"/>
      <c r="U719" s="9"/>
      <c r="V719" s="9"/>
      <c r="W719" s="971"/>
      <c r="X719" s="9"/>
      <c r="Y719" s="9"/>
      <c r="Z719" s="204"/>
      <c r="AA719" s="9"/>
      <c r="AB719" s="9"/>
      <c r="AC719" s="9"/>
      <c r="AD719" s="9"/>
    </row>
    <row r="720" ht="15.75" customHeight="1">
      <c r="A720" s="9"/>
      <c r="B720" s="9"/>
      <c r="C720" s="9"/>
      <c r="D720" s="9"/>
      <c r="E720" s="9"/>
      <c r="F720" s="9"/>
      <c r="G720" s="9"/>
      <c r="H720" s="223"/>
      <c r="I720" s="9"/>
      <c r="J720" s="9"/>
      <c r="K720" s="9"/>
      <c r="L720" s="9"/>
      <c r="M720" s="9"/>
      <c r="N720" s="9"/>
      <c r="O720" s="9"/>
      <c r="P720" s="9"/>
      <c r="Q720" s="223"/>
      <c r="R720" s="9"/>
      <c r="S720" s="9"/>
      <c r="T720" s="9"/>
      <c r="U720" s="9"/>
      <c r="V720" s="9"/>
      <c r="W720" s="971"/>
      <c r="X720" s="9"/>
      <c r="Y720" s="9"/>
      <c r="Z720" s="204"/>
      <c r="AA720" s="9"/>
      <c r="AB720" s="9"/>
      <c r="AC720" s="9"/>
      <c r="AD720" s="9"/>
    </row>
    <row r="721" ht="15.75" customHeight="1">
      <c r="A721" s="9"/>
      <c r="B721" s="9"/>
      <c r="C721" s="9"/>
      <c r="D721" s="9"/>
      <c r="E721" s="9"/>
      <c r="F721" s="9"/>
      <c r="G721" s="9"/>
      <c r="H721" s="223"/>
      <c r="I721" s="9"/>
      <c r="J721" s="9"/>
      <c r="K721" s="9"/>
      <c r="L721" s="9"/>
      <c r="M721" s="9"/>
      <c r="N721" s="9"/>
      <c r="O721" s="9"/>
      <c r="P721" s="9"/>
      <c r="Q721" s="223"/>
      <c r="R721" s="9"/>
      <c r="S721" s="9"/>
      <c r="T721" s="9"/>
      <c r="U721" s="9"/>
      <c r="V721" s="9"/>
      <c r="W721" s="971"/>
      <c r="X721" s="9"/>
      <c r="Y721" s="9"/>
      <c r="Z721" s="204"/>
      <c r="AA721" s="9"/>
      <c r="AB721" s="9"/>
      <c r="AC721" s="9"/>
      <c r="AD721" s="9"/>
    </row>
    <row r="722" ht="15.75" customHeight="1">
      <c r="A722" s="9"/>
      <c r="B722" s="9"/>
      <c r="C722" s="9"/>
      <c r="D722" s="9"/>
      <c r="E722" s="9"/>
      <c r="F722" s="9"/>
      <c r="G722" s="9"/>
      <c r="H722" s="223"/>
      <c r="I722" s="9"/>
      <c r="J722" s="9"/>
      <c r="K722" s="9"/>
      <c r="L722" s="9"/>
      <c r="M722" s="9"/>
      <c r="N722" s="9"/>
      <c r="O722" s="9"/>
      <c r="P722" s="9"/>
      <c r="Q722" s="223"/>
      <c r="R722" s="9"/>
      <c r="S722" s="9"/>
      <c r="T722" s="9"/>
      <c r="U722" s="9"/>
      <c r="V722" s="9"/>
      <c r="W722" s="971"/>
      <c r="X722" s="9"/>
      <c r="Y722" s="9"/>
      <c r="Z722" s="204"/>
      <c r="AA722" s="9"/>
      <c r="AB722" s="9"/>
      <c r="AC722" s="9"/>
      <c r="AD722" s="9"/>
    </row>
    <row r="723" ht="15.75" customHeight="1">
      <c r="A723" s="9"/>
      <c r="B723" s="9"/>
      <c r="C723" s="9"/>
      <c r="D723" s="9"/>
      <c r="E723" s="9"/>
      <c r="F723" s="9"/>
      <c r="G723" s="9"/>
      <c r="H723" s="223"/>
      <c r="I723" s="9"/>
      <c r="J723" s="9"/>
      <c r="K723" s="9"/>
      <c r="L723" s="9"/>
      <c r="M723" s="9"/>
      <c r="N723" s="9"/>
      <c r="O723" s="9"/>
      <c r="P723" s="9"/>
      <c r="Q723" s="223"/>
      <c r="R723" s="9"/>
      <c r="S723" s="9"/>
      <c r="T723" s="9"/>
      <c r="U723" s="9"/>
      <c r="V723" s="9"/>
      <c r="W723" s="971"/>
      <c r="X723" s="9"/>
      <c r="Y723" s="9"/>
      <c r="Z723" s="204"/>
      <c r="AA723" s="9"/>
      <c r="AB723" s="9"/>
      <c r="AC723" s="9"/>
      <c r="AD723" s="9"/>
    </row>
    <row r="724" ht="15.75" customHeight="1">
      <c r="A724" s="9"/>
      <c r="B724" s="9"/>
      <c r="C724" s="9"/>
      <c r="D724" s="9"/>
      <c r="E724" s="9"/>
      <c r="F724" s="9"/>
      <c r="G724" s="9"/>
      <c r="H724" s="223"/>
      <c r="I724" s="9"/>
      <c r="J724" s="9"/>
      <c r="K724" s="9"/>
      <c r="L724" s="9"/>
      <c r="M724" s="9"/>
      <c r="N724" s="9"/>
      <c r="O724" s="9"/>
      <c r="P724" s="9"/>
      <c r="Q724" s="223"/>
      <c r="R724" s="9"/>
      <c r="S724" s="9"/>
      <c r="T724" s="9"/>
      <c r="U724" s="9"/>
      <c r="V724" s="9"/>
      <c r="W724" s="971"/>
      <c r="X724" s="9"/>
      <c r="Y724" s="9"/>
      <c r="Z724" s="204"/>
      <c r="AA724" s="9"/>
      <c r="AB724" s="9"/>
      <c r="AC724" s="9"/>
      <c r="AD724" s="9"/>
    </row>
    <row r="725" ht="15.75" customHeight="1">
      <c r="A725" s="9"/>
      <c r="B725" s="9"/>
      <c r="C725" s="9"/>
      <c r="D725" s="9"/>
      <c r="E725" s="9"/>
      <c r="F725" s="9"/>
      <c r="G725" s="9"/>
      <c r="H725" s="223"/>
      <c r="I725" s="9"/>
      <c r="J725" s="9"/>
      <c r="K725" s="9"/>
      <c r="L725" s="9"/>
      <c r="M725" s="9"/>
      <c r="N725" s="9"/>
      <c r="O725" s="9"/>
      <c r="P725" s="9"/>
      <c r="Q725" s="223"/>
      <c r="R725" s="9"/>
      <c r="S725" s="9"/>
      <c r="T725" s="9"/>
      <c r="U725" s="9"/>
      <c r="V725" s="9"/>
      <c r="W725" s="971"/>
      <c r="X725" s="9"/>
      <c r="Y725" s="9"/>
      <c r="Z725" s="204"/>
      <c r="AA725" s="9"/>
      <c r="AB725" s="9"/>
      <c r="AC725" s="9"/>
      <c r="AD725" s="9"/>
    </row>
    <row r="726" ht="15.75" customHeight="1">
      <c r="A726" s="9"/>
      <c r="B726" s="9"/>
      <c r="C726" s="9"/>
      <c r="D726" s="9"/>
      <c r="E726" s="9"/>
      <c r="F726" s="9"/>
      <c r="G726" s="9"/>
      <c r="H726" s="223"/>
      <c r="I726" s="9"/>
      <c r="J726" s="9"/>
      <c r="K726" s="9"/>
      <c r="L726" s="9"/>
      <c r="M726" s="9"/>
      <c r="N726" s="9"/>
      <c r="O726" s="9"/>
      <c r="P726" s="9"/>
      <c r="Q726" s="223"/>
      <c r="R726" s="9"/>
      <c r="S726" s="9"/>
      <c r="T726" s="9"/>
      <c r="U726" s="9"/>
      <c r="V726" s="9"/>
      <c r="W726" s="971"/>
      <c r="X726" s="9"/>
      <c r="Y726" s="9"/>
      <c r="Z726" s="204"/>
      <c r="AA726" s="9"/>
      <c r="AB726" s="9"/>
      <c r="AC726" s="9"/>
      <c r="AD726" s="9"/>
    </row>
    <row r="727" ht="15.75" customHeight="1">
      <c r="A727" s="9"/>
      <c r="B727" s="9"/>
      <c r="C727" s="9"/>
      <c r="D727" s="9"/>
      <c r="E727" s="9"/>
      <c r="F727" s="9"/>
      <c r="G727" s="9"/>
      <c r="H727" s="223"/>
      <c r="I727" s="9"/>
      <c r="J727" s="9"/>
      <c r="K727" s="9"/>
      <c r="L727" s="9"/>
      <c r="M727" s="9"/>
      <c r="N727" s="9"/>
      <c r="O727" s="9"/>
      <c r="P727" s="9"/>
      <c r="Q727" s="223"/>
      <c r="R727" s="9"/>
      <c r="S727" s="9"/>
      <c r="T727" s="9"/>
      <c r="U727" s="9"/>
      <c r="V727" s="9"/>
      <c r="W727" s="971"/>
      <c r="X727" s="9"/>
      <c r="Y727" s="9"/>
      <c r="Z727" s="204"/>
      <c r="AA727" s="9"/>
      <c r="AB727" s="9"/>
      <c r="AC727" s="9"/>
      <c r="AD727" s="9"/>
    </row>
    <row r="728" ht="15.75" customHeight="1">
      <c r="A728" s="9"/>
      <c r="B728" s="9"/>
      <c r="C728" s="9"/>
      <c r="D728" s="9"/>
      <c r="E728" s="9"/>
      <c r="F728" s="9"/>
      <c r="G728" s="9"/>
      <c r="H728" s="223"/>
      <c r="I728" s="9"/>
      <c r="J728" s="9"/>
      <c r="K728" s="9"/>
      <c r="L728" s="9"/>
      <c r="M728" s="9"/>
      <c r="N728" s="9"/>
      <c r="O728" s="9"/>
      <c r="P728" s="9"/>
      <c r="Q728" s="223"/>
      <c r="R728" s="9"/>
      <c r="S728" s="9"/>
      <c r="T728" s="9"/>
      <c r="U728" s="9"/>
      <c r="V728" s="9"/>
      <c r="W728" s="971"/>
      <c r="X728" s="9"/>
      <c r="Y728" s="9"/>
      <c r="Z728" s="204"/>
      <c r="AA728" s="9"/>
      <c r="AB728" s="9"/>
      <c r="AC728" s="9"/>
      <c r="AD728" s="9"/>
    </row>
    <row r="729" ht="15.75" customHeight="1">
      <c r="A729" s="9"/>
      <c r="B729" s="9"/>
      <c r="C729" s="9"/>
      <c r="D729" s="9"/>
      <c r="E729" s="9"/>
      <c r="F729" s="9"/>
      <c r="G729" s="9"/>
      <c r="H729" s="223"/>
      <c r="I729" s="9"/>
      <c r="J729" s="9"/>
      <c r="K729" s="9"/>
      <c r="L729" s="9"/>
      <c r="M729" s="9"/>
      <c r="N729" s="9"/>
      <c r="O729" s="9"/>
      <c r="P729" s="9"/>
      <c r="Q729" s="223"/>
      <c r="R729" s="9"/>
      <c r="S729" s="9"/>
      <c r="T729" s="9"/>
      <c r="U729" s="9"/>
      <c r="V729" s="9"/>
      <c r="W729" s="971"/>
      <c r="X729" s="9"/>
      <c r="Y729" s="9"/>
      <c r="Z729" s="204"/>
      <c r="AA729" s="9"/>
      <c r="AB729" s="9"/>
      <c r="AC729" s="9"/>
      <c r="AD729" s="9"/>
    </row>
    <row r="730" ht="15.75" customHeight="1">
      <c r="A730" s="9"/>
      <c r="B730" s="9"/>
      <c r="C730" s="9"/>
      <c r="D730" s="9"/>
      <c r="E730" s="9"/>
      <c r="F730" s="9"/>
      <c r="G730" s="9"/>
      <c r="H730" s="223"/>
      <c r="I730" s="9"/>
      <c r="J730" s="9"/>
      <c r="K730" s="9"/>
      <c r="L730" s="9"/>
      <c r="M730" s="9"/>
      <c r="N730" s="9"/>
      <c r="O730" s="9"/>
      <c r="P730" s="9"/>
      <c r="Q730" s="223"/>
      <c r="R730" s="9"/>
      <c r="S730" s="9"/>
      <c r="T730" s="9"/>
      <c r="U730" s="9"/>
      <c r="V730" s="9"/>
      <c r="W730" s="971"/>
      <c r="X730" s="9"/>
      <c r="Y730" s="9"/>
      <c r="Z730" s="204"/>
      <c r="AA730" s="9"/>
      <c r="AB730" s="9"/>
      <c r="AC730" s="9"/>
      <c r="AD730" s="9"/>
    </row>
    <row r="731" ht="15.75" customHeight="1">
      <c r="A731" s="9"/>
      <c r="B731" s="9"/>
      <c r="C731" s="9"/>
      <c r="D731" s="9"/>
      <c r="E731" s="9"/>
      <c r="F731" s="9"/>
      <c r="G731" s="9"/>
      <c r="H731" s="223"/>
      <c r="I731" s="9"/>
      <c r="J731" s="9"/>
      <c r="K731" s="9"/>
      <c r="L731" s="9"/>
      <c r="M731" s="9"/>
      <c r="N731" s="9"/>
      <c r="O731" s="9"/>
      <c r="P731" s="9"/>
      <c r="Q731" s="223"/>
      <c r="R731" s="9"/>
      <c r="S731" s="9"/>
      <c r="T731" s="9"/>
      <c r="U731" s="9"/>
      <c r="V731" s="9"/>
      <c r="W731" s="971"/>
      <c r="X731" s="9"/>
      <c r="Y731" s="9"/>
      <c r="Z731" s="204"/>
      <c r="AA731" s="9"/>
      <c r="AB731" s="9"/>
      <c r="AC731" s="9"/>
      <c r="AD731" s="9"/>
    </row>
    <row r="732" ht="15.75" customHeight="1">
      <c r="A732" s="9"/>
      <c r="B732" s="9"/>
      <c r="C732" s="9"/>
      <c r="D732" s="9"/>
      <c r="E732" s="9"/>
      <c r="F732" s="9"/>
      <c r="G732" s="9"/>
      <c r="H732" s="223"/>
      <c r="I732" s="9"/>
      <c r="J732" s="9"/>
      <c r="K732" s="9"/>
      <c r="L732" s="9"/>
      <c r="M732" s="9"/>
      <c r="N732" s="9"/>
      <c r="O732" s="9"/>
      <c r="P732" s="9"/>
      <c r="Q732" s="223"/>
      <c r="R732" s="9"/>
      <c r="S732" s="9"/>
      <c r="T732" s="9"/>
      <c r="U732" s="9"/>
      <c r="V732" s="9"/>
      <c r="W732" s="971"/>
      <c r="X732" s="9"/>
      <c r="Y732" s="9"/>
      <c r="Z732" s="204"/>
      <c r="AA732" s="9"/>
      <c r="AB732" s="9"/>
      <c r="AC732" s="9"/>
      <c r="AD732" s="9"/>
    </row>
    <row r="733" ht="15.75" customHeight="1">
      <c r="A733" s="9"/>
      <c r="B733" s="9"/>
      <c r="C733" s="9"/>
      <c r="D733" s="9"/>
      <c r="E733" s="9"/>
      <c r="F733" s="9"/>
      <c r="G733" s="9"/>
      <c r="H733" s="223"/>
      <c r="I733" s="9"/>
      <c r="J733" s="9"/>
      <c r="K733" s="9"/>
      <c r="L733" s="9"/>
      <c r="M733" s="9"/>
      <c r="N733" s="9"/>
      <c r="O733" s="9"/>
      <c r="P733" s="9"/>
      <c r="Q733" s="223"/>
      <c r="R733" s="9"/>
      <c r="S733" s="9"/>
      <c r="T733" s="9"/>
      <c r="U733" s="9"/>
      <c r="V733" s="9"/>
      <c r="W733" s="971"/>
      <c r="X733" s="9"/>
      <c r="Y733" s="9"/>
      <c r="Z733" s="204"/>
      <c r="AA733" s="9"/>
      <c r="AB733" s="9"/>
      <c r="AC733" s="9"/>
      <c r="AD733" s="9"/>
    </row>
    <row r="734" ht="15.75" customHeight="1">
      <c r="A734" s="9"/>
      <c r="B734" s="9"/>
      <c r="C734" s="9"/>
      <c r="D734" s="9"/>
      <c r="E734" s="9"/>
      <c r="F734" s="9"/>
      <c r="G734" s="9"/>
      <c r="H734" s="223"/>
      <c r="I734" s="9"/>
      <c r="J734" s="9"/>
      <c r="K734" s="9"/>
      <c r="L734" s="9"/>
      <c r="M734" s="9"/>
      <c r="N734" s="9"/>
      <c r="O734" s="9"/>
      <c r="P734" s="9"/>
      <c r="Q734" s="223"/>
      <c r="R734" s="9"/>
      <c r="S734" s="9"/>
      <c r="T734" s="9"/>
      <c r="U734" s="9"/>
      <c r="V734" s="9"/>
      <c r="W734" s="971"/>
      <c r="X734" s="9"/>
      <c r="Y734" s="9"/>
      <c r="Z734" s="204"/>
      <c r="AA734" s="9"/>
      <c r="AB734" s="9"/>
      <c r="AC734" s="9"/>
      <c r="AD734" s="9"/>
    </row>
    <row r="735" ht="15.75" customHeight="1">
      <c r="A735" s="9"/>
      <c r="B735" s="9"/>
      <c r="C735" s="9"/>
      <c r="D735" s="9"/>
      <c r="E735" s="9"/>
      <c r="F735" s="9"/>
      <c r="G735" s="9"/>
      <c r="H735" s="223"/>
      <c r="I735" s="9"/>
      <c r="J735" s="9"/>
      <c r="K735" s="9"/>
      <c r="L735" s="9"/>
      <c r="M735" s="9"/>
      <c r="N735" s="9"/>
      <c r="O735" s="9"/>
      <c r="P735" s="9"/>
      <c r="Q735" s="223"/>
      <c r="R735" s="9"/>
      <c r="S735" s="9"/>
      <c r="T735" s="9"/>
      <c r="U735" s="9"/>
      <c r="V735" s="9"/>
      <c r="W735" s="971"/>
      <c r="X735" s="9"/>
      <c r="Y735" s="9"/>
      <c r="Z735" s="204"/>
      <c r="AA735" s="9"/>
      <c r="AB735" s="9"/>
      <c r="AC735" s="9"/>
      <c r="AD735" s="9"/>
    </row>
    <row r="736" ht="15.75" customHeight="1">
      <c r="A736" s="9"/>
      <c r="B736" s="9"/>
      <c r="C736" s="9"/>
      <c r="D736" s="9"/>
      <c r="E736" s="9"/>
      <c r="F736" s="9"/>
      <c r="G736" s="9"/>
      <c r="H736" s="223"/>
      <c r="I736" s="9"/>
      <c r="J736" s="9"/>
      <c r="K736" s="9"/>
      <c r="L736" s="9"/>
      <c r="M736" s="9"/>
      <c r="N736" s="9"/>
      <c r="O736" s="9"/>
      <c r="P736" s="9"/>
      <c r="Q736" s="223"/>
      <c r="R736" s="9"/>
      <c r="S736" s="9"/>
      <c r="T736" s="9"/>
      <c r="U736" s="9"/>
      <c r="V736" s="9"/>
      <c r="W736" s="971"/>
      <c r="X736" s="9"/>
      <c r="Y736" s="9"/>
      <c r="Z736" s="204"/>
      <c r="AA736" s="9"/>
      <c r="AB736" s="9"/>
      <c r="AC736" s="9"/>
      <c r="AD736" s="9"/>
    </row>
    <row r="737" ht="15.75" customHeight="1">
      <c r="A737" s="9"/>
      <c r="B737" s="9"/>
      <c r="C737" s="9"/>
      <c r="D737" s="9"/>
      <c r="E737" s="9"/>
      <c r="F737" s="9"/>
      <c r="G737" s="9"/>
      <c r="H737" s="223"/>
      <c r="I737" s="9"/>
      <c r="J737" s="9"/>
      <c r="K737" s="9"/>
      <c r="L737" s="9"/>
      <c r="M737" s="9"/>
      <c r="N737" s="9"/>
      <c r="O737" s="9"/>
      <c r="P737" s="9"/>
      <c r="Q737" s="223"/>
      <c r="R737" s="9"/>
      <c r="S737" s="9"/>
      <c r="T737" s="9"/>
      <c r="U737" s="9"/>
      <c r="V737" s="9"/>
      <c r="W737" s="971"/>
      <c r="X737" s="9"/>
      <c r="Y737" s="9"/>
      <c r="Z737" s="204"/>
      <c r="AA737" s="9"/>
      <c r="AB737" s="9"/>
      <c r="AC737" s="9"/>
      <c r="AD737" s="9"/>
    </row>
    <row r="738" ht="15.75" customHeight="1">
      <c r="A738" s="9"/>
      <c r="B738" s="9"/>
      <c r="C738" s="9"/>
      <c r="D738" s="9"/>
      <c r="E738" s="9"/>
      <c r="F738" s="9"/>
      <c r="G738" s="9"/>
      <c r="H738" s="223"/>
      <c r="I738" s="9"/>
      <c r="J738" s="9"/>
      <c r="K738" s="9"/>
      <c r="L738" s="9"/>
      <c r="M738" s="9"/>
      <c r="N738" s="9"/>
      <c r="O738" s="9"/>
      <c r="P738" s="9"/>
      <c r="Q738" s="223"/>
      <c r="R738" s="9"/>
      <c r="S738" s="9"/>
      <c r="T738" s="9"/>
      <c r="U738" s="9"/>
      <c r="V738" s="9"/>
      <c r="W738" s="971"/>
      <c r="X738" s="9"/>
      <c r="Y738" s="9"/>
      <c r="Z738" s="204"/>
      <c r="AA738" s="9"/>
      <c r="AB738" s="9"/>
      <c r="AC738" s="9"/>
      <c r="AD738" s="9"/>
    </row>
    <row r="739" ht="15.75" customHeight="1">
      <c r="A739" s="9"/>
      <c r="B739" s="9"/>
      <c r="C739" s="9"/>
      <c r="D739" s="9"/>
      <c r="E739" s="9"/>
      <c r="F739" s="9"/>
      <c r="G739" s="9"/>
      <c r="H739" s="223"/>
      <c r="I739" s="9"/>
      <c r="J739" s="9"/>
      <c r="K739" s="9"/>
      <c r="L739" s="9"/>
      <c r="M739" s="9"/>
      <c r="N739" s="9"/>
      <c r="O739" s="9"/>
      <c r="P739" s="9"/>
      <c r="Q739" s="223"/>
      <c r="R739" s="9"/>
      <c r="S739" s="9"/>
      <c r="T739" s="9"/>
      <c r="U739" s="9"/>
      <c r="V739" s="9"/>
      <c r="W739" s="971"/>
      <c r="X739" s="9"/>
      <c r="Y739" s="9"/>
      <c r="Z739" s="204"/>
      <c r="AA739" s="9"/>
      <c r="AB739" s="9"/>
      <c r="AC739" s="9"/>
      <c r="AD739" s="9"/>
    </row>
    <row r="740" ht="15.75" customHeight="1">
      <c r="A740" s="9"/>
      <c r="B740" s="9"/>
      <c r="C740" s="9"/>
      <c r="D740" s="9"/>
      <c r="E740" s="9"/>
      <c r="F740" s="9"/>
      <c r="G740" s="9"/>
      <c r="H740" s="223"/>
      <c r="I740" s="9"/>
      <c r="J740" s="9"/>
      <c r="K740" s="9"/>
      <c r="L740" s="9"/>
      <c r="M740" s="9"/>
      <c r="N740" s="9"/>
      <c r="O740" s="9"/>
      <c r="P740" s="9"/>
      <c r="Q740" s="223"/>
      <c r="R740" s="9"/>
      <c r="S740" s="9"/>
      <c r="T740" s="9"/>
      <c r="U740" s="9"/>
      <c r="V740" s="9"/>
      <c r="W740" s="971"/>
      <c r="X740" s="9"/>
      <c r="Y740" s="9"/>
      <c r="Z740" s="204"/>
      <c r="AA740" s="9"/>
      <c r="AB740" s="9"/>
      <c r="AC740" s="9"/>
      <c r="AD740" s="9"/>
    </row>
    <row r="741" ht="15.75" customHeight="1">
      <c r="A741" s="9"/>
      <c r="B741" s="9"/>
      <c r="C741" s="9"/>
      <c r="D741" s="9"/>
      <c r="E741" s="9"/>
      <c r="F741" s="9"/>
      <c r="G741" s="9"/>
      <c r="H741" s="223"/>
      <c r="I741" s="9"/>
      <c r="J741" s="9"/>
      <c r="K741" s="9"/>
      <c r="L741" s="9"/>
      <c r="M741" s="9"/>
      <c r="N741" s="9"/>
      <c r="O741" s="9"/>
      <c r="P741" s="9"/>
      <c r="Q741" s="223"/>
      <c r="R741" s="9"/>
      <c r="S741" s="9"/>
      <c r="T741" s="9"/>
      <c r="U741" s="9"/>
      <c r="V741" s="9"/>
      <c r="W741" s="971"/>
      <c r="X741" s="9"/>
      <c r="Y741" s="9"/>
      <c r="Z741" s="204"/>
      <c r="AA741" s="9"/>
      <c r="AB741" s="9"/>
      <c r="AC741" s="9"/>
      <c r="AD741" s="9"/>
    </row>
    <row r="742" ht="15.75" customHeight="1">
      <c r="A742" s="9"/>
      <c r="B742" s="9"/>
      <c r="C742" s="9"/>
      <c r="D742" s="9"/>
      <c r="E742" s="9"/>
      <c r="F742" s="9"/>
      <c r="G742" s="9"/>
      <c r="H742" s="223"/>
      <c r="I742" s="9"/>
      <c r="J742" s="9"/>
      <c r="K742" s="9"/>
      <c r="L742" s="9"/>
      <c r="M742" s="9"/>
      <c r="N742" s="9"/>
      <c r="O742" s="9"/>
      <c r="P742" s="9"/>
      <c r="Q742" s="223"/>
      <c r="R742" s="9"/>
      <c r="S742" s="9"/>
      <c r="T742" s="9"/>
      <c r="U742" s="9"/>
      <c r="V742" s="9"/>
      <c r="W742" s="971"/>
      <c r="X742" s="9"/>
      <c r="Y742" s="9"/>
      <c r="Z742" s="204"/>
      <c r="AA742" s="9"/>
      <c r="AB742" s="9"/>
      <c r="AC742" s="9"/>
      <c r="AD742" s="9"/>
    </row>
    <row r="743" ht="15.75" customHeight="1">
      <c r="A743" s="9"/>
      <c r="B743" s="9"/>
      <c r="C743" s="9"/>
      <c r="D743" s="9"/>
      <c r="E743" s="9"/>
      <c r="F743" s="9"/>
      <c r="G743" s="9"/>
      <c r="H743" s="223"/>
      <c r="I743" s="9"/>
      <c r="J743" s="9"/>
      <c r="K743" s="9"/>
      <c r="L743" s="9"/>
      <c r="M743" s="9"/>
      <c r="N743" s="9"/>
      <c r="O743" s="9"/>
      <c r="P743" s="9"/>
      <c r="Q743" s="223"/>
      <c r="R743" s="9"/>
      <c r="S743" s="9"/>
      <c r="T743" s="9"/>
      <c r="U743" s="9"/>
      <c r="V743" s="9"/>
      <c r="W743" s="971"/>
      <c r="X743" s="9"/>
      <c r="Y743" s="9"/>
      <c r="Z743" s="204"/>
      <c r="AA743" s="9"/>
      <c r="AB743" s="9"/>
      <c r="AC743" s="9"/>
      <c r="AD743" s="9"/>
    </row>
    <row r="744" ht="15.75" customHeight="1">
      <c r="A744" s="9"/>
      <c r="B744" s="9"/>
      <c r="C744" s="9"/>
      <c r="D744" s="9"/>
      <c r="E744" s="9"/>
      <c r="F744" s="9"/>
      <c r="G744" s="9"/>
      <c r="H744" s="223"/>
      <c r="I744" s="9"/>
      <c r="J744" s="9"/>
      <c r="K744" s="9"/>
      <c r="L744" s="9"/>
      <c r="M744" s="9"/>
      <c r="N744" s="9"/>
      <c r="O744" s="9"/>
      <c r="P744" s="9"/>
      <c r="Q744" s="223"/>
      <c r="R744" s="9"/>
      <c r="S744" s="9"/>
      <c r="T744" s="9"/>
      <c r="U744" s="9"/>
      <c r="V744" s="9"/>
      <c r="W744" s="971"/>
      <c r="X744" s="9"/>
      <c r="Y744" s="9"/>
      <c r="Z744" s="204"/>
      <c r="AA744" s="9"/>
      <c r="AB744" s="9"/>
      <c r="AC744" s="9"/>
      <c r="AD744" s="9"/>
    </row>
    <row r="745" ht="15.75" customHeight="1">
      <c r="A745" s="9"/>
      <c r="B745" s="9"/>
      <c r="C745" s="9"/>
      <c r="D745" s="9"/>
      <c r="E745" s="9"/>
      <c r="F745" s="9"/>
      <c r="G745" s="9"/>
      <c r="H745" s="223"/>
      <c r="I745" s="9"/>
      <c r="J745" s="9"/>
      <c r="K745" s="9"/>
      <c r="L745" s="9"/>
      <c r="M745" s="9"/>
      <c r="N745" s="9"/>
      <c r="O745" s="9"/>
      <c r="P745" s="9"/>
      <c r="Q745" s="223"/>
      <c r="R745" s="9"/>
      <c r="S745" s="9"/>
      <c r="T745" s="9"/>
      <c r="U745" s="9"/>
      <c r="V745" s="9"/>
      <c r="W745" s="971"/>
      <c r="X745" s="9"/>
      <c r="Y745" s="9"/>
      <c r="Z745" s="204"/>
      <c r="AA745" s="9"/>
      <c r="AB745" s="9"/>
      <c r="AC745" s="9"/>
      <c r="AD745" s="9"/>
    </row>
    <row r="746" ht="15.75" customHeight="1">
      <c r="A746" s="9"/>
      <c r="B746" s="9"/>
      <c r="C746" s="9"/>
      <c r="D746" s="9"/>
      <c r="E746" s="9"/>
      <c r="F746" s="9"/>
      <c r="G746" s="9"/>
      <c r="H746" s="223"/>
      <c r="I746" s="9"/>
      <c r="J746" s="9"/>
      <c r="K746" s="9"/>
      <c r="L746" s="9"/>
      <c r="M746" s="9"/>
      <c r="N746" s="9"/>
      <c r="O746" s="9"/>
      <c r="P746" s="9"/>
      <c r="Q746" s="223"/>
      <c r="R746" s="9"/>
      <c r="S746" s="9"/>
      <c r="T746" s="9"/>
      <c r="U746" s="9"/>
      <c r="V746" s="9"/>
      <c r="W746" s="971"/>
      <c r="X746" s="9"/>
      <c r="Y746" s="9"/>
      <c r="Z746" s="204"/>
      <c r="AA746" s="9"/>
      <c r="AB746" s="9"/>
      <c r="AC746" s="9"/>
      <c r="AD746" s="9"/>
    </row>
    <row r="747" ht="15.75" customHeight="1">
      <c r="A747" s="9"/>
      <c r="B747" s="9"/>
      <c r="C747" s="9"/>
      <c r="D747" s="9"/>
      <c r="E747" s="9"/>
      <c r="F747" s="9"/>
      <c r="G747" s="9"/>
      <c r="H747" s="223"/>
      <c r="I747" s="9"/>
      <c r="J747" s="9"/>
      <c r="K747" s="9"/>
      <c r="L747" s="9"/>
      <c r="M747" s="9"/>
      <c r="N747" s="9"/>
      <c r="O747" s="9"/>
      <c r="P747" s="9"/>
      <c r="Q747" s="223"/>
      <c r="R747" s="9"/>
      <c r="S747" s="9"/>
      <c r="T747" s="9"/>
      <c r="U747" s="9"/>
      <c r="V747" s="9"/>
      <c r="W747" s="971"/>
      <c r="X747" s="9"/>
      <c r="Y747" s="9"/>
      <c r="Z747" s="204"/>
      <c r="AA747" s="9"/>
      <c r="AB747" s="9"/>
      <c r="AC747" s="9"/>
      <c r="AD747" s="9"/>
    </row>
    <row r="748" ht="15.75" customHeight="1">
      <c r="A748" s="9"/>
      <c r="B748" s="9"/>
      <c r="C748" s="9"/>
      <c r="D748" s="9"/>
      <c r="E748" s="9"/>
      <c r="F748" s="9"/>
      <c r="G748" s="9"/>
      <c r="H748" s="223"/>
      <c r="I748" s="9"/>
      <c r="J748" s="9"/>
      <c r="K748" s="9"/>
      <c r="L748" s="9"/>
      <c r="M748" s="9"/>
      <c r="N748" s="9"/>
      <c r="O748" s="9"/>
      <c r="P748" s="9"/>
      <c r="Q748" s="223"/>
      <c r="R748" s="9"/>
      <c r="S748" s="9"/>
      <c r="T748" s="9"/>
      <c r="U748" s="9"/>
      <c r="V748" s="9"/>
      <c r="W748" s="971"/>
      <c r="X748" s="9"/>
      <c r="Y748" s="9"/>
      <c r="Z748" s="204"/>
      <c r="AA748" s="9"/>
      <c r="AB748" s="9"/>
      <c r="AC748" s="9"/>
      <c r="AD748" s="9"/>
    </row>
    <row r="749" ht="15.75" customHeight="1">
      <c r="A749" s="9"/>
      <c r="B749" s="9"/>
      <c r="C749" s="9"/>
      <c r="D749" s="9"/>
      <c r="E749" s="9"/>
      <c r="F749" s="9"/>
      <c r="G749" s="9"/>
      <c r="H749" s="223"/>
      <c r="I749" s="9"/>
      <c r="J749" s="9"/>
      <c r="K749" s="9"/>
      <c r="L749" s="9"/>
      <c r="M749" s="9"/>
      <c r="N749" s="9"/>
      <c r="O749" s="9"/>
      <c r="P749" s="9"/>
      <c r="Q749" s="223"/>
      <c r="R749" s="9"/>
      <c r="S749" s="9"/>
      <c r="T749" s="9"/>
      <c r="U749" s="9"/>
      <c r="V749" s="9"/>
      <c r="W749" s="971"/>
      <c r="X749" s="9"/>
      <c r="Y749" s="9"/>
      <c r="Z749" s="204"/>
      <c r="AA749" s="9"/>
      <c r="AB749" s="9"/>
      <c r="AC749" s="9"/>
      <c r="AD749" s="9"/>
    </row>
    <row r="750" ht="15.75" customHeight="1">
      <c r="A750" s="9"/>
      <c r="B750" s="9"/>
      <c r="C750" s="9"/>
      <c r="D750" s="9"/>
      <c r="E750" s="9"/>
      <c r="F750" s="9"/>
      <c r="G750" s="9"/>
      <c r="H750" s="223"/>
      <c r="I750" s="9"/>
      <c r="J750" s="9"/>
      <c r="K750" s="9"/>
      <c r="L750" s="9"/>
      <c r="M750" s="9"/>
      <c r="N750" s="9"/>
      <c r="O750" s="9"/>
      <c r="P750" s="9"/>
      <c r="Q750" s="223"/>
      <c r="R750" s="9"/>
      <c r="S750" s="9"/>
      <c r="T750" s="9"/>
      <c r="U750" s="9"/>
      <c r="V750" s="9"/>
      <c r="W750" s="971"/>
      <c r="X750" s="9"/>
      <c r="Y750" s="9"/>
      <c r="Z750" s="204"/>
      <c r="AA750" s="9"/>
      <c r="AB750" s="9"/>
      <c r="AC750" s="9"/>
      <c r="AD750" s="9"/>
    </row>
    <row r="751" ht="15.75" customHeight="1">
      <c r="A751" s="9"/>
      <c r="B751" s="9"/>
      <c r="C751" s="9"/>
      <c r="D751" s="9"/>
      <c r="E751" s="9"/>
      <c r="F751" s="9"/>
      <c r="G751" s="9"/>
      <c r="H751" s="223"/>
      <c r="I751" s="9"/>
      <c r="J751" s="9"/>
      <c r="K751" s="9"/>
      <c r="L751" s="9"/>
      <c r="M751" s="9"/>
      <c r="N751" s="9"/>
      <c r="O751" s="9"/>
      <c r="P751" s="9"/>
      <c r="Q751" s="223"/>
      <c r="R751" s="9"/>
      <c r="S751" s="9"/>
      <c r="T751" s="9"/>
      <c r="U751" s="9"/>
      <c r="V751" s="9"/>
      <c r="W751" s="971"/>
      <c r="X751" s="9"/>
      <c r="Y751" s="9"/>
      <c r="Z751" s="204"/>
      <c r="AA751" s="9"/>
      <c r="AB751" s="9"/>
      <c r="AC751" s="9"/>
      <c r="AD751" s="9"/>
    </row>
    <row r="752" ht="15.75" customHeight="1">
      <c r="A752" s="9"/>
      <c r="B752" s="9"/>
      <c r="C752" s="9"/>
      <c r="D752" s="9"/>
      <c r="E752" s="9"/>
      <c r="F752" s="9"/>
      <c r="G752" s="9"/>
      <c r="H752" s="223"/>
      <c r="I752" s="9"/>
      <c r="J752" s="9"/>
      <c r="K752" s="9"/>
      <c r="L752" s="9"/>
      <c r="M752" s="9"/>
      <c r="N752" s="9"/>
      <c r="O752" s="9"/>
      <c r="P752" s="9"/>
      <c r="Q752" s="223"/>
      <c r="R752" s="9"/>
      <c r="S752" s="9"/>
      <c r="T752" s="9"/>
      <c r="U752" s="9"/>
      <c r="V752" s="9"/>
      <c r="W752" s="971"/>
      <c r="X752" s="9"/>
      <c r="Y752" s="9"/>
      <c r="Z752" s="204"/>
      <c r="AA752" s="9"/>
      <c r="AB752" s="9"/>
      <c r="AC752" s="9"/>
      <c r="AD752" s="9"/>
    </row>
    <row r="753" ht="15.75" customHeight="1">
      <c r="A753" s="9"/>
      <c r="B753" s="9"/>
      <c r="C753" s="9"/>
      <c r="D753" s="9"/>
      <c r="E753" s="9"/>
      <c r="F753" s="9"/>
      <c r="G753" s="9"/>
      <c r="H753" s="223"/>
      <c r="I753" s="9"/>
      <c r="J753" s="9"/>
      <c r="K753" s="9"/>
      <c r="L753" s="9"/>
      <c r="M753" s="9"/>
      <c r="N753" s="9"/>
      <c r="O753" s="9"/>
      <c r="P753" s="9"/>
      <c r="Q753" s="223"/>
      <c r="R753" s="9"/>
      <c r="S753" s="9"/>
      <c r="T753" s="9"/>
      <c r="U753" s="9"/>
      <c r="V753" s="9"/>
      <c r="W753" s="971"/>
      <c r="X753" s="9"/>
      <c r="Y753" s="9"/>
      <c r="Z753" s="204"/>
      <c r="AA753" s="9"/>
      <c r="AB753" s="9"/>
      <c r="AC753" s="9"/>
      <c r="AD753" s="9"/>
    </row>
    <row r="754" ht="15.75" customHeight="1">
      <c r="A754" s="9"/>
      <c r="B754" s="9"/>
      <c r="C754" s="9"/>
      <c r="D754" s="9"/>
      <c r="E754" s="9"/>
      <c r="F754" s="9"/>
      <c r="G754" s="9"/>
      <c r="H754" s="223"/>
      <c r="I754" s="9"/>
      <c r="J754" s="9"/>
      <c r="K754" s="9"/>
      <c r="L754" s="9"/>
      <c r="M754" s="9"/>
      <c r="N754" s="9"/>
      <c r="O754" s="9"/>
      <c r="P754" s="9"/>
      <c r="Q754" s="223"/>
      <c r="R754" s="9"/>
      <c r="S754" s="9"/>
      <c r="T754" s="9"/>
      <c r="U754" s="9"/>
      <c r="V754" s="9"/>
      <c r="W754" s="971"/>
      <c r="X754" s="9"/>
      <c r="Y754" s="9"/>
      <c r="Z754" s="204"/>
      <c r="AA754" s="9"/>
      <c r="AB754" s="9"/>
      <c r="AC754" s="9"/>
      <c r="AD754" s="9"/>
    </row>
    <row r="755" ht="15.75" customHeight="1">
      <c r="A755" s="9"/>
      <c r="B755" s="9"/>
      <c r="C755" s="9"/>
      <c r="D755" s="9"/>
      <c r="E755" s="9"/>
      <c r="F755" s="9"/>
      <c r="G755" s="9"/>
      <c r="H755" s="223"/>
      <c r="I755" s="9"/>
      <c r="J755" s="9"/>
      <c r="K755" s="9"/>
      <c r="L755" s="9"/>
      <c r="M755" s="9"/>
      <c r="N755" s="9"/>
      <c r="O755" s="9"/>
      <c r="P755" s="9"/>
      <c r="Q755" s="223"/>
      <c r="R755" s="9"/>
      <c r="S755" s="9"/>
      <c r="T755" s="9"/>
      <c r="U755" s="9"/>
      <c r="V755" s="9"/>
      <c r="W755" s="971"/>
      <c r="X755" s="9"/>
      <c r="Y755" s="9"/>
      <c r="Z755" s="204"/>
      <c r="AA755" s="9"/>
      <c r="AB755" s="9"/>
      <c r="AC755" s="9"/>
      <c r="AD755" s="9"/>
    </row>
    <row r="756" ht="15.75" customHeight="1">
      <c r="A756" s="9"/>
      <c r="B756" s="9"/>
      <c r="C756" s="9"/>
      <c r="D756" s="9"/>
      <c r="E756" s="9"/>
      <c r="F756" s="9"/>
      <c r="G756" s="9"/>
      <c r="H756" s="223"/>
      <c r="I756" s="9"/>
      <c r="J756" s="9"/>
      <c r="K756" s="9"/>
      <c r="L756" s="9"/>
      <c r="M756" s="9"/>
      <c r="N756" s="9"/>
      <c r="O756" s="9"/>
      <c r="P756" s="9"/>
      <c r="Q756" s="223"/>
      <c r="R756" s="9"/>
      <c r="S756" s="9"/>
      <c r="T756" s="9"/>
      <c r="U756" s="9"/>
      <c r="V756" s="9"/>
      <c r="W756" s="971"/>
      <c r="X756" s="9"/>
      <c r="Y756" s="9"/>
      <c r="Z756" s="204"/>
      <c r="AA756" s="9"/>
      <c r="AB756" s="9"/>
      <c r="AC756" s="9"/>
      <c r="AD756" s="9"/>
    </row>
    <row r="757" ht="15.75" customHeight="1">
      <c r="A757" s="9"/>
      <c r="B757" s="9"/>
      <c r="C757" s="9"/>
      <c r="D757" s="9"/>
      <c r="E757" s="9"/>
      <c r="F757" s="9"/>
      <c r="G757" s="9"/>
      <c r="H757" s="223"/>
      <c r="I757" s="9"/>
      <c r="J757" s="9"/>
      <c r="K757" s="9"/>
      <c r="L757" s="9"/>
      <c r="M757" s="9"/>
      <c r="N757" s="9"/>
      <c r="O757" s="9"/>
      <c r="P757" s="9"/>
      <c r="Q757" s="223"/>
      <c r="R757" s="9"/>
      <c r="S757" s="9"/>
      <c r="T757" s="9"/>
      <c r="U757" s="9"/>
      <c r="V757" s="9"/>
      <c r="W757" s="971"/>
      <c r="X757" s="9"/>
      <c r="Y757" s="9"/>
      <c r="Z757" s="204"/>
      <c r="AA757" s="9"/>
      <c r="AB757" s="9"/>
      <c r="AC757" s="9"/>
      <c r="AD757" s="9"/>
    </row>
    <row r="758" ht="15.75" customHeight="1">
      <c r="A758" s="9"/>
      <c r="B758" s="9"/>
      <c r="C758" s="9"/>
      <c r="D758" s="9"/>
      <c r="E758" s="9"/>
      <c r="F758" s="9"/>
      <c r="G758" s="9"/>
      <c r="H758" s="223"/>
      <c r="I758" s="9"/>
      <c r="J758" s="9"/>
      <c r="K758" s="9"/>
      <c r="L758" s="9"/>
      <c r="M758" s="9"/>
      <c r="N758" s="9"/>
      <c r="O758" s="9"/>
      <c r="P758" s="9"/>
      <c r="Q758" s="223"/>
      <c r="R758" s="9"/>
      <c r="S758" s="9"/>
      <c r="T758" s="9"/>
      <c r="U758" s="9"/>
      <c r="V758" s="9"/>
      <c r="W758" s="971"/>
      <c r="X758" s="9"/>
      <c r="Y758" s="9"/>
      <c r="Z758" s="204"/>
      <c r="AA758" s="9"/>
      <c r="AB758" s="9"/>
      <c r="AC758" s="9"/>
      <c r="AD758" s="9"/>
    </row>
    <row r="759" ht="15.75" customHeight="1">
      <c r="A759" s="9"/>
      <c r="B759" s="9"/>
      <c r="C759" s="9"/>
      <c r="D759" s="9"/>
      <c r="E759" s="9"/>
      <c r="F759" s="9"/>
      <c r="G759" s="9"/>
      <c r="H759" s="223"/>
      <c r="I759" s="9"/>
      <c r="J759" s="9"/>
      <c r="K759" s="9"/>
      <c r="L759" s="9"/>
      <c r="M759" s="9"/>
      <c r="N759" s="9"/>
      <c r="O759" s="9"/>
      <c r="P759" s="9"/>
      <c r="Q759" s="223"/>
      <c r="R759" s="9"/>
      <c r="S759" s="9"/>
      <c r="T759" s="9"/>
      <c r="U759" s="9"/>
      <c r="V759" s="9"/>
      <c r="W759" s="971"/>
      <c r="X759" s="9"/>
      <c r="Y759" s="9"/>
      <c r="Z759" s="204"/>
      <c r="AA759" s="9"/>
      <c r="AB759" s="9"/>
      <c r="AC759" s="9"/>
      <c r="AD759" s="9"/>
    </row>
    <row r="760" ht="15.75" customHeight="1">
      <c r="A760" s="9"/>
      <c r="B760" s="9"/>
      <c r="C760" s="9"/>
      <c r="D760" s="9"/>
      <c r="E760" s="9"/>
      <c r="F760" s="9"/>
      <c r="G760" s="9"/>
      <c r="H760" s="223"/>
      <c r="I760" s="9"/>
      <c r="J760" s="9"/>
      <c r="K760" s="9"/>
      <c r="L760" s="9"/>
      <c r="M760" s="9"/>
      <c r="N760" s="9"/>
      <c r="O760" s="9"/>
      <c r="P760" s="9"/>
      <c r="Q760" s="223"/>
      <c r="R760" s="9"/>
      <c r="S760" s="9"/>
      <c r="T760" s="9"/>
      <c r="U760" s="9"/>
      <c r="V760" s="9"/>
      <c r="W760" s="971"/>
      <c r="X760" s="9"/>
      <c r="Y760" s="9"/>
      <c r="Z760" s="204"/>
      <c r="AA760" s="9"/>
      <c r="AB760" s="9"/>
      <c r="AC760" s="9"/>
      <c r="AD760" s="9"/>
    </row>
    <row r="761" ht="15.75" customHeight="1">
      <c r="A761" s="9"/>
      <c r="B761" s="9"/>
      <c r="C761" s="9"/>
      <c r="D761" s="9"/>
      <c r="E761" s="9"/>
      <c r="F761" s="9"/>
      <c r="G761" s="9"/>
      <c r="H761" s="223"/>
      <c r="I761" s="9"/>
      <c r="J761" s="9"/>
      <c r="K761" s="9"/>
      <c r="L761" s="9"/>
      <c r="M761" s="9"/>
      <c r="N761" s="9"/>
      <c r="O761" s="9"/>
      <c r="P761" s="9"/>
      <c r="Q761" s="223"/>
      <c r="R761" s="9"/>
      <c r="S761" s="9"/>
      <c r="T761" s="9"/>
      <c r="U761" s="9"/>
      <c r="V761" s="9"/>
      <c r="W761" s="971"/>
      <c r="X761" s="9"/>
      <c r="Y761" s="9"/>
      <c r="Z761" s="204"/>
      <c r="AA761" s="9"/>
      <c r="AB761" s="9"/>
      <c r="AC761" s="9"/>
      <c r="AD761" s="9"/>
    </row>
    <row r="762" ht="15.75" customHeight="1">
      <c r="A762" s="9"/>
      <c r="B762" s="9"/>
      <c r="C762" s="9"/>
      <c r="D762" s="9"/>
      <c r="E762" s="9"/>
      <c r="F762" s="9"/>
      <c r="G762" s="9"/>
      <c r="H762" s="223"/>
      <c r="I762" s="9"/>
      <c r="J762" s="9"/>
      <c r="K762" s="9"/>
      <c r="L762" s="9"/>
      <c r="M762" s="9"/>
      <c r="N762" s="9"/>
      <c r="O762" s="9"/>
      <c r="P762" s="9"/>
      <c r="Q762" s="223"/>
      <c r="R762" s="9"/>
      <c r="S762" s="9"/>
      <c r="T762" s="9"/>
      <c r="U762" s="9"/>
      <c r="V762" s="9"/>
      <c r="W762" s="971"/>
      <c r="X762" s="9"/>
      <c r="Y762" s="9"/>
      <c r="Z762" s="204"/>
      <c r="AA762" s="9"/>
      <c r="AB762" s="9"/>
      <c r="AC762" s="9"/>
      <c r="AD762" s="9"/>
    </row>
    <row r="763" ht="15.75" customHeight="1">
      <c r="A763" s="9"/>
      <c r="B763" s="9"/>
      <c r="C763" s="9"/>
      <c r="D763" s="9"/>
      <c r="E763" s="9"/>
      <c r="F763" s="9"/>
      <c r="G763" s="9"/>
      <c r="H763" s="223"/>
      <c r="I763" s="9"/>
      <c r="J763" s="9"/>
      <c r="K763" s="9"/>
      <c r="L763" s="9"/>
      <c r="M763" s="9"/>
      <c r="N763" s="9"/>
      <c r="O763" s="9"/>
      <c r="P763" s="9"/>
      <c r="Q763" s="223"/>
      <c r="R763" s="9"/>
      <c r="S763" s="9"/>
      <c r="T763" s="9"/>
      <c r="U763" s="9"/>
      <c r="V763" s="9"/>
      <c r="W763" s="971"/>
      <c r="X763" s="9"/>
      <c r="Y763" s="9"/>
      <c r="Z763" s="204"/>
      <c r="AA763" s="9"/>
      <c r="AB763" s="9"/>
      <c r="AC763" s="9"/>
      <c r="AD763" s="9"/>
    </row>
    <row r="764" ht="15.75" customHeight="1">
      <c r="A764" s="9"/>
      <c r="B764" s="9"/>
      <c r="C764" s="9"/>
      <c r="D764" s="9"/>
      <c r="E764" s="9"/>
      <c r="F764" s="9"/>
      <c r="G764" s="9"/>
      <c r="H764" s="223"/>
      <c r="I764" s="9"/>
      <c r="J764" s="9"/>
      <c r="K764" s="9"/>
      <c r="L764" s="9"/>
      <c r="M764" s="9"/>
      <c r="N764" s="9"/>
      <c r="O764" s="9"/>
      <c r="P764" s="9"/>
      <c r="Q764" s="223"/>
      <c r="R764" s="9"/>
      <c r="S764" s="9"/>
      <c r="T764" s="9"/>
      <c r="U764" s="9"/>
      <c r="V764" s="9"/>
      <c r="W764" s="971"/>
      <c r="X764" s="9"/>
      <c r="Y764" s="9"/>
      <c r="Z764" s="204"/>
      <c r="AA764" s="9"/>
      <c r="AB764" s="9"/>
      <c r="AC764" s="9"/>
      <c r="AD764" s="9"/>
    </row>
    <row r="765" ht="15.75" customHeight="1">
      <c r="A765" s="9"/>
      <c r="B765" s="9"/>
      <c r="C765" s="9"/>
      <c r="D765" s="9"/>
      <c r="E765" s="9"/>
      <c r="F765" s="9"/>
      <c r="G765" s="9"/>
      <c r="H765" s="223"/>
      <c r="I765" s="9"/>
      <c r="J765" s="9"/>
      <c r="K765" s="9"/>
      <c r="L765" s="9"/>
      <c r="M765" s="9"/>
      <c r="N765" s="9"/>
      <c r="O765" s="9"/>
      <c r="P765" s="9"/>
      <c r="Q765" s="223"/>
      <c r="R765" s="9"/>
      <c r="S765" s="9"/>
      <c r="T765" s="9"/>
      <c r="U765" s="9"/>
      <c r="V765" s="9"/>
      <c r="W765" s="971"/>
      <c r="X765" s="9"/>
      <c r="Y765" s="9"/>
      <c r="Z765" s="204"/>
      <c r="AA765" s="9"/>
      <c r="AB765" s="9"/>
      <c r="AC765" s="9"/>
      <c r="AD765" s="9"/>
    </row>
    <row r="766" ht="15.75" customHeight="1">
      <c r="A766" s="9"/>
      <c r="B766" s="9"/>
      <c r="C766" s="9"/>
      <c r="D766" s="9"/>
      <c r="E766" s="9"/>
      <c r="F766" s="9"/>
      <c r="G766" s="9"/>
      <c r="H766" s="223"/>
      <c r="I766" s="9"/>
      <c r="J766" s="9"/>
      <c r="K766" s="9"/>
      <c r="L766" s="9"/>
      <c r="M766" s="9"/>
      <c r="N766" s="9"/>
      <c r="O766" s="9"/>
      <c r="P766" s="9"/>
      <c r="Q766" s="223"/>
      <c r="R766" s="9"/>
      <c r="S766" s="9"/>
      <c r="T766" s="9"/>
      <c r="U766" s="9"/>
      <c r="V766" s="9"/>
      <c r="W766" s="971"/>
      <c r="X766" s="9"/>
      <c r="Y766" s="9"/>
      <c r="Z766" s="204"/>
      <c r="AA766" s="9"/>
      <c r="AB766" s="9"/>
      <c r="AC766" s="9"/>
      <c r="AD766" s="9"/>
    </row>
    <row r="767" ht="15.75" customHeight="1">
      <c r="A767" s="9"/>
      <c r="B767" s="9"/>
      <c r="C767" s="9"/>
      <c r="D767" s="9"/>
      <c r="E767" s="9"/>
      <c r="F767" s="9"/>
      <c r="G767" s="9"/>
      <c r="H767" s="223"/>
      <c r="I767" s="9"/>
      <c r="J767" s="9"/>
      <c r="K767" s="9"/>
      <c r="L767" s="9"/>
      <c r="M767" s="9"/>
      <c r="N767" s="9"/>
      <c r="O767" s="9"/>
      <c r="P767" s="9"/>
      <c r="Q767" s="223"/>
      <c r="R767" s="9"/>
      <c r="S767" s="9"/>
      <c r="T767" s="9"/>
      <c r="U767" s="9"/>
      <c r="V767" s="9"/>
      <c r="W767" s="971"/>
      <c r="X767" s="9"/>
      <c r="Y767" s="9"/>
      <c r="Z767" s="204"/>
      <c r="AA767" s="9"/>
      <c r="AB767" s="9"/>
      <c r="AC767" s="9"/>
      <c r="AD767" s="9"/>
    </row>
    <row r="768" ht="15.75" customHeight="1">
      <c r="A768" s="9"/>
      <c r="B768" s="9"/>
      <c r="C768" s="9"/>
      <c r="D768" s="9"/>
      <c r="E768" s="9"/>
      <c r="F768" s="9"/>
      <c r="G768" s="9"/>
      <c r="H768" s="223"/>
      <c r="I768" s="9"/>
      <c r="J768" s="9"/>
      <c r="K768" s="9"/>
      <c r="L768" s="9"/>
      <c r="M768" s="9"/>
      <c r="N768" s="9"/>
      <c r="O768" s="9"/>
      <c r="P768" s="9"/>
      <c r="Q768" s="223"/>
      <c r="R768" s="9"/>
      <c r="S768" s="9"/>
      <c r="T768" s="9"/>
      <c r="U768" s="9"/>
      <c r="V768" s="9"/>
      <c r="W768" s="971"/>
      <c r="X768" s="9"/>
      <c r="Y768" s="9"/>
      <c r="Z768" s="204"/>
      <c r="AA768" s="9"/>
      <c r="AB768" s="9"/>
      <c r="AC768" s="9"/>
      <c r="AD768" s="9"/>
    </row>
    <row r="769" ht="15.75" customHeight="1">
      <c r="A769" s="9"/>
      <c r="B769" s="9"/>
      <c r="C769" s="9"/>
      <c r="D769" s="9"/>
      <c r="E769" s="9"/>
      <c r="F769" s="9"/>
      <c r="G769" s="9"/>
      <c r="H769" s="223"/>
      <c r="I769" s="9"/>
      <c r="J769" s="9"/>
      <c r="K769" s="9"/>
      <c r="L769" s="9"/>
      <c r="M769" s="9"/>
      <c r="N769" s="9"/>
      <c r="O769" s="9"/>
      <c r="P769" s="9"/>
      <c r="Q769" s="223"/>
      <c r="R769" s="9"/>
      <c r="S769" s="9"/>
      <c r="T769" s="9"/>
      <c r="U769" s="9"/>
      <c r="V769" s="9"/>
      <c r="W769" s="971"/>
      <c r="X769" s="9"/>
      <c r="Y769" s="9"/>
      <c r="Z769" s="204"/>
      <c r="AA769" s="9"/>
      <c r="AB769" s="9"/>
      <c r="AC769" s="9"/>
      <c r="AD769" s="9"/>
    </row>
    <row r="770" ht="15.75" customHeight="1">
      <c r="A770" s="9"/>
      <c r="B770" s="9"/>
      <c r="C770" s="9"/>
      <c r="D770" s="9"/>
      <c r="E770" s="9"/>
      <c r="F770" s="9"/>
      <c r="G770" s="9"/>
      <c r="H770" s="223"/>
      <c r="I770" s="9"/>
      <c r="J770" s="9"/>
      <c r="K770" s="9"/>
      <c r="L770" s="9"/>
      <c r="M770" s="9"/>
      <c r="N770" s="9"/>
      <c r="O770" s="9"/>
      <c r="P770" s="9"/>
      <c r="Q770" s="223"/>
      <c r="R770" s="9"/>
      <c r="S770" s="9"/>
      <c r="T770" s="9"/>
      <c r="U770" s="9"/>
      <c r="V770" s="9"/>
      <c r="W770" s="971"/>
      <c r="X770" s="9"/>
      <c r="Y770" s="9"/>
      <c r="Z770" s="204"/>
      <c r="AA770" s="9"/>
      <c r="AB770" s="9"/>
      <c r="AC770" s="9"/>
      <c r="AD770" s="9"/>
    </row>
    <row r="771" ht="15.75" customHeight="1">
      <c r="A771" s="9"/>
      <c r="B771" s="9"/>
      <c r="C771" s="9"/>
      <c r="D771" s="9"/>
      <c r="E771" s="9"/>
      <c r="F771" s="9"/>
      <c r="G771" s="9"/>
      <c r="H771" s="223"/>
      <c r="I771" s="9"/>
      <c r="J771" s="9"/>
      <c r="K771" s="9"/>
      <c r="L771" s="9"/>
      <c r="M771" s="9"/>
      <c r="N771" s="9"/>
      <c r="O771" s="9"/>
      <c r="P771" s="9"/>
      <c r="Q771" s="223"/>
      <c r="R771" s="9"/>
      <c r="S771" s="9"/>
      <c r="T771" s="9"/>
      <c r="U771" s="9"/>
      <c r="V771" s="9"/>
      <c r="W771" s="971"/>
      <c r="X771" s="9"/>
      <c r="Y771" s="9"/>
      <c r="Z771" s="204"/>
      <c r="AA771" s="9"/>
      <c r="AB771" s="9"/>
      <c r="AC771" s="9"/>
      <c r="AD771" s="9"/>
    </row>
    <row r="772" ht="15.75" customHeight="1">
      <c r="A772" s="9"/>
      <c r="B772" s="9"/>
      <c r="C772" s="9"/>
      <c r="D772" s="9"/>
      <c r="E772" s="9"/>
      <c r="F772" s="9"/>
      <c r="G772" s="9"/>
      <c r="H772" s="223"/>
      <c r="I772" s="9"/>
      <c r="J772" s="9"/>
      <c r="K772" s="9"/>
      <c r="L772" s="9"/>
      <c r="M772" s="9"/>
      <c r="N772" s="9"/>
      <c r="O772" s="9"/>
      <c r="P772" s="9"/>
      <c r="Q772" s="223"/>
      <c r="R772" s="9"/>
      <c r="S772" s="9"/>
      <c r="T772" s="9"/>
      <c r="U772" s="9"/>
      <c r="V772" s="9"/>
      <c r="W772" s="971"/>
      <c r="X772" s="9"/>
      <c r="Y772" s="9"/>
      <c r="Z772" s="204"/>
      <c r="AA772" s="9"/>
      <c r="AB772" s="9"/>
      <c r="AC772" s="9"/>
      <c r="AD772" s="9"/>
    </row>
    <row r="773" ht="15.75" customHeight="1">
      <c r="A773" s="9"/>
      <c r="B773" s="9"/>
      <c r="C773" s="9"/>
      <c r="D773" s="9"/>
      <c r="E773" s="9"/>
      <c r="F773" s="9"/>
      <c r="G773" s="9"/>
      <c r="H773" s="223"/>
      <c r="I773" s="9"/>
      <c r="J773" s="9"/>
      <c r="K773" s="9"/>
      <c r="L773" s="9"/>
      <c r="M773" s="9"/>
      <c r="N773" s="9"/>
      <c r="O773" s="9"/>
      <c r="P773" s="9"/>
      <c r="Q773" s="223"/>
      <c r="R773" s="9"/>
      <c r="S773" s="9"/>
      <c r="T773" s="9"/>
      <c r="U773" s="9"/>
      <c r="V773" s="9"/>
      <c r="W773" s="971"/>
      <c r="X773" s="9"/>
      <c r="Y773" s="9"/>
      <c r="Z773" s="204"/>
      <c r="AA773" s="9"/>
      <c r="AB773" s="9"/>
      <c r="AC773" s="9"/>
      <c r="AD773" s="9"/>
    </row>
    <row r="774" ht="15.75" customHeight="1">
      <c r="A774" s="9"/>
      <c r="B774" s="9"/>
      <c r="C774" s="9"/>
      <c r="D774" s="9"/>
      <c r="E774" s="9"/>
      <c r="F774" s="9"/>
      <c r="G774" s="9"/>
      <c r="H774" s="223"/>
      <c r="I774" s="9"/>
      <c r="J774" s="9"/>
      <c r="K774" s="9"/>
      <c r="L774" s="9"/>
      <c r="M774" s="9"/>
      <c r="N774" s="9"/>
      <c r="O774" s="9"/>
      <c r="P774" s="9"/>
      <c r="Q774" s="223"/>
      <c r="R774" s="9"/>
      <c r="S774" s="9"/>
      <c r="T774" s="9"/>
      <c r="U774" s="9"/>
      <c r="V774" s="9"/>
      <c r="W774" s="971"/>
      <c r="X774" s="9"/>
      <c r="Y774" s="9"/>
      <c r="Z774" s="204"/>
      <c r="AA774" s="9"/>
      <c r="AB774" s="9"/>
      <c r="AC774" s="9"/>
      <c r="AD774" s="9"/>
    </row>
    <row r="775" ht="15.75" customHeight="1">
      <c r="A775" s="9"/>
      <c r="B775" s="9"/>
      <c r="C775" s="9"/>
      <c r="D775" s="9"/>
      <c r="E775" s="9"/>
      <c r="F775" s="9"/>
      <c r="G775" s="9"/>
      <c r="H775" s="223"/>
      <c r="I775" s="9"/>
      <c r="J775" s="9"/>
      <c r="K775" s="9"/>
      <c r="L775" s="9"/>
      <c r="M775" s="9"/>
      <c r="N775" s="9"/>
      <c r="O775" s="9"/>
      <c r="P775" s="9"/>
      <c r="Q775" s="223"/>
      <c r="R775" s="9"/>
      <c r="S775" s="9"/>
      <c r="T775" s="9"/>
      <c r="U775" s="9"/>
      <c r="V775" s="9"/>
      <c r="W775" s="971"/>
      <c r="X775" s="9"/>
      <c r="Y775" s="9"/>
      <c r="Z775" s="204"/>
      <c r="AA775" s="9"/>
      <c r="AB775" s="9"/>
      <c r="AC775" s="9"/>
      <c r="AD775" s="9"/>
    </row>
    <row r="776" ht="15.75" customHeight="1">
      <c r="A776" s="9"/>
      <c r="B776" s="9"/>
      <c r="C776" s="9"/>
      <c r="D776" s="9"/>
      <c r="E776" s="9"/>
      <c r="F776" s="9"/>
      <c r="G776" s="9"/>
      <c r="H776" s="223"/>
      <c r="I776" s="9"/>
      <c r="J776" s="9"/>
      <c r="K776" s="9"/>
      <c r="L776" s="9"/>
      <c r="M776" s="9"/>
      <c r="N776" s="9"/>
      <c r="O776" s="9"/>
      <c r="P776" s="9"/>
      <c r="Q776" s="223"/>
      <c r="R776" s="9"/>
      <c r="S776" s="9"/>
      <c r="T776" s="9"/>
      <c r="U776" s="9"/>
      <c r="V776" s="9"/>
      <c r="W776" s="971"/>
      <c r="X776" s="9"/>
      <c r="Y776" s="9"/>
      <c r="Z776" s="204"/>
      <c r="AA776" s="9"/>
      <c r="AB776" s="9"/>
      <c r="AC776" s="9"/>
      <c r="AD776" s="9"/>
    </row>
    <row r="777" ht="15.75" customHeight="1">
      <c r="A777" s="9"/>
      <c r="B777" s="9"/>
      <c r="C777" s="9"/>
      <c r="D777" s="9"/>
      <c r="E777" s="9"/>
      <c r="F777" s="9"/>
      <c r="G777" s="9"/>
      <c r="H777" s="223"/>
      <c r="I777" s="9"/>
      <c r="J777" s="9"/>
      <c r="K777" s="9"/>
      <c r="L777" s="9"/>
      <c r="M777" s="9"/>
      <c r="N777" s="9"/>
      <c r="O777" s="9"/>
      <c r="P777" s="9"/>
      <c r="Q777" s="223"/>
      <c r="R777" s="9"/>
      <c r="S777" s="9"/>
      <c r="T777" s="9"/>
      <c r="U777" s="9"/>
      <c r="V777" s="9"/>
      <c r="W777" s="971"/>
      <c r="X777" s="9"/>
      <c r="Y777" s="9"/>
      <c r="Z777" s="204"/>
      <c r="AA777" s="9"/>
      <c r="AB777" s="9"/>
      <c r="AC777" s="9"/>
      <c r="AD777" s="9"/>
    </row>
    <row r="778" ht="15.75" customHeight="1">
      <c r="A778" s="9"/>
      <c r="B778" s="9"/>
      <c r="C778" s="9"/>
      <c r="D778" s="9"/>
      <c r="E778" s="9"/>
      <c r="F778" s="9"/>
      <c r="G778" s="9"/>
      <c r="H778" s="223"/>
      <c r="I778" s="9"/>
      <c r="J778" s="9"/>
      <c r="K778" s="9"/>
      <c r="L778" s="9"/>
      <c r="M778" s="9"/>
      <c r="N778" s="9"/>
      <c r="O778" s="9"/>
      <c r="P778" s="9"/>
      <c r="Q778" s="223"/>
      <c r="R778" s="9"/>
      <c r="S778" s="9"/>
      <c r="T778" s="9"/>
      <c r="U778" s="9"/>
      <c r="V778" s="9"/>
      <c r="W778" s="971"/>
      <c r="X778" s="9"/>
      <c r="Y778" s="9"/>
      <c r="Z778" s="204"/>
      <c r="AA778" s="9"/>
      <c r="AB778" s="9"/>
      <c r="AC778" s="9"/>
      <c r="AD778" s="9"/>
    </row>
    <row r="779" ht="15.75" customHeight="1">
      <c r="A779" s="9"/>
      <c r="B779" s="9"/>
      <c r="C779" s="9"/>
      <c r="D779" s="9"/>
      <c r="E779" s="9"/>
      <c r="F779" s="9"/>
      <c r="G779" s="9"/>
      <c r="H779" s="223"/>
      <c r="I779" s="9"/>
      <c r="J779" s="9"/>
      <c r="K779" s="9"/>
      <c r="L779" s="9"/>
      <c r="M779" s="9"/>
      <c r="N779" s="9"/>
      <c r="O779" s="9"/>
      <c r="P779" s="9"/>
      <c r="Q779" s="223"/>
      <c r="R779" s="9"/>
      <c r="S779" s="9"/>
      <c r="T779" s="9"/>
      <c r="U779" s="9"/>
      <c r="V779" s="9"/>
      <c r="W779" s="971"/>
      <c r="X779" s="9"/>
      <c r="Y779" s="9"/>
      <c r="Z779" s="204"/>
      <c r="AA779" s="9"/>
      <c r="AB779" s="9"/>
      <c r="AC779" s="9"/>
      <c r="AD779" s="9"/>
    </row>
    <row r="780" ht="15.75" customHeight="1">
      <c r="A780" s="9"/>
      <c r="B780" s="9"/>
      <c r="C780" s="9"/>
      <c r="D780" s="9"/>
      <c r="E780" s="9"/>
      <c r="F780" s="9"/>
      <c r="G780" s="9"/>
      <c r="H780" s="223"/>
      <c r="I780" s="9"/>
      <c r="J780" s="9"/>
      <c r="K780" s="9"/>
      <c r="L780" s="9"/>
      <c r="M780" s="9"/>
      <c r="N780" s="9"/>
      <c r="O780" s="9"/>
      <c r="P780" s="9"/>
      <c r="Q780" s="223"/>
      <c r="R780" s="9"/>
      <c r="S780" s="9"/>
      <c r="T780" s="9"/>
      <c r="U780" s="9"/>
      <c r="V780" s="9"/>
      <c r="W780" s="971"/>
      <c r="X780" s="9"/>
      <c r="Y780" s="9"/>
      <c r="Z780" s="204"/>
      <c r="AA780" s="9"/>
      <c r="AB780" s="9"/>
      <c r="AC780" s="9"/>
      <c r="AD780" s="9"/>
    </row>
    <row r="781" ht="15.75" customHeight="1">
      <c r="A781" s="9"/>
      <c r="B781" s="9"/>
      <c r="C781" s="9"/>
      <c r="D781" s="9"/>
      <c r="E781" s="9"/>
      <c r="F781" s="9"/>
      <c r="G781" s="9"/>
      <c r="H781" s="223"/>
      <c r="I781" s="9"/>
      <c r="J781" s="9"/>
      <c r="K781" s="9"/>
      <c r="L781" s="9"/>
      <c r="M781" s="9"/>
      <c r="N781" s="9"/>
      <c r="O781" s="9"/>
      <c r="P781" s="9"/>
      <c r="Q781" s="223"/>
      <c r="R781" s="9"/>
      <c r="S781" s="9"/>
      <c r="T781" s="9"/>
      <c r="U781" s="9"/>
      <c r="V781" s="9"/>
      <c r="W781" s="971"/>
      <c r="X781" s="9"/>
      <c r="Y781" s="9"/>
      <c r="Z781" s="204"/>
      <c r="AA781" s="9"/>
      <c r="AB781" s="9"/>
      <c r="AC781" s="9"/>
      <c r="AD781" s="9"/>
    </row>
    <row r="782" ht="15.75" customHeight="1">
      <c r="A782" s="9"/>
      <c r="B782" s="9"/>
      <c r="C782" s="9"/>
      <c r="D782" s="9"/>
      <c r="E782" s="9"/>
      <c r="F782" s="9"/>
      <c r="G782" s="9"/>
      <c r="H782" s="223"/>
      <c r="I782" s="9"/>
      <c r="J782" s="9"/>
      <c r="K782" s="9"/>
      <c r="L782" s="9"/>
      <c r="M782" s="9"/>
      <c r="N782" s="9"/>
      <c r="O782" s="9"/>
      <c r="P782" s="9"/>
      <c r="Q782" s="223"/>
      <c r="R782" s="9"/>
      <c r="S782" s="9"/>
      <c r="T782" s="9"/>
      <c r="U782" s="9"/>
      <c r="V782" s="9"/>
      <c r="W782" s="971"/>
      <c r="X782" s="9"/>
      <c r="Y782" s="9"/>
      <c r="Z782" s="204"/>
      <c r="AA782" s="9"/>
      <c r="AB782" s="9"/>
      <c r="AC782" s="9"/>
      <c r="AD782" s="9"/>
    </row>
    <row r="783" ht="15.75" customHeight="1">
      <c r="A783" s="9"/>
      <c r="B783" s="9"/>
      <c r="C783" s="9"/>
      <c r="D783" s="9"/>
      <c r="E783" s="9"/>
      <c r="F783" s="9"/>
      <c r="G783" s="9"/>
      <c r="H783" s="223"/>
      <c r="I783" s="9"/>
      <c r="J783" s="9"/>
      <c r="K783" s="9"/>
      <c r="L783" s="9"/>
      <c r="M783" s="9"/>
      <c r="N783" s="9"/>
      <c r="O783" s="9"/>
      <c r="P783" s="9"/>
      <c r="Q783" s="223"/>
      <c r="R783" s="9"/>
      <c r="S783" s="9"/>
      <c r="T783" s="9"/>
      <c r="U783" s="9"/>
      <c r="V783" s="9"/>
      <c r="W783" s="971"/>
      <c r="X783" s="9"/>
      <c r="Y783" s="9"/>
      <c r="Z783" s="204"/>
      <c r="AA783" s="9"/>
      <c r="AB783" s="9"/>
      <c r="AC783" s="9"/>
      <c r="AD783" s="9"/>
    </row>
    <row r="784" ht="15.75" customHeight="1">
      <c r="A784" s="9"/>
      <c r="B784" s="9"/>
      <c r="C784" s="9"/>
      <c r="D784" s="9"/>
      <c r="E784" s="9"/>
      <c r="F784" s="9"/>
      <c r="G784" s="9"/>
      <c r="H784" s="223"/>
      <c r="I784" s="9"/>
      <c r="J784" s="9"/>
      <c r="K784" s="9"/>
      <c r="L784" s="9"/>
      <c r="M784" s="9"/>
      <c r="N784" s="9"/>
      <c r="O784" s="9"/>
      <c r="P784" s="9"/>
      <c r="Q784" s="223"/>
      <c r="R784" s="9"/>
      <c r="S784" s="9"/>
      <c r="T784" s="9"/>
      <c r="U784" s="9"/>
      <c r="V784" s="9"/>
      <c r="W784" s="971"/>
      <c r="X784" s="9"/>
      <c r="Y784" s="9"/>
      <c r="Z784" s="204"/>
      <c r="AA784" s="9"/>
      <c r="AB784" s="9"/>
      <c r="AC784" s="9"/>
      <c r="AD784" s="9"/>
    </row>
    <row r="785" ht="15.75" customHeight="1">
      <c r="A785" s="9"/>
      <c r="B785" s="9"/>
      <c r="C785" s="9"/>
      <c r="D785" s="9"/>
      <c r="E785" s="9"/>
      <c r="F785" s="9"/>
      <c r="G785" s="9"/>
      <c r="H785" s="223"/>
      <c r="I785" s="9"/>
      <c r="J785" s="9"/>
      <c r="K785" s="9"/>
      <c r="L785" s="9"/>
      <c r="M785" s="9"/>
      <c r="N785" s="9"/>
      <c r="O785" s="9"/>
      <c r="P785" s="9"/>
      <c r="Q785" s="223"/>
      <c r="R785" s="9"/>
      <c r="S785" s="9"/>
      <c r="T785" s="9"/>
      <c r="U785" s="9"/>
      <c r="V785" s="9"/>
      <c r="W785" s="971"/>
      <c r="X785" s="9"/>
      <c r="Y785" s="9"/>
      <c r="Z785" s="204"/>
      <c r="AA785" s="9"/>
      <c r="AB785" s="9"/>
      <c r="AC785" s="9"/>
      <c r="AD785" s="9"/>
    </row>
    <row r="786" ht="15.75" customHeight="1">
      <c r="A786" s="9"/>
      <c r="B786" s="9"/>
      <c r="C786" s="9"/>
      <c r="D786" s="9"/>
      <c r="E786" s="9"/>
      <c r="F786" s="9"/>
      <c r="G786" s="9"/>
      <c r="H786" s="223"/>
      <c r="I786" s="9"/>
      <c r="J786" s="9"/>
      <c r="K786" s="9"/>
      <c r="L786" s="9"/>
      <c r="M786" s="9"/>
      <c r="N786" s="9"/>
      <c r="O786" s="9"/>
      <c r="P786" s="9"/>
      <c r="Q786" s="223"/>
      <c r="R786" s="9"/>
      <c r="S786" s="9"/>
      <c r="T786" s="9"/>
      <c r="U786" s="9"/>
      <c r="V786" s="9"/>
      <c r="W786" s="971"/>
      <c r="X786" s="9"/>
      <c r="Y786" s="9"/>
      <c r="Z786" s="204"/>
      <c r="AA786" s="9"/>
      <c r="AB786" s="9"/>
      <c r="AC786" s="9"/>
      <c r="AD786" s="9"/>
    </row>
    <row r="787" ht="15.75" customHeight="1">
      <c r="A787" s="9"/>
      <c r="B787" s="9"/>
      <c r="C787" s="9"/>
      <c r="D787" s="9"/>
      <c r="E787" s="9"/>
      <c r="F787" s="9"/>
      <c r="G787" s="9"/>
      <c r="H787" s="223"/>
      <c r="I787" s="9"/>
      <c r="J787" s="9"/>
      <c r="K787" s="9"/>
      <c r="L787" s="9"/>
      <c r="M787" s="9"/>
      <c r="N787" s="9"/>
      <c r="O787" s="9"/>
      <c r="P787" s="9"/>
      <c r="Q787" s="223"/>
      <c r="R787" s="9"/>
      <c r="S787" s="9"/>
      <c r="T787" s="9"/>
      <c r="U787" s="9"/>
      <c r="V787" s="9"/>
      <c r="W787" s="971"/>
      <c r="X787" s="9"/>
      <c r="Y787" s="9"/>
      <c r="Z787" s="204"/>
      <c r="AA787" s="9"/>
      <c r="AB787" s="9"/>
      <c r="AC787" s="9"/>
      <c r="AD787" s="9"/>
    </row>
    <row r="788" ht="15.75" customHeight="1">
      <c r="A788" s="9"/>
      <c r="B788" s="9"/>
      <c r="C788" s="9"/>
      <c r="D788" s="9"/>
      <c r="E788" s="9"/>
      <c r="F788" s="9"/>
      <c r="G788" s="9"/>
      <c r="H788" s="223"/>
      <c r="I788" s="9"/>
      <c r="J788" s="9"/>
      <c r="K788" s="9"/>
      <c r="L788" s="9"/>
      <c r="M788" s="9"/>
      <c r="N788" s="9"/>
      <c r="O788" s="9"/>
      <c r="P788" s="9"/>
      <c r="Q788" s="223"/>
      <c r="R788" s="9"/>
      <c r="S788" s="9"/>
      <c r="T788" s="9"/>
      <c r="U788" s="9"/>
      <c r="V788" s="9"/>
      <c r="W788" s="971"/>
      <c r="X788" s="9"/>
      <c r="Y788" s="9"/>
      <c r="Z788" s="204"/>
      <c r="AA788" s="9"/>
      <c r="AB788" s="9"/>
      <c r="AC788" s="9"/>
      <c r="AD788" s="9"/>
    </row>
    <row r="789" ht="15.75" customHeight="1">
      <c r="A789" s="9"/>
      <c r="B789" s="9"/>
      <c r="C789" s="9"/>
      <c r="D789" s="9"/>
      <c r="E789" s="9"/>
      <c r="F789" s="9"/>
      <c r="G789" s="9"/>
      <c r="H789" s="223"/>
      <c r="I789" s="9"/>
      <c r="J789" s="9"/>
      <c r="K789" s="9"/>
      <c r="L789" s="9"/>
      <c r="M789" s="9"/>
      <c r="N789" s="9"/>
      <c r="O789" s="9"/>
      <c r="P789" s="9"/>
      <c r="Q789" s="223"/>
      <c r="R789" s="9"/>
      <c r="S789" s="9"/>
      <c r="T789" s="9"/>
      <c r="U789" s="9"/>
      <c r="V789" s="9"/>
      <c r="W789" s="971"/>
      <c r="X789" s="9"/>
      <c r="Y789" s="9"/>
      <c r="Z789" s="204"/>
      <c r="AA789" s="9"/>
      <c r="AB789" s="9"/>
      <c r="AC789" s="9"/>
      <c r="AD789" s="9"/>
    </row>
    <row r="790" ht="15.75" customHeight="1">
      <c r="A790" s="9"/>
      <c r="B790" s="9"/>
      <c r="C790" s="9"/>
      <c r="D790" s="9"/>
      <c r="E790" s="9"/>
      <c r="F790" s="9"/>
      <c r="G790" s="9"/>
      <c r="H790" s="223"/>
      <c r="I790" s="9"/>
      <c r="J790" s="9"/>
      <c r="K790" s="9"/>
      <c r="L790" s="9"/>
      <c r="M790" s="9"/>
      <c r="N790" s="9"/>
      <c r="O790" s="9"/>
      <c r="P790" s="9"/>
      <c r="Q790" s="223"/>
      <c r="R790" s="9"/>
      <c r="S790" s="9"/>
      <c r="T790" s="9"/>
      <c r="U790" s="9"/>
      <c r="V790" s="9"/>
      <c r="W790" s="971"/>
      <c r="X790" s="9"/>
      <c r="Y790" s="9"/>
      <c r="Z790" s="204"/>
      <c r="AA790" s="9"/>
      <c r="AB790" s="9"/>
      <c r="AC790" s="9"/>
      <c r="AD790" s="9"/>
    </row>
    <row r="791" ht="15.75" customHeight="1">
      <c r="A791" s="9"/>
      <c r="B791" s="9"/>
      <c r="C791" s="9"/>
      <c r="D791" s="9"/>
      <c r="E791" s="9"/>
      <c r="F791" s="9"/>
      <c r="G791" s="9"/>
      <c r="H791" s="223"/>
      <c r="I791" s="9"/>
      <c r="J791" s="9"/>
      <c r="K791" s="9"/>
      <c r="L791" s="9"/>
      <c r="M791" s="9"/>
      <c r="N791" s="9"/>
      <c r="O791" s="9"/>
      <c r="P791" s="9"/>
      <c r="Q791" s="223"/>
      <c r="R791" s="9"/>
      <c r="S791" s="9"/>
      <c r="T791" s="9"/>
      <c r="U791" s="9"/>
      <c r="V791" s="9"/>
      <c r="W791" s="971"/>
      <c r="X791" s="9"/>
      <c r="Y791" s="9"/>
      <c r="Z791" s="204"/>
      <c r="AA791" s="9"/>
      <c r="AB791" s="9"/>
      <c r="AC791" s="9"/>
      <c r="AD791" s="9"/>
    </row>
    <row r="792" ht="15.75" customHeight="1">
      <c r="A792" s="9"/>
      <c r="B792" s="9"/>
      <c r="C792" s="9"/>
      <c r="D792" s="9"/>
      <c r="E792" s="9"/>
      <c r="F792" s="9"/>
      <c r="G792" s="9"/>
      <c r="H792" s="223"/>
      <c r="I792" s="9"/>
      <c r="J792" s="9"/>
      <c r="K792" s="9"/>
      <c r="L792" s="9"/>
      <c r="M792" s="9"/>
      <c r="N792" s="9"/>
      <c r="O792" s="9"/>
      <c r="P792" s="9"/>
      <c r="Q792" s="223"/>
      <c r="R792" s="9"/>
      <c r="S792" s="9"/>
      <c r="T792" s="9"/>
      <c r="U792" s="9"/>
      <c r="V792" s="9"/>
      <c r="W792" s="971"/>
      <c r="X792" s="9"/>
      <c r="Y792" s="9"/>
      <c r="Z792" s="204"/>
      <c r="AA792" s="9"/>
      <c r="AB792" s="9"/>
      <c r="AC792" s="9"/>
      <c r="AD792" s="9"/>
    </row>
    <row r="793" ht="15.75" customHeight="1">
      <c r="A793" s="9"/>
      <c r="B793" s="9"/>
      <c r="C793" s="9"/>
      <c r="D793" s="9"/>
      <c r="E793" s="9"/>
      <c r="F793" s="9"/>
      <c r="G793" s="9"/>
      <c r="H793" s="223"/>
      <c r="I793" s="9"/>
      <c r="J793" s="9"/>
      <c r="K793" s="9"/>
      <c r="L793" s="9"/>
      <c r="M793" s="9"/>
      <c r="N793" s="9"/>
      <c r="O793" s="9"/>
      <c r="P793" s="9"/>
      <c r="Q793" s="223"/>
      <c r="R793" s="9"/>
      <c r="S793" s="9"/>
      <c r="T793" s="9"/>
      <c r="U793" s="9"/>
      <c r="V793" s="9"/>
      <c r="W793" s="971"/>
      <c r="X793" s="9"/>
      <c r="Y793" s="9"/>
      <c r="Z793" s="204"/>
      <c r="AA793" s="9"/>
      <c r="AB793" s="9"/>
      <c r="AC793" s="9"/>
      <c r="AD793" s="9"/>
    </row>
    <row r="794" ht="15.75" customHeight="1">
      <c r="A794" s="9"/>
      <c r="B794" s="9"/>
      <c r="C794" s="9"/>
      <c r="D794" s="9"/>
      <c r="E794" s="9"/>
      <c r="F794" s="9"/>
      <c r="G794" s="9"/>
      <c r="H794" s="223"/>
      <c r="I794" s="9"/>
      <c r="J794" s="9"/>
      <c r="K794" s="9"/>
      <c r="L794" s="9"/>
      <c r="M794" s="9"/>
      <c r="N794" s="9"/>
      <c r="O794" s="9"/>
      <c r="P794" s="9"/>
      <c r="Q794" s="223"/>
      <c r="R794" s="9"/>
      <c r="S794" s="9"/>
      <c r="T794" s="9"/>
      <c r="U794" s="9"/>
      <c r="V794" s="9"/>
      <c r="W794" s="971"/>
      <c r="X794" s="9"/>
      <c r="Y794" s="9"/>
      <c r="Z794" s="204"/>
      <c r="AA794" s="9"/>
      <c r="AB794" s="9"/>
      <c r="AC794" s="9"/>
      <c r="AD794" s="9"/>
    </row>
    <row r="795" ht="15.75" customHeight="1">
      <c r="A795" s="9"/>
      <c r="B795" s="9"/>
      <c r="C795" s="9"/>
      <c r="D795" s="9"/>
      <c r="E795" s="9"/>
      <c r="F795" s="9"/>
      <c r="G795" s="9"/>
      <c r="H795" s="223"/>
      <c r="I795" s="9"/>
      <c r="J795" s="9"/>
      <c r="K795" s="9"/>
      <c r="L795" s="9"/>
      <c r="M795" s="9"/>
      <c r="N795" s="9"/>
      <c r="O795" s="9"/>
      <c r="P795" s="9"/>
      <c r="Q795" s="223"/>
      <c r="R795" s="9"/>
      <c r="S795" s="9"/>
      <c r="T795" s="9"/>
      <c r="U795" s="9"/>
      <c r="V795" s="9"/>
      <c r="W795" s="971"/>
      <c r="X795" s="9"/>
      <c r="Y795" s="9"/>
      <c r="Z795" s="204"/>
      <c r="AA795" s="9"/>
      <c r="AB795" s="9"/>
      <c r="AC795" s="9"/>
      <c r="AD795" s="9"/>
    </row>
    <row r="796" ht="15.75" customHeight="1">
      <c r="A796" s="9"/>
      <c r="B796" s="9"/>
      <c r="C796" s="9"/>
      <c r="D796" s="9"/>
      <c r="E796" s="9"/>
      <c r="F796" s="9"/>
      <c r="G796" s="9"/>
      <c r="H796" s="223"/>
      <c r="I796" s="9"/>
      <c r="J796" s="9"/>
      <c r="K796" s="9"/>
      <c r="L796" s="9"/>
      <c r="M796" s="9"/>
      <c r="N796" s="9"/>
      <c r="O796" s="9"/>
      <c r="P796" s="9"/>
      <c r="Q796" s="223"/>
      <c r="R796" s="9"/>
      <c r="S796" s="9"/>
      <c r="T796" s="9"/>
      <c r="U796" s="9"/>
      <c r="V796" s="9"/>
      <c r="W796" s="971"/>
      <c r="X796" s="9"/>
      <c r="Y796" s="9"/>
      <c r="Z796" s="204"/>
      <c r="AA796" s="9"/>
      <c r="AB796" s="9"/>
      <c r="AC796" s="9"/>
      <c r="AD796" s="9"/>
    </row>
    <row r="797" ht="15.75" customHeight="1">
      <c r="A797" s="9"/>
      <c r="B797" s="9"/>
      <c r="C797" s="9"/>
      <c r="D797" s="9"/>
      <c r="E797" s="9"/>
      <c r="F797" s="9"/>
      <c r="G797" s="9"/>
      <c r="H797" s="223"/>
      <c r="I797" s="9"/>
      <c r="J797" s="9"/>
      <c r="K797" s="9"/>
      <c r="L797" s="9"/>
      <c r="M797" s="9"/>
      <c r="N797" s="9"/>
      <c r="O797" s="9"/>
      <c r="P797" s="9"/>
      <c r="Q797" s="223"/>
      <c r="R797" s="9"/>
      <c r="S797" s="9"/>
      <c r="T797" s="9"/>
      <c r="U797" s="9"/>
      <c r="V797" s="9"/>
      <c r="W797" s="971"/>
      <c r="X797" s="9"/>
      <c r="Y797" s="9"/>
      <c r="Z797" s="204"/>
      <c r="AA797" s="9"/>
      <c r="AB797" s="9"/>
      <c r="AC797" s="9"/>
      <c r="AD797" s="9"/>
    </row>
    <row r="798" ht="15.75" customHeight="1">
      <c r="A798" s="9"/>
      <c r="B798" s="9"/>
      <c r="C798" s="9"/>
      <c r="D798" s="9"/>
      <c r="E798" s="9"/>
      <c r="F798" s="9"/>
      <c r="G798" s="9"/>
      <c r="H798" s="223"/>
      <c r="I798" s="9"/>
      <c r="J798" s="9"/>
      <c r="K798" s="9"/>
      <c r="L798" s="9"/>
      <c r="M798" s="9"/>
      <c r="N798" s="9"/>
      <c r="O798" s="9"/>
      <c r="P798" s="9"/>
      <c r="Q798" s="223"/>
      <c r="R798" s="9"/>
      <c r="S798" s="9"/>
      <c r="T798" s="9"/>
      <c r="U798" s="9"/>
      <c r="V798" s="9"/>
      <c r="W798" s="971"/>
      <c r="X798" s="9"/>
      <c r="Y798" s="9"/>
      <c r="Z798" s="204"/>
      <c r="AA798" s="9"/>
      <c r="AB798" s="9"/>
      <c r="AC798" s="9"/>
      <c r="AD798" s="9"/>
    </row>
    <row r="799" ht="15.75" customHeight="1">
      <c r="A799" s="9"/>
      <c r="B799" s="9"/>
      <c r="C799" s="9"/>
      <c r="D799" s="9"/>
      <c r="E799" s="9"/>
      <c r="F799" s="9"/>
      <c r="G799" s="9"/>
      <c r="H799" s="223"/>
      <c r="I799" s="9"/>
      <c r="J799" s="9"/>
      <c r="K799" s="9"/>
      <c r="L799" s="9"/>
      <c r="M799" s="9"/>
      <c r="N799" s="9"/>
      <c r="O799" s="9"/>
      <c r="P799" s="9"/>
      <c r="Q799" s="223"/>
      <c r="R799" s="9"/>
      <c r="S799" s="9"/>
      <c r="T799" s="9"/>
      <c r="U799" s="9"/>
      <c r="V799" s="9"/>
      <c r="W799" s="971"/>
      <c r="X799" s="9"/>
      <c r="Y799" s="9"/>
      <c r="Z799" s="204"/>
      <c r="AA799" s="9"/>
      <c r="AB799" s="9"/>
      <c r="AC799" s="9"/>
      <c r="AD799" s="9"/>
    </row>
    <row r="800" ht="15.75" customHeight="1">
      <c r="A800" s="9"/>
      <c r="B800" s="9"/>
      <c r="C800" s="9"/>
      <c r="D800" s="9"/>
      <c r="E800" s="9"/>
      <c r="F800" s="9"/>
      <c r="G800" s="9"/>
      <c r="H800" s="223"/>
      <c r="I800" s="9"/>
      <c r="J800" s="9"/>
      <c r="K800" s="9"/>
      <c r="L800" s="9"/>
      <c r="M800" s="9"/>
      <c r="N800" s="9"/>
      <c r="O800" s="9"/>
      <c r="P800" s="9"/>
      <c r="Q800" s="223"/>
      <c r="R800" s="9"/>
      <c r="S800" s="9"/>
      <c r="T800" s="9"/>
      <c r="U800" s="9"/>
      <c r="V800" s="9"/>
      <c r="W800" s="971"/>
      <c r="X800" s="9"/>
      <c r="Y800" s="9"/>
      <c r="Z800" s="204"/>
      <c r="AA800" s="9"/>
      <c r="AB800" s="9"/>
      <c r="AC800" s="9"/>
      <c r="AD800" s="9"/>
    </row>
    <row r="801" ht="15.75" customHeight="1">
      <c r="A801" s="9"/>
      <c r="B801" s="9"/>
      <c r="C801" s="9"/>
      <c r="D801" s="9"/>
      <c r="E801" s="9"/>
      <c r="F801" s="9"/>
      <c r="G801" s="9"/>
      <c r="H801" s="223"/>
      <c r="I801" s="9"/>
      <c r="J801" s="9"/>
      <c r="K801" s="9"/>
      <c r="L801" s="9"/>
      <c r="M801" s="9"/>
      <c r="N801" s="9"/>
      <c r="O801" s="9"/>
      <c r="P801" s="9"/>
      <c r="Q801" s="223"/>
      <c r="R801" s="9"/>
      <c r="S801" s="9"/>
      <c r="T801" s="9"/>
      <c r="U801" s="9"/>
      <c r="V801" s="9"/>
      <c r="W801" s="971"/>
      <c r="X801" s="9"/>
      <c r="Y801" s="9"/>
      <c r="Z801" s="204"/>
      <c r="AA801" s="9"/>
      <c r="AB801" s="9"/>
      <c r="AC801" s="9"/>
      <c r="AD801" s="9"/>
    </row>
    <row r="802" ht="15.75" customHeight="1">
      <c r="A802" s="9"/>
      <c r="B802" s="9"/>
      <c r="C802" s="9"/>
      <c r="D802" s="9"/>
      <c r="E802" s="9"/>
      <c r="F802" s="9"/>
      <c r="G802" s="9"/>
      <c r="H802" s="223"/>
      <c r="I802" s="9"/>
      <c r="J802" s="9"/>
      <c r="K802" s="9"/>
      <c r="L802" s="9"/>
      <c r="M802" s="9"/>
      <c r="N802" s="9"/>
      <c r="O802" s="9"/>
      <c r="P802" s="9"/>
      <c r="Q802" s="223"/>
      <c r="R802" s="9"/>
      <c r="S802" s="9"/>
      <c r="T802" s="9"/>
      <c r="U802" s="9"/>
      <c r="V802" s="9"/>
      <c r="W802" s="971"/>
      <c r="X802" s="9"/>
      <c r="Y802" s="9"/>
      <c r="Z802" s="204"/>
      <c r="AA802" s="9"/>
      <c r="AB802" s="9"/>
      <c r="AC802" s="9"/>
      <c r="AD802" s="9"/>
    </row>
    <row r="803" ht="15.75" customHeight="1">
      <c r="A803" s="9"/>
      <c r="B803" s="9"/>
      <c r="C803" s="9"/>
      <c r="D803" s="9"/>
      <c r="E803" s="9"/>
      <c r="F803" s="9"/>
      <c r="G803" s="9"/>
      <c r="H803" s="223"/>
      <c r="I803" s="9"/>
      <c r="J803" s="9"/>
      <c r="K803" s="9"/>
      <c r="L803" s="9"/>
      <c r="M803" s="9"/>
      <c r="N803" s="9"/>
      <c r="O803" s="9"/>
      <c r="P803" s="9"/>
      <c r="Q803" s="223"/>
      <c r="R803" s="9"/>
      <c r="S803" s="9"/>
      <c r="T803" s="9"/>
      <c r="U803" s="9"/>
      <c r="V803" s="9"/>
      <c r="W803" s="971"/>
      <c r="X803" s="9"/>
      <c r="Y803" s="9"/>
      <c r="Z803" s="204"/>
      <c r="AA803" s="9"/>
      <c r="AB803" s="9"/>
      <c r="AC803" s="9"/>
      <c r="AD803" s="9"/>
    </row>
    <row r="804" ht="15.75" customHeight="1">
      <c r="A804" s="9"/>
      <c r="B804" s="9"/>
      <c r="C804" s="9"/>
      <c r="D804" s="9"/>
      <c r="E804" s="9"/>
      <c r="F804" s="9"/>
      <c r="G804" s="9"/>
      <c r="H804" s="223"/>
      <c r="I804" s="9"/>
      <c r="J804" s="9"/>
      <c r="K804" s="9"/>
      <c r="L804" s="9"/>
      <c r="M804" s="9"/>
      <c r="N804" s="9"/>
      <c r="O804" s="9"/>
      <c r="P804" s="9"/>
      <c r="Q804" s="223"/>
      <c r="R804" s="9"/>
      <c r="S804" s="9"/>
      <c r="T804" s="9"/>
      <c r="U804" s="9"/>
      <c r="V804" s="9"/>
      <c r="W804" s="971"/>
      <c r="X804" s="9"/>
      <c r="Y804" s="9"/>
      <c r="Z804" s="204"/>
      <c r="AA804" s="9"/>
      <c r="AB804" s="9"/>
      <c r="AC804" s="9"/>
      <c r="AD804" s="9"/>
    </row>
    <row r="805" ht="15.75" customHeight="1">
      <c r="A805" s="9"/>
      <c r="B805" s="9"/>
      <c r="C805" s="9"/>
      <c r="D805" s="9"/>
      <c r="E805" s="9"/>
      <c r="F805" s="9"/>
      <c r="G805" s="9"/>
      <c r="H805" s="223"/>
      <c r="I805" s="9"/>
      <c r="J805" s="9"/>
      <c r="K805" s="9"/>
      <c r="L805" s="9"/>
      <c r="M805" s="9"/>
      <c r="N805" s="9"/>
      <c r="O805" s="9"/>
      <c r="P805" s="9"/>
      <c r="Q805" s="223"/>
      <c r="R805" s="9"/>
      <c r="S805" s="9"/>
      <c r="T805" s="9"/>
      <c r="U805" s="9"/>
      <c r="V805" s="9"/>
      <c r="W805" s="971"/>
      <c r="X805" s="9"/>
      <c r="Y805" s="9"/>
      <c r="Z805" s="204"/>
      <c r="AA805" s="9"/>
      <c r="AB805" s="9"/>
      <c r="AC805" s="9"/>
      <c r="AD805" s="9"/>
    </row>
    <row r="806" ht="15.75" customHeight="1">
      <c r="A806" s="9"/>
      <c r="B806" s="9"/>
      <c r="C806" s="9"/>
      <c r="D806" s="9"/>
      <c r="E806" s="9"/>
      <c r="F806" s="9"/>
      <c r="G806" s="9"/>
      <c r="H806" s="223"/>
      <c r="I806" s="9"/>
      <c r="J806" s="9"/>
      <c r="K806" s="9"/>
      <c r="L806" s="9"/>
      <c r="M806" s="9"/>
      <c r="N806" s="9"/>
      <c r="O806" s="9"/>
      <c r="P806" s="9"/>
      <c r="Q806" s="223"/>
      <c r="R806" s="9"/>
      <c r="S806" s="9"/>
      <c r="T806" s="9"/>
      <c r="U806" s="9"/>
      <c r="V806" s="9"/>
      <c r="W806" s="971"/>
      <c r="X806" s="9"/>
      <c r="Y806" s="9"/>
      <c r="Z806" s="204"/>
      <c r="AA806" s="9"/>
      <c r="AB806" s="9"/>
      <c r="AC806" s="9"/>
      <c r="AD806" s="9"/>
    </row>
    <row r="807" ht="15.75" customHeight="1">
      <c r="A807" s="9"/>
      <c r="B807" s="9"/>
      <c r="C807" s="9"/>
      <c r="D807" s="9"/>
      <c r="E807" s="9"/>
      <c r="F807" s="9"/>
      <c r="G807" s="9"/>
      <c r="H807" s="223"/>
      <c r="I807" s="9"/>
      <c r="J807" s="9"/>
      <c r="K807" s="9"/>
      <c r="L807" s="9"/>
      <c r="M807" s="9"/>
      <c r="N807" s="9"/>
      <c r="O807" s="9"/>
      <c r="P807" s="9"/>
      <c r="Q807" s="223"/>
      <c r="R807" s="9"/>
      <c r="S807" s="9"/>
      <c r="T807" s="9"/>
      <c r="U807" s="9"/>
      <c r="V807" s="9"/>
      <c r="W807" s="971"/>
      <c r="X807" s="9"/>
      <c r="Y807" s="9"/>
      <c r="Z807" s="204"/>
      <c r="AA807" s="9"/>
      <c r="AB807" s="9"/>
      <c r="AC807" s="9"/>
      <c r="AD807" s="9"/>
    </row>
    <row r="808" ht="15.75" customHeight="1">
      <c r="A808" s="9"/>
      <c r="B808" s="9"/>
      <c r="C808" s="9"/>
      <c r="D808" s="9"/>
      <c r="E808" s="9"/>
      <c r="F808" s="9"/>
      <c r="G808" s="9"/>
      <c r="H808" s="223"/>
      <c r="I808" s="9"/>
      <c r="J808" s="9"/>
      <c r="K808" s="9"/>
      <c r="L808" s="9"/>
      <c r="M808" s="9"/>
      <c r="N808" s="9"/>
      <c r="O808" s="9"/>
      <c r="P808" s="9"/>
      <c r="Q808" s="223"/>
      <c r="R808" s="9"/>
      <c r="S808" s="9"/>
      <c r="T808" s="9"/>
      <c r="U808" s="9"/>
      <c r="V808" s="9"/>
      <c r="W808" s="971"/>
      <c r="X808" s="9"/>
      <c r="Y808" s="9"/>
      <c r="Z808" s="204"/>
      <c r="AA808" s="9"/>
      <c r="AB808" s="9"/>
      <c r="AC808" s="9"/>
      <c r="AD808" s="9"/>
    </row>
    <row r="809" ht="15.75" customHeight="1">
      <c r="A809" s="9"/>
      <c r="B809" s="9"/>
      <c r="C809" s="9"/>
      <c r="D809" s="9"/>
      <c r="E809" s="9"/>
      <c r="F809" s="9"/>
      <c r="G809" s="9"/>
      <c r="H809" s="223"/>
      <c r="I809" s="9"/>
      <c r="J809" s="9"/>
      <c r="K809" s="9"/>
      <c r="L809" s="9"/>
      <c r="M809" s="9"/>
      <c r="N809" s="9"/>
      <c r="O809" s="9"/>
      <c r="P809" s="9"/>
      <c r="Q809" s="223"/>
      <c r="R809" s="9"/>
      <c r="S809" s="9"/>
      <c r="T809" s="9"/>
      <c r="U809" s="9"/>
      <c r="V809" s="9"/>
      <c r="W809" s="971"/>
      <c r="X809" s="9"/>
      <c r="Y809" s="9"/>
      <c r="Z809" s="204"/>
      <c r="AA809" s="9"/>
      <c r="AB809" s="9"/>
      <c r="AC809" s="9"/>
      <c r="AD809" s="9"/>
    </row>
    <row r="810" ht="15.75" customHeight="1">
      <c r="A810" s="9"/>
      <c r="B810" s="9"/>
      <c r="C810" s="9"/>
      <c r="D810" s="9"/>
      <c r="E810" s="9"/>
      <c r="F810" s="9"/>
      <c r="G810" s="9"/>
      <c r="H810" s="223"/>
      <c r="I810" s="9"/>
      <c r="J810" s="9"/>
      <c r="K810" s="9"/>
      <c r="L810" s="9"/>
      <c r="M810" s="9"/>
      <c r="N810" s="9"/>
      <c r="O810" s="9"/>
      <c r="P810" s="9"/>
      <c r="Q810" s="223"/>
      <c r="R810" s="9"/>
      <c r="S810" s="9"/>
      <c r="T810" s="9"/>
      <c r="U810" s="9"/>
      <c r="V810" s="9"/>
      <c r="W810" s="971"/>
      <c r="X810" s="9"/>
      <c r="Y810" s="9"/>
      <c r="Z810" s="204"/>
      <c r="AA810" s="9"/>
      <c r="AB810" s="9"/>
      <c r="AC810" s="9"/>
      <c r="AD810" s="9"/>
    </row>
    <row r="811" ht="15.75" customHeight="1">
      <c r="A811" s="9"/>
      <c r="B811" s="9"/>
      <c r="C811" s="9"/>
      <c r="D811" s="9"/>
      <c r="E811" s="9"/>
      <c r="F811" s="9"/>
      <c r="G811" s="9"/>
      <c r="H811" s="223"/>
      <c r="I811" s="9"/>
      <c r="J811" s="9"/>
      <c r="K811" s="9"/>
      <c r="L811" s="9"/>
      <c r="M811" s="9"/>
      <c r="N811" s="9"/>
      <c r="O811" s="9"/>
      <c r="P811" s="9"/>
      <c r="Q811" s="223"/>
      <c r="R811" s="9"/>
      <c r="S811" s="9"/>
      <c r="T811" s="9"/>
      <c r="U811" s="9"/>
      <c r="V811" s="9"/>
      <c r="W811" s="971"/>
      <c r="X811" s="9"/>
      <c r="Y811" s="9"/>
      <c r="Z811" s="204"/>
      <c r="AA811" s="9"/>
      <c r="AB811" s="9"/>
      <c r="AC811" s="9"/>
      <c r="AD811" s="9"/>
    </row>
    <row r="812" ht="15.75" customHeight="1">
      <c r="A812" s="9"/>
      <c r="B812" s="9"/>
      <c r="C812" s="9"/>
      <c r="D812" s="9"/>
      <c r="E812" s="9"/>
      <c r="F812" s="9"/>
      <c r="G812" s="9"/>
      <c r="H812" s="223"/>
      <c r="I812" s="9"/>
      <c r="J812" s="9"/>
      <c r="K812" s="9"/>
      <c r="L812" s="9"/>
      <c r="M812" s="9"/>
      <c r="N812" s="9"/>
      <c r="O812" s="9"/>
      <c r="P812" s="9"/>
      <c r="Q812" s="223"/>
      <c r="R812" s="9"/>
      <c r="S812" s="9"/>
      <c r="T812" s="9"/>
      <c r="U812" s="9"/>
      <c r="V812" s="9"/>
      <c r="W812" s="971"/>
      <c r="X812" s="9"/>
      <c r="Y812" s="9"/>
      <c r="Z812" s="204"/>
      <c r="AA812" s="9"/>
      <c r="AB812" s="9"/>
      <c r="AC812" s="9"/>
      <c r="AD812" s="9"/>
    </row>
    <row r="813" ht="15.75" customHeight="1">
      <c r="A813" s="9"/>
      <c r="B813" s="9"/>
      <c r="C813" s="9"/>
      <c r="D813" s="9"/>
      <c r="E813" s="9"/>
      <c r="F813" s="9"/>
      <c r="G813" s="9"/>
      <c r="H813" s="223"/>
      <c r="I813" s="9"/>
      <c r="J813" s="9"/>
      <c r="K813" s="9"/>
      <c r="L813" s="9"/>
      <c r="M813" s="9"/>
      <c r="N813" s="9"/>
      <c r="O813" s="9"/>
      <c r="P813" s="9"/>
      <c r="Q813" s="223"/>
      <c r="R813" s="9"/>
      <c r="S813" s="9"/>
      <c r="T813" s="9"/>
      <c r="U813" s="9"/>
      <c r="V813" s="9"/>
      <c r="W813" s="971"/>
      <c r="X813" s="9"/>
      <c r="Y813" s="9"/>
      <c r="Z813" s="204"/>
      <c r="AA813" s="9"/>
      <c r="AB813" s="9"/>
      <c r="AC813" s="9"/>
      <c r="AD813" s="9"/>
    </row>
    <row r="814" ht="15.75" customHeight="1">
      <c r="A814" s="9"/>
      <c r="B814" s="9"/>
      <c r="C814" s="9"/>
      <c r="D814" s="9"/>
      <c r="E814" s="9"/>
      <c r="F814" s="9"/>
      <c r="G814" s="9"/>
      <c r="H814" s="223"/>
      <c r="I814" s="9"/>
      <c r="J814" s="9"/>
      <c r="K814" s="9"/>
      <c r="L814" s="9"/>
      <c r="M814" s="9"/>
      <c r="N814" s="9"/>
      <c r="O814" s="9"/>
      <c r="P814" s="9"/>
      <c r="Q814" s="223"/>
      <c r="R814" s="9"/>
      <c r="S814" s="9"/>
      <c r="T814" s="9"/>
      <c r="U814" s="9"/>
      <c r="V814" s="9"/>
      <c r="W814" s="971"/>
      <c r="X814" s="9"/>
      <c r="Y814" s="9"/>
      <c r="Z814" s="204"/>
      <c r="AA814" s="9"/>
      <c r="AB814" s="9"/>
      <c r="AC814" s="9"/>
      <c r="AD814" s="9"/>
    </row>
    <row r="815" ht="15.75" customHeight="1">
      <c r="A815" s="9"/>
      <c r="B815" s="9"/>
      <c r="C815" s="9"/>
      <c r="D815" s="9"/>
      <c r="E815" s="9"/>
      <c r="F815" s="9"/>
      <c r="G815" s="9"/>
      <c r="H815" s="223"/>
      <c r="I815" s="9"/>
      <c r="J815" s="9"/>
      <c r="K815" s="9"/>
      <c r="L815" s="9"/>
      <c r="M815" s="9"/>
      <c r="N815" s="9"/>
      <c r="O815" s="9"/>
      <c r="P815" s="9"/>
      <c r="Q815" s="223"/>
      <c r="R815" s="9"/>
      <c r="S815" s="9"/>
      <c r="T815" s="9"/>
      <c r="U815" s="9"/>
      <c r="V815" s="9"/>
      <c r="W815" s="971"/>
      <c r="X815" s="9"/>
      <c r="Y815" s="9"/>
      <c r="Z815" s="204"/>
      <c r="AA815" s="9"/>
      <c r="AB815" s="9"/>
      <c r="AC815" s="9"/>
      <c r="AD815" s="9"/>
    </row>
    <row r="816" ht="15.75" customHeight="1">
      <c r="A816" s="9"/>
      <c r="B816" s="9"/>
      <c r="C816" s="9"/>
      <c r="D816" s="9"/>
      <c r="E816" s="9"/>
      <c r="F816" s="9"/>
      <c r="G816" s="9"/>
      <c r="H816" s="223"/>
      <c r="I816" s="9"/>
      <c r="J816" s="9"/>
      <c r="K816" s="9"/>
      <c r="L816" s="9"/>
      <c r="M816" s="9"/>
      <c r="N816" s="9"/>
      <c r="O816" s="9"/>
      <c r="P816" s="9"/>
      <c r="Q816" s="223"/>
      <c r="R816" s="9"/>
      <c r="S816" s="9"/>
      <c r="T816" s="9"/>
      <c r="U816" s="9"/>
      <c r="V816" s="9"/>
      <c r="W816" s="971"/>
      <c r="X816" s="9"/>
      <c r="Y816" s="9"/>
      <c r="Z816" s="204"/>
      <c r="AA816" s="9"/>
      <c r="AB816" s="9"/>
      <c r="AC816" s="9"/>
      <c r="AD816" s="9"/>
    </row>
    <row r="817" ht="15.75" customHeight="1">
      <c r="A817" s="9"/>
      <c r="B817" s="9"/>
      <c r="C817" s="9"/>
      <c r="D817" s="9"/>
      <c r="E817" s="9"/>
      <c r="F817" s="9"/>
      <c r="G817" s="9"/>
      <c r="H817" s="223"/>
      <c r="I817" s="9"/>
      <c r="J817" s="9"/>
      <c r="K817" s="9"/>
      <c r="L817" s="9"/>
      <c r="M817" s="9"/>
      <c r="N817" s="9"/>
      <c r="O817" s="9"/>
      <c r="P817" s="9"/>
      <c r="Q817" s="223"/>
      <c r="R817" s="9"/>
      <c r="S817" s="9"/>
      <c r="T817" s="9"/>
      <c r="U817" s="9"/>
      <c r="V817" s="9"/>
      <c r="W817" s="971"/>
      <c r="X817" s="9"/>
      <c r="Y817" s="9"/>
      <c r="Z817" s="204"/>
      <c r="AA817" s="9"/>
      <c r="AB817" s="9"/>
      <c r="AC817" s="9"/>
      <c r="AD817" s="9"/>
    </row>
    <row r="818" ht="15.75" customHeight="1">
      <c r="A818" s="9"/>
      <c r="B818" s="9"/>
      <c r="C818" s="9"/>
      <c r="D818" s="9"/>
      <c r="E818" s="9"/>
      <c r="F818" s="9"/>
      <c r="G818" s="9"/>
      <c r="H818" s="223"/>
      <c r="I818" s="9"/>
      <c r="J818" s="9"/>
      <c r="K818" s="9"/>
      <c r="L818" s="9"/>
      <c r="M818" s="9"/>
      <c r="N818" s="9"/>
      <c r="O818" s="9"/>
      <c r="P818" s="9"/>
      <c r="Q818" s="223"/>
      <c r="R818" s="9"/>
      <c r="S818" s="9"/>
      <c r="T818" s="9"/>
      <c r="U818" s="9"/>
      <c r="V818" s="9"/>
      <c r="W818" s="971"/>
      <c r="X818" s="9"/>
      <c r="Y818" s="9"/>
      <c r="Z818" s="204"/>
      <c r="AA818" s="9"/>
      <c r="AB818" s="9"/>
      <c r="AC818" s="9"/>
      <c r="AD818" s="9"/>
    </row>
    <row r="819" ht="15.75" customHeight="1">
      <c r="A819" s="9"/>
      <c r="B819" s="9"/>
      <c r="C819" s="9"/>
      <c r="D819" s="9"/>
      <c r="E819" s="9"/>
      <c r="F819" s="9"/>
      <c r="G819" s="9"/>
      <c r="H819" s="223"/>
      <c r="I819" s="9"/>
      <c r="J819" s="9"/>
      <c r="K819" s="9"/>
      <c r="L819" s="9"/>
      <c r="M819" s="9"/>
      <c r="N819" s="9"/>
      <c r="O819" s="9"/>
      <c r="P819" s="9"/>
      <c r="Q819" s="223"/>
      <c r="R819" s="9"/>
      <c r="S819" s="9"/>
      <c r="T819" s="9"/>
      <c r="U819" s="9"/>
      <c r="V819" s="9"/>
      <c r="W819" s="971"/>
      <c r="X819" s="9"/>
      <c r="Y819" s="9"/>
      <c r="Z819" s="204"/>
      <c r="AA819" s="9"/>
      <c r="AB819" s="9"/>
      <c r="AC819" s="9"/>
      <c r="AD819" s="9"/>
    </row>
    <row r="820" ht="15.75" customHeight="1">
      <c r="A820" s="9"/>
      <c r="B820" s="9"/>
      <c r="C820" s="9"/>
      <c r="D820" s="9"/>
      <c r="E820" s="9"/>
      <c r="F820" s="9"/>
      <c r="G820" s="9"/>
      <c r="H820" s="223"/>
      <c r="I820" s="9"/>
      <c r="J820" s="9"/>
      <c r="K820" s="9"/>
      <c r="L820" s="9"/>
      <c r="M820" s="9"/>
      <c r="N820" s="9"/>
      <c r="O820" s="9"/>
      <c r="P820" s="9"/>
      <c r="Q820" s="223"/>
      <c r="R820" s="9"/>
      <c r="S820" s="9"/>
      <c r="T820" s="9"/>
      <c r="U820" s="9"/>
      <c r="V820" s="9"/>
      <c r="W820" s="971"/>
      <c r="X820" s="9"/>
      <c r="Y820" s="9"/>
      <c r="Z820" s="204"/>
      <c r="AA820" s="9"/>
      <c r="AB820" s="9"/>
      <c r="AC820" s="9"/>
      <c r="AD820" s="9"/>
    </row>
    <row r="821" ht="15.75" customHeight="1">
      <c r="A821" s="9"/>
      <c r="B821" s="9"/>
      <c r="C821" s="9"/>
      <c r="D821" s="9"/>
      <c r="E821" s="9"/>
      <c r="F821" s="9"/>
      <c r="G821" s="9"/>
      <c r="H821" s="223"/>
      <c r="I821" s="9"/>
      <c r="J821" s="9"/>
      <c r="K821" s="9"/>
      <c r="L821" s="9"/>
      <c r="M821" s="9"/>
      <c r="N821" s="9"/>
      <c r="O821" s="9"/>
      <c r="P821" s="9"/>
      <c r="Q821" s="223"/>
      <c r="R821" s="9"/>
      <c r="S821" s="9"/>
      <c r="T821" s="9"/>
      <c r="U821" s="9"/>
      <c r="V821" s="9"/>
      <c r="W821" s="971"/>
      <c r="X821" s="9"/>
      <c r="Y821" s="9"/>
      <c r="Z821" s="204"/>
      <c r="AA821" s="9"/>
      <c r="AB821" s="9"/>
      <c r="AC821" s="9"/>
      <c r="AD821" s="9"/>
    </row>
    <row r="822" ht="15.75" customHeight="1">
      <c r="A822" s="9"/>
      <c r="B822" s="9"/>
      <c r="C822" s="9"/>
      <c r="D822" s="9"/>
      <c r="E822" s="9"/>
      <c r="F822" s="9"/>
      <c r="G822" s="9"/>
      <c r="H822" s="223"/>
      <c r="I822" s="9"/>
      <c r="J822" s="9"/>
      <c r="K822" s="9"/>
      <c r="L822" s="9"/>
      <c r="M822" s="9"/>
      <c r="N822" s="9"/>
      <c r="O822" s="9"/>
      <c r="P822" s="9"/>
      <c r="Q822" s="223"/>
      <c r="R822" s="9"/>
      <c r="S822" s="9"/>
      <c r="T822" s="9"/>
      <c r="U822" s="9"/>
      <c r="V822" s="9"/>
      <c r="W822" s="971"/>
      <c r="X822" s="9"/>
      <c r="Y822" s="9"/>
      <c r="Z822" s="204"/>
      <c r="AA822" s="9"/>
      <c r="AB822" s="9"/>
      <c r="AC822" s="9"/>
      <c r="AD822" s="9"/>
    </row>
    <row r="823" ht="15.75" customHeight="1">
      <c r="A823" s="9"/>
      <c r="B823" s="9"/>
      <c r="C823" s="9"/>
      <c r="D823" s="9"/>
      <c r="E823" s="9"/>
      <c r="F823" s="9"/>
      <c r="G823" s="9"/>
      <c r="H823" s="223"/>
      <c r="I823" s="9"/>
      <c r="J823" s="9"/>
      <c r="K823" s="9"/>
      <c r="L823" s="9"/>
      <c r="M823" s="9"/>
      <c r="N823" s="9"/>
      <c r="O823" s="9"/>
      <c r="P823" s="9"/>
      <c r="Q823" s="223"/>
      <c r="R823" s="9"/>
      <c r="S823" s="9"/>
      <c r="T823" s="9"/>
      <c r="U823" s="9"/>
      <c r="V823" s="9"/>
      <c r="W823" s="971"/>
      <c r="X823" s="9"/>
      <c r="Y823" s="9"/>
      <c r="Z823" s="204"/>
      <c r="AA823" s="9"/>
      <c r="AB823" s="9"/>
      <c r="AC823" s="9"/>
      <c r="AD823" s="9"/>
    </row>
    <row r="824" ht="15.75" customHeight="1">
      <c r="A824" s="9"/>
      <c r="B824" s="9"/>
      <c r="C824" s="9"/>
      <c r="D824" s="9"/>
      <c r="E824" s="9"/>
      <c r="F824" s="9"/>
      <c r="G824" s="9"/>
      <c r="H824" s="223"/>
      <c r="I824" s="9"/>
      <c r="J824" s="9"/>
      <c r="K824" s="9"/>
      <c r="L824" s="9"/>
      <c r="M824" s="9"/>
      <c r="N824" s="9"/>
      <c r="O824" s="9"/>
      <c r="P824" s="9"/>
      <c r="Q824" s="223"/>
      <c r="R824" s="9"/>
      <c r="S824" s="9"/>
      <c r="T824" s="9"/>
      <c r="U824" s="9"/>
      <c r="V824" s="9"/>
      <c r="W824" s="971"/>
      <c r="X824" s="9"/>
      <c r="Y824" s="9"/>
      <c r="Z824" s="204"/>
      <c r="AA824" s="9"/>
      <c r="AB824" s="9"/>
      <c r="AC824" s="9"/>
      <c r="AD824" s="9"/>
    </row>
    <row r="825" ht="15.75" customHeight="1">
      <c r="A825" s="9"/>
      <c r="B825" s="9"/>
      <c r="C825" s="9"/>
      <c r="D825" s="9"/>
      <c r="E825" s="9"/>
      <c r="F825" s="9"/>
      <c r="G825" s="9"/>
      <c r="H825" s="223"/>
      <c r="I825" s="9"/>
      <c r="J825" s="9"/>
      <c r="K825" s="9"/>
      <c r="L825" s="9"/>
      <c r="M825" s="9"/>
      <c r="N825" s="9"/>
      <c r="O825" s="9"/>
      <c r="P825" s="9"/>
      <c r="Q825" s="223"/>
      <c r="R825" s="9"/>
      <c r="S825" s="9"/>
      <c r="T825" s="9"/>
      <c r="U825" s="9"/>
      <c r="V825" s="9"/>
      <c r="W825" s="971"/>
      <c r="X825" s="9"/>
      <c r="Y825" s="9"/>
      <c r="Z825" s="204"/>
      <c r="AA825" s="9"/>
      <c r="AB825" s="9"/>
      <c r="AC825" s="9"/>
      <c r="AD825" s="9"/>
    </row>
    <row r="826" ht="15.75" customHeight="1">
      <c r="A826" s="9"/>
      <c r="B826" s="9"/>
      <c r="C826" s="9"/>
      <c r="D826" s="9"/>
      <c r="E826" s="9"/>
      <c r="F826" s="9"/>
      <c r="G826" s="9"/>
      <c r="H826" s="223"/>
      <c r="I826" s="9"/>
      <c r="J826" s="9"/>
      <c r="K826" s="9"/>
      <c r="L826" s="9"/>
      <c r="M826" s="9"/>
      <c r="N826" s="9"/>
      <c r="O826" s="9"/>
      <c r="P826" s="9"/>
      <c r="Q826" s="223"/>
      <c r="R826" s="9"/>
      <c r="S826" s="9"/>
      <c r="T826" s="9"/>
      <c r="U826" s="9"/>
      <c r="V826" s="9"/>
      <c r="W826" s="971"/>
      <c r="X826" s="9"/>
      <c r="Y826" s="9"/>
      <c r="Z826" s="204"/>
      <c r="AA826" s="9"/>
      <c r="AB826" s="9"/>
      <c r="AC826" s="9"/>
      <c r="AD826" s="9"/>
    </row>
    <row r="827" ht="15.75" customHeight="1">
      <c r="A827" s="9"/>
      <c r="B827" s="9"/>
      <c r="C827" s="9"/>
      <c r="D827" s="9"/>
      <c r="E827" s="9"/>
      <c r="F827" s="9"/>
      <c r="G827" s="9"/>
      <c r="H827" s="223"/>
      <c r="I827" s="9"/>
      <c r="J827" s="9"/>
      <c r="K827" s="9"/>
      <c r="L827" s="9"/>
      <c r="M827" s="9"/>
      <c r="N827" s="9"/>
      <c r="O827" s="9"/>
      <c r="P827" s="9"/>
      <c r="Q827" s="223"/>
      <c r="R827" s="9"/>
      <c r="S827" s="9"/>
      <c r="T827" s="9"/>
      <c r="U827" s="9"/>
      <c r="V827" s="9"/>
      <c r="W827" s="971"/>
      <c r="X827" s="9"/>
      <c r="Y827" s="9"/>
      <c r="Z827" s="204"/>
      <c r="AA827" s="9"/>
      <c r="AB827" s="9"/>
      <c r="AC827" s="9"/>
      <c r="AD827" s="9"/>
    </row>
    <row r="828" ht="15.75" customHeight="1">
      <c r="A828" s="9"/>
      <c r="B828" s="9"/>
      <c r="C828" s="9"/>
      <c r="D828" s="9"/>
      <c r="E828" s="9"/>
      <c r="F828" s="9"/>
      <c r="G828" s="9"/>
      <c r="H828" s="223"/>
      <c r="I828" s="9"/>
      <c r="J828" s="9"/>
      <c r="K828" s="9"/>
      <c r="L828" s="9"/>
      <c r="M828" s="9"/>
      <c r="N828" s="9"/>
      <c r="O828" s="9"/>
      <c r="P828" s="9"/>
      <c r="Q828" s="223"/>
      <c r="R828" s="9"/>
      <c r="S828" s="9"/>
      <c r="T828" s="9"/>
      <c r="U828" s="9"/>
      <c r="V828" s="9"/>
      <c r="W828" s="971"/>
      <c r="X828" s="9"/>
      <c r="Y828" s="9"/>
      <c r="Z828" s="204"/>
      <c r="AA828" s="9"/>
      <c r="AB828" s="9"/>
      <c r="AC828" s="9"/>
      <c r="AD828" s="9"/>
    </row>
    <row r="829" ht="15.75" customHeight="1">
      <c r="A829" s="9"/>
      <c r="B829" s="9"/>
      <c r="C829" s="9"/>
      <c r="D829" s="9"/>
      <c r="E829" s="9"/>
      <c r="F829" s="9"/>
      <c r="G829" s="9"/>
      <c r="H829" s="223"/>
      <c r="I829" s="9"/>
      <c r="J829" s="9"/>
      <c r="K829" s="9"/>
      <c r="L829" s="9"/>
      <c r="M829" s="9"/>
      <c r="N829" s="9"/>
      <c r="O829" s="9"/>
      <c r="P829" s="9"/>
      <c r="Q829" s="223"/>
      <c r="R829" s="9"/>
      <c r="S829" s="9"/>
      <c r="T829" s="9"/>
      <c r="U829" s="9"/>
      <c r="V829" s="9"/>
      <c r="W829" s="971"/>
      <c r="X829" s="9"/>
      <c r="Y829" s="9"/>
      <c r="Z829" s="204"/>
      <c r="AA829" s="9"/>
      <c r="AB829" s="9"/>
      <c r="AC829" s="9"/>
      <c r="AD829" s="9"/>
    </row>
    <row r="830" ht="15.75" customHeight="1">
      <c r="A830" s="9"/>
      <c r="B830" s="9"/>
      <c r="C830" s="9"/>
      <c r="D830" s="9"/>
      <c r="E830" s="9"/>
      <c r="F830" s="9"/>
      <c r="G830" s="9"/>
      <c r="H830" s="223"/>
      <c r="I830" s="9"/>
      <c r="J830" s="9"/>
      <c r="K830" s="9"/>
      <c r="L830" s="9"/>
      <c r="M830" s="9"/>
      <c r="N830" s="9"/>
      <c r="O830" s="9"/>
      <c r="P830" s="9"/>
      <c r="Q830" s="223"/>
      <c r="R830" s="9"/>
      <c r="S830" s="9"/>
      <c r="T830" s="9"/>
      <c r="U830" s="9"/>
      <c r="V830" s="9"/>
      <c r="W830" s="971"/>
      <c r="X830" s="9"/>
      <c r="Y830" s="9"/>
      <c r="Z830" s="204"/>
      <c r="AA830" s="9"/>
      <c r="AB830" s="9"/>
      <c r="AC830" s="9"/>
      <c r="AD830" s="9"/>
    </row>
    <row r="831" ht="15.75" customHeight="1">
      <c r="A831" s="9"/>
      <c r="B831" s="9"/>
      <c r="C831" s="9"/>
      <c r="D831" s="9"/>
      <c r="E831" s="9"/>
      <c r="F831" s="9"/>
      <c r="G831" s="9"/>
      <c r="H831" s="223"/>
      <c r="I831" s="9"/>
      <c r="J831" s="9"/>
      <c r="K831" s="9"/>
      <c r="L831" s="9"/>
      <c r="M831" s="9"/>
      <c r="N831" s="9"/>
      <c r="O831" s="9"/>
      <c r="P831" s="9"/>
      <c r="Q831" s="223"/>
      <c r="R831" s="9"/>
      <c r="S831" s="9"/>
      <c r="T831" s="9"/>
      <c r="U831" s="9"/>
      <c r="V831" s="9"/>
      <c r="W831" s="971"/>
      <c r="X831" s="9"/>
      <c r="Y831" s="9"/>
      <c r="Z831" s="204"/>
      <c r="AA831" s="9"/>
      <c r="AB831" s="9"/>
      <c r="AC831" s="9"/>
      <c r="AD831" s="9"/>
    </row>
    <row r="832" ht="15.75" customHeight="1">
      <c r="A832" s="9"/>
      <c r="B832" s="9"/>
      <c r="C832" s="9"/>
      <c r="D832" s="9"/>
      <c r="E832" s="9"/>
      <c r="F832" s="9"/>
      <c r="G832" s="9"/>
      <c r="H832" s="223"/>
      <c r="I832" s="9"/>
      <c r="J832" s="9"/>
      <c r="K832" s="9"/>
      <c r="L832" s="9"/>
      <c r="M832" s="9"/>
      <c r="N832" s="9"/>
      <c r="O832" s="9"/>
      <c r="P832" s="9"/>
      <c r="Q832" s="223"/>
      <c r="R832" s="9"/>
      <c r="S832" s="9"/>
      <c r="T832" s="9"/>
      <c r="U832" s="9"/>
      <c r="V832" s="9"/>
      <c r="W832" s="971"/>
      <c r="X832" s="9"/>
      <c r="Y832" s="9"/>
      <c r="Z832" s="204"/>
      <c r="AA832" s="9"/>
      <c r="AB832" s="9"/>
      <c r="AC832" s="9"/>
      <c r="AD832" s="9"/>
    </row>
    <row r="833" ht="15.75" customHeight="1">
      <c r="A833" s="9"/>
      <c r="B833" s="9"/>
      <c r="C833" s="9"/>
      <c r="D833" s="9"/>
      <c r="E833" s="9"/>
      <c r="F833" s="9"/>
      <c r="G833" s="9"/>
      <c r="H833" s="223"/>
      <c r="I833" s="9"/>
      <c r="J833" s="9"/>
      <c r="K833" s="9"/>
      <c r="L833" s="9"/>
      <c r="M833" s="9"/>
      <c r="N833" s="9"/>
      <c r="O833" s="9"/>
      <c r="P833" s="9"/>
      <c r="Q833" s="223"/>
      <c r="R833" s="9"/>
      <c r="S833" s="9"/>
      <c r="T833" s="9"/>
      <c r="U833" s="9"/>
      <c r="V833" s="9"/>
      <c r="W833" s="971"/>
      <c r="X833" s="9"/>
      <c r="Y833" s="9"/>
      <c r="Z833" s="204"/>
      <c r="AA833" s="9"/>
      <c r="AB833" s="9"/>
      <c r="AC833" s="9"/>
      <c r="AD833" s="9"/>
    </row>
    <row r="834" ht="15.75" customHeight="1">
      <c r="A834" s="9"/>
      <c r="B834" s="9"/>
      <c r="C834" s="9"/>
      <c r="D834" s="9"/>
      <c r="E834" s="9"/>
      <c r="F834" s="9"/>
      <c r="G834" s="9"/>
      <c r="H834" s="223"/>
      <c r="I834" s="9"/>
      <c r="J834" s="9"/>
      <c r="K834" s="9"/>
      <c r="L834" s="9"/>
      <c r="M834" s="9"/>
      <c r="N834" s="9"/>
      <c r="O834" s="9"/>
      <c r="P834" s="9"/>
      <c r="Q834" s="223"/>
      <c r="R834" s="9"/>
      <c r="S834" s="9"/>
      <c r="T834" s="9"/>
      <c r="U834" s="9"/>
      <c r="V834" s="9"/>
      <c r="W834" s="971"/>
      <c r="X834" s="9"/>
      <c r="Y834" s="9"/>
      <c r="Z834" s="204"/>
      <c r="AA834" s="9"/>
      <c r="AB834" s="9"/>
      <c r="AC834" s="9"/>
      <c r="AD834" s="9"/>
    </row>
    <row r="835" ht="15.75" customHeight="1">
      <c r="A835" s="9"/>
      <c r="B835" s="9"/>
      <c r="C835" s="9"/>
      <c r="D835" s="9"/>
      <c r="E835" s="9"/>
      <c r="F835" s="9"/>
      <c r="G835" s="9"/>
      <c r="H835" s="223"/>
      <c r="I835" s="9"/>
      <c r="J835" s="9"/>
      <c r="K835" s="9"/>
      <c r="L835" s="9"/>
      <c r="M835" s="9"/>
      <c r="N835" s="9"/>
      <c r="O835" s="9"/>
      <c r="P835" s="9"/>
      <c r="Q835" s="223"/>
      <c r="R835" s="9"/>
      <c r="S835" s="9"/>
      <c r="T835" s="9"/>
      <c r="U835" s="9"/>
      <c r="V835" s="9"/>
      <c r="W835" s="971"/>
      <c r="X835" s="9"/>
      <c r="Y835" s="9"/>
      <c r="Z835" s="204"/>
      <c r="AA835" s="9"/>
      <c r="AB835" s="9"/>
      <c r="AC835" s="9"/>
      <c r="AD835" s="9"/>
    </row>
    <row r="836" ht="15.75" customHeight="1">
      <c r="A836" s="9"/>
      <c r="B836" s="9"/>
      <c r="C836" s="9"/>
      <c r="D836" s="9"/>
      <c r="E836" s="9"/>
      <c r="F836" s="9"/>
      <c r="G836" s="9"/>
      <c r="H836" s="223"/>
      <c r="I836" s="9"/>
      <c r="J836" s="9"/>
      <c r="K836" s="9"/>
      <c r="L836" s="9"/>
      <c r="M836" s="9"/>
      <c r="N836" s="9"/>
      <c r="O836" s="9"/>
      <c r="P836" s="9"/>
      <c r="Q836" s="223"/>
      <c r="R836" s="9"/>
      <c r="S836" s="9"/>
      <c r="T836" s="9"/>
      <c r="U836" s="9"/>
      <c r="V836" s="9"/>
      <c r="W836" s="971"/>
      <c r="X836" s="9"/>
      <c r="Y836" s="9"/>
      <c r="Z836" s="204"/>
      <c r="AA836" s="9"/>
      <c r="AB836" s="9"/>
      <c r="AC836" s="9"/>
      <c r="AD836" s="9"/>
    </row>
    <row r="837" ht="15.75" customHeight="1">
      <c r="A837" s="9"/>
      <c r="B837" s="9"/>
      <c r="C837" s="9"/>
      <c r="D837" s="9"/>
      <c r="E837" s="9"/>
      <c r="F837" s="9"/>
      <c r="G837" s="9"/>
      <c r="H837" s="223"/>
      <c r="I837" s="9"/>
      <c r="J837" s="9"/>
      <c r="K837" s="9"/>
      <c r="L837" s="9"/>
      <c r="M837" s="9"/>
      <c r="N837" s="9"/>
      <c r="O837" s="9"/>
      <c r="P837" s="9"/>
      <c r="Q837" s="223"/>
      <c r="R837" s="9"/>
      <c r="S837" s="9"/>
      <c r="T837" s="9"/>
      <c r="U837" s="9"/>
      <c r="V837" s="9"/>
      <c r="W837" s="971"/>
      <c r="X837" s="9"/>
      <c r="Y837" s="9"/>
      <c r="Z837" s="204"/>
      <c r="AA837" s="9"/>
      <c r="AB837" s="9"/>
      <c r="AC837" s="9"/>
      <c r="AD837" s="9"/>
    </row>
    <row r="838" ht="15.75" customHeight="1">
      <c r="A838" s="9"/>
      <c r="B838" s="9"/>
      <c r="C838" s="9"/>
      <c r="D838" s="9"/>
      <c r="E838" s="9"/>
      <c r="F838" s="9"/>
      <c r="G838" s="9"/>
      <c r="H838" s="223"/>
      <c r="I838" s="9"/>
      <c r="J838" s="9"/>
      <c r="K838" s="9"/>
      <c r="L838" s="9"/>
      <c r="M838" s="9"/>
      <c r="N838" s="9"/>
      <c r="O838" s="9"/>
      <c r="P838" s="9"/>
      <c r="Q838" s="223"/>
      <c r="R838" s="9"/>
      <c r="S838" s="9"/>
      <c r="T838" s="9"/>
      <c r="U838" s="9"/>
      <c r="V838" s="9"/>
      <c r="W838" s="971"/>
      <c r="X838" s="9"/>
      <c r="Y838" s="9"/>
      <c r="Z838" s="204"/>
      <c r="AA838" s="9"/>
      <c r="AB838" s="9"/>
      <c r="AC838" s="9"/>
      <c r="AD838" s="9"/>
    </row>
    <row r="839" ht="15.75" customHeight="1">
      <c r="A839" s="9"/>
      <c r="B839" s="9"/>
      <c r="C839" s="9"/>
      <c r="D839" s="9"/>
      <c r="E839" s="9"/>
      <c r="F839" s="9"/>
      <c r="G839" s="9"/>
      <c r="H839" s="223"/>
      <c r="I839" s="9"/>
      <c r="J839" s="9"/>
      <c r="K839" s="9"/>
      <c r="L839" s="9"/>
      <c r="M839" s="9"/>
      <c r="N839" s="9"/>
      <c r="O839" s="9"/>
      <c r="P839" s="9"/>
      <c r="Q839" s="223"/>
      <c r="R839" s="9"/>
      <c r="S839" s="9"/>
      <c r="T839" s="9"/>
      <c r="U839" s="9"/>
      <c r="V839" s="9"/>
      <c r="W839" s="971"/>
      <c r="X839" s="9"/>
      <c r="Y839" s="9"/>
      <c r="Z839" s="204"/>
      <c r="AA839" s="9"/>
      <c r="AB839" s="9"/>
      <c r="AC839" s="9"/>
      <c r="AD839" s="9"/>
    </row>
    <row r="840" ht="15.75" customHeight="1">
      <c r="A840" s="9"/>
      <c r="B840" s="9"/>
      <c r="C840" s="9"/>
      <c r="D840" s="9"/>
      <c r="E840" s="9"/>
      <c r="F840" s="9"/>
      <c r="G840" s="9"/>
      <c r="H840" s="223"/>
      <c r="I840" s="9"/>
      <c r="J840" s="9"/>
      <c r="K840" s="9"/>
      <c r="L840" s="9"/>
      <c r="M840" s="9"/>
      <c r="N840" s="9"/>
      <c r="O840" s="9"/>
      <c r="P840" s="9"/>
      <c r="Q840" s="223"/>
      <c r="R840" s="9"/>
      <c r="S840" s="9"/>
      <c r="T840" s="9"/>
      <c r="U840" s="9"/>
      <c r="V840" s="9"/>
      <c r="W840" s="971"/>
      <c r="X840" s="9"/>
      <c r="Y840" s="9"/>
      <c r="Z840" s="204"/>
      <c r="AA840" s="9"/>
      <c r="AB840" s="9"/>
      <c r="AC840" s="9"/>
      <c r="AD840" s="9"/>
    </row>
    <row r="841" ht="15.75" customHeight="1">
      <c r="A841" s="9"/>
      <c r="B841" s="9"/>
      <c r="C841" s="9"/>
      <c r="D841" s="9"/>
      <c r="E841" s="9"/>
      <c r="F841" s="9"/>
      <c r="G841" s="9"/>
      <c r="H841" s="223"/>
      <c r="I841" s="9"/>
      <c r="J841" s="9"/>
      <c r="K841" s="9"/>
      <c r="L841" s="9"/>
      <c r="M841" s="9"/>
      <c r="N841" s="9"/>
      <c r="O841" s="9"/>
      <c r="P841" s="9"/>
      <c r="Q841" s="223"/>
      <c r="R841" s="9"/>
      <c r="S841" s="9"/>
      <c r="T841" s="9"/>
      <c r="U841" s="9"/>
      <c r="V841" s="9"/>
      <c r="W841" s="971"/>
      <c r="X841" s="9"/>
      <c r="Y841" s="9"/>
      <c r="Z841" s="204"/>
      <c r="AA841" s="9"/>
      <c r="AB841" s="9"/>
      <c r="AC841" s="9"/>
      <c r="AD841" s="9"/>
    </row>
    <row r="842" ht="15.75" customHeight="1">
      <c r="A842" s="9"/>
      <c r="B842" s="9"/>
      <c r="C842" s="9"/>
      <c r="D842" s="9"/>
      <c r="E842" s="9"/>
      <c r="F842" s="9"/>
      <c r="G842" s="9"/>
      <c r="H842" s="223"/>
      <c r="I842" s="9"/>
      <c r="J842" s="9"/>
      <c r="K842" s="9"/>
      <c r="L842" s="9"/>
      <c r="M842" s="9"/>
      <c r="N842" s="9"/>
      <c r="O842" s="9"/>
      <c r="P842" s="9"/>
      <c r="Q842" s="223"/>
      <c r="R842" s="9"/>
      <c r="S842" s="9"/>
      <c r="T842" s="9"/>
      <c r="U842" s="9"/>
      <c r="V842" s="9"/>
      <c r="W842" s="971"/>
      <c r="X842" s="9"/>
      <c r="Y842" s="9"/>
      <c r="Z842" s="204"/>
      <c r="AA842" s="9"/>
      <c r="AB842" s="9"/>
      <c r="AC842" s="9"/>
      <c r="AD842" s="9"/>
    </row>
    <row r="843" ht="15.75" customHeight="1">
      <c r="A843" s="9"/>
      <c r="B843" s="9"/>
      <c r="C843" s="9"/>
      <c r="D843" s="9"/>
      <c r="E843" s="9"/>
      <c r="F843" s="9"/>
      <c r="G843" s="9"/>
      <c r="H843" s="223"/>
      <c r="I843" s="9"/>
      <c r="J843" s="9"/>
      <c r="K843" s="9"/>
      <c r="L843" s="9"/>
      <c r="M843" s="9"/>
      <c r="N843" s="9"/>
      <c r="O843" s="9"/>
      <c r="P843" s="9"/>
      <c r="Q843" s="223"/>
      <c r="R843" s="9"/>
      <c r="S843" s="9"/>
      <c r="T843" s="9"/>
      <c r="U843" s="9"/>
      <c r="V843" s="9"/>
      <c r="W843" s="971"/>
      <c r="X843" s="9"/>
      <c r="Y843" s="9"/>
      <c r="Z843" s="204"/>
      <c r="AA843" s="9"/>
      <c r="AB843" s="9"/>
      <c r="AC843" s="9"/>
      <c r="AD843" s="9"/>
    </row>
    <row r="844" ht="15.75" customHeight="1">
      <c r="A844" s="9"/>
      <c r="B844" s="9"/>
      <c r="C844" s="9"/>
      <c r="D844" s="9"/>
      <c r="E844" s="9"/>
      <c r="F844" s="9"/>
      <c r="G844" s="9"/>
      <c r="H844" s="223"/>
      <c r="I844" s="9"/>
      <c r="J844" s="9"/>
      <c r="K844" s="9"/>
      <c r="L844" s="9"/>
      <c r="M844" s="9"/>
      <c r="N844" s="9"/>
      <c r="O844" s="9"/>
      <c r="P844" s="9"/>
      <c r="Q844" s="223"/>
      <c r="R844" s="9"/>
      <c r="S844" s="9"/>
      <c r="T844" s="9"/>
      <c r="U844" s="9"/>
      <c r="V844" s="9"/>
      <c r="W844" s="971"/>
      <c r="X844" s="9"/>
      <c r="Y844" s="9"/>
      <c r="Z844" s="204"/>
      <c r="AA844" s="9"/>
      <c r="AB844" s="9"/>
      <c r="AC844" s="9"/>
      <c r="AD844" s="9"/>
    </row>
    <row r="845" ht="15.75" customHeight="1">
      <c r="A845" s="9"/>
      <c r="B845" s="9"/>
      <c r="C845" s="9"/>
      <c r="D845" s="9"/>
      <c r="E845" s="9"/>
      <c r="F845" s="9"/>
      <c r="G845" s="9"/>
      <c r="H845" s="223"/>
      <c r="I845" s="9"/>
      <c r="J845" s="9"/>
      <c r="K845" s="9"/>
      <c r="L845" s="9"/>
      <c r="M845" s="9"/>
      <c r="N845" s="9"/>
      <c r="O845" s="9"/>
      <c r="P845" s="9"/>
      <c r="Q845" s="223"/>
      <c r="R845" s="9"/>
      <c r="S845" s="9"/>
      <c r="T845" s="9"/>
      <c r="U845" s="9"/>
      <c r="V845" s="9"/>
      <c r="W845" s="971"/>
      <c r="X845" s="9"/>
      <c r="Y845" s="9"/>
      <c r="Z845" s="204"/>
      <c r="AA845" s="9"/>
      <c r="AB845" s="9"/>
      <c r="AC845" s="9"/>
      <c r="AD845" s="9"/>
    </row>
    <row r="846" ht="15.75" customHeight="1">
      <c r="A846" s="9"/>
      <c r="B846" s="9"/>
      <c r="C846" s="9"/>
      <c r="D846" s="9"/>
      <c r="E846" s="9"/>
      <c r="F846" s="9"/>
      <c r="G846" s="9"/>
      <c r="H846" s="223"/>
      <c r="I846" s="9"/>
      <c r="J846" s="9"/>
      <c r="K846" s="9"/>
      <c r="L846" s="9"/>
      <c r="M846" s="9"/>
      <c r="N846" s="9"/>
      <c r="O846" s="9"/>
      <c r="P846" s="9"/>
      <c r="Q846" s="223"/>
      <c r="R846" s="9"/>
      <c r="S846" s="9"/>
      <c r="T846" s="9"/>
      <c r="U846" s="9"/>
      <c r="V846" s="9"/>
      <c r="W846" s="971"/>
      <c r="X846" s="9"/>
      <c r="Y846" s="9"/>
      <c r="Z846" s="204"/>
      <c r="AA846" s="9"/>
      <c r="AB846" s="9"/>
      <c r="AC846" s="9"/>
      <c r="AD846" s="9"/>
    </row>
    <row r="847" ht="15.75" customHeight="1">
      <c r="A847" s="9"/>
      <c r="B847" s="9"/>
      <c r="C847" s="9"/>
      <c r="D847" s="9"/>
      <c r="E847" s="9"/>
      <c r="F847" s="9"/>
      <c r="G847" s="9"/>
      <c r="H847" s="223"/>
      <c r="I847" s="9"/>
      <c r="J847" s="9"/>
      <c r="K847" s="9"/>
      <c r="L847" s="9"/>
      <c r="M847" s="9"/>
      <c r="N847" s="9"/>
      <c r="O847" s="9"/>
      <c r="P847" s="9"/>
      <c r="Q847" s="223"/>
      <c r="R847" s="9"/>
      <c r="S847" s="9"/>
      <c r="T847" s="9"/>
      <c r="U847" s="9"/>
      <c r="V847" s="9"/>
      <c r="W847" s="971"/>
      <c r="X847" s="9"/>
      <c r="Y847" s="9"/>
      <c r="Z847" s="204"/>
      <c r="AA847" s="9"/>
      <c r="AB847" s="9"/>
      <c r="AC847" s="9"/>
      <c r="AD847" s="9"/>
    </row>
    <row r="848" ht="15.75" customHeight="1">
      <c r="A848" s="9"/>
      <c r="B848" s="9"/>
      <c r="C848" s="9"/>
      <c r="D848" s="9"/>
      <c r="E848" s="9"/>
      <c r="F848" s="9"/>
      <c r="G848" s="9"/>
      <c r="H848" s="223"/>
      <c r="I848" s="9"/>
      <c r="J848" s="9"/>
      <c r="K848" s="9"/>
      <c r="L848" s="9"/>
      <c r="M848" s="9"/>
      <c r="N848" s="9"/>
      <c r="O848" s="9"/>
      <c r="P848" s="9"/>
      <c r="Q848" s="223"/>
      <c r="R848" s="9"/>
      <c r="S848" s="9"/>
      <c r="T848" s="9"/>
      <c r="U848" s="9"/>
      <c r="V848" s="9"/>
      <c r="W848" s="971"/>
      <c r="X848" s="9"/>
      <c r="Y848" s="9"/>
      <c r="Z848" s="204"/>
      <c r="AA848" s="9"/>
      <c r="AB848" s="9"/>
      <c r="AC848" s="9"/>
      <c r="AD848" s="9"/>
    </row>
    <row r="849" ht="15.75" customHeight="1">
      <c r="A849" s="9"/>
      <c r="B849" s="9"/>
      <c r="C849" s="9"/>
      <c r="D849" s="9"/>
      <c r="E849" s="9"/>
      <c r="F849" s="9"/>
      <c r="G849" s="9"/>
      <c r="H849" s="223"/>
      <c r="I849" s="9"/>
      <c r="J849" s="9"/>
      <c r="K849" s="9"/>
      <c r="L849" s="9"/>
      <c r="M849" s="9"/>
      <c r="N849" s="9"/>
      <c r="O849" s="9"/>
      <c r="P849" s="9"/>
      <c r="Q849" s="223"/>
      <c r="R849" s="9"/>
      <c r="S849" s="9"/>
      <c r="T849" s="9"/>
      <c r="U849" s="9"/>
      <c r="V849" s="9"/>
      <c r="W849" s="971"/>
      <c r="X849" s="9"/>
      <c r="Y849" s="9"/>
      <c r="Z849" s="204"/>
      <c r="AA849" s="9"/>
      <c r="AB849" s="9"/>
      <c r="AC849" s="9"/>
      <c r="AD849" s="9"/>
    </row>
    <row r="850" ht="15.75" customHeight="1">
      <c r="A850" s="9"/>
      <c r="B850" s="9"/>
      <c r="C850" s="9"/>
      <c r="D850" s="9"/>
      <c r="E850" s="9"/>
      <c r="F850" s="9"/>
      <c r="G850" s="9"/>
      <c r="H850" s="223"/>
      <c r="I850" s="9"/>
      <c r="J850" s="9"/>
      <c r="K850" s="9"/>
      <c r="L850" s="9"/>
      <c r="M850" s="9"/>
      <c r="N850" s="9"/>
      <c r="O850" s="9"/>
      <c r="P850" s="9"/>
      <c r="Q850" s="223"/>
      <c r="R850" s="9"/>
      <c r="S850" s="9"/>
      <c r="T850" s="9"/>
      <c r="U850" s="9"/>
      <c r="V850" s="9"/>
      <c r="W850" s="971"/>
      <c r="X850" s="9"/>
      <c r="Y850" s="9"/>
      <c r="Z850" s="204"/>
      <c r="AA850" s="9"/>
      <c r="AB850" s="9"/>
      <c r="AC850" s="9"/>
      <c r="AD850" s="9"/>
    </row>
    <row r="851" ht="15.75" customHeight="1">
      <c r="A851" s="9"/>
      <c r="B851" s="9"/>
      <c r="C851" s="9"/>
      <c r="D851" s="9"/>
      <c r="E851" s="9"/>
      <c r="F851" s="9"/>
      <c r="G851" s="9"/>
      <c r="H851" s="223"/>
      <c r="I851" s="9"/>
      <c r="J851" s="9"/>
      <c r="K851" s="9"/>
      <c r="L851" s="9"/>
      <c r="M851" s="9"/>
      <c r="N851" s="9"/>
      <c r="O851" s="9"/>
      <c r="P851" s="9"/>
      <c r="Q851" s="223"/>
      <c r="R851" s="9"/>
      <c r="S851" s="9"/>
      <c r="T851" s="9"/>
      <c r="U851" s="9"/>
      <c r="V851" s="9"/>
      <c r="W851" s="971"/>
      <c r="X851" s="9"/>
      <c r="Y851" s="9"/>
      <c r="Z851" s="204"/>
      <c r="AA851" s="9"/>
      <c r="AB851" s="9"/>
      <c r="AC851" s="9"/>
      <c r="AD851" s="9"/>
    </row>
    <row r="852" ht="15.75" customHeight="1">
      <c r="A852" s="9"/>
      <c r="B852" s="9"/>
      <c r="C852" s="9"/>
      <c r="D852" s="9"/>
      <c r="E852" s="9"/>
      <c r="F852" s="9"/>
      <c r="G852" s="9"/>
      <c r="H852" s="223"/>
      <c r="I852" s="9"/>
      <c r="J852" s="9"/>
      <c r="K852" s="9"/>
      <c r="L852" s="9"/>
      <c r="M852" s="9"/>
      <c r="N852" s="9"/>
      <c r="O852" s="9"/>
      <c r="P852" s="9"/>
      <c r="Q852" s="223"/>
      <c r="R852" s="9"/>
      <c r="S852" s="9"/>
      <c r="T852" s="9"/>
      <c r="U852" s="9"/>
      <c r="V852" s="9"/>
      <c r="W852" s="971"/>
      <c r="X852" s="9"/>
      <c r="Y852" s="9"/>
      <c r="Z852" s="204"/>
      <c r="AA852" s="9"/>
      <c r="AB852" s="9"/>
      <c r="AC852" s="9"/>
      <c r="AD852" s="9"/>
    </row>
    <row r="853" ht="15.75" customHeight="1">
      <c r="A853" s="9"/>
      <c r="B853" s="9"/>
      <c r="C853" s="9"/>
      <c r="D853" s="9"/>
      <c r="E853" s="9"/>
      <c r="F853" s="9"/>
      <c r="G853" s="9"/>
      <c r="H853" s="223"/>
      <c r="I853" s="9"/>
      <c r="J853" s="9"/>
      <c r="K853" s="9"/>
      <c r="L853" s="9"/>
      <c r="M853" s="9"/>
      <c r="N853" s="9"/>
      <c r="O853" s="9"/>
      <c r="P853" s="9"/>
      <c r="Q853" s="223"/>
      <c r="R853" s="9"/>
      <c r="S853" s="9"/>
      <c r="T853" s="9"/>
      <c r="U853" s="9"/>
      <c r="V853" s="9"/>
      <c r="W853" s="971"/>
      <c r="X853" s="9"/>
      <c r="Y853" s="9"/>
      <c r="Z853" s="204"/>
      <c r="AA853" s="9"/>
      <c r="AB853" s="9"/>
      <c r="AC853" s="9"/>
      <c r="AD853" s="9"/>
    </row>
    <row r="854" ht="15.75" customHeight="1">
      <c r="A854" s="9"/>
      <c r="B854" s="9"/>
      <c r="C854" s="9"/>
      <c r="D854" s="9"/>
      <c r="E854" s="9"/>
      <c r="F854" s="9"/>
      <c r="G854" s="9"/>
      <c r="H854" s="223"/>
      <c r="I854" s="9"/>
      <c r="J854" s="9"/>
      <c r="K854" s="9"/>
      <c r="L854" s="9"/>
      <c r="M854" s="9"/>
      <c r="N854" s="9"/>
      <c r="O854" s="9"/>
      <c r="P854" s="9"/>
      <c r="Q854" s="223"/>
      <c r="R854" s="9"/>
      <c r="S854" s="9"/>
      <c r="T854" s="9"/>
      <c r="U854" s="9"/>
      <c r="V854" s="9"/>
      <c r="W854" s="971"/>
      <c r="X854" s="9"/>
      <c r="Y854" s="9"/>
      <c r="Z854" s="204"/>
      <c r="AA854" s="9"/>
      <c r="AB854" s="9"/>
      <c r="AC854" s="9"/>
      <c r="AD854" s="9"/>
    </row>
    <row r="855" ht="15.75" customHeight="1">
      <c r="A855" s="9"/>
      <c r="B855" s="9"/>
      <c r="C855" s="9"/>
      <c r="D855" s="9"/>
      <c r="E855" s="9"/>
      <c r="F855" s="9"/>
      <c r="G855" s="9"/>
      <c r="H855" s="223"/>
      <c r="I855" s="9"/>
      <c r="J855" s="9"/>
      <c r="K855" s="9"/>
      <c r="L855" s="9"/>
      <c r="M855" s="9"/>
      <c r="N855" s="9"/>
      <c r="O855" s="9"/>
      <c r="P855" s="9"/>
      <c r="Q855" s="223"/>
      <c r="R855" s="9"/>
      <c r="S855" s="9"/>
      <c r="T855" s="9"/>
      <c r="U855" s="9"/>
      <c r="V855" s="9"/>
      <c r="W855" s="971"/>
      <c r="X855" s="9"/>
      <c r="Y855" s="9"/>
      <c r="Z855" s="204"/>
      <c r="AA855" s="9"/>
      <c r="AB855" s="9"/>
      <c r="AC855" s="9"/>
      <c r="AD855" s="9"/>
    </row>
    <row r="856" ht="15.75" customHeight="1">
      <c r="A856" s="9"/>
      <c r="B856" s="9"/>
      <c r="C856" s="9"/>
      <c r="D856" s="9"/>
      <c r="E856" s="9"/>
      <c r="F856" s="9"/>
      <c r="G856" s="9"/>
      <c r="H856" s="223"/>
      <c r="I856" s="9"/>
      <c r="J856" s="9"/>
      <c r="K856" s="9"/>
      <c r="L856" s="9"/>
      <c r="M856" s="9"/>
      <c r="N856" s="9"/>
      <c r="O856" s="9"/>
      <c r="P856" s="9"/>
      <c r="Q856" s="223"/>
      <c r="R856" s="9"/>
      <c r="S856" s="9"/>
      <c r="T856" s="9"/>
      <c r="U856" s="9"/>
      <c r="V856" s="9"/>
      <c r="W856" s="971"/>
      <c r="X856" s="9"/>
      <c r="Y856" s="9"/>
      <c r="Z856" s="204"/>
      <c r="AA856" s="9"/>
      <c r="AB856" s="9"/>
      <c r="AC856" s="9"/>
      <c r="AD856" s="9"/>
    </row>
    <row r="857" ht="15.75" customHeight="1">
      <c r="A857" s="9"/>
      <c r="B857" s="9"/>
      <c r="C857" s="9"/>
      <c r="D857" s="9"/>
      <c r="E857" s="9"/>
      <c r="F857" s="9"/>
      <c r="G857" s="9"/>
      <c r="H857" s="223"/>
      <c r="I857" s="9"/>
      <c r="J857" s="9"/>
      <c r="K857" s="9"/>
      <c r="L857" s="9"/>
      <c r="M857" s="9"/>
      <c r="N857" s="9"/>
      <c r="O857" s="9"/>
      <c r="P857" s="9"/>
      <c r="Q857" s="223"/>
      <c r="R857" s="9"/>
      <c r="S857" s="9"/>
      <c r="T857" s="9"/>
      <c r="U857" s="9"/>
      <c r="V857" s="9"/>
      <c r="W857" s="971"/>
      <c r="X857" s="9"/>
      <c r="Y857" s="9"/>
      <c r="Z857" s="204"/>
      <c r="AA857" s="9"/>
      <c r="AB857" s="9"/>
      <c r="AC857" s="9"/>
      <c r="AD857" s="9"/>
    </row>
    <row r="858" ht="15.75" customHeight="1">
      <c r="A858" s="9"/>
      <c r="B858" s="9"/>
      <c r="C858" s="9"/>
      <c r="D858" s="9"/>
      <c r="E858" s="9"/>
      <c r="F858" s="9"/>
      <c r="G858" s="9"/>
      <c r="H858" s="223"/>
      <c r="I858" s="9"/>
      <c r="J858" s="9"/>
      <c r="K858" s="9"/>
      <c r="L858" s="9"/>
      <c r="M858" s="9"/>
      <c r="N858" s="9"/>
      <c r="O858" s="9"/>
      <c r="P858" s="9"/>
      <c r="Q858" s="223"/>
      <c r="R858" s="9"/>
      <c r="S858" s="9"/>
      <c r="T858" s="9"/>
      <c r="U858" s="9"/>
      <c r="V858" s="9"/>
      <c r="W858" s="971"/>
      <c r="X858" s="9"/>
      <c r="Y858" s="9"/>
      <c r="Z858" s="204"/>
      <c r="AA858" s="9"/>
      <c r="AB858" s="9"/>
      <c r="AC858" s="9"/>
      <c r="AD858" s="9"/>
    </row>
    <row r="859" ht="15.75" customHeight="1">
      <c r="A859" s="9"/>
      <c r="B859" s="9"/>
      <c r="C859" s="9"/>
      <c r="D859" s="9"/>
      <c r="E859" s="9"/>
      <c r="F859" s="9"/>
      <c r="G859" s="9"/>
      <c r="H859" s="223"/>
      <c r="I859" s="9"/>
      <c r="J859" s="9"/>
      <c r="K859" s="9"/>
      <c r="L859" s="9"/>
      <c r="M859" s="9"/>
      <c r="N859" s="9"/>
      <c r="O859" s="9"/>
      <c r="P859" s="9"/>
      <c r="Q859" s="223"/>
      <c r="R859" s="9"/>
      <c r="S859" s="9"/>
      <c r="T859" s="9"/>
      <c r="U859" s="9"/>
      <c r="V859" s="9"/>
      <c r="W859" s="971"/>
      <c r="X859" s="9"/>
      <c r="Y859" s="9"/>
      <c r="Z859" s="204"/>
      <c r="AA859" s="9"/>
      <c r="AB859" s="9"/>
      <c r="AC859" s="9"/>
      <c r="AD859" s="9"/>
    </row>
    <row r="860" ht="15.75" customHeight="1">
      <c r="A860" s="9"/>
      <c r="B860" s="9"/>
      <c r="C860" s="9"/>
      <c r="D860" s="9"/>
      <c r="E860" s="9"/>
      <c r="F860" s="9"/>
      <c r="G860" s="9"/>
      <c r="H860" s="223"/>
      <c r="I860" s="9"/>
      <c r="J860" s="9"/>
      <c r="K860" s="9"/>
      <c r="L860" s="9"/>
      <c r="M860" s="9"/>
      <c r="N860" s="9"/>
      <c r="O860" s="9"/>
      <c r="P860" s="9"/>
      <c r="Q860" s="223"/>
      <c r="R860" s="9"/>
      <c r="S860" s="9"/>
      <c r="T860" s="9"/>
      <c r="U860" s="9"/>
      <c r="V860" s="9"/>
      <c r="W860" s="971"/>
      <c r="X860" s="9"/>
      <c r="Y860" s="9"/>
      <c r="Z860" s="204"/>
      <c r="AA860" s="9"/>
      <c r="AB860" s="9"/>
      <c r="AC860" s="9"/>
      <c r="AD860" s="9"/>
    </row>
    <row r="861" ht="15.75" customHeight="1">
      <c r="A861" s="9"/>
      <c r="B861" s="9"/>
      <c r="C861" s="9"/>
      <c r="D861" s="9"/>
      <c r="E861" s="9"/>
      <c r="F861" s="9"/>
      <c r="G861" s="9"/>
      <c r="H861" s="223"/>
      <c r="I861" s="9"/>
      <c r="J861" s="9"/>
      <c r="K861" s="9"/>
      <c r="L861" s="9"/>
      <c r="M861" s="9"/>
      <c r="N861" s="9"/>
      <c r="O861" s="9"/>
      <c r="P861" s="9"/>
      <c r="Q861" s="223"/>
      <c r="R861" s="9"/>
      <c r="S861" s="9"/>
      <c r="T861" s="9"/>
      <c r="U861" s="9"/>
      <c r="V861" s="9"/>
      <c r="W861" s="971"/>
      <c r="X861" s="9"/>
      <c r="Y861" s="9"/>
      <c r="Z861" s="204"/>
      <c r="AA861" s="9"/>
      <c r="AB861" s="9"/>
      <c r="AC861" s="9"/>
      <c r="AD861" s="9"/>
    </row>
    <row r="862" ht="15.75" customHeight="1">
      <c r="A862" s="9"/>
      <c r="B862" s="9"/>
      <c r="C862" s="9"/>
      <c r="D862" s="9"/>
      <c r="E862" s="9"/>
      <c r="F862" s="9"/>
      <c r="G862" s="9"/>
      <c r="H862" s="223"/>
      <c r="I862" s="9"/>
      <c r="J862" s="9"/>
      <c r="K862" s="9"/>
      <c r="L862" s="9"/>
      <c r="M862" s="9"/>
      <c r="N862" s="9"/>
      <c r="O862" s="9"/>
      <c r="P862" s="9"/>
      <c r="Q862" s="223"/>
      <c r="R862" s="9"/>
      <c r="S862" s="9"/>
      <c r="T862" s="9"/>
      <c r="U862" s="9"/>
      <c r="V862" s="9"/>
      <c r="W862" s="971"/>
      <c r="X862" s="9"/>
      <c r="Y862" s="9"/>
      <c r="Z862" s="204"/>
      <c r="AA862" s="9"/>
      <c r="AB862" s="9"/>
      <c r="AC862" s="9"/>
      <c r="AD862" s="9"/>
    </row>
    <row r="863" ht="15.75" customHeight="1">
      <c r="A863" s="9"/>
      <c r="B863" s="9"/>
      <c r="C863" s="9"/>
      <c r="D863" s="9"/>
      <c r="E863" s="9"/>
      <c r="F863" s="9"/>
      <c r="G863" s="9"/>
      <c r="H863" s="223"/>
      <c r="I863" s="9"/>
      <c r="J863" s="9"/>
      <c r="K863" s="9"/>
      <c r="L863" s="9"/>
      <c r="M863" s="9"/>
      <c r="N863" s="9"/>
      <c r="O863" s="9"/>
      <c r="P863" s="9"/>
      <c r="Q863" s="223"/>
      <c r="R863" s="9"/>
      <c r="S863" s="9"/>
      <c r="T863" s="9"/>
      <c r="U863" s="9"/>
      <c r="V863" s="9"/>
      <c r="W863" s="971"/>
      <c r="X863" s="9"/>
      <c r="Y863" s="9"/>
      <c r="Z863" s="204"/>
      <c r="AA863" s="9"/>
      <c r="AB863" s="9"/>
      <c r="AC863" s="9"/>
      <c r="AD863" s="9"/>
    </row>
    <row r="864" ht="15.75" customHeight="1">
      <c r="A864" s="9"/>
      <c r="B864" s="9"/>
      <c r="C864" s="9"/>
      <c r="D864" s="9"/>
      <c r="E864" s="9"/>
      <c r="F864" s="9"/>
      <c r="G864" s="9"/>
      <c r="H864" s="223"/>
      <c r="I864" s="9"/>
      <c r="J864" s="9"/>
      <c r="K864" s="9"/>
      <c r="L864" s="9"/>
      <c r="M864" s="9"/>
      <c r="N864" s="9"/>
      <c r="O864" s="9"/>
      <c r="P864" s="9"/>
      <c r="Q864" s="223"/>
      <c r="R864" s="9"/>
      <c r="S864" s="9"/>
      <c r="T864" s="9"/>
      <c r="U864" s="9"/>
      <c r="V864" s="9"/>
      <c r="W864" s="971"/>
      <c r="X864" s="9"/>
      <c r="Y864" s="9"/>
      <c r="Z864" s="204"/>
      <c r="AA864" s="9"/>
      <c r="AB864" s="9"/>
      <c r="AC864" s="9"/>
      <c r="AD864" s="9"/>
    </row>
    <row r="865" ht="15.75" customHeight="1">
      <c r="A865" s="9"/>
      <c r="B865" s="9"/>
      <c r="C865" s="9"/>
      <c r="D865" s="9"/>
      <c r="E865" s="9"/>
      <c r="F865" s="9"/>
      <c r="G865" s="9"/>
      <c r="H865" s="223"/>
      <c r="I865" s="9"/>
      <c r="J865" s="9"/>
      <c r="K865" s="9"/>
      <c r="L865" s="9"/>
      <c r="M865" s="9"/>
      <c r="N865" s="9"/>
      <c r="O865" s="9"/>
      <c r="P865" s="9"/>
      <c r="Q865" s="223"/>
      <c r="R865" s="9"/>
      <c r="S865" s="9"/>
      <c r="T865" s="9"/>
      <c r="U865" s="9"/>
      <c r="V865" s="9"/>
      <c r="W865" s="971"/>
      <c r="X865" s="9"/>
      <c r="Y865" s="9"/>
      <c r="Z865" s="204"/>
      <c r="AA865" s="9"/>
      <c r="AB865" s="9"/>
      <c r="AC865" s="9"/>
      <c r="AD865" s="9"/>
    </row>
    <row r="866" ht="15.75" customHeight="1">
      <c r="A866" s="9"/>
      <c r="B866" s="9"/>
      <c r="C866" s="9"/>
      <c r="D866" s="9"/>
      <c r="E866" s="9"/>
      <c r="F866" s="9"/>
      <c r="G866" s="9"/>
      <c r="H866" s="223"/>
      <c r="I866" s="9"/>
      <c r="J866" s="9"/>
      <c r="K866" s="9"/>
      <c r="L866" s="9"/>
      <c r="M866" s="9"/>
      <c r="N866" s="9"/>
      <c r="O866" s="9"/>
      <c r="P866" s="9"/>
      <c r="Q866" s="223"/>
      <c r="R866" s="9"/>
      <c r="S866" s="9"/>
      <c r="T866" s="9"/>
      <c r="U866" s="9"/>
      <c r="V866" s="9"/>
      <c r="W866" s="971"/>
      <c r="X866" s="9"/>
      <c r="Y866" s="9"/>
      <c r="Z866" s="204"/>
      <c r="AA866" s="9"/>
      <c r="AB866" s="9"/>
      <c r="AC866" s="9"/>
      <c r="AD866" s="9"/>
    </row>
    <row r="867" ht="15.75" customHeight="1">
      <c r="A867" s="9"/>
      <c r="B867" s="9"/>
      <c r="C867" s="9"/>
      <c r="D867" s="9"/>
      <c r="E867" s="9"/>
      <c r="F867" s="9"/>
      <c r="G867" s="9"/>
      <c r="H867" s="223"/>
      <c r="I867" s="9"/>
      <c r="J867" s="9"/>
      <c r="K867" s="9"/>
      <c r="L867" s="9"/>
      <c r="M867" s="9"/>
      <c r="N867" s="9"/>
      <c r="O867" s="9"/>
      <c r="P867" s="9"/>
      <c r="Q867" s="223"/>
      <c r="R867" s="9"/>
      <c r="S867" s="9"/>
      <c r="T867" s="9"/>
      <c r="U867" s="9"/>
      <c r="V867" s="9"/>
      <c r="W867" s="971"/>
      <c r="X867" s="9"/>
      <c r="Y867" s="9"/>
      <c r="Z867" s="204"/>
      <c r="AA867" s="9"/>
      <c r="AB867" s="9"/>
      <c r="AC867" s="9"/>
      <c r="AD867" s="9"/>
    </row>
    <row r="868" ht="15.75" customHeight="1">
      <c r="A868" s="9"/>
      <c r="B868" s="9"/>
      <c r="C868" s="9"/>
      <c r="D868" s="9"/>
      <c r="E868" s="9"/>
      <c r="F868" s="9"/>
      <c r="G868" s="9"/>
      <c r="H868" s="223"/>
      <c r="I868" s="9"/>
      <c r="J868" s="9"/>
      <c r="K868" s="9"/>
      <c r="L868" s="9"/>
      <c r="M868" s="9"/>
      <c r="N868" s="9"/>
      <c r="O868" s="9"/>
      <c r="P868" s="9"/>
      <c r="Q868" s="223"/>
      <c r="R868" s="9"/>
      <c r="S868" s="9"/>
      <c r="T868" s="9"/>
      <c r="U868" s="9"/>
      <c r="V868" s="9"/>
      <c r="W868" s="971"/>
      <c r="X868" s="9"/>
      <c r="Y868" s="9"/>
      <c r="Z868" s="204"/>
      <c r="AA868" s="9"/>
      <c r="AB868" s="9"/>
      <c r="AC868" s="9"/>
      <c r="AD868" s="9"/>
    </row>
    <row r="869" ht="15.75" customHeight="1">
      <c r="A869" s="9"/>
      <c r="B869" s="9"/>
      <c r="C869" s="9"/>
      <c r="D869" s="9"/>
      <c r="E869" s="9"/>
      <c r="F869" s="9"/>
      <c r="G869" s="9"/>
      <c r="H869" s="223"/>
      <c r="I869" s="9"/>
      <c r="J869" s="9"/>
      <c r="K869" s="9"/>
      <c r="L869" s="9"/>
      <c r="M869" s="9"/>
      <c r="N869" s="9"/>
      <c r="O869" s="9"/>
      <c r="P869" s="9"/>
      <c r="Q869" s="223"/>
      <c r="R869" s="9"/>
      <c r="S869" s="9"/>
      <c r="T869" s="9"/>
      <c r="U869" s="9"/>
      <c r="V869" s="9"/>
      <c r="W869" s="971"/>
      <c r="X869" s="9"/>
      <c r="Y869" s="9"/>
      <c r="Z869" s="204"/>
      <c r="AA869" s="9"/>
      <c r="AB869" s="9"/>
      <c r="AC869" s="9"/>
      <c r="AD869" s="9"/>
    </row>
    <row r="870" ht="15.75" customHeight="1">
      <c r="A870" s="9"/>
      <c r="B870" s="9"/>
      <c r="C870" s="9"/>
      <c r="D870" s="9"/>
      <c r="E870" s="9"/>
      <c r="F870" s="9"/>
      <c r="G870" s="9"/>
      <c r="H870" s="223"/>
      <c r="I870" s="9"/>
      <c r="J870" s="9"/>
      <c r="K870" s="9"/>
      <c r="L870" s="9"/>
      <c r="M870" s="9"/>
      <c r="N870" s="9"/>
      <c r="O870" s="9"/>
      <c r="P870" s="9"/>
      <c r="Q870" s="223"/>
      <c r="R870" s="9"/>
      <c r="S870" s="9"/>
      <c r="T870" s="9"/>
      <c r="U870" s="9"/>
      <c r="V870" s="9"/>
      <c r="W870" s="971"/>
      <c r="X870" s="9"/>
      <c r="Y870" s="9"/>
      <c r="Z870" s="204"/>
      <c r="AA870" s="9"/>
      <c r="AB870" s="9"/>
      <c r="AC870" s="9"/>
      <c r="AD870" s="9"/>
    </row>
    <row r="871" ht="15.75" customHeight="1">
      <c r="A871" s="9"/>
      <c r="B871" s="9"/>
      <c r="C871" s="9"/>
      <c r="D871" s="9"/>
      <c r="E871" s="9"/>
      <c r="F871" s="9"/>
      <c r="G871" s="9"/>
      <c r="H871" s="223"/>
      <c r="I871" s="9"/>
      <c r="J871" s="9"/>
      <c r="K871" s="9"/>
      <c r="L871" s="9"/>
      <c r="M871" s="9"/>
      <c r="N871" s="9"/>
      <c r="O871" s="9"/>
      <c r="P871" s="9"/>
      <c r="Q871" s="223"/>
      <c r="R871" s="9"/>
      <c r="S871" s="9"/>
      <c r="T871" s="9"/>
      <c r="U871" s="9"/>
      <c r="V871" s="9"/>
      <c r="W871" s="971"/>
      <c r="X871" s="9"/>
      <c r="Y871" s="9"/>
      <c r="Z871" s="204"/>
      <c r="AA871" s="9"/>
      <c r="AB871" s="9"/>
      <c r="AC871" s="9"/>
      <c r="AD871" s="9"/>
    </row>
    <row r="872" ht="15.75" customHeight="1">
      <c r="A872" s="9"/>
      <c r="B872" s="9"/>
      <c r="C872" s="9"/>
      <c r="D872" s="9"/>
      <c r="E872" s="9"/>
      <c r="F872" s="9"/>
      <c r="G872" s="9"/>
      <c r="H872" s="223"/>
      <c r="I872" s="9"/>
      <c r="J872" s="9"/>
      <c r="K872" s="9"/>
      <c r="L872" s="9"/>
      <c r="M872" s="9"/>
      <c r="N872" s="9"/>
      <c r="O872" s="9"/>
      <c r="P872" s="9"/>
      <c r="Q872" s="223"/>
      <c r="R872" s="9"/>
      <c r="S872" s="9"/>
      <c r="T872" s="9"/>
      <c r="U872" s="9"/>
      <c r="V872" s="9"/>
      <c r="W872" s="971"/>
      <c r="X872" s="9"/>
      <c r="Y872" s="9"/>
      <c r="Z872" s="204"/>
      <c r="AA872" s="9"/>
      <c r="AB872" s="9"/>
      <c r="AC872" s="9"/>
      <c r="AD872" s="9"/>
    </row>
    <row r="873" ht="15.75" customHeight="1">
      <c r="A873" s="9"/>
      <c r="B873" s="9"/>
      <c r="C873" s="9"/>
      <c r="D873" s="9"/>
      <c r="E873" s="9"/>
      <c r="F873" s="9"/>
      <c r="G873" s="9"/>
      <c r="H873" s="223"/>
      <c r="I873" s="9"/>
      <c r="J873" s="9"/>
      <c r="K873" s="9"/>
      <c r="L873" s="9"/>
      <c r="M873" s="9"/>
      <c r="N873" s="9"/>
      <c r="O873" s="9"/>
      <c r="P873" s="9"/>
      <c r="Q873" s="223"/>
      <c r="R873" s="9"/>
      <c r="S873" s="9"/>
      <c r="T873" s="9"/>
      <c r="U873" s="9"/>
      <c r="V873" s="9"/>
      <c r="W873" s="971"/>
      <c r="X873" s="9"/>
      <c r="Y873" s="9"/>
      <c r="Z873" s="204"/>
      <c r="AA873" s="9"/>
      <c r="AB873" s="9"/>
      <c r="AC873" s="9"/>
      <c r="AD873" s="9"/>
    </row>
    <row r="874" ht="15.75" customHeight="1">
      <c r="A874" s="9"/>
      <c r="B874" s="9"/>
      <c r="C874" s="9"/>
      <c r="D874" s="9"/>
      <c r="E874" s="9"/>
      <c r="F874" s="9"/>
      <c r="G874" s="9"/>
      <c r="H874" s="223"/>
      <c r="I874" s="9"/>
      <c r="J874" s="9"/>
      <c r="K874" s="9"/>
      <c r="L874" s="9"/>
      <c r="M874" s="9"/>
      <c r="N874" s="9"/>
      <c r="O874" s="9"/>
      <c r="P874" s="9"/>
      <c r="Q874" s="223"/>
      <c r="R874" s="9"/>
      <c r="S874" s="9"/>
      <c r="T874" s="9"/>
      <c r="U874" s="9"/>
      <c r="V874" s="9"/>
      <c r="W874" s="971"/>
      <c r="X874" s="9"/>
      <c r="Y874" s="9"/>
      <c r="Z874" s="204"/>
      <c r="AA874" s="9"/>
      <c r="AB874" s="9"/>
      <c r="AC874" s="9"/>
      <c r="AD874" s="9"/>
    </row>
    <row r="875" ht="15.75" customHeight="1">
      <c r="A875" s="9"/>
      <c r="B875" s="9"/>
      <c r="C875" s="9"/>
      <c r="D875" s="9"/>
      <c r="E875" s="9"/>
      <c r="F875" s="9"/>
      <c r="G875" s="9"/>
      <c r="H875" s="223"/>
      <c r="I875" s="9"/>
      <c r="J875" s="9"/>
      <c r="K875" s="9"/>
      <c r="L875" s="9"/>
      <c r="M875" s="9"/>
      <c r="N875" s="9"/>
      <c r="O875" s="9"/>
      <c r="P875" s="9"/>
      <c r="Q875" s="223"/>
      <c r="R875" s="9"/>
      <c r="S875" s="9"/>
      <c r="T875" s="9"/>
      <c r="U875" s="9"/>
      <c r="V875" s="9"/>
      <c r="W875" s="971"/>
      <c r="X875" s="9"/>
      <c r="Y875" s="9"/>
      <c r="Z875" s="204"/>
      <c r="AA875" s="9"/>
      <c r="AB875" s="9"/>
      <c r="AC875" s="9"/>
      <c r="AD875" s="9"/>
    </row>
    <row r="876" ht="15.75" customHeight="1">
      <c r="A876" s="9"/>
      <c r="B876" s="9"/>
      <c r="C876" s="9"/>
      <c r="D876" s="9"/>
      <c r="E876" s="9"/>
      <c r="F876" s="9"/>
      <c r="G876" s="9"/>
      <c r="H876" s="223"/>
      <c r="I876" s="9"/>
      <c r="J876" s="9"/>
      <c r="K876" s="9"/>
      <c r="L876" s="9"/>
      <c r="M876" s="9"/>
      <c r="N876" s="9"/>
      <c r="O876" s="9"/>
      <c r="P876" s="9"/>
      <c r="Q876" s="223"/>
      <c r="R876" s="9"/>
      <c r="S876" s="9"/>
      <c r="T876" s="9"/>
      <c r="U876" s="9"/>
      <c r="V876" s="9"/>
      <c r="W876" s="971"/>
      <c r="X876" s="9"/>
      <c r="Y876" s="9"/>
      <c r="Z876" s="204"/>
      <c r="AA876" s="9"/>
      <c r="AB876" s="9"/>
      <c r="AC876" s="9"/>
      <c r="AD876" s="9"/>
    </row>
    <row r="877" ht="15.75" customHeight="1">
      <c r="A877" s="9"/>
      <c r="B877" s="9"/>
      <c r="C877" s="9"/>
      <c r="D877" s="9"/>
      <c r="E877" s="9"/>
      <c r="F877" s="9"/>
      <c r="G877" s="9"/>
      <c r="H877" s="223"/>
      <c r="I877" s="9"/>
      <c r="J877" s="9"/>
      <c r="K877" s="9"/>
      <c r="L877" s="9"/>
      <c r="M877" s="9"/>
      <c r="N877" s="9"/>
      <c r="O877" s="9"/>
      <c r="P877" s="9"/>
      <c r="Q877" s="223"/>
      <c r="R877" s="9"/>
      <c r="S877" s="9"/>
      <c r="T877" s="9"/>
      <c r="U877" s="9"/>
      <c r="V877" s="9"/>
      <c r="W877" s="971"/>
      <c r="X877" s="9"/>
      <c r="Y877" s="9"/>
      <c r="Z877" s="204"/>
      <c r="AA877" s="9"/>
      <c r="AB877" s="9"/>
      <c r="AC877" s="9"/>
      <c r="AD877" s="9"/>
    </row>
    <row r="878" ht="15.75" customHeight="1">
      <c r="A878" s="9"/>
      <c r="B878" s="9"/>
      <c r="C878" s="9"/>
      <c r="D878" s="9"/>
      <c r="E878" s="9"/>
      <c r="F878" s="9"/>
      <c r="G878" s="9"/>
      <c r="H878" s="223"/>
      <c r="I878" s="9"/>
      <c r="J878" s="9"/>
      <c r="K878" s="9"/>
      <c r="L878" s="9"/>
      <c r="M878" s="9"/>
      <c r="N878" s="9"/>
      <c r="O878" s="9"/>
      <c r="P878" s="9"/>
      <c r="Q878" s="223"/>
      <c r="R878" s="9"/>
      <c r="S878" s="9"/>
      <c r="T878" s="9"/>
      <c r="U878" s="9"/>
      <c r="V878" s="9"/>
      <c r="W878" s="971"/>
      <c r="X878" s="9"/>
      <c r="Y878" s="9"/>
      <c r="Z878" s="204"/>
      <c r="AA878" s="9"/>
      <c r="AB878" s="9"/>
      <c r="AC878" s="9"/>
      <c r="AD878" s="9"/>
    </row>
    <row r="879" ht="15.75" customHeight="1">
      <c r="A879" s="9"/>
      <c r="B879" s="9"/>
      <c r="C879" s="9"/>
      <c r="D879" s="9"/>
      <c r="E879" s="9"/>
      <c r="F879" s="9"/>
      <c r="G879" s="9"/>
      <c r="H879" s="223"/>
      <c r="I879" s="9"/>
      <c r="J879" s="9"/>
      <c r="K879" s="9"/>
      <c r="L879" s="9"/>
      <c r="M879" s="9"/>
      <c r="N879" s="9"/>
      <c r="O879" s="9"/>
      <c r="P879" s="9"/>
      <c r="Q879" s="223"/>
      <c r="R879" s="9"/>
      <c r="S879" s="9"/>
      <c r="T879" s="9"/>
      <c r="U879" s="9"/>
      <c r="V879" s="9"/>
      <c r="W879" s="971"/>
      <c r="X879" s="9"/>
      <c r="Y879" s="9"/>
      <c r="Z879" s="204"/>
      <c r="AA879" s="9"/>
      <c r="AB879" s="9"/>
      <c r="AC879" s="9"/>
      <c r="AD879" s="9"/>
    </row>
    <row r="880" ht="15.75" customHeight="1">
      <c r="A880" s="9"/>
      <c r="B880" s="9"/>
      <c r="C880" s="9"/>
      <c r="D880" s="9"/>
      <c r="E880" s="9"/>
      <c r="F880" s="9"/>
      <c r="G880" s="9"/>
      <c r="H880" s="223"/>
      <c r="I880" s="9"/>
      <c r="J880" s="9"/>
      <c r="K880" s="9"/>
      <c r="L880" s="9"/>
      <c r="M880" s="9"/>
      <c r="N880" s="9"/>
      <c r="O880" s="9"/>
      <c r="P880" s="9"/>
      <c r="Q880" s="223"/>
      <c r="R880" s="9"/>
      <c r="S880" s="9"/>
      <c r="T880" s="9"/>
      <c r="U880" s="9"/>
      <c r="V880" s="9"/>
      <c r="W880" s="971"/>
      <c r="X880" s="9"/>
      <c r="Y880" s="9"/>
      <c r="Z880" s="204"/>
      <c r="AA880" s="9"/>
      <c r="AB880" s="9"/>
      <c r="AC880" s="9"/>
      <c r="AD880" s="9"/>
    </row>
    <row r="881" ht="15.75" customHeight="1">
      <c r="A881" s="9"/>
      <c r="B881" s="9"/>
      <c r="C881" s="9"/>
      <c r="D881" s="9"/>
      <c r="E881" s="9"/>
      <c r="F881" s="9"/>
      <c r="G881" s="9"/>
      <c r="H881" s="223"/>
      <c r="I881" s="9"/>
      <c r="J881" s="9"/>
      <c r="K881" s="9"/>
      <c r="L881" s="9"/>
      <c r="M881" s="9"/>
      <c r="N881" s="9"/>
      <c r="O881" s="9"/>
      <c r="P881" s="9"/>
      <c r="Q881" s="223"/>
      <c r="R881" s="9"/>
      <c r="S881" s="9"/>
      <c r="T881" s="9"/>
      <c r="U881" s="9"/>
      <c r="V881" s="9"/>
      <c r="W881" s="971"/>
      <c r="X881" s="9"/>
      <c r="Y881" s="9"/>
      <c r="Z881" s="204"/>
      <c r="AA881" s="9"/>
      <c r="AB881" s="9"/>
      <c r="AC881" s="9"/>
      <c r="AD881" s="9"/>
    </row>
    <row r="882" ht="15.75" customHeight="1">
      <c r="A882" s="9"/>
      <c r="B882" s="9"/>
      <c r="C882" s="9"/>
      <c r="D882" s="9"/>
      <c r="E882" s="9"/>
      <c r="F882" s="9"/>
      <c r="G882" s="9"/>
      <c r="H882" s="223"/>
      <c r="I882" s="9"/>
      <c r="J882" s="9"/>
      <c r="K882" s="9"/>
      <c r="L882" s="9"/>
      <c r="M882" s="9"/>
      <c r="N882" s="9"/>
      <c r="O882" s="9"/>
      <c r="P882" s="9"/>
      <c r="Q882" s="223"/>
      <c r="R882" s="9"/>
      <c r="S882" s="9"/>
      <c r="T882" s="9"/>
      <c r="U882" s="9"/>
      <c r="V882" s="9"/>
      <c r="W882" s="971"/>
      <c r="X882" s="9"/>
      <c r="Y882" s="9"/>
      <c r="Z882" s="204"/>
      <c r="AA882" s="9"/>
      <c r="AB882" s="9"/>
      <c r="AC882" s="9"/>
      <c r="AD882" s="9"/>
    </row>
    <row r="883" ht="15.75" customHeight="1">
      <c r="A883" s="9"/>
      <c r="B883" s="9"/>
      <c r="C883" s="9"/>
      <c r="D883" s="9"/>
      <c r="E883" s="9"/>
      <c r="F883" s="9"/>
      <c r="G883" s="9"/>
      <c r="H883" s="223"/>
      <c r="I883" s="9"/>
      <c r="J883" s="9"/>
      <c r="K883" s="9"/>
      <c r="L883" s="9"/>
      <c r="M883" s="9"/>
      <c r="N883" s="9"/>
      <c r="O883" s="9"/>
      <c r="P883" s="9"/>
      <c r="Q883" s="223"/>
      <c r="R883" s="9"/>
      <c r="S883" s="9"/>
      <c r="T883" s="9"/>
      <c r="U883" s="9"/>
      <c r="V883" s="9"/>
      <c r="W883" s="971"/>
      <c r="X883" s="9"/>
      <c r="Y883" s="9"/>
      <c r="Z883" s="204"/>
      <c r="AA883" s="9"/>
      <c r="AB883" s="9"/>
      <c r="AC883" s="9"/>
      <c r="AD883" s="9"/>
    </row>
    <row r="884" ht="15.75" customHeight="1">
      <c r="A884" s="9"/>
      <c r="B884" s="9"/>
      <c r="C884" s="9"/>
      <c r="D884" s="9"/>
      <c r="E884" s="9"/>
      <c r="F884" s="9"/>
      <c r="G884" s="9"/>
      <c r="H884" s="223"/>
      <c r="I884" s="9"/>
      <c r="J884" s="9"/>
      <c r="K884" s="9"/>
      <c r="L884" s="9"/>
      <c r="M884" s="9"/>
      <c r="N884" s="9"/>
      <c r="O884" s="9"/>
      <c r="P884" s="9"/>
      <c r="Q884" s="223"/>
      <c r="R884" s="9"/>
      <c r="S884" s="9"/>
      <c r="T884" s="9"/>
      <c r="U884" s="9"/>
      <c r="V884" s="9"/>
      <c r="W884" s="971"/>
      <c r="X884" s="9"/>
      <c r="Y884" s="9"/>
      <c r="Z884" s="204"/>
      <c r="AA884" s="9"/>
      <c r="AB884" s="9"/>
      <c r="AC884" s="9"/>
      <c r="AD884" s="9"/>
    </row>
    <row r="885" ht="15.75" customHeight="1">
      <c r="A885" s="9"/>
      <c r="B885" s="9"/>
      <c r="C885" s="9"/>
      <c r="D885" s="9"/>
      <c r="E885" s="9"/>
      <c r="F885" s="9"/>
      <c r="G885" s="9"/>
      <c r="H885" s="223"/>
      <c r="I885" s="9"/>
      <c r="J885" s="9"/>
      <c r="K885" s="9"/>
      <c r="L885" s="9"/>
      <c r="M885" s="9"/>
      <c r="N885" s="9"/>
      <c r="O885" s="9"/>
      <c r="P885" s="9"/>
      <c r="Q885" s="223"/>
      <c r="R885" s="9"/>
      <c r="S885" s="9"/>
      <c r="T885" s="9"/>
      <c r="U885" s="9"/>
      <c r="V885" s="9"/>
      <c r="W885" s="971"/>
      <c r="X885" s="9"/>
      <c r="Y885" s="9"/>
      <c r="Z885" s="204"/>
      <c r="AA885" s="9"/>
      <c r="AB885" s="9"/>
      <c r="AC885" s="9"/>
      <c r="AD885" s="9"/>
    </row>
    <row r="886" ht="15.75" customHeight="1">
      <c r="A886" s="9"/>
      <c r="B886" s="9"/>
      <c r="C886" s="9"/>
      <c r="D886" s="9"/>
      <c r="E886" s="9"/>
      <c r="F886" s="9"/>
      <c r="G886" s="9"/>
      <c r="H886" s="223"/>
      <c r="I886" s="9"/>
      <c r="J886" s="9"/>
      <c r="K886" s="9"/>
      <c r="L886" s="9"/>
      <c r="M886" s="9"/>
      <c r="N886" s="9"/>
      <c r="O886" s="9"/>
      <c r="P886" s="9"/>
      <c r="Q886" s="223"/>
      <c r="R886" s="9"/>
      <c r="S886" s="9"/>
      <c r="T886" s="9"/>
      <c r="U886" s="9"/>
      <c r="V886" s="9"/>
      <c r="W886" s="971"/>
      <c r="X886" s="9"/>
      <c r="Y886" s="9"/>
      <c r="Z886" s="204"/>
      <c r="AA886" s="9"/>
      <c r="AB886" s="9"/>
      <c r="AC886" s="9"/>
      <c r="AD886" s="9"/>
    </row>
    <row r="887" ht="15.75" customHeight="1">
      <c r="A887" s="9"/>
      <c r="B887" s="9"/>
      <c r="C887" s="9"/>
      <c r="D887" s="9"/>
      <c r="E887" s="9"/>
      <c r="F887" s="9"/>
      <c r="G887" s="9"/>
      <c r="H887" s="223"/>
      <c r="I887" s="9"/>
      <c r="J887" s="9"/>
      <c r="K887" s="9"/>
      <c r="L887" s="9"/>
      <c r="M887" s="9"/>
      <c r="N887" s="9"/>
      <c r="O887" s="9"/>
      <c r="P887" s="9"/>
      <c r="Q887" s="223"/>
      <c r="R887" s="9"/>
      <c r="S887" s="9"/>
      <c r="T887" s="9"/>
      <c r="U887" s="9"/>
      <c r="V887" s="9"/>
      <c r="W887" s="971"/>
      <c r="X887" s="9"/>
      <c r="Y887" s="9"/>
      <c r="Z887" s="204"/>
      <c r="AA887" s="9"/>
      <c r="AB887" s="9"/>
      <c r="AC887" s="9"/>
      <c r="AD887" s="9"/>
    </row>
    <row r="888" ht="15.75" customHeight="1">
      <c r="A888" s="9"/>
      <c r="B888" s="9"/>
      <c r="C888" s="9"/>
      <c r="D888" s="9"/>
      <c r="E888" s="9"/>
      <c r="F888" s="9"/>
      <c r="G888" s="9"/>
      <c r="H888" s="223"/>
      <c r="I888" s="9"/>
      <c r="J888" s="9"/>
      <c r="K888" s="9"/>
      <c r="L888" s="9"/>
      <c r="M888" s="9"/>
      <c r="N888" s="9"/>
      <c r="O888" s="9"/>
      <c r="P888" s="9"/>
      <c r="Q888" s="223"/>
      <c r="R888" s="9"/>
      <c r="S888" s="9"/>
      <c r="T888" s="9"/>
      <c r="U888" s="9"/>
      <c r="V888" s="9"/>
      <c r="W888" s="971"/>
      <c r="X888" s="9"/>
      <c r="Y888" s="9"/>
      <c r="Z888" s="204"/>
      <c r="AA888" s="9"/>
      <c r="AB888" s="9"/>
      <c r="AC888" s="9"/>
      <c r="AD888" s="9"/>
    </row>
    <row r="889" ht="15.75" customHeight="1">
      <c r="A889" s="9"/>
      <c r="B889" s="9"/>
      <c r="C889" s="9"/>
      <c r="D889" s="9"/>
      <c r="E889" s="9"/>
      <c r="F889" s="9"/>
      <c r="G889" s="9"/>
      <c r="H889" s="223"/>
      <c r="I889" s="9"/>
      <c r="J889" s="9"/>
      <c r="K889" s="9"/>
      <c r="L889" s="9"/>
      <c r="M889" s="9"/>
      <c r="N889" s="9"/>
      <c r="O889" s="9"/>
      <c r="P889" s="9"/>
      <c r="Q889" s="223"/>
      <c r="R889" s="9"/>
      <c r="S889" s="9"/>
      <c r="T889" s="9"/>
      <c r="U889" s="9"/>
      <c r="V889" s="9"/>
      <c r="W889" s="971"/>
      <c r="X889" s="9"/>
      <c r="Y889" s="9"/>
      <c r="Z889" s="204"/>
      <c r="AA889" s="9"/>
      <c r="AB889" s="9"/>
      <c r="AC889" s="9"/>
      <c r="AD889" s="9"/>
    </row>
    <row r="890" ht="15.75" customHeight="1">
      <c r="A890" s="9"/>
      <c r="B890" s="9"/>
      <c r="C890" s="9"/>
      <c r="D890" s="9"/>
      <c r="E890" s="9"/>
      <c r="F890" s="9"/>
      <c r="G890" s="9"/>
      <c r="H890" s="223"/>
      <c r="I890" s="9"/>
      <c r="J890" s="9"/>
      <c r="K890" s="9"/>
      <c r="L890" s="9"/>
      <c r="M890" s="9"/>
      <c r="N890" s="9"/>
      <c r="O890" s="9"/>
      <c r="P890" s="9"/>
      <c r="Q890" s="223"/>
      <c r="R890" s="9"/>
      <c r="S890" s="9"/>
      <c r="T890" s="9"/>
      <c r="U890" s="9"/>
      <c r="V890" s="9"/>
      <c r="W890" s="971"/>
      <c r="X890" s="9"/>
      <c r="Y890" s="9"/>
      <c r="Z890" s="204"/>
      <c r="AA890" s="9"/>
      <c r="AB890" s="9"/>
      <c r="AC890" s="9"/>
      <c r="AD890" s="9"/>
    </row>
    <row r="891" ht="15.75" customHeight="1">
      <c r="A891" s="9"/>
      <c r="B891" s="9"/>
      <c r="C891" s="9"/>
      <c r="D891" s="9"/>
      <c r="E891" s="9"/>
      <c r="F891" s="9"/>
      <c r="G891" s="9"/>
      <c r="H891" s="223"/>
      <c r="I891" s="9"/>
      <c r="J891" s="9"/>
      <c r="K891" s="9"/>
      <c r="L891" s="9"/>
      <c r="M891" s="9"/>
      <c r="N891" s="9"/>
      <c r="O891" s="9"/>
      <c r="P891" s="9"/>
      <c r="Q891" s="223"/>
      <c r="R891" s="9"/>
      <c r="S891" s="9"/>
      <c r="T891" s="9"/>
      <c r="U891" s="9"/>
      <c r="V891" s="9"/>
      <c r="W891" s="971"/>
      <c r="X891" s="9"/>
      <c r="Y891" s="9"/>
      <c r="Z891" s="204"/>
      <c r="AA891" s="9"/>
      <c r="AB891" s="9"/>
      <c r="AC891" s="9"/>
      <c r="AD891" s="9"/>
    </row>
    <row r="892" ht="15.75" customHeight="1">
      <c r="A892" s="9"/>
      <c r="B892" s="9"/>
      <c r="C892" s="9"/>
      <c r="D892" s="9"/>
      <c r="E892" s="9"/>
      <c r="F892" s="9"/>
      <c r="G892" s="9"/>
      <c r="H892" s="223"/>
      <c r="I892" s="9"/>
      <c r="J892" s="9"/>
      <c r="K892" s="9"/>
      <c r="L892" s="9"/>
      <c r="M892" s="9"/>
      <c r="N892" s="9"/>
      <c r="O892" s="9"/>
      <c r="P892" s="9"/>
      <c r="Q892" s="223"/>
      <c r="R892" s="9"/>
      <c r="S892" s="9"/>
      <c r="T892" s="9"/>
      <c r="U892" s="9"/>
      <c r="V892" s="9"/>
      <c r="W892" s="971"/>
      <c r="X892" s="9"/>
      <c r="Y892" s="9"/>
      <c r="Z892" s="204"/>
      <c r="AA892" s="9"/>
      <c r="AB892" s="9"/>
      <c r="AC892" s="9"/>
      <c r="AD892" s="9"/>
    </row>
    <row r="893" ht="15.75" customHeight="1">
      <c r="A893" s="9"/>
      <c r="B893" s="9"/>
      <c r="C893" s="9"/>
      <c r="D893" s="9"/>
      <c r="E893" s="9"/>
      <c r="F893" s="9"/>
      <c r="G893" s="9"/>
      <c r="H893" s="223"/>
      <c r="I893" s="9"/>
      <c r="J893" s="9"/>
      <c r="K893" s="9"/>
      <c r="L893" s="9"/>
      <c r="M893" s="9"/>
      <c r="N893" s="9"/>
      <c r="O893" s="9"/>
      <c r="P893" s="9"/>
      <c r="Q893" s="223"/>
      <c r="R893" s="9"/>
      <c r="S893" s="9"/>
      <c r="T893" s="9"/>
      <c r="U893" s="9"/>
      <c r="V893" s="9"/>
      <c r="W893" s="971"/>
      <c r="X893" s="9"/>
      <c r="Y893" s="9"/>
      <c r="Z893" s="204"/>
      <c r="AA893" s="9"/>
      <c r="AB893" s="9"/>
      <c r="AC893" s="9"/>
      <c r="AD893" s="9"/>
    </row>
    <row r="894" ht="15.75" customHeight="1">
      <c r="A894" s="9"/>
      <c r="B894" s="9"/>
      <c r="C894" s="9"/>
      <c r="D894" s="9"/>
      <c r="E894" s="9"/>
      <c r="F894" s="9"/>
      <c r="G894" s="9"/>
      <c r="H894" s="223"/>
      <c r="I894" s="9"/>
      <c r="J894" s="9"/>
      <c r="K894" s="9"/>
      <c r="L894" s="9"/>
      <c r="M894" s="9"/>
      <c r="N894" s="9"/>
      <c r="O894" s="9"/>
      <c r="P894" s="9"/>
      <c r="Q894" s="223"/>
      <c r="R894" s="9"/>
      <c r="S894" s="9"/>
      <c r="T894" s="9"/>
      <c r="U894" s="9"/>
      <c r="V894" s="9"/>
      <c r="W894" s="971"/>
      <c r="X894" s="9"/>
      <c r="Y894" s="9"/>
      <c r="Z894" s="204"/>
      <c r="AA894" s="9"/>
      <c r="AB894" s="9"/>
      <c r="AC894" s="9"/>
      <c r="AD894" s="9"/>
    </row>
    <row r="895" ht="15.75" customHeight="1">
      <c r="A895" s="9"/>
      <c r="B895" s="9"/>
      <c r="C895" s="9"/>
      <c r="D895" s="9"/>
      <c r="E895" s="9"/>
      <c r="F895" s="9"/>
      <c r="G895" s="9"/>
      <c r="H895" s="223"/>
      <c r="I895" s="9"/>
      <c r="J895" s="9"/>
      <c r="K895" s="9"/>
      <c r="L895" s="9"/>
      <c r="M895" s="9"/>
      <c r="N895" s="9"/>
      <c r="O895" s="9"/>
      <c r="P895" s="9"/>
      <c r="Q895" s="223"/>
      <c r="R895" s="9"/>
      <c r="S895" s="9"/>
      <c r="T895" s="9"/>
      <c r="U895" s="9"/>
      <c r="V895" s="9"/>
      <c r="W895" s="971"/>
      <c r="X895" s="9"/>
      <c r="Y895" s="9"/>
      <c r="Z895" s="204"/>
      <c r="AA895" s="9"/>
      <c r="AB895" s="9"/>
      <c r="AC895" s="9"/>
      <c r="AD895" s="9"/>
    </row>
    <row r="896" ht="15.75" customHeight="1">
      <c r="A896" s="9"/>
      <c r="B896" s="9"/>
      <c r="C896" s="9"/>
      <c r="D896" s="9"/>
      <c r="E896" s="9"/>
      <c r="F896" s="9"/>
      <c r="G896" s="9"/>
      <c r="H896" s="223"/>
      <c r="I896" s="9"/>
      <c r="J896" s="9"/>
      <c r="K896" s="9"/>
      <c r="L896" s="9"/>
      <c r="M896" s="9"/>
      <c r="N896" s="9"/>
      <c r="O896" s="9"/>
      <c r="P896" s="9"/>
      <c r="Q896" s="223"/>
      <c r="R896" s="9"/>
      <c r="S896" s="9"/>
      <c r="T896" s="9"/>
      <c r="U896" s="9"/>
      <c r="V896" s="9"/>
      <c r="W896" s="971"/>
      <c r="X896" s="9"/>
      <c r="Y896" s="9"/>
      <c r="Z896" s="204"/>
      <c r="AA896" s="9"/>
      <c r="AB896" s="9"/>
      <c r="AC896" s="9"/>
      <c r="AD896" s="9"/>
    </row>
    <row r="897" ht="15.75" customHeight="1">
      <c r="A897" s="9"/>
      <c r="B897" s="9"/>
      <c r="C897" s="9"/>
      <c r="D897" s="9"/>
      <c r="E897" s="9"/>
      <c r="F897" s="9"/>
      <c r="G897" s="9"/>
      <c r="H897" s="223"/>
      <c r="I897" s="9"/>
      <c r="J897" s="9"/>
      <c r="K897" s="9"/>
      <c r="L897" s="9"/>
      <c r="M897" s="9"/>
      <c r="N897" s="9"/>
      <c r="O897" s="9"/>
      <c r="P897" s="9"/>
      <c r="Q897" s="223"/>
      <c r="R897" s="9"/>
      <c r="S897" s="9"/>
      <c r="T897" s="9"/>
      <c r="U897" s="9"/>
      <c r="V897" s="9"/>
      <c r="W897" s="971"/>
      <c r="X897" s="9"/>
      <c r="Y897" s="9"/>
      <c r="Z897" s="204"/>
      <c r="AA897" s="9"/>
      <c r="AB897" s="9"/>
      <c r="AC897" s="9"/>
      <c r="AD897" s="9"/>
    </row>
    <row r="898" ht="15.75" customHeight="1">
      <c r="A898" s="9"/>
      <c r="B898" s="9"/>
      <c r="C898" s="9"/>
      <c r="D898" s="9"/>
      <c r="E898" s="9"/>
      <c r="F898" s="9"/>
      <c r="G898" s="9"/>
      <c r="H898" s="223"/>
      <c r="I898" s="9"/>
      <c r="J898" s="9"/>
      <c r="K898" s="9"/>
      <c r="L898" s="9"/>
      <c r="M898" s="9"/>
      <c r="N898" s="9"/>
      <c r="O898" s="9"/>
      <c r="P898" s="9"/>
      <c r="Q898" s="223"/>
      <c r="R898" s="9"/>
      <c r="S898" s="9"/>
      <c r="T898" s="9"/>
      <c r="U898" s="9"/>
      <c r="V898" s="9"/>
      <c r="W898" s="971"/>
      <c r="X898" s="9"/>
      <c r="Y898" s="9"/>
      <c r="Z898" s="204"/>
      <c r="AA898" s="9"/>
      <c r="AB898" s="9"/>
      <c r="AC898" s="9"/>
      <c r="AD898" s="9"/>
    </row>
    <row r="899" ht="15.75" customHeight="1">
      <c r="A899" s="9"/>
      <c r="B899" s="9"/>
      <c r="C899" s="9"/>
      <c r="D899" s="9"/>
      <c r="E899" s="9"/>
      <c r="F899" s="9"/>
      <c r="G899" s="9"/>
      <c r="H899" s="223"/>
      <c r="I899" s="9"/>
      <c r="J899" s="9"/>
      <c r="K899" s="9"/>
      <c r="L899" s="9"/>
      <c r="M899" s="9"/>
      <c r="N899" s="9"/>
      <c r="O899" s="9"/>
      <c r="P899" s="9"/>
      <c r="Q899" s="223"/>
      <c r="R899" s="9"/>
      <c r="S899" s="9"/>
      <c r="T899" s="9"/>
      <c r="U899" s="9"/>
      <c r="V899" s="9"/>
      <c r="W899" s="971"/>
      <c r="X899" s="9"/>
      <c r="Y899" s="9"/>
      <c r="Z899" s="204"/>
      <c r="AA899" s="9"/>
      <c r="AB899" s="9"/>
      <c r="AC899" s="9"/>
      <c r="AD899" s="9"/>
    </row>
    <row r="900" ht="15.75" customHeight="1">
      <c r="A900" s="9"/>
      <c r="B900" s="9"/>
      <c r="C900" s="9"/>
      <c r="D900" s="9"/>
      <c r="E900" s="9"/>
      <c r="F900" s="9"/>
      <c r="G900" s="9"/>
      <c r="H900" s="223"/>
      <c r="I900" s="9"/>
      <c r="J900" s="9"/>
      <c r="K900" s="9"/>
      <c r="L900" s="9"/>
      <c r="M900" s="9"/>
      <c r="N900" s="9"/>
      <c r="O900" s="9"/>
      <c r="P900" s="9"/>
      <c r="Q900" s="223"/>
      <c r="R900" s="9"/>
      <c r="S900" s="9"/>
      <c r="T900" s="9"/>
      <c r="U900" s="9"/>
      <c r="V900" s="9"/>
      <c r="W900" s="971"/>
      <c r="X900" s="9"/>
      <c r="Y900" s="9"/>
      <c r="Z900" s="204"/>
      <c r="AA900" s="9"/>
      <c r="AB900" s="9"/>
      <c r="AC900" s="9"/>
      <c r="AD900" s="9"/>
    </row>
    <row r="901" ht="15.75" customHeight="1">
      <c r="A901" s="9"/>
      <c r="B901" s="9"/>
      <c r="C901" s="9"/>
      <c r="D901" s="9"/>
      <c r="E901" s="9"/>
      <c r="F901" s="9"/>
      <c r="G901" s="9"/>
      <c r="H901" s="223"/>
      <c r="I901" s="9"/>
      <c r="J901" s="9"/>
      <c r="K901" s="9"/>
      <c r="L901" s="9"/>
      <c r="M901" s="9"/>
      <c r="N901" s="9"/>
      <c r="O901" s="9"/>
      <c r="P901" s="9"/>
      <c r="Q901" s="223"/>
      <c r="R901" s="9"/>
      <c r="S901" s="9"/>
      <c r="T901" s="9"/>
      <c r="U901" s="9"/>
      <c r="V901" s="9"/>
      <c r="W901" s="971"/>
      <c r="X901" s="9"/>
      <c r="Y901" s="9"/>
      <c r="Z901" s="204"/>
      <c r="AA901" s="9"/>
      <c r="AB901" s="9"/>
      <c r="AC901" s="9"/>
      <c r="AD901" s="9"/>
    </row>
    <row r="902" ht="15.75" customHeight="1">
      <c r="A902" s="9"/>
      <c r="B902" s="9"/>
      <c r="C902" s="9"/>
      <c r="D902" s="9"/>
      <c r="E902" s="9"/>
      <c r="F902" s="9"/>
      <c r="G902" s="9"/>
      <c r="H902" s="223"/>
      <c r="I902" s="9"/>
      <c r="J902" s="9"/>
      <c r="K902" s="9"/>
      <c r="L902" s="9"/>
      <c r="M902" s="9"/>
      <c r="N902" s="9"/>
      <c r="O902" s="9"/>
      <c r="P902" s="9"/>
      <c r="Q902" s="223"/>
      <c r="R902" s="9"/>
      <c r="S902" s="9"/>
      <c r="T902" s="9"/>
      <c r="U902" s="9"/>
      <c r="V902" s="9"/>
      <c r="W902" s="971"/>
      <c r="X902" s="9"/>
      <c r="Y902" s="9"/>
      <c r="Z902" s="204"/>
      <c r="AA902" s="9"/>
      <c r="AB902" s="9"/>
      <c r="AC902" s="9"/>
      <c r="AD902" s="9"/>
    </row>
    <row r="903" ht="15.75" customHeight="1">
      <c r="A903" s="9"/>
      <c r="B903" s="9"/>
      <c r="C903" s="9"/>
      <c r="D903" s="9"/>
      <c r="E903" s="9"/>
      <c r="F903" s="9"/>
      <c r="G903" s="9"/>
      <c r="H903" s="223"/>
      <c r="I903" s="9"/>
      <c r="J903" s="9"/>
      <c r="K903" s="9"/>
      <c r="L903" s="9"/>
      <c r="M903" s="9"/>
      <c r="N903" s="9"/>
      <c r="O903" s="9"/>
      <c r="P903" s="9"/>
      <c r="Q903" s="223"/>
      <c r="R903" s="9"/>
      <c r="S903" s="9"/>
      <c r="T903" s="9"/>
      <c r="U903" s="9"/>
      <c r="V903" s="9"/>
      <c r="W903" s="971"/>
      <c r="X903" s="9"/>
      <c r="Y903" s="9"/>
      <c r="Z903" s="204"/>
      <c r="AA903" s="9"/>
      <c r="AB903" s="9"/>
      <c r="AC903" s="9"/>
      <c r="AD903" s="9"/>
    </row>
    <row r="904" ht="15.75" customHeight="1">
      <c r="A904" s="9"/>
      <c r="B904" s="9"/>
      <c r="C904" s="9"/>
      <c r="D904" s="9"/>
      <c r="E904" s="9"/>
      <c r="F904" s="9"/>
      <c r="G904" s="9"/>
      <c r="H904" s="223"/>
      <c r="I904" s="9"/>
      <c r="J904" s="9"/>
      <c r="K904" s="9"/>
      <c r="L904" s="9"/>
      <c r="M904" s="9"/>
      <c r="N904" s="9"/>
      <c r="O904" s="9"/>
      <c r="P904" s="9"/>
      <c r="Q904" s="223"/>
      <c r="R904" s="9"/>
      <c r="S904" s="9"/>
      <c r="T904" s="9"/>
      <c r="U904" s="9"/>
      <c r="V904" s="9"/>
      <c r="W904" s="971"/>
      <c r="X904" s="9"/>
      <c r="Y904" s="9"/>
      <c r="Z904" s="204"/>
      <c r="AA904" s="9"/>
      <c r="AB904" s="9"/>
      <c r="AC904" s="9"/>
      <c r="AD904" s="9"/>
    </row>
    <row r="905" ht="15.75" customHeight="1">
      <c r="A905" s="9"/>
      <c r="B905" s="9"/>
      <c r="C905" s="9"/>
      <c r="D905" s="9"/>
      <c r="E905" s="9"/>
      <c r="F905" s="9"/>
      <c r="G905" s="9"/>
      <c r="H905" s="223"/>
      <c r="I905" s="9"/>
      <c r="J905" s="9"/>
      <c r="K905" s="9"/>
      <c r="L905" s="9"/>
      <c r="M905" s="9"/>
      <c r="N905" s="9"/>
      <c r="O905" s="9"/>
      <c r="P905" s="9"/>
      <c r="Q905" s="223"/>
      <c r="R905" s="9"/>
      <c r="S905" s="9"/>
      <c r="T905" s="9"/>
      <c r="U905" s="9"/>
      <c r="V905" s="9"/>
      <c r="W905" s="971"/>
      <c r="X905" s="9"/>
      <c r="Y905" s="9"/>
      <c r="Z905" s="204"/>
      <c r="AA905" s="9"/>
      <c r="AB905" s="9"/>
      <c r="AC905" s="9"/>
      <c r="AD905" s="9"/>
    </row>
    <row r="906" ht="15.75" customHeight="1">
      <c r="A906" s="9"/>
      <c r="B906" s="9"/>
      <c r="C906" s="9"/>
      <c r="D906" s="9"/>
      <c r="E906" s="9"/>
      <c r="F906" s="9"/>
      <c r="G906" s="9"/>
      <c r="H906" s="223"/>
      <c r="I906" s="9"/>
      <c r="J906" s="9"/>
      <c r="K906" s="9"/>
      <c r="L906" s="9"/>
      <c r="M906" s="9"/>
      <c r="N906" s="9"/>
      <c r="O906" s="9"/>
      <c r="P906" s="9"/>
      <c r="Q906" s="223"/>
      <c r="R906" s="9"/>
      <c r="S906" s="9"/>
      <c r="T906" s="9"/>
      <c r="U906" s="9"/>
      <c r="V906" s="9"/>
      <c r="W906" s="971"/>
      <c r="X906" s="9"/>
      <c r="Y906" s="9"/>
      <c r="Z906" s="204"/>
      <c r="AA906" s="9"/>
      <c r="AB906" s="9"/>
      <c r="AC906" s="9"/>
      <c r="AD906" s="9"/>
    </row>
    <row r="907" ht="15.75" customHeight="1">
      <c r="A907" s="9"/>
      <c r="B907" s="9"/>
      <c r="C907" s="9"/>
      <c r="D907" s="9"/>
      <c r="E907" s="9"/>
      <c r="F907" s="9"/>
      <c r="G907" s="9"/>
      <c r="H907" s="223"/>
      <c r="I907" s="9"/>
      <c r="J907" s="9"/>
      <c r="K907" s="9"/>
      <c r="L907" s="9"/>
      <c r="M907" s="9"/>
      <c r="N907" s="9"/>
      <c r="O907" s="9"/>
      <c r="P907" s="9"/>
      <c r="Q907" s="223"/>
      <c r="R907" s="9"/>
      <c r="S907" s="9"/>
      <c r="T907" s="9"/>
      <c r="U907" s="9"/>
      <c r="V907" s="9"/>
      <c r="W907" s="971"/>
      <c r="X907" s="9"/>
      <c r="Y907" s="9"/>
      <c r="Z907" s="204"/>
      <c r="AA907" s="9"/>
      <c r="AB907" s="9"/>
      <c r="AC907" s="9"/>
      <c r="AD907" s="9"/>
    </row>
    <row r="908" ht="15.75" customHeight="1">
      <c r="A908" s="9"/>
      <c r="B908" s="9"/>
      <c r="C908" s="9"/>
      <c r="D908" s="9"/>
      <c r="E908" s="9"/>
      <c r="F908" s="9"/>
      <c r="G908" s="9"/>
      <c r="H908" s="223"/>
      <c r="I908" s="9"/>
      <c r="J908" s="9"/>
      <c r="K908" s="9"/>
      <c r="L908" s="9"/>
      <c r="M908" s="9"/>
      <c r="N908" s="9"/>
      <c r="O908" s="9"/>
      <c r="P908" s="9"/>
      <c r="Q908" s="223"/>
      <c r="R908" s="9"/>
      <c r="S908" s="9"/>
      <c r="T908" s="9"/>
      <c r="U908" s="9"/>
      <c r="V908" s="9"/>
      <c r="W908" s="971"/>
      <c r="X908" s="9"/>
      <c r="Y908" s="9"/>
      <c r="Z908" s="204"/>
      <c r="AA908" s="9"/>
      <c r="AB908" s="9"/>
      <c r="AC908" s="9"/>
      <c r="AD908" s="9"/>
    </row>
    <row r="909" ht="15.75" customHeight="1">
      <c r="A909" s="9"/>
      <c r="B909" s="9"/>
      <c r="C909" s="9"/>
      <c r="D909" s="9"/>
      <c r="E909" s="9"/>
      <c r="F909" s="9"/>
      <c r="G909" s="9"/>
      <c r="H909" s="223"/>
      <c r="I909" s="9"/>
      <c r="J909" s="9"/>
      <c r="K909" s="9"/>
      <c r="L909" s="9"/>
      <c r="M909" s="9"/>
      <c r="N909" s="9"/>
      <c r="O909" s="9"/>
      <c r="P909" s="9"/>
      <c r="Q909" s="223"/>
      <c r="R909" s="9"/>
      <c r="S909" s="9"/>
      <c r="T909" s="9"/>
      <c r="U909" s="9"/>
      <c r="V909" s="9"/>
      <c r="W909" s="971"/>
      <c r="X909" s="9"/>
      <c r="Y909" s="9"/>
      <c r="Z909" s="204"/>
      <c r="AA909" s="9"/>
      <c r="AB909" s="9"/>
      <c r="AC909" s="9"/>
      <c r="AD909" s="9"/>
    </row>
    <row r="910" ht="15.75" customHeight="1">
      <c r="A910" s="9"/>
      <c r="B910" s="9"/>
      <c r="C910" s="9"/>
      <c r="D910" s="9"/>
      <c r="E910" s="9"/>
      <c r="F910" s="9"/>
      <c r="G910" s="9"/>
      <c r="H910" s="223"/>
      <c r="I910" s="9"/>
      <c r="J910" s="9"/>
      <c r="K910" s="9"/>
      <c r="L910" s="9"/>
      <c r="M910" s="9"/>
      <c r="N910" s="9"/>
      <c r="O910" s="9"/>
      <c r="P910" s="9"/>
      <c r="Q910" s="223"/>
      <c r="R910" s="9"/>
      <c r="S910" s="9"/>
      <c r="T910" s="9"/>
      <c r="U910" s="9"/>
      <c r="V910" s="9"/>
      <c r="W910" s="971"/>
      <c r="X910" s="9"/>
      <c r="Y910" s="9"/>
      <c r="Z910" s="204"/>
      <c r="AA910" s="9"/>
      <c r="AB910" s="9"/>
      <c r="AC910" s="9"/>
      <c r="AD910" s="9"/>
    </row>
    <row r="911" ht="15.75" customHeight="1">
      <c r="A911" s="9"/>
      <c r="B911" s="9"/>
      <c r="C911" s="9"/>
      <c r="D911" s="9"/>
      <c r="E911" s="9"/>
      <c r="F911" s="9"/>
      <c r="G911" s="9"/>
      <c r="H911" s="223"/>
      <c r="I911" s="9"/>
      <c r="J911" s="9"/>
      <c r="K911" s="9"/>
      <c r="L911" s="9"/>
      <c r="M911" s="9"/>
      <c r="N911" s="9"/>
      <c r="O911" s="9"/>
      <c r="P911" s="9"/>
      <c r="Q911" s="223"/>
      <c r="R911" s="9"/>
      <c r="S911" s="9"/>
      <c r="T911" s="9"/>
      <c r="U911" s="9"/>
      <c r="V911" s="9"/>
      <c r="W911" s="971"/>
      <c r="X911" s="9"/>
      <c r="Y911" s="9"/>
      <c r="Z911" s="204"/>
      <c r="AA911" s="9"/>
      <c r="AB911" s="9"/>
      <c r="AC911" s="9"/>
      <c r="AD911" s="9"/>
    </row>
    <row r="912" ht="15.75" customHeight="1">
      <c r="A912" s="9"/>
      <c r="B912" s="9"/>
      <c r="C912" s="9"/>
      <c r="D912" s="9"/>
      <c r="E912" s="9"/>
      <c r="F912" s="9"/>
      <c r="G912" s="9"/>
      <c r="H912" s="223"/>
      <c r="I912" s="9"/>
      <c r="J912" s="9"/>
      <c r="K912" s="9"/>
      <c r="L912" s="9"/>
      <c r="M912" s="9"/>
      <c r="N912" s="9"/>
      <c r="O912" s="9"/>
      <c r="P912" s="9"/>
      <c r="Q912" s="223"/>
      <c r="R912" s="9"/>
      <c r="S912" s="9"/>
      <c r="T912" s="9"/>
      <c r="U912" s="9"/>
      <c r="V912" s="9"/>
      <c r="W912" s="971"/>
      <c r="X912" s="9"/>
      <c r="Y912" s="9"/>
      <c r="Z912" s="204"/>
      <c r="AA912" s="9"/>
      <c r="AB912" s="9"/>
      <c r="AC912" s="9"/>
      <c r="AD912" s="9"/>
    </row>
    <row r="913" ht="15.75" customHeight="1">
      <c r="A913" s="9"/>
      <c r="B913" s="9"/>
      <c r="C913" s="9"/>
      <c r="D913" s="9"/>
      <c r="E913" s="9"/>
      <c r="F913" s="9"/>
      <c r="G913" s="9"/>
      <c r="H913" s="223"/>
      <c r="I913" s="9"/>
      <c r="J913" s="9"/>
      <c r="K913" s="9"/>
      <c r="L913" s="9"/>
      <c r="M913" s="9"/>
      <c r="N913" s="9"/>
      <c r="O913" s="9"/>
      <c r="P913" s="9"/>
      <c r="Q913" s="223"/>
      <c r="R913" s="9"/>
      <c r="S913" s="9"/>
      <c r="T913" s="9"/>
      <c r="U913" s="9"/>
      <c r="V913" s="9"/>
      <c r="W913" s="971"/>
      <c r="X913" s="9"/>
      <c r="Y913" s="9"/>
      <c r="Z913" s="204"/>
      <c r="AA913" s="9"/>
      <c r="AB913" s="9"/>
      <c r="AC913" s="9"/>
      <c r="AD913" s="9"/>
    </row>
    <row r="914" ht="15.75" customHeight="1">
      <c r="A914" s="9"/>
      <c r="B914" s="9"/>
      <c r="C914" s="9"/>
      <c r="D914" s="9"/>
      <c r="E914" s="9"/>
      <c r="F914" s="9"/>
      <c r="G914" s="9"/>
      <c r="H914" s="223"/>
      <c r="I914" s="9"/>
      <c r="J914" s="9"/>
      <c r="K914" s="9"/>
      <c r="L914" s="9"/>
      <c r="M914" s="9"/>
      <c r="N914" s="9"/>
      <c r="O914" s="9"/>
      <c r="P914" s="9"/>
      <c r="Q914" s="223"/>
      <c r="R914" s="9"/>
      <c r="S914" s="9"/>
      <c r="T914" s="9"/>
      <c r="U914" s="9"/>
      <c r="V914" s="9"/>
      <c r="W914" s="971"/>
      <c r="X914" s="9"/>
      <c r="Y914" s="9"/>
      <c r="Z914" s="204"/>
      <c r="AA914" s="9"/>
      <c r="AB914" s="9"/>
      <c r="AC914" s="9"/>
      <c r="AD914" s="9"/>
    </row>
    <row r="915" ht="15.75" customHeight="1">
      <c r="A915" s="9"/>
      <c r="B915" s="9"/>
      <c r="C915" s="9"/>
      <c r="D915" s="9"/>
      <c r="E915" s="9"/>
      <c r="F915" s="9"/>
      <c r="G915" s="9"/>
      <c r="H915" s="223"/>
      <c r="I915" s="9"/>
      <c r="J915" s="9"/>
      <c r="K915" s="9"/>
      <c r="L915" s="9"/>
      <c r="M915" s="9"/>
      <c r="N915" s="9"/>
      <c r="O915" s="9"/>
      <c r="P915" s="9"/>
      <c r="Q915" s="223"/>
      <c r="R915" s="9"/>
      <c r="S915" s="9"/>
      <c r="T915" s="9"/>
      <c r="U915" s="9"/>
      <c r="V915" s="9"/>
      <c r="W915" s="971"/>
      <c r="X915" s="9"/>
      <c r="Y915" s="9"/>
      <c r="Z915" s="204"/>
      <c r="AA915" s="9"/>
      <c r="AB915" s="9"/>
      <c r="AC915" s="9"/>
      <c r="AD915" s="9"/>
    </row>
    <row r="916" ht="15.75" customHeight="1">
      <c r="A916" s="9"/>
      <c r="B916" s="9"/>
      <c r="C916" s="9"/>
      <c r="D916" s="9"/>
      <c r="E916" s="9"/>
      <c r="F916" s="9"/>
      <c r="G916" s="9"/>
      <c r="H916" s="223"/>
      <c r="I916" s="9"/>
      <c r="J916" s="9"/>
      <c r="K916" s="9"/>
      <c r="L916" s="9"/>
      <c r="M916" s="9"/>
      <c r="N916" s="9"/>
      <c r="O916" s="9"/>
      <c r="P916" s="9"/>
      <c r="Q916" s="223"/>
      <c r="R916" s="9"/>
      <c r="S916" s="9"/>
      <c r="T916" s="9"/>
      <c r="U916" s="9"/>
      <c r="V916" s="9"/>
      <c r="W916" s="971"/>
      <c r="X916" s="9"/>
      <c r="Y916" s="9"/>
      <c r="Z916" s="204"/>
      <c r="AA916" s="9"/>
      <c r="AB916" s="9"/>
      <c r="AC916" s="9"/>
      <c r="AD916" s="9"/>
    </row>
    <row r="917" ht="15.75" customHeight="1">
      <c r="A917" s="9"/>
      <c r="B917" s="9"/>
      <c r="C917" s="9"/>
      <c r="D917" s="9"/>
      <c r="E917" s="9"/>
      <c r="F917" s="9"/>
      <c r="G917" s="9"/>
      <c r="H917" s="223"/>
      <c r="I917" s="9"/>
      <c r="J917" s="9"/>
      <c r="K917" s="9"/>
      <c r="L917" s="9"/>
      <c r="M917" s="9"/>
      <c r="N917" s="9"/>
      <c r="O917" s="9"/>
      <c r="P917" s="9"/>
      <c r="Q917" s="223"/>
      <c r="R917" s="9"/>
      <c r="S917" s="9"/>
      <c r="T917" s="9"/>
      <c r="U917" s="9"/>
      <c r="V917" s="9"/>
      <c r="W917" s="971"/>
      <c r="X917" s="9"/>
      <c r="Y917" s="9"/>
      <c r="Z917" s="204"/>
      <c r="AA917" s="9"/>
      <c r="AB917" s="9"/>
      <c r="AC917" s="9"/>
      <c r="AD917" s="9"/>
    </row>
    <row r="918" ht="15.75" customHeight="1">
      <c r="A918" s="9"/>
      <c r="B918" s="9"/>
      <c r="C918" s="9"/>
      <c r="D918" s="9"/>
      <c r="E918" s="9"/>
      <c r="F918" s="9"/>
      <c r="G918" s="9"/>
      <c r="H918" s="223"/>
      <c r="I918" s="9"/>
      <c r="J918" s="9"/>
      <c r="K918" s="9"/>
      <c r="L918" s="9"/>
      <c r="M918" s="9"/>
      <c r="N918" s="9"/>
      <c r="O918" s="9"/>
      <c r="P918" s="9"/>
      <c r="Q918" s="223"/>
      <c r="R918" s="9"/>
      <c r="S918" s="9"/>
      <c r="T918" s="9"/>
      <c r="U918" s="9"/>
      <c r="V918" s="9"/>
      <c r="W918" s="971"/>
      <c r="X918" s="9"/>
      <c r="Y918" s="9"/>
      <c r="Z918" s="204"/>
      <c r="AA918" s="9"/>
      <c r="AB918" s="9"/>
      <c r="AC918" s="9"/>
      <c r="AD918" s="9"/>
    </row>
    <row r="919" ht="15.75" customHeight="1">
      <c r="A919" s="9"/>
      <c r="B919" s="9"/>
      <c r="C919" s="9"/>
      <c r="D919" s="9"/>
      <c r="E919" s="9"/>
      <c r="F919" s="9"/>
      <c r="G919" s="9"/>
      <c r="H919" s="223"/>
      <c r="I919" s="9"/>
      <c r="J919" s="9"/>
      <c r="K919" s="9"/>
      <c r="L919" s="9"/>
      <c r="M919" s="9"/>
      <c r="N919" s="9"/>
      <c r="O919" s="9"/>
      <c r="P919" s="9"/>
      <c r="Q919" s="223"/>
      <c r="R919" s="9"/>
      <c r="S919" s="9"/>
      <c r="T919" s="9"/>
      <c r="U919" s="9"/>
      <c r="V919" s="9"/>
      <c r="W919" s="971"/>
      <c r="X919" s="9"/>
      <c r="Y919" s="9"/>
      <c r="Z919" s="204"/>
      <c r="AA919" s="9"/>
      <c r="AB919" s="9"/>
      <c r="AC919" s="9"/>
      <c r="AD919" s="9"/>
    </row>
    <row r="920" ht="15.75" customHeight="1">
      <c r="A920" s="9"/>
      <c r="B920" s="9"/>
      <c r="C920" s="9"/>
      <c r="D920" s="9"/>
      <c r="E920" s="9"/>
      <c r="F920" s="9"/>
      <c r="G920" s="9"/>
      <c r="H920" s="223"/>
      <c r="I920" s="9"/>
      <c r="J920" s="9"/>
      <c r="K920" s="9"/>
      <c r="L920" s="9"/>
      <c r="M920" s="9"/>
      <c r="N920" s="9"/>
      <c r="O920" s="9"/>
      <c r="P920" s="9"/>
      <c r="Q920" s="223"/>
      <c r="R920" s="9"/>
      <c r="S920" s="9"/>
      <c r="T920" s="9"/>
      <c r="U920" s="9"/>
      <c r="V920" s="9"/>
      <c r="W920" s="971"/>
      <c r="X920" s="9"/>
      <c r="Y920" s="9"/>
      <c r="Z920" s="204"/>
      <c r="AA920" s="9"/>
      <c r="AB920" s="9"/>
      <c r="AC920" s="9"/>
      <c r="AD920" s="9"/>
    </row>
    <row r="921" ht="15.75" customHeight="1">
      <c r="A921" s="9"/>
      <c r="B921" s="9"/>
      <c r="C921" s="9"/>
      <c r="D921" s="9"/>
      <c r="E921" s="9"/>
      <c r="F921" s="9"/>
      <c r="G921" s="9"/>
      <c r="H921" s="223"/>
      <c r="I921" s="9"/>
      <c r="J921" s="9"/>
      <c r="K921" s="9"/>
      <c r="L921" s="9"/>
      <c r="M921" s="9"/>
      <c r="N921" s="9"/>
      <c r="O921" s="9"/>
      <c r="P921" s="9"/>
      <c r="Q921" s="223"/>
      <c r="R921" s="9"/>
      <c r="S921" s="9"/>
      <c r="T921" s="9"/>
      <c r="U921" s="9"/>
      <c r="V921" s="9"/>
      <c r="W921" s="971"/>
      <c r="X921" s="9"/>
      <c r="Y921" s="9"/>
      <c r="Z921" s="204"/>
      <c r="AA921" s="9"/>
      <c r="AB921" s="9"/>
      <c r="AC921" s="9"/>
      <c r="AD921" s="9"/>
    </row>
    <row r="922" ht="15.75" customHeight="1">
      <c r="A922" s="9"/>
      <c r="B922" s="9"/>
      <c r="C922" s="9"/>
      <c r="D922" s="9"/>
      <c r="E922" s="9"/>
      <c r="F922" s="9"/>
      <c r="G922" s="9"/>
      <c r="H922" s="223"/>
      <c r="I922" s="9"/>
      <c r="J922" s="9"/>
      <c r="K922" s="9"/>
      <c r="L922" s="9"/>
      <c r="M922" s="9"/>
      <c r="N922" s="9"/>
      <c r="O922" s="9"/>
      <c r="P922" s="9"/>
      <c r="Q922" s="223"/>
      <c r="R922" s="9"/>
      <c r="S922" s="9"/>
      <c r="T922" s="9"/>
      <c r="U922" s="9"/>
      <c r="V922" s="9"/>
      <c r="W922" s="971"/>
      <c r="X922" s="9"/>
      <c r="Y922" s="9"/>
      <c r="Z922" s="204"/>
      <c r="AA922" s="9"/>
      <c r="AB922" s="9"/>
      <c r="AC922" s="9"/>
      <c r="AD922" s="9"/>
    </row>
    <row r="923" ht="15.75" customHeight="1">
      <c r="A923" s="9"/>
      <c r="B923" s="9"/>
      <c r="C923" s="9"/>
      <c r="D923" s="9"/>
      <c r="E923" s="9"/>
      <c r="F923" s="9"/>
      <c r="G923" s="9"/>
      <c r="H923" s="223"/>
      <c r="I923" s="9"/>
      <c r="J923" s="9"/>
      <c r="K923" s="9"/>
      <c r="L923" s="9"/>
      <c r="M923" s="9"/>
      <c r="N923" s="9"/>
      <c r="O923" s="9"/>
      <c r="P923" s="9"/>
      <c r="Q923" s="223"/>
      <c r="R923" s="9"/>
      <c r="S923" s="9"/>
      <c r="T923" s="9"/>
      <c r="U923" s="9"/>
      <c r="V923" s="9"/>
      <c r="W923" s="971"/>
      <c r="X923" s="9"/>
      <c r="Y923" s="9"/>
      <c r="Z923" s="204"/>
      <c r="AA923" s="9"/>
      <c r="AB923" s="9"/>
      <c r="AC923" s="9"/>
      <c r="AD923" s="9"/>
    </row>
    <row r="924" ht="15.75" customHeight="1">
      <c r="A924" s="9"/>
      <c r="B924" s="9"/>
      <c r="C924" s="9"/>
      <c r="D924" s="9"/>
      <c r="E924" s="9"/>
      <c r="F924" s="9"/>
      <c r="G924" s="9"/>
      <c r="H924" s="223"/>
      <c r="I924" s="9"/>
      <c r="J924" s="9"/>
      <c r="K924" s="9"/>
      <c r="L924" s="9"/>
      <c r="M924" s="9"/>
      <c r="N924" s="9"/>
      <c r="O924" s="9"/>
      <c r="P924" s="9"/>
      <c r="Q924" s="223"/>
      <c r="R924" s="9"/>
      <c r="S924" s="9"/>
      <c r="T924" s="9"/>
      <c r="U924" s="9"/>
      <c r="V924" s="9"/>
      <c r="W924" s="971"/>
      <c r="X924" s="9"/>
      <c r="Y924" s="9"/>
      <c r="Z924" s="204"/>
      <c r="AA924" s="9"/>
      <c r="AB924" s="9"/>
      <c r="AC924" s="9"/>
      <c r="AD924" s="9"/>
    </row>
    <row r="925" ht="15.75" customHeight="1">
      <c r="A925" s="9"/>
      <c r="B925" s="9"/>
      <c r="C925" s="9"/>
      <c r="D925" s="9"/>
      <c r="E925" s="9"/>
      <c r="F925" s="9"/>
      <c r="G925" s="9"/>
      <c r="H925" s="223"/>
      <c r="I925" s="9"/>
      <c r="J925" s="9"/>
      <c r="K925" s="9"/>
      <c r="L925" s="9"/>
      <c r="M925" s="9"/>
      <c r="N925" s="9"/>
      <c r="O925" s="9"/>
      <c r="P925" s="9"/>
      <c r="Q925" s="223"/>
      <c r="R925" s="9"/>
      <c r="S925" s="9"/>
      <c r="T925" s="9"/>
      <c r="U925" s="9"/>
      <c r="V925" s="9"/>
      <c r="W925" s="971"/>
      <c r="X925" s="9"/>
      <c r="Y925" s="9"/>
      <c r="Z925" s="204"/>
      <c r="AA925" s="9"/>
      <c r="AB925" s="9"/>
      <c r="AC925" s="9"/>
      <c r="AD925" s="9"/>
    </row>
    <row r="926" ht="15.75" customHeight="1">
      <c r="A926" s="9"/>
      <c r="B926" s="9"/>
      <c r="C926" s="9"/>
      <c r="D926" s="9"/>
      <c r="E926" s="9"/>
      <c r="F926" s="9"/>
      <c r="G926" s="9"/>
      <c r="H926" s="223"/>
      <c r="I926" s="9"/>
      <c r="J926" s="9"/>
      <c r="K926" s="9"/>
      <c r="L926" s="9"/>
      <c r="M926" s="9"/>
      <c r="N926" s="9"/>
      <c r="O926" s="9"/>
      <c r="P926" s="9"/>
      <c r="Q926" s="223"/>
      <c r="R926" s="9"/>
      <c r="S926" s="9"/>
      <c r="T926" s="9"/>
      <c r="U926" s="9"/>
      <c r="V926" s="9"/>
      <c r="W926" s="971"/>
      <c r="X926" s="9"/>
      <c r="Y926" s="9"/>
      <c r="Z926" s="204"/>
      <c r="AA926" s="9"/>
      <c r="AB926" s="9"/>
      <c r="AC926" s="9"/>
      <c r="AD926" s="9"/>
    </row>
    <row r="927" ht="15.75" customHeight="1">
      <c r="A927" s="9"/>
      <c r="B927" s="9"/>
      <c r="C927" s="9"/>
      <c r="D927" s="9"/>
      <c r="E927" s="9"/>
      <c r="F927" s="9"/>
      <c r="G927" s="9"/>
      <c r="H927" s="223"/>
      <c r="I927" s="9"/>
      <c r="J927" s="9"/>
      <c r="K927" s="9"/>
      <c r="L927" s="9"/>
      <c r="M927" s="9"/>
      <c r="N927" s="9"/>
      <c r="O927" s="9"/>
      <c r="P927" s="9"/>
      <c r="Q927" s="223"/>
      <c r="R927" s="9"/>
      <c r="S927" s="9"/>
      <c r="T927" s="9"/>
      <c r="U927" s="9"/>
      <c r="V927" s="9"/>
      <c r="W927" s="971"/>
      <c r="X927" s="9"/>
      <c r="Y927" s="9"/>
      <c r="Z927" s="204"/>
      <c r="AA927" s="9"/>
      <c r="AB927" s="9"/>
      <c r="AC927" s="9"/>
      <c r="AD927" s="9"/>
    </row>
    <row r="928" ht="15.75" customHeight="1">
      <c r="A928" s="9"/>
      <c r="B928" s="9"/>
      <c r="C928" s="9"/>
      <c r="D928" s="9"/>
      <c r="E928" s="9"/>
      <c r="F928" s="9"/>
      <c r="G928" s="9"/>
      <c r="H928" s="223"/>
      <c r="I928" s="9"/>
      <c r="J928" s="9"/>
      <c r="K928" s="9"/>
      <c r="L928" s="9"/>
      <c r="M928" s="9"/>
      <c r="N928" s="9"/>
      <c r="O928" s="9"/>
      <c r="P928" s="9"/>
      <c r="Q928" s="223"/>
      <c r="R928" s="9"/>
      <c r="S928" s="9"/>
      <c r="T928" s="9"/>
      <c r="U928" s="9"/>
      <c r="V928" s="9"/>
      <c r="W928" s="971"/>
      <c r="X928" s="9"/>
      <c r="Y928" s="9"/>
      <c r="Z928" s="204"/>
      <c r="AA928" s="9"/>
      <c r="AB928" s="9"/>
      <c r="AC928" s="9"/>
      <c r="AD928" s="9"/>
    </row>
    <row r="929" ht="15.75" customHeight="1">
      <c r="A929" s="9"/>
      <c r="B929" s="9"/>
      <c r="C929" s="9"/>
      <c r="D929" s="9"/>
      <c r="E929" s="9"/>
      <c r="F929" s="9"/>
      <c r="G929" s="9"/>
      <c r="H929" s="223"/>
      <c r="I929" s="9"/>
      <c r="J929" s="9"/>
      <c r="K929" s="9"/>
      <c r="L929" s="9"/>
      <c r="M929" s="9"/>
      <c r="N929" s="9"/>
      <c r="O929" s="9"/>
      <c r="P929" s="9"/>
      <c r="Q929" s="223"/>
      <c r="R929" s="9"/>
      <c r="S929" s="9"/>
      <c r="T929" s="9"/>
      <c r="U929" s="9"/>
      <c r="V929" s="9"/>
      <c r="W929" s="971"/>
      <c r="X929" s="9"/>
      <c r="Y929" s="9"/>
      <c r="Z929" s="204"/>
      <c r="AA929" s="9"/>
      <c r="AB929" s="9"/>
      <c r="AC929" s="9"/>
      <c r="AD929" s="9"/>
    </row>
    <row r="930" ht="15.75" customHeight="1">
      <c r="A930" s="9"/>
      <c r="B930" s="9"/>
      <c r="C930" s="9"/>
      <c r="D930" s="9"/>
      <c r="E930" s="9"/>
      <c r="F930" s="9"/>
      <c r="G930" s="9"/>
      <c r="H930" s="223"/>
      <c r="I930" s="9"/>
      <c r="J930" s="9"/>
      <c r="K930" s="9"/>
      <c r="L930" s="9"/>
      <c r="M930" s="9"/>
      <c r="N930" s="9"/>
      <c r="O930" s="9"/>
      <c r="P930" s="9"/>
      <c r="Q930" s="223"/>
      <c r="R930" s="9"/>
      <c r="S930" s="9"/>
      <c r="T930" s="9"/>
      <c r="U930" s="9"/>
      <c r="V930" s="9"/>
      <c r="W930" s="971"/>
      <c r="X930" s="9"/>
      <c r="Y930" s="9"/>
      <c r="Z930" s="204"/>
      <c r="AA930" s="9"/>
      <c r="AB930" s="9"/>
      <c r="AC930" s="9"/>
      <c r="AD930" s="9"/>
    </row>
    <row r="931" ht="15.75" customHeight="1">
      <c r="A931" s="9"/>
      <c r="B931" s="9"/>
      <c r="C931" s="9"/>
      <c r="D931" s="9"/>
      <c r="E931" s="9"/>
      <c r="F931" s="9"/>
      <c r="G931" s="9"/>
      <c r="H931" s="223"/>
      <c r="I931" s="9"/>
      <c r="J931" s="9"/>
      <c r="K931" s="9"/>
      <c r="L931" s="9"/>
      <c r="M931" s="9"/>
      <c r="N931" s="9"/>
      <c r="O931" s="9"/>
      <c r="P931" s="9"/>
      <c r="Q931" s="223"/>
      <c r="R931" s="9"/>
      <c r="S931" s="9"/>
      <c r="T931" s="9"/>
      <c r="U931" s="9"/>
      <c r="V931" s="9"/>
      <c r="W931" s="971"/>
      <c r="X931" s="9"/>
      <c r="Y931" s="9"/>
      <c r="Z931" s="204"/>
      <c r="AA931" s="9"/>
      <c r="AB931" s="9"/>
      <c r="AC931" s="9"/>
      <c r="AD931" s="9"/>
    </row>
    <row r="932" ht="15.75" customHeight="1">
      <c r="A932" s="9"/>
      <c r="B932" s="9"/>
      <c r="C932" s="9"/>
      <c r="D932" s="9"/>
      <c r="E932" s="9"/>
      <c r="F932" s="9"/>
      <c r="G932" s="9"/>
      <c r="H932" s="223"/>
      <c r="I932" s="9"/>
      <c r="J932" s="9"/>
      <c r="K932" s="9"/>
      <c r="L932" s="9"/>
      <c r="M932" s="9"/>
      <c r="N932" s="9"/>
      <c r="O932" s="9"/>
      <c r="P932" s="9"/>
      <c r="Q932" s="223"/>
      <c r="R932" s="9"/>
      <c r="S932" s="9"/>
      <c r="T932" s="9"/>
      <c r="U932" s="9"/>
      <c r="V932" s="9"/>
      <c r="W932" s="971"/>
      <c r="X932" s="9"/>
      <c r="Y932" s="9"/>
      <c r="Z932" s="204"/>
      <c r="AA932" s="9"/>
      <c r="AB932" s="9"/>
      <c r="AC932" s="9"/>
      <c r="AD932" s="9"/>
    </row>
    <row r="933" ht="15.75" customHeight="1">
      <c r="A933" s="9"/>
      <c r="B933" s="9"/>
      <c r="C933" s="9"/>
      <c r="D933" s="9"/>
      <c r="E933" s="9"/>
      <c r="F933" s="9"/>
      <c r="G933" s="9"/>
      <c r="H933" s="223"/>
      <c r="I933" s="9"/>
      <c r="J933" s="9"/>
      <c r="K933" s="9"/>
      <c r="L933" s="9"/>
      <c r="M933" s="9"/>
      <c r="N933" s="9"/>
      <c r="O933" s="9"/>
      <c r="P933" s="9"/>
      <c r="Q933" s="223"/>
      <c r="R933" s="9"/>
      <c r="S933" s="9"/>
      <c r="T933" s="9"/>
      <c r="U933" s="9"/>
      <c r="V933" s="9"/>
      <c r="W933" s="971"/>
      <c r="X933" s="9"/>
      <c r="Y933" s="9"/>
      <c r="Z933" s="204"/>
      <c r="AA933" s="9"/>
      <c r="AB933" s="9"/>
      <c r="AC933" s="9"/>
      <c r="AD933" s="9"/>
    </row>
    <row r="934" ht="15.75" customHeight="1">
      <c r="A934" s="9"/>
      <c r="B934" s="9"/>
      <c r="C934" s="9"/>
      <c r="D934" s="9"/>
      <c r="E934" s="9"/>
      <c r="F934" s="9"/>
      <c r="G934" s="9"/>
      <c r="H934" s="223"/>
      <c r="I934" s="9"/>
      <c r="J934" s="9"/>
      <c r="K934" s="9"/>
      <c r="L934" s="9"/>
      <c r="M934" s="9"/>
      <c r="N934" s="9"/>
      <c r="O934" s="9"/>
      <c r="P934" s="9"/>
      <c r="Q934" s="223"/>
      <c r="R934" s="9"/>
      <c r="S934" s="9"/>
      <c r="T934" s="9"/>
      <c r="U934" s="9"/>
      <c r="V934" s="9"/>
      <c r="W934" s="971"/>
      <c r="X934" s="9"/>
      <c r="Y934" s="9"/>
      <c r="Z934" s="204"/>
      <c r="AA934" s="9"/>
      <c r="AB934" s="9"/>
      <c r="AC934" s="9"/>
      <c r="AD934" s="9"/>
    </row>
    <row r="935" ht="15.75" customHeight="1">
      <c r="A935" s="9"/>
      <c r="B935" s="9"/>
      <c r="C935" s="9"/>
      <c r="D935" s="9"/>
      <c r="E935" s="9"/>
      <c r="F935" s="9"/>
      <c r="G935" s="9"/>
      <c r="H935" s="223"/>
      <c r="I935" s="9"/>
      <c r="J935" s="9"/>
      <c r="K935" s="9"/>
      <c r="L935" s="9"/>
      <c r="M935" s="9"/>
      <c r="N935" s="9"/>
      <c r="O935" s="9"/>
      <c r="P935" s="9"/>
      <c r="Q935" s="223"/>
      <c r="R935" s="9"/>
      <c r="S935" s="9"/>
      <c r="T935" s="9"/>
      <c r="U935" s="9"/>
      <c r="V935" s="9"/>
      <c r="W935" s="971"/>
      <c r="X935" s="9"/>
      <c r="Y935" s="9"/>
      <c r="Z935" s="204"/>
      <c r="AA935" s="9"/>
      <c r="AB935" s="9"/>
      <c r="AC935" s="9"/>
      <c r="AD935" s="9"/>
    </row>
    <row r="936" ht="15.75" customHeight="1">
      <c r="A936" s="9"/>
      <c r="B936" s="9"/>
      <c r="C936" s="9"/>
      <c r="D936" s="9"/>
      <c r="E936" s="9"/>
      <c r="F936" s="9"/>
      <c r="G936" s="9"/>
      <c r="H936" s="223"/>
      <c r="I936" s="9"/>
      <c r="J936" s="9"/>
      <c r="K936" s="9"/>
      <c r="L936" s="9"/>
      <c r="M936" s="9"/>
      <c r="N936" s="9"/>
      <c r="O936" s="9"/>
      <c r="P936" s="9"/>
      <c r="Q936" s="223"/>
      <c r="R936" s="9"/>
      <c r="S936" s="9"/>
      <c r="T936" s="9"/>
      <c r="U936" s="9"/>
      <c r="V936" s="9"/>
      <c r="W936" s="971"/>
      <c r="X936" s="9"/>
      <c r="Y936" s="9"/>
      <c r="Z936" s="204"/>
      <c r="AA936" s="9"/>
      <c r="AB936" s="9"/>
      <c r="AC936" s="9"/>
      <c r="AD936" s="9"/>
    </row>
    <row r="937" ht="15.75" customHeight="1">
      <c r="A937" s="9"/>
      <c r="B937" s="9"/>
      <c r="C937" s="9"/>
      <c r="D937" s="9"/>
      <c r="E937" s="9"/>
      <c r="F937" s="9"/>
      <c r="G937" s="9"/>
      <c r="H937" s="223"/>
      <c r="I937" s="9"/>
      <c r="J937" s="9"/>
      <c r="K937" s="9"/>
      <c r="L937" s="9"/>
      <c r="M937" s="9"/>
      <c r="N937" s="9"/>
      <c r="O937" s="9"/>
      <c r="P937" s="9"/>
      <c r="Q937" s="223"/>
      <c r="R937" s="9"/>
      <c r="S937" s="9"/>
      <c r="T937" s="9"/>
      <c r="U937" s="9"/>
      <c r="V937" s="9"/>
      <c r="W937" s="971"/>
      <c r="X937" s="9"/>
      <c r="Y937" s="9"/>
      <c r="Z937" s="204"/>
      <c r="AA937" s="9"/>
      <c r="AB937" s="9"/>
      <c r="AC937" s="9"/>
      <c r="AD937" s="9"/>
    </row>
    <row r="938" ht="15.75" customHeight="1">
      <c r="A938" s="9"/>
      <c r="B938" s="9"/>
      <c r="C938" s="9"/>
      <c r="D938" s="9"/>
      <c r="E938" s="9"/>
      <c r="F938" s="9"/>
      <c r="G938" s="9"/>
      <c r="H938" s="223"/>
      <c r="I938" s="9"/>
      <c r="J938" s="9"/>
      <c r="K938" s="9"/>
      <c r="L938" s="9"/>
      <c r="M938" s="9"/>
      <c r="N938" s="9"/>
      <c r="O938" s="9"/>
      <c r="P938" s="9"/>
      <c r="Q938" s="223"/>
      <c r="R938" s="9"/>
      <c r="S938" s="9"/>
      <c r="T938" s="9"/>
      <c r="U938" s="9"/>
      <c r="V938" s="9"/>
      <c r="W938" s="971"/>
      <c r="X938" s="9"/>
      <c r="Y938" s="9"/>
      <c r="Z938" s="204"/>
      <c r="AA938" s="9"/>
      <c r="AB938" s="9"/>
      <c r="AC938" s="9"/>
      <c r="AD938" s="9"/>
    </row>
    <row r="939" ht="15.75" customHeight="1">
      <c r="A939" s="9"/>
      <c r="B939" s="9"/>
      <c r="C939" s="9"/>
      <c r="D939" s="9"/>
      <c r="E939" s="9"/>
      <c r="F939" s="9"/>
      <c r="G939" s="9"/>
      <c r="H939" s="223"/>
      <c r="I939" s="9"/>
      <c r="J939" s="9"/>
      <c r="K939" s="9"/>
      <c r="L939" s="9"/>
      <c r="M939" s="9"/>
      <c r="N939" s="9"/>
      <c r="O939" s="9"/>
      <c r="P939" s="9"/>
      <c r="Q939" s="223"/>
      <c r="R939" s="9"/>
      <c r="S939" s="9"/>
      <c r="T939" s="9"/>
      <c r="U939" s="9"/>
      <c r="V939" s="9"/>
      <c r="W939" s="971"/>
      <c r="X939" s="9"/>
      <c r="Y939" s="9"/>
      <c r="Z939" s="204"/>
      <c r="AA939" s="9"/>
      <c r="AB939" s="9"/>
      <c r="AC939" s="9"/>
      <c r="AD939" s="9"/>
    </row>
    <row r="940" ht="15.75" customHeight="1">
      <c r="A940" s="9"/>
      <c r="B940" s="9"/>
      <c r="C940" s="9"/>
      <c r="D940" s="9"/>
      <c r="E940" s="9"/>
      <c r="F940" s="9"/>
      <c r="G940" s="9"/>
      <c r="H940" s="223"/>
      <c r="I940" s="9"/>
      <c r="J940" s="9"/>
      <c r="K940" s="9"/>
      <c r="L940" s="9"/>
      <c r="M940" s="9"/>
      <c r="N940" s="9"/>
      <c r="O940" s="9"/>
      <c r="P940" s="9"/>
      <c r="Q940" s="223"/>
      <c r="R940" s="9"/>
      <c r="S940" s="9"/>
      <c r="T940" s="9"/>
      <c r="U940" s="9"/>
      <c r="V940" s="9"/>
      <c r="W940" s="971"/>
      <c r="X940" s="9"/>
      <c r="Y940" s="9"/>
      <c r="Z940" s="204"/>
      <c r="AA940" s="9"/>
      <c r="AB940" s="9"/>
      <c r="AC940" s="9"/>
      <c r="AD940" s="9"/>
    </row>
    <row r="941" ht="15.75" customHeight="1">
      <c r="A941" s="9"/>
      <c r="B941" s="9"/>
      <c r="C941" s="9"/>
      <c r="D941" s="9"/>
      <c r="E941" s="9"/>
      <c r="F941" s="9"/>
      <c r="G941" s="9"/>
      <c r="H941" s="223"/>
      <c r="I941" s="9"/>
      <c r="J941" s="9"/>
      <c r="K941" s="9"/>
      <c r="L941" s="9"/>
      <c r="M941" s="9"/>
      <c r="N941" s="9"/>
      <c r="O941" s="9"/>
      <c r="P941" s="9"/>
      <c r="Q941" s="223"/>
      <c r="R941" s="9"/>
      <c r="S941" s="9"/>
      <c r="T941" s="9"/>
      <c r="U941" s="9"/>
      <c r="V941" s="9"/>
      <c r="W941" s="971"/>
      <c r="X941" s="9"/>
      <c r="Y941" s="9"/>
      <c r="Z941" s="204"/>
      <c r="AA941" s="9"/>
      <c r="AB941" s="9"/>
      <c r="AC941" s="9"/>
      <c r="AD941" s="9"/>
    </row>
    <row r="942" ht="15.75" customHeight="1">
      <c r="A942" s="9"/>
      <c r="B942" s="9"/>
      <c r="C942" s="9"/>
      <c r="D942" s="9"/>
      <c r="E942" s="9"/>
      <c r="F942" s="9"/>
      <c r="G942" s="9"/>
      <c r="H942" s="223"/>
      <c r="I942" s="9"/>
      <c r="J942" s="9"/>
      <c r="K942" s="9"/>
      <c r="L942" s="9"/>
      <c r="M942" s="9"/>
      <c r="N942" s="9"/>
      <c r="O942" s="9"/>
      <c r="P942" s="9"/>
      <c r="Q942" s="223"/>
      <c r="R942" s="9"/>
      <c r="S942" s="9"/>
      <c r="T942" s="9"/>
      <c r="U942" s="9"/>
      <c r="V942" s="9"/>
      <c r="W942" s="971"/>
      <c r="X942" s="9"/>
      <c r="Y942" s="9"/>
      <c r="Z942" s="204"/>
      <c r="AA942" s="9"/>
      <c r="AB942" s="9"/>
      <c r="AC942" s="9"/>
      <c r="AD942" s="9"/>
    </row>
    <row r="943" ht="15.75" customHeight="1">
      <c r="A943" s="9"/>
      <c r="B943" s="9"/>
      <c r="C943" s="9"/>
      <c r="D943" s="9"/>
      <c r="E943" s="9"/>
      <c r="F943" s="9"/>
      <c r="G943" s="9"/>
      <c r="H943" s="223"/>
      <c r="I943" s="9"/>
      <c r="J943" s="9"/>
      <c r="K943" s="9"/>
      <c r="L943" s="9"/>
      <c r="M943" s="9"/>
      <c r="N943" s="9"/>
      <c r="O943" s="9"/>
      <c r="P943" s="9"/>
      <c r="Q943" s="223"/>
      <c r="R943" s="9"/>
      <c r="S943" s="9"/>
      <c r="T943" s="9"/>
      <c r="U943" s="9"/>
      <c r="V943" s="9"/>
      <c r="W943" s="971"/>
      <c r="X943" s="9"/>
      <c r="Y943" s="9"/>
      <c r="Z943" s="204"/>
      <c r="AA943" s="9"/>
      <c r="AB943" s="9"/>
      <c r="AC943" s="9"/>
      <c r="AD943" s="9"/>
    </row>
    <row r="944" ht="15.75" customHeight="1">
      <c r="A944" s="9"/>
      <c r="B944" s="9"/>
      <c r="C944" s="9"/>
      <c r="D944" s="9"/>
      <c r="E944" s="9"/>
      <c r="F944" s="9"/>
      <c r="G944" s="9"/>
      <c r="H944" s="223"/>
      <c r="I944" s="9"/>
      <c r="J944" s="9"/>
      <c r="K944" s="9"/>
      <c r="L944" s="9"/>
      <c r="M944" s="9"/>
      <c r="N944" s="9"/>
      <c r="O944" s="9"/>
      <c r="P944" s="9"/>
      <c r="Q944" s="223"/>
      <c r="R944" s="9"/>
      <c r="S944" s="9"/>
      <c r="T944" s="9"/>
      <c r="U944" s="9"/>
      <c r="V944" s="9"/>
      <c r="W944" s="971"/>
      <c r="X944" s="9"/>
      <c r="Y944" s="9"/>
      <c r="Z944" s="204"/>
      <c r="AA944" s="9"/>
      <c r="AB944" s="9"/>
      <c r="AC944" s="9"/>
      <c r="AD944" s="9"/>
    </row>
    <row r="945" ht="15.75" customHeight="1">
      <c r="A945" s="9"/>
      <c r="B945" s="9"/>
      <c r="C945" s="9"/>
      <c r="D945" s="9"/>
      <c r="E945" s="9"/>
      <c r="F945" s="9"/>
      <c r="G945" s="9"/>
      <c r="H945" s="223"/>
      <c r="I945" s="9"/>
      <c r="J945" s="9"/>
      <c r="K945" s="9"/>
      <c r="L945" s="9"/>
      <c r="M945" s="9"/>
      <c r="N945" s="9"/>
      <c r="O945" s="9"/>
      <c r="P945" s="9"/>
      <c r="Q945" s="223"/>
      <c r="R945" s="9"/>
      <c r="S945" s="9"/>
      <c r="T945" s="9"/>
      <c r="U945" s="9"/>
      <c r="V945" s="9"/>
      <c r="W945" s="971"/>
      <c r="X945" s="9"/>
      <c r="Y945" s="9"/>
      <c r="Z945" s="204"/>
      <c r="AA945" s="9"/>
      <c r="AB945" s="9"/>
      <c r="AC945" s="9"/>
      <c r="AD945" s="9"/>
    </row>
    <row r="946" ht="15.75" customHeight="1">
      <c r="A946" s="9"/>
      <c r="B946" s="9"/>
      <c r="C946" s="9"/>
      <c r="D946" s="9"/>
      <c r="E946" s="9"/>
      <c r="F946" s="9"/>
      <c r="G946" s="9"/>
      <c r="H946" s="223"/>
      <c r="I946" s="9"/>
      <c r="J946" s="9"/>
      <c r="K946" s="9"/>
      <c r="L946" s="9"/>
      <c r="M946" s="9"/>
      <c r="N946" s="9"/>
      <c r="O946" s="9"/>
      <c r="P946" s="9"/>
      <c r="Q946" s="223"/>
      <c r="R946" s="9"/>
      <c r="S946" s="9"/>
      <c r="T946" s="9"/>
      <c r="U946" s="9"/>
      <c r="V946" s="9"/>
      <c r="W946" s="971"/>
      <c r="X946" s="9"/>
      <c r="Y946" s="9"/>
      <c r="Z946" s="204"/>
      <c r="AA946" s="9"/>
      <c r="AB946" s="9"/>
      <c r="AC946" s="9"/>
      <c r="AD946" s="9"/>
    </row>
    <row r="947" ht="15.75" customHeight="1">
      <c r="A947" s="9"/>
      <c r="B947" s="9"/>
      <c r="C947" s="9"/>
      <c r="D947" s="9"/>
      <c r="E947" s="9"/>
      <c r="F947" s="9"/>
      <c r="G947" s="9"/>
      <c r="H947" s="223"/>
      <c r="I947" s="9"/>
      <c r="J947" s="9"/>
      <c r="K947" s="9"/>
      <c r="L947" s="9"/>
      <c r="M947" s="9"/>
      <c r="N947" s="9"/>
      <c r="O947" s="9"/>
      <c r="P947" s="9"/>
      <c r="Q947" s="223"/>
      <c r="R947" s="9"/>
      <c r="S947" s="9"/>
      <c r="T947" s="9"/>
      <c r="U947" s="9"/>
      <c r="V947" s="9"/>
      <c r="W947" s="971"/>
      <c r="X947" s="9"/>
      <c r="Y947" s="9"/>
      <c r="Z947" s="204"/>
      <c r="AA947" s="9"/>
      <c r="AB947" s="9"/>
      <c r="AC947" s="9"/>
      <c r="AD947" s="9"/>
    </row>
    <row r="948" ht="15.75" customHeight="1">
      <c r="A948" s="9"/>
      <c r="B948" s="9"/>
      <c r="C948" s="9"/>
      <c r="D948" s="9"/>
      <c r="E948" s="9"/>
      <c r="F948" s="9"/>
      <c r="G948" s="9"/>
      <c r="H948" s="223"/>
      <c r="I948" s="9"/>
      <c r="J948" s="9"/>
      <c r="K948" s="9"/>
      <c r="L948" s="9"/>
      <c r="M948" s="9"/>
      <c r="N948" s="9"/>
      <c r="O948" s="9"/>
      <c r="P948" s="9"/>
      <c r="Q948" s="223"/>
      <c r="R948" s="9"/>
      <c r="S948" s="9"/>
      <c r="T948" s="9"/>
      <c r="U948" s="9"/>
      <c r="V948" s="9"/>
      <c r="W948" s="971"/>
      <c r="X948" s="9"/>
      <c r="Y948" s="9"/>
      <c r="Z948" s="204"/>
      <c r="AA948" s="9"/>
      <c r="AB948" s="9"/>
      <c r="AC948" s="9"/>
      <c r="AD948" s="9"/>
    </row>
    <row r="949" ht="15.75" customHeight="1">
      <c r="A949" s="9"/>
      <c r="B949" s="9"/>
      <c r="C949" s="9"/>
      <c r="D949" s="9"/>
      <c r="E949" s="9"/>
      <c r="F949" s="9"/>
      <c r="G949" s="9"/>
      <c r="H949" s="223"/>
      <c r="I949" s="9"/>
      <c r="J949" s="9"/>
      <c r="K949" s="9"/>
      <c r="L949" s="9"/>
      <c r="M949" s="9"/>
      <c r="N949" s="9"/>
      <c r="O949" s="9"/>
      <c r="P949" s="9"/>
      <c r="Q949" s="223"/>
      <c r="R949" s="9"/>
      <c r="S949" s="9"/>
      <c r="T949" s="9"/>
      <c r="U949" s="9"/>
      <c r="V949" s="9"/>
      <c r="W949" s="971"/>
      <c r="X949" s="9"/>
      <c r="Y949" s="9"/>
      <c r="Z949" s="204"/>
      <c r="AA949" s="9"/>
      <c r="AB949" s="9"/>
      <c r="AC949" s="9"/>
      <c r="AD949" s="9"/>
    </row>
    <row r="950" ht="15.75" customHeight="1">
      <c r="A950" s="9"/>
      <c r="B950" s="9"/>
      <c r="C950" s="9"/>
      <c r="D950" s="9"/>
      <c r="E950" s="9"/>
      <c r="F950" s="9"/>
      <c r="G950" s="9"/>
      <c r="H950" s="223"/>
      <c r="I950" s="9"/>
      <c r="J950" s="9"/>
      <c r="K950" s="9"/>
      <c r="L950" s="9"/>
      <c r="M950" s="9"/>
      <c r="N950" s="9"/>
      <c r="O950" s="9"/>
      <c r="P950" s="9"/>
      <c r="Q950" s="223"/>
      <c r="R950" s="9"/>
      <c r="S950" s="9"/>
      <c r="T950" s="9"/>
      <c r="U950" s="9"/>
      <c r="V950" s="9"/>
      <c r="W950" s="971"/>
      <c r="X950" s="9"/>
      <c r="Y950" s="9"/>
      <c r="Z950" s="204"/>
      <c r="AA950" s="9"/>
      <c r="AB950" s="9"/>
      <c r="AC950" s="9"/>
      <c r="AD950" s="9"/>
    </row>
    <row r="951" ht="15.75" customHeight="1">
      <c r="A951" s="9"/>
      <c r="B951" s="9"/>
      <c r="C951" s="9"/>
      <c r="D951" s="9"/>
      <c r="E951" s="9"/>
      <c r="F951" s="9"/>
      <c r="G951" s="9"/>
      <c r="H951" s="223"/>
      <c r="I951" s="9"/>
      <c r="J951" s="9"/>
      <c r="K951" s="9"/>
      <c r="L951" s="9"/>
      <c r="M951" s="9"/>
      <c r="N951" s="9"/>
      <c r="O951" s="9"/>
      <c r="P951" s="9"/>
      <c r="Q951" s="223"/>
      <c r="R951" s="9"/>
      <c r="S951" s="9"/>
      <c r="T951" s="9"/>
      <c r="U951" s="9"/>
      <c r="V951" s="9"/>
      <c r="W951" s="971"/>
      <c r="X951" s="9"/>
      <c r="Y951" s="9"/>
      <c r="Z951" s="204"/>
      <c r="AA951" s="9"/>
      <c r="AB951" s="9"/>
      <c r="AC951" s="9"/>
      <c r="AD951" s="9"/>
    </row>
    <row r="952" ht="15.75" customHeight="1">
      <c r="A952" s="9"/>
      <c r="B952" s="9"/>
      <c r="C952" s="9"/>
      <c r="D952" s="9"/>
      <c r="E952" s="9"/>
      <c r="F952" s="9"/>
      <c r="G952" s="9"/>
      <c r="H952" s="223"/>
      <c r="I952" s="9"/>
      <c r="J952" s="9"/>
      <c r="K952" s="9"/>
      <c r="L952" s="9"/>
      <c r="M952" s="9"/>
      <c r="N952" s="9"/>
      <c r="O952" s="9"/>
      <c r="P952" s="9"/>
      <c r="Q952" s="223"/>
      <c r="R952" s="9"/>
      <c r="S952" s="9"/>
      <c r="T952" s="9"/>
      <c r="U952" s="9"/>
      <c r="V952" s="9"/>
      <c r="W952" s="971"/>
      <c r="X952" s="9"/>
      <c r="Y952" s="9"/>
      <c r="Z952" s="204"/>
      <c r="AA952" s="9"/>
      <c r="AB952" s="9"/>
      <c r="AC952" s="9"/>
      <c r="AD952" s="9"/>
    </row>
    <row r="953" ht="15.75" customHeight="1">
      <c r="A953" s="9"/>
      <c r="B953" s="9"/>
      <c r="C953" s="9"/>
      <c r="D953" s="9"/>
      <c r="E953" s="9"/>
      <c r="F953" s="9"/>
      <c r="G953" s="9"/>
      <c r="H953" s="223"/>
      <c r="I953" s="9"/>
      <c r="J953" s="9"/>
      <c r="K953" s="9"/>
      <c r="L953" s="9"/>
      <c r="M953" s="9"/>
      <c r="N953" s="9"/>
      <c r="O953" s="9"/>
      <c r="P953" s="9"/>
      <c r="Q953" s="223"/>
      <c r="R953" s="9"/>
      <c r="S953" s="9"/>
      <c r="T953" s="9"/>
      <c r="U953" s="9"/>
      <c r="V953" s="9"/>
      <c r="W953" s="971"/>
      <c r="X953" s="9"/>
      <c r="Y953" s="9"/>
      <c r="Z953" s="204"/>
      <c r="AA953" s="9"/>
      <c r="AB953" s="9"/>
      <c r="AC953" s="9"/>
      <c r="AD953" s="9"/>
    </row>
    <row r="954" ht="15.75" customHeight="1">
      <c r="A954" s="9"/>
      <c r="B954" s="9"/>
      <c r="C954" s="9"/>
      <c r="D954" s="9"/>
      <c r="E954" s="9"/>
      <c r="F954" s="9"/>
      <c r="G954" s="9"/>
      <c r="H954" s="223"/>
      <c r="I954" s="9"/>
      <c r="J954" s="9"/>
      <c r="K954" s="9"/>
      <c r="L954" s="9"/>
      <c r="M954" s="9"/>
      <c r="N954" s="9"/>
      <c r="O954" s="9"/>
      <c r="P954" s="9"/>
      <c r="Q954" s="223"/>
      <c r="R954" s="9"/>
      <c r="S954" s="9"/>
      <c r="T954" s="9"/>
      <c r="U954" s="9"/>
      <c r="V954" s="9"/>
      <c r="W954" s="971"/>
      <c r="X954" s="9"/>
      <c r="Y954" s="9"/>
      <c r="Z954" s="204"/>
      <c r="AA954" s="9"/>
      <c r="AB954" s="9"/>
      <c r="AC954" s="9"/>
      <c r="AD954" s="9"/>
    </row>
    <row r="955" ht="15.75" customHeight="1">
      <c r="A955" s="9"/>
      <c r="B955" s="9"/>
      <c r="C955" s="9"/>
      <c r="D955" s="9"/>
      <c r="E955" s="9"/>
      <c r="F955" s="9"/>
      <c r="G955" s="9"/>
      <c r="H955" s="223"/>
      <c r="I955" s="9"/>
      <c r="J955" s="9"/>
      <c r="K955" s="9"/>
      <c r="L955" s="9"/>
      <c r="M955" s="9"/>
      <c r="N955" s="9"/>
      <c r="O955" s="9"/>
      <c r="P955" s="9"/>
      <c r="Q955" s="223"/>
      <c r="R955" s="9"/>
      <c r="S955" s="9"/>
      <c r="T955" s="9"/>
      <c r="U955" s="9"/>
      <c r="V955" s="9"/>
      <c r="W955" s="971"/>
      <c r="X955" s="9"/>
      <c r="Y955" s="9"/>
      <c r="Z955" s="204"/>
      <c r="AA955" s="9"/>
      <c r="AB955" s="9"/>
      <c r="AC955" s="9"/>
      <c r="AD955" s="9"/>
    </row>
    <row r="956" ht="15.75" customHeight="1">
      <c r="A956" s="9"/>
      <c r="B956" s="9"/>
      <c r="C956" s="9"/>
      <c r="D956" s="9"/>
      <c r="E956" s="9"/>
      <c r="F956" s="9"/>
      <c r="G956" s="9"/>
      <c r="H956" s="223"/>
      <c r="I956" s="9"/>
      <c r="J956" s="9"/>
      <c r="K956" s="9"/>
      <c r="L956" s="9"/>
      <c r="M956" s="9"/>
      <c r="N956" s="9"/>
      <c r="O956" s="9"/>
      <c r="P956" s="9"/>
      <c r="Q956" s="223"/>
      <c r="R956" s="9"/>
      <c r="S956" s="9"/>
      <c r="T956" s="9"/>
      <c r="U956" s="9"/>
      <c r="V956" s="9"/>
      <c r="W956" s="971"/>
      <c r="X956" s="9"/>
      <c r="Y956" s="9"/>
      <c r="Z956" s="204"/>
      <c r="AA956" s="9"/>
      <c r="AB956" s="9"/>
      <c r="AC956" s="9"/>
      <c r="AD956" s="9"/>
    </row>
    <row r="957" ht="15.75" customHeight="1">
      <c r="A957" s="9"/>
      <c r="B957" s="9"/>
      <c r="C957" s="9"/>
      <c r="D957" s="9"/>
      <c r="E957" s="9"/>
      <c r="F957" s="9"/>
      <c r="G957" s="9"/>
      <c r="H957" s="223"/>
      <c r="I957" s="9"/>
      <c r="J957" s="9"/>
      <c r="K957" s="9"/>
      <c r="L957" s="9"/>
      <c r="M957" s="9"/>
      <c r="N957" s="9"/>
      <c r="O957" s="9"/>
      <c r="P957" s="9"/>
      <c r="Q957" s="223"/>
      <c r="R957" s="9"/>
      <c r="S957" s="9"/>
      <c r="T957" s="9"/>
      <c r="U957" s="9"/>
      <c r="V957" s="9"/>
      <c r="W957" s="971"/>
      <c r="X957" s="9"/>
      <c r="Y957" s="9"/>
      <c r="Z957" s="204"/>
      <c r="AA957" s="9"/>
      <c r="AB957" s="9"/>
      <c r="AC957" s="9"/>
      <c r="AD957" s="9"/>
    </row>
    <row r="958" ht="15.75" customHeight="1">
      <c r="A958" s="9"/>
      <c r="B958" s="9"/>
      <c r="C958" s="9"/>
      <c r="D958" s="9"/>
      <c r="E958" s="9"/>
      <c r="F958" s="9"/>
      <c r="G958" s="9"/>
      <c r="H958" s="223"/>
      <c r="I958" s="9"/>
      <c r="J958" s="9"/>
      <c r="K958" s="9"/>
      <c r="L958" s="9"/>
      <c r="M958" s="9"/>
      <c r="N958" s="9"/>
      <c r="O958" s="9"/>
      <c r="P958" s="9"/>
      <c r="Q958" s="223"/>
      <c r="R958" s="9"/>
      <c r="S958" s="9"/>
      <c r="T958" s="9"/>
      <c r="U958" s="9"/>
      <c r="V958" s="9"/>
      <c r="W958" s="971"/>
      <c r="X958" s="9"/>
      <c r="Y958" s="9"/>
      <c r="Z958" s="204"/>
      <c r="AA958" s="9"/>
      <c r="AB958" s="9"/>
      <c r="AC958" s="9"/>
      <c r="AD958" s="9"/>
    </row>
    <row r="959" ht="15.75" customHeight="1">
      <c r="A959" s="9"/>
      <c r="B959" s="9"/>
      <c r="C959" s="9"/>
      <c r="D959" s="9"/>
      <c r="E959" s="9"/>
      <c r="F959" s="9"/>
      <c r="G959" s="9"/>
      <c r="H959" s="223"/>
      <c r="I959" s="9"/>
      <c r="J959" s="9"/>
      <c r="K959" s="9"/>
      <c r="L959" s="9"/>
      <c r="M959" s="9"/>
      <c r="N959" s="9"/>
      <c r="O959" s="9"/>
      <c r="P959" s="9"/>
      <c r="Q959" s="223"/>
      <c r="R959" s="9"/>
      <c r="S959" s="9"/>
      <c r="T959" s="9"/>
      <c r="U959" s="9"/>
      <c r="V959" s="9"/>
      <c r="W959" s="971"/>
      <c r="X959" s="9"/>
      <c r="Y959" s="9"/>
      <c r="Z959" s="204"/>
      <c r="AA959" s="9"/>
      <c r="AB959" s="9"/>
      <c r="AC959" s="9"/>
      <c r="AD959" s="9"/>
    </row>
    <row r="960" ht="15.75" customHeight="1">
      <c r="A960" s="9"/>
      <c r="B960" s="9"/>
      <c r="C960" s="9"/>
      <c r="D960" s="9"/>
      <c r="E960" s="9"/>
      <c r="F960" s="9"/>
      <c r="G960" s="9"/>
      <c r="H960" s="223"/>
      <c r="I960" s="9"/>
      <c r="J960" s="9"/>
      <c r="K960" s="9"/>
      <c r="L960" s="9"/>
      <c r="M960" s="9"/>
      <c r="N960" s="9"/>
      <c r="O960" s="9"/>
      <c r="P960" s="9"/>
      <c r="Q960" s="223"/>
      <c r="R960" s="9"/>
      <c r="S960" s="9"/>
      <c r="T960" s="9"/>
      <c r="U960" s="9"/>
      <c r="V960" s="9"/>
      <c r="W960" s="971"/>
      <c r="X960" s="9"/>
      <c r="Y960" s="9"/>
      <c r="Z960" s="204"/>
      <c r="AA960" s="9"/>
      <c r="AB960" s="9"/>
      <c r="AC960" s="9"/>
      <c r="AD960" s="9"/>
    </row>
    <row r="961" ht="15.75" customHeight="1">
      <c r="A961" s="9"/>
      <c r="B961" s="9"/>
      <c r="C961" s="9"/>
      <c r="D961" s="9"/>
      <c r="E961" s="9"/>
      <c r="F961" s="9"/>
      <c r="G961" s="9"/>
      <c r="H961" s="223"/>
      <c r="I961" s="9"/>
      <c r="J961" s="9"/>
      <c r="K961" s="9"/>
      <c r="L961" s="9"/>
      <c r="M961" s="9"/>
      <c r="N961" s="9"/>
      <c r="O961" s="9"/>
      <c r="P961" s="9"/>
      <c r="Q961" s="223"/>
      <c r="R961" s="9"/>
      <c r="S961" s="9"/>
      <c r="T961" s="9"/>
      <c r="U961" s="9"/>
      <c r="V961" s="9"/>
      <c r="W961" s="971"/>
      <c r="X961" s="9"/>
      <c r="Y961" s="9"/>
      <c r="Z961" s="204"/>
      <c r="AA961" s="9"/>
      <c r="AB961" s="9"/>
      <c r="AC961" s="9"/>
      <c r="AD961" s="9"/>
    </row>
    <row r="962" ht="15.75" customHeight="1">
      <c r="A962" s="9"/>
      <c r="B962" s="9"/>
      <c r="C962" s="9"/>
      <c r="D962" s="9"/>
      <c r="E962" s="9"/>
      <c r="F962" s="9"/>
      <c r="G962" s="9"/>
      <c r="H962" s="223"/>
      <c r="I962" s="9"/>
      <c r="J962" s="9"/>
      <c r="K962" s="9"/>
      <c r="L962" s="9"/>
      <c r="M962" s="9"/>
      <c r="N962" s="9"/>
      <c r="O962" s="9"/>
      <c r="P962" s="9"/>
      <c r="Q962" s="223"/>
      <c r="R962" s="9"/>
      <c r="S962" s="9"/>
      <c r="T962" s="9"/>
      <c r="U962" s="9"/>
      <c r="V962" s="9"/>
      <c r="W962" s="971"/>
      <c r="X962" s="9"/>
      <c r="Y962" s="9"/>
      <c r="Z962" s="204"/>
      <c r="AA962" s="9"/>
      <c r="AB962" s="9"/>
      <c r="AC962" s="9"/>
      <c r="AD962" s="9"/>
    </row>
    <row r="963" ht="15.75" customHeight="1">
      <c r="A963" s="9"/>
      <c r="B963" s="9"/>
      <c r="C963" s="9"/>
      <c r="D963" s="9"/>
      <c r="E963" s="9"/>
      <c r="F963" s="9"/>
      <c r="G963" s="9"/>
      <c r="H963" s="223"/>
      <c r="I963" s="9"/>
      <c r="J963" s="9"/>
      <c r="K963" s="9"/>
      <c r="L963" s="9"/>
      <c r="M963" s="9"/>
      <c r="N963" s="9"/>
      <c r="O963" s="9"/>
      <c r="P963" s="9"/>
      <c r="Q963" s="223"/>
      <c r="R963" s="9"/>
      <c r="S963" s="9"/>
      <c r="T963" s="9"/>
      <c r="U963" s="9"/>
      <c r="V963" s="9"/>
      <c r="W963" s="971"/>
      <c r="X963" s="9"/>
      <c r="Y963" s="9"/>
      <c r="Z963" s="204"/>
      <c r="AA963" s="9"/>
      <c r="AB963" s="9"/>
      <c r="AC963" s="9"/>
      <c r="AD963" s="9"/>
    </row>
    <row r="964" ht="15.75" customHeight="1">
      <c r="A964" s="9"/>
      <c r="B964" s="9"/>
      <c r="C964" s="9"/>
      <c r="D964" s="9"/>
      <c r="E964" s="9"/>
      <c r="F964" s="9"/>
      <c r="G964" s="9"/>
      <c r="H964" s="223"/>
      <c r="I964" s="9"/>
      <c r="J964" s="9"/>
      <c r="K964" s="9"/>
      <c r="L964" s="9"/>
      <c r="M964" s="9"/>
      <c r="N964" s="9"/>
      <c r="O964" s="9"/>
      <c r="P964" s="9"/>
      <c r="Q964" s="223"/>
      <c r="R964" s="9"/>
      <c r="S964" s="9"/>
      <c r="T964" s="9"/>
      <c r="U964" s="9"/>
      <c r="V964" s="9"/>
      <c r="W964" s="971"/>
      <c r="X964" s="9"/>
      <c r="Y964" s="9"/>
      <c r="Z964" s="204"/>
      <c r="AA964" s="9"/>
      <c r="AB964" s="9"/>
      <c r="AC964" s="9"/>
      <c r="AD964" s="9"/>
    </row>
    <row r="965" ht="15.75" customHeight="1">
      <c r="A965" s="9"/>
      <c r="B965" s="9"/>
      <c r="C965" s="9"/>
      <c r="D965" s="9"/>
      <c r="E965" s="9"/>
      <c r="F965" s="9"/>
      <c r="G965" s="9"/>
      <c r="H965" s="223"/>
      <c r="I965" s="9"/>
      <c r="J965" s="9"/>
      <c r="K965" s="9"/>
      <c r="L965" s="9"/>
      <c r="M965" s="9"/>
      <c r="N965" s="9"/>
      <c r="O965" s="9"/>
      <c r="P965" s="9"/>
      <c r="Q965" s="223"/>
      <c r="R965" s="9"/>
      <c r="S965" s="9"/>
      <c r="T965" s="9"/>
      <c r="U965" s="9"/>
      <c r="V965" s="9"/>
      <c r="W965" s="971"/>
      <c r="X965" s="9"/>
      <c r="Y965" s="9"/>
      <c r="Z965" s="204"/>
      <c r="AA965" s="9"/>
      <c r="AB965" s="9"/>
      <c r="AC965" s="9"/>
      <c r="AD965" s="9"/>
    </row>
    <row r="966" ht="15.75" customHeight="1">
      <c r="A966" s="9"/>
      <c r="B966" s="9"/>
      <c r="C966" s="9"/>
      <c r="D966" s="9"/>
      <c r="E966" s="9"/>
      <c r="F966" s="9"/>
      <c r="G966" s="9"/>
      <c r="H966" s="223"/>
      <c r="I966" s="9"/>
      <c r="J966" s="9"/>
      <c r="K966" s="9"/>
      <c r="L966" s="9"/>
      <c r="M966" s="9"/>
      <c r="N966" s="9"/>
      <c r="O966" s="9"/>
      <c r="P966" s="9"/>
      <c r="Q966" s="223"/>
      <c r="R966" s="9"/>
      <c r="S966" s="9"/>
      <c r="T966" s="9"/>
      <c r="U966" s="9"/>
      <c r="V966" s="9"/>
      <c r="W966" s="971"/>
      <c r="X966" s="9"/>
      <c r="Y966" s="9"/>
      <c r="Z966" s="204"/>
      <c r="AA966" s="9"/>
      <c r="AB966" s="9"/>
      <c r="AC966" s="9"/>
      <c r="AD966" s="9"/>
    </row>
    <row r="967" ht="15.75" customHeight="1">
      <c r="A967" s="9"/>
      <c r="B967" s="9"/>
      <c r="C967" s="9"/>
      <c r="D967" s="9"/>
      <c r="E967" s="9"/>
      <c r="F967" s="9"/>
      <c r="G967" s="9"/>
      <c r="H967" s="223"/>
      <c r="I967" s="9"/>
      <c r="J967" s="9"/>
      <c r="K967" s="9"/>
      <c r="L967" s="9"/>
      <c r="M967" s="9"/>
      <c r="N967" s="9"/>
      <c r="O967" s="9"/>
      <c r="P967" s="9"/>
      <c r="Q967" s="223"/>
      <c r="R967" s="9"/>
      <c r="S967" s="9"/>
      <c r="T967" s="9"/>
      <c r="U967" s="9"/>
      <c r="V967" s="9"/>
      <c r="W967" s="971"/>
      <c r="X967" s="9"/>
      <c r="Y967" s="9"/>
      <c r="Z967" s="204"/>
      <c r="AA967" s="9"/>
      <c r="AB967" s="9"/>
      <c r="AC967" s="9"/>
      <c r="AD967" s="9"/>
    </row>
    <row r="968" ht="15.75" customHeight="1">
      <c r="A968" s="9"/>
      <c r="B968" s="9"/>
      <c r="C968" s="9"/>
      <c r="D968" s="9"/>
      <c r="E968" s="9"/>
      <c r="F968" s="9"/>
      <c r="G968" s="9"/>
      <c r="H968" s="223"/>
      <c r="I968" s="9"/>
      <c r="J968" s="9"/>
      <c r="K968" s="9"/>
      <c r="L968" s="9"/>
      <c r="M968" s="9"/>
      <c r="N968" s="9"/>
      <c r="O968" s="9"/>
      <c r="P968" s="9"/>
      <c r="Q968" s="223"/>
      <c r="R968" s="9"/>
      <c r="S968" s="9"/>
      <c r="T968" s="9"/>
      <c r="U968" s="9"/>
      <c r="V968" s="9"/>
      <c r="W968" s="971"/>
      <c r="X968" s="9"/>
      <c r="Y968" s="9"/>
      <c r="Z968" s="204"/>
      <c r="AA968" s="9"/>
      <c r="AB968" s="9"/>
      <c r="AC968" s="9"/>
      <c r="AD968" s="9"/>
    </row>
    <row r="969" ht="15.75" customHeight="1">
      <c r="A969" s="9"/>
      <c r="B969" s="9"/>
      <c r="C969" s="9"/>
      <c r="D969" s="9"/>
      <c r="E969" s="9"/>
      <c r="F969" s="9"/>
      <c r="G969" s="9"/>
      <c r="H969" s="223"/>
      <c r="I969" s="9"/>
      <c r="J969" s="9"/>
      <c r="K969" s="9"/>
      <c r="L969" s="9"/>
      <c r="M969" s="9"/>
      <c r="N969" s="9"/>
      <c r="O969" s="9"/>
      <c r="P969" s="9"/>
      <c r="Q969" s="223"/>
      <c r="R969" s="9"/>
      <c r="S969" s="9"/>
      <c r="T969" s="9"/>
      <c r="U969" s="9"/>
      <c r="V969" s="9"/>
      <c r="W969" s="971"/>
      <c r="X969" s="9"/>
      <c r="Y969" s="9"/>
      <c r="Z969" s="204"/>
      <c r="AA969" s="9"/>
      <c r="AB969" s="9"/>
      <c r="AC969" s="9"/>
      <c r="AD969" s="9"/>
    </row>
    <row r="970" ht="15.75" customHeight="1">
      <c r="A970" s="9"/>
      <c r="B970" s="9"/>
      <c r="C970" s="9"/>
      <c r="D970" s="9"/>
      <c r="E970" s="9"/>
      <c r="F970" s="9"/>
      <c r="G970" s="9"/>
      <c r="H970" s="223"/>
      <c r="I970" s="9"/>
      <c r="J970" s="9"/>
      <c r="K970" s="9"/>
      <c r="L970" s="9"/>
      <c r="M970" s="9"/>
      <c r="N970" s="9"/>
      <c r="O970" s="9"/>
      <c r="P970" s="9"/>
      <c r="Q970" s="223"/>
      <c r="R970" s="9"/>
      <c r="S970" s="9"/>
      <c r="T970" s="9"/>
      <c r="U970" s="9"/>
      <c r="V970" s="9"/>
      <c r="W970" s="971"/>
      <c r="X970" s="9"/>
      <c r="Y970" s="9"/>
      <c r="Z970" s="204"/>
      <c r="AA970" s="9"/>
      <c r="AB970" s="9"/>
      <c r="AC970" s="9"/>
      <c r="AD970" s="9"/>
    </row>
    <row r="971" ht="15.75" customHeight="1">
      <c r="A971" s="9"/>
      <c r="B971" s="9"/>
      <c r="C971" s="9"/>
      <c r="D971" s="9"/>
      <c r="E971" s="9"/>
      <c r="F971" s="9"/>
      <c r="G971" s="9"/>
      <c r="H971" s="223"/>
      <c r="I971" s="9"/>
      <c r="J971" s="9"/>
      <c r="K971" s="9"/>
      <c r="L971" s="9"/>
      <c r="M971" s="9"/>
      <c r="N971" s="9"/>
      <c r="O971" s="9"/>
      <c r="P971" s="9"/>
      <c r="Q971" s="223"/>
      <c r="R971" s="9"/>
      <c r="S971" s="9"/>
      <c r="T971" s="9"/>
      <c r="U971" s="9"/>
      <c r="V971" s="9"/>
      <c r="W971" s="971"/>
      <c r="X971" s="9"/>
      <c r="Y971" s="9"/>
      <c r="Z971" s="204"/>
      <c r="AA971" s="9"/>
      <c r="AB971" s="9"/>
      <c r="AC971" s="9"/>
      <c r="AD971" s="9"/>
    </row>
    <row r="972" ht="15.75" customHeight="1">
      <c r="A972" s="9"/>
      <c r="B972" s="9"/>
      <c r="C972" s="9"/>
      <c r="D972" s="9"/>
      <c r="E972" s="9"/>
      <c r="F972" s="9"/>
      <c r="G972" s="9"/>
      <c r="H972" s="223"/>
      <c r="I972" s="9"/>
      <c r="J972" s="9"/>
      <c r="K972" s="9"/>
      <c r="L972" s="9"/>
      <c r="M972" s="9"/>
      <c r="N972" s="9"/>
      <c r="O972" s="9"/>
      <c r="P972" s="9"/>
      <c r="Q972" s="223"/>
      <c r="R972" s="9"/>
      <c r="S972" s="9"/>
      <c r="T972" s="9"/>
      <c r="U972" s="9"/>
      <c r="V972" s="9"/>
      <c r="W972" s="971"/>
      <c r="X972" s="9"/>
      <c r="Y972" s="9"/>
      <c r="Z972" s="204"/>
      <c r="AA972" s="9"/>
      <c r="AB972" s="9"/>
      <c r="AC972" s="9"/>
      <c r="AD972" s="9"/>
    </row>
    <row r="973" ht="15.75" customHeight="1">
      <c r="A973" s="9"/>
      <c r="B973" s="9"/>
      <c r="C973" s="9"/>
      <c r="D973" s="9"/>
      <c r="E973" s="9"/>
      <c r="F973" s="9"/>
      <c r="G973" s="9"/>
      <c r="H973" s="223"/>
      <c r="I973" s="9"/>
      <c r="J973" s="9"/>
      <c r="K973" s="9"/>
      <c r="L973" s="9"/>
      <c r="M973" s="9"/>
      <c r="N973" s="9"/>
      <c r="O973" s="9"/>
      <c r="P973" s="9"/>
      <c r="Q973" s="223"/>
      <c r="R973" s="9"/>
      <c r="S973" s="9"/>
      <c r="T973" s="9"/>
      <c r="U973" s="9"/>
      <c r="V973" s="9"/>
      <c r="W973" s="971"/>
      <c r="X973" s="9"/>
      <c r="Y973" s="9"/>
      <c r="Z973" s="204"/>
      <c r="AA973" s="9"/>
      <c r="AB973" s="9"/>
      <c r="AC973" s="9"/>
      <c r="AD973" s="9"/>
    </row>
    <row r="974" ht="15.75" customHeight="1">
      <c r="A974" s="9"/>
      <c r="B974" s="9"/>
      <c r="C974" s="9"/>
      <c r="D974" s="9"/>
      <c r="E974" s="9"/>
      <c r="F974" s="9"/>
      <c r="G974" s="9"/>
      <c r="H974" s="223"/>
      <c r="I974" s="9"/>
      <c r="J974" s="9"/>
      <c r="K974" s="9"/>
      <c r="L974" s="9"/>
      <c r="M974" s="9"/>
      <c r="N974" s="9"/>
      <c r="O974" s="9"/>
      <c r="P974" s="9"/>
      <c r="Q974" s="223"/>
      <c r="R974" s="9"/>
      <c r="S974" s="9"/>
      <c r="T974" s="9"/>
      <c r="U974" s="9"/>
      <c r="V974" s="9"/>
      <c r="W974" s="971"/>
      <c r="X974" s="9"/>
      <c r="Y974" s="9"/>
      <c r="Z974" s="204"/>
      <c r="AA974" s="9"/>
      <c r="AB974" s="9"/>
      <c r="AC974" s="9"/>
      <c r="AD974" s="9"/>
    </row>
    <row r="975" ht="15.75" customHeight="1">
      <c r="A975" s="9"/>
      <c r="B975" s="9"/>
      <c r="C975" s="9"/>
      <c r="D975" s="9"/>
      <c r="E975" s="9"/>
      <c r="F975" s="9"/>
      <c r="G975" s="9"/>
      <c r="H975" s="223"/>
      <c r="I975" s="9"/>
      <c r="J975" s="9"/>
      <c r="K975" s="9"/>
      <c r="L975" s="9"/>
      <c r="M975" s="9"/>
      <c r="N975" s="9"/>
      <c r="O975" s="9"/>
      <c r="P975" s="9"/>
      <c r="Q975" s="223"/>
      <c r="R975" s="9"/>
      <c r="S975" s="9"/>
      <c r="T975" s="9"/>
      <c r="U975" s="9"/>
      <c r="V975" s="9"/>
      <c r="W975" s="971"/>
      <c r="X975" s="9"/>
      <c r="Y975" s="9"/>
      <c r="Z975" s="204"/>
      <c r="AA975" s="9"/>
      <c r="AB975" s="9"/>
      <c r="AC975" s="9"/>
      <c r="AD975" s="9"/>
    </row>
    <row r="976" ht="15.75" customHeight="1">
      <c r="A976" s="9"/>
      <c r="B976" s="9"/>
      <c r="C976" s="9"/>
      <c r="D976" s="9"/>
      <c r="E976" s="9"/>
      <c r="F976" s="9"/>
      <c r="G976" s="9"/>
      <c r="H976" s="223"/>
      <c r="I976" s="9"/>
      <c r="J976" s="9"/>
      <c r="K976" s="9"/>
      <c r="L976" s="9"/>
      <c r="M976" s="9"/>
      <c r="N976" s="9"/>
      <c r="O976" s="9"/>
      <c r="P976" s="9"/>
      <c r="Q976" s="223"/>
      <c r="R976" s="9"/>
      <c r="S976" s="9"/>
      <c r="T976" s="9"/>
      <c r="U976" s="9"/>
      <c r="V976" s="9"/>
      <c r="W976" s="971"/>
      <c r="X976" s="9"/>
      <c r="Y976" s="9"/>
      <c r="Z976" s="204"/>
      <c r="AA976" s="9"/>
      <c r="AB976" s="9"/>
      <c r="AC976" s="9"/>
      <c r="AD976" s="9"/>
    </row>
    <row r="977" ht="15.75" customHeight="1">
      <c r="A977" s="9"/>
      <c r="B977" s="9"/>
      <c r="C977" s="9"/>
      <c r="D977" s="9"/>
      <c r="E977" s="9"/>
      <c r="F977" s="9"/>
      <c r="G977" s="9"/>
      <c r="H977" s="223"/>
      <c r="I977" s="9"/>
      <c r="J977" s="9"/>
      <c r="K977" s="9"/>
      <c r="L977" s="9"/>
      <c r="M977" s="9"/>
      <c r="N977" s="9"/>
      <c r="O977" s="9"/>
      <c r="P977" s="9"/>
      <c r="Q977" s="223"/>
      <c r="R977" s="9"/>
      <c r="S977" s="9"/>
      <c r="T977" s="9"/>
      <c r="U977" s="9"/>
      <c r="V977" s="9"/>
      <c r="W977" s="971"/>
      <c r="X977" s="9"/>
      <c r="Y977" s="9"/>
      <c r="Z977" s="204"/>
      <c r="AA977" s="9"/>
      <c r="AB977" s="9"/>
      <c r="AC977" s="9"/>
      <c r="AD977" s="9"/>
    </row>
    <row r="978" ht="15.75" customHeight="1">
      <c r="A978" s="9"/>
      <c r="B978" s="9"/>
      <c r="C978" s="9"/>
      <c r="D978" s="9"/>
      <c r="E978" s="9"/>
      <c r="F978" s="9"/>
      <c r="G978" s="9"/>
      <c r="H978" s="223"/>
      <c r="I978" s="9"/>
      <c r="J978" s="9"/>
      <c r="K978" s="9"/>
      <c r="L978" s="9"/>
      <c r="M978" s="9"/>
      <c r="N978" s="9"/>
      <c r="O978" s="9"/>
      <c r="P978" s="9"/>
      <c r="Q978" s="223"/>
      <c r="R978" s="9"/>
      <c r="S978" s="9"/>
      <c r="T978" s="9"/>
      <c r="U978" s="9"/>
      <c r="V978" s="9"/>
      <c r="W978" s="971"/>
      <c r="X978" s="9"/>
      <c r="Y978" s="9"/>
      <c r="Z978" s="204"/>
      <c r="AA978" s="9"/>
      <c r="AB978" s="9"/>
      <c r="AC978" s="9"/>
      <c r="AD978" s="9"/>
    </row>
    <row r="979" ht="15.75" customHeight="1">
      <c r="A979" s="9"/>
      <c r="B979" s="9"/>
      <c r="C979" s="9"/>
      <c r="D979" s="9"/>
      <c r="E979" s="9"/>
      <c r="F979" s="9"/>
      <c r="G979" s="9"/>
      <c r="H979" s="223"/>
      <c r="I979" s="9"/>
      <c r="J979" s="9"/>
      <c r="K979" s="9"/>
      <c r="L979" s="9"/>
      <c r="M979" s="9"/>
      <c r="N979" s="9"/>
      <c r="O979" s="9"/>
      <c r="P979" s="9"/>
      <c r="Q979" s="223"/>
      <c r="R979" s="9"/>
      <c r="S979" s="9"/>
      <c r="T979" s="9"/>
      <c r="U979" s="9"/>
      <c r="V979" s="9"/>
      <c r="W979" s="971"/>
      <c r="X979" s="9"/>
      <c r="Y979" s="9"/>
      <c r="Z979" s="204"/>
      <c r="AA979" s="9"/>
      <c r="AB979" s="9"/>
      <c r="AC979" s="9"/>
      <c r="AD979" s="9"/>
    </row>
    <row r="980" ht="15.75" customHeight="1">
      <c r="A980" s="9"/>
      <c r="B980" s="9"/>
      <c r="C980" s="9"/>
      <c r="D980" s="9"/>
      <c r="E980" s="9"/>
      <c r="F980" s="9"/>
      <c r="G980" s="9"/>
      <c r="H980" s="223"/>
      <c r="I980" s="9"/>
      <c r="J980" s="9"/>
      <c r="K980" s="9"/>
      <c r="L980" s="9"/>
      <c r="M980" s="9"/>
      <c r="N980" s="9"/>
      <c r="O980" s="9"/>
      <c r="P980" s="9"/>
      <c r="Q980" s="223"/>
      <c r="R980" s="9"/>
      <c r="S980" s="9"/>
      <c r="T980" s="9"/>
      <c r="U980" s="9"/>
      <c r="V980" s="9"/>
      <c r="W980" s="971"/>
      <c r="X980" s="9"/>
      <c r="Y980" s="9"/>
      <c r="Z980" s="204"/>
      <c r="AA980" s="9"/>
      <c r="AB980" s="9"/>
      <c r="AC980" s="9"/>
      <c r="AD980" s="9"/>
    </row>
    <row r="981" ht="15.75" customHeight="1">
      <c r="A981" s="9"/>
      <c r="B981" s="9"/>
      <c r="C981" s="9"/>
      <c r="D981" s="9"/>
      <c r="E981" s="9"/>
      <c r="F981" s="9"/>
      <c r="G981" s="9"/>
      <c r="H981" s="223"/>
      <c r="I981" s="9"/>
      <c r="J981" s="9"/>
      <c r="K981" s="9"/>
      <c r="L981" s="9"/>
      <c r="M981" s="9"/>
      <c r="N981" s="9"/>
      <c r="O981" s="9"/>
      <c r="P981" s="9"/>
      <c r="Q981" s="223"/>
      <c r="R981" s="9"/>
      <c r="S981" s="9"/>
      <c r="T981" s="9"/>
      <c r="U981" s="9"/>
      <c r="V981" s="9"/>
      <c r="W981" s="971"/>
      <c r="X981" s="9"/>
      <c r="Y981" s="9"/>
      <c r="Z981" s="204"/>
      <c r="AA981" s="9"/>
      <c r="AB981" s="9"/>
      <c r="AC981" s="9"/>
      <c r="AD981" s="9"/>
    </row>
    <row r="982" ht="15.75" customHeight="1">
      <c r="A982" s="9"/>
      <c r="B982" s="9"/>
      <c r="C982" s="9"/>
      <c r="D982" s="9"/>
      <c r="E982" s="9"/>
      <c r="F982" s="9"/>
      <c r="G982" s="9"/>
      <c r="H982" s="223"/>
      <c r="I982" s="9"/>
      <c r="J982" s="9"/>
      <c r="K982" s="9"/>
      <c r="L982" s="9"/>
      <c r="M982" s="9"/>
      <c r="N982" s="9"/>
      <c r="O982" s="9"/>
      <c r="P982" s="9"/>
      <c r="Q982" s="223"/>
      <c r="R982" s="9"/>
      <c r="S982" s="9"/>
      <c r="T982" s="9"/>
      <c r="U982" s="9"/>
      <c r="V982" s="9"/>
      <c r="W982" s="971"/>
      <c r="X982" s="9"/>
      <c r="Y982" s="9"/>
      <c r="Z982" s="204"/>
      <c r="AA982" s="9"/>
      <c r="AB982" s="9"/>
      <c r="AC982" s="9"/>
      <c r="AD982" s="9"/>
    </row>
    <row r="983" ht="15.75" customHeight="1">
      <c r="A983" s="9"/>
      <c r="B983" s="9"/>
      <c r="C983" s="9"/>
      <c r="D983" s="9"/>
      <c r="E983" s="9"/>
      <c r="F983" s="9"/>
      <c r="G983" s="9"/>
      <c r="H983" s="223"/>
      <c r="I983" s="9"/>
      <c r="J983" s="9"/>
      <c r="K983" s="9"/>
      <c r="L983" s="9"/>
      <c r="M983" s="9"/>
      <c r="N983" s="9"/>
      <c r="O983" s="9"/>
      <c r="P983" s="9"/>
      <c r="Q983" s="223"/>
      <c r="R983" s="9"/>
      <c r="S983" s="9"/>
      <c r="T983" s="9"/>
      <c r="U983" s="9"/>
      <c r="V983" s="9"/>
      <c r="W983" s="971"/>
      <c r="X983" s="9"/>
      <c r="Y983" s="9"/>
      <c r="Z983" s="204"/>
      <c r="AA983" s="9"/>
      <c r="AB983" s="9"/>
      <c r="AC983" s="9"/>
      <c r="AD983" s="9"/>
    </row>
    <row r="984" ht="15.75" customHeight="1">
      <c r="A984" s="9"/>
      <c r="B984" s="9"/>
      <c r="C984" s="9"/>
      <c r="D984" s="9"/>
      <c r="E984" s="9"/>
      <c r="F984" s="9"/>
      <c r="G984" s="9"/>
      <c r="H984" s="223"/>
      <c r="I984" s="9"/>
      <c r="J984" s="9"/>
      <c r="K984" s="9"/>
      <c r="L984" s="9"/>
      <c r="M984" s="9"/>
      <c r="N984" s="9"/>
      <c r="O984" s="9"/>
      <c r="P984" s="9"/>
      <c r="Q984" s="223"/>
      <c r="R984" s="9"/>
      <c r="S984" s="9"/>
      <c r="T984" s="9"/>
      <c r="U984" s="9"/>
      <c r="V984" s="9"/>
      <c r="W984" s="971"/>
      <c r="X984" s="9"/>
      <c r="Y984" s="9"/>
      <c r="Z984" s="204"/>
      <c r="AA984" s="9"/>
      <c r="AB984" s="9"/>
      <c r="AC984" s="9"/>
      <c r="AD984" s="9"/>
    </row>
    <row r="985" ht="15.75" customHeight="1">
      <c r="A985" s="9"/>
      <c r="B985" s="9"/>
      <c r="C985" s="9"/>
      <c r="D985" s="9"/>
      <c r="E985" s="9"/>
      <c r="F985" s="9"/>
      <c r="G985" s="9"/>
      <c r="H985" s="223"/>
      <c r="I985" s="9"/>
      <c r="J985" s="9"/>
      <c r="K985" s="9"/>
      <c r="L985" s="9"/>
      <c r="M985" s="9"/>
      <c r="N985" s="9"/>
      <c r="O985" s="9"/>
      <c r="P985" s="9"/>
      <c r="Q985" s="223"/>
      <c r="R985" s="9"/>
      <c r="S985" s="9"/>
      <c r="T985" s="9"/>
      <c r="U985" s="9"/>
      <c r="V985" s="9"/>
      <c r="W985" s="971"/>
      <c r="X985" s="9"/>
      <c r="Y985" s="9"/>
      <c r="Z985" s="204"/>
      <c r="AA985" s="9"/>
      <c r="AB985" s="9"/>
      <c r="AC985" s="9"/>
      <c r="AD985" s="9"/>
    </row>
    <row r="986" ht="15.75" customHeight="1">
      <c r="A986" s="9"/>
      <c r="B986" s="9"/>
      <c r="C986" s="9"/>
      <c r="D986" s="9"/>
      <c r="E986" s="9"/>
      <c r="F986" s="9"/>
      <c r="G986" s="9"/>
      <c r="H986" s="223"/>
      <c r="I986" s="9"/>
      <c r="J986" s="9"/>
      <c r="K986" s="9"/>
      <c r="L986" s="9"/>
      <c r="M986" s="9"/>
      <c r="N986" s="9"/>
      <c r="O986" s="9"/>
      <c r="P986" s="9"/>
      <c r="Q986" s="223"/>
      <c r="R986" s="9"/>
      <c r="S986" s="9"/>
      <c r="T986" s="9"/>
      <c r="U986" s="9"/>
      <c r="V986" s="9"/>
      <c r="W986" s="971"/>
      <c r="X986" s="9"/>
      <c r="Y986" s="9"/>
      <c r="Z986" s="204"/>
      <c r="AA986" s="9"/>
      <c r="AB986" s="9"/>
      <c r="AC986" s="9"/>
      <c r="AD986" s="9"/>
    </row>
    <row r="987" ht="15.75" customHeight="1">
      <c r="A987" s="9"/>
      <c r="B987" s="9"/>
      <c r="C987" s="9"/>
      <c r="D987" s="9"/>
      <c r="E987" s="9"/>
      <c r="F987" s="9"/>
      <c r="G987" s="9"/>
      <c r="H987" s="223"/>
      <c r="I987" s="9"/>
      <c r="J987" s="9"/>
      <c r="K987" s="9"/>
      <c r="L987" s="9"/>
      <c r="M987" s="9"/>
      <c r="N987" s="9"/>
      <c r="O987" s="9"/>
      <c r="P987" s="9"/>
      <c r="Q987" s="223"/>
      <c r="R987" s="9"/>
      <c r="S987" s="9"/>
      <c r="T987" s="9"/>
      <c r="U987" s="9"/>
      <c r="V987" s="9"/>
      <c r="W987" s="971"/>
      <c r="X987" s="9"/>
      <c r="Y987" s="9"/>
      <c r="Z987" s="204"/>
      <c r="AA987" s="9"/>
      <c r="AB987" s="9"/>
      <c r="AC987" s="9"/>
      <c r="AD987" s="9"/>
    </row>
    <row r="988" ht="15.75" customHeight="1">
      <c r="A988" s="9"/>
      <c r="B988" s="9"/>
      <c r="C988" s="9"/>
      <c r="D988" s="9"/>
      <c r="E988" s="9"/>
      <c r="F988" s="9"/>
      <c r="G988" s="9"/>
      <c r="H988" s="223"/>
      <c r="I988" s="9"/>
      <c r="J988" s="9"/>
      <c r="K988" s="9"/>
      <c r="L988" s="9"/>
      <c r="M988" s="9"/>
      <c r="N988" s="9"/>
      <c r="O988" s="9"/>
      <c r="P988" s="9"/>
      <c r="Q988" s="223"/>
      <c r="R988" s="9"/>
      <c r="S988" s="9"/>
      <c r="T988" s="9"/>
      <c r="U988" s="9"/>
      <c r="V988" s="9"/>
      <c r="W988" s="971"/>
      <c r="X988" s="9"/>
      <c r="Y988" s="9"/>
      <c r="Z988" s="204"/>
      <c r="AA988" s="9"/>
      <c r="AB988" s="9"/>
      <c r="AC988" s="9"/>
      <c r="AD988" s="9"/>
    </row>
    <row r="989" ht="15.75" customHeight="1">
      <c r="A989" s="9"/>
      <c r="B989" s="9"/>
      <c r="C989" s="9"/>
      <c r="D989" s="9"/>
      <c r="E989" s="9"/>
      <c r="F989" s="9"/>
      <c r="G989" s="9"/>
      <c r="H989" s="223"/>
      <c r="I989" s="9"/>
      <c r="J989" s="9"/>
      <c r="K989" s="9"/>
      <c r="L989" s="9"/>
      <c r="M989" s="9"/>
      <c r="N989" s="9"/>
      <c r="O989" s="9"/>
      <c r="P989" s="9"/>
      <c r="Q989" s="223"/>
      <c r="R989" s="9"/>
      <c r="S989" s="9"/>
      <c r="T989" s="9"/>
      <c r="U989" s="9"/>
      <c r="V989" s="9"/>
      <c r="W989" s="971"/>
      <c r="X989" s="9"/>
      <c r="Y989" s="9"/>
      <c r="Z989" s="204"/>
      <c r="AA989" s="9"/>
      <c r="AB989" s="9"/>
      <c r="AC989" s="9"/>
      <c r="AD989" s="9"/>
    </row>
    <row r="990" ht="15.75" customHeight="1">
      <c r="A990" s="9"/>
      <c r="B990" s="9"/>
      <c r="C990" s="9"/>
      <c r="D990" s="9"/>
      <c r="E990" s="9"/>
      <c r="F990" s="9"/>
      <c r="G990" s="9"/>
      <c r="H990" s="223"/>
      <c r="I990" s="9"/>
      <c r="J990" s="9"/>
      <c r="K990" s="9"/>
      <c r="L990" s="9"/>
      <c r="M990" s="9"/>
      <c r="N990" s="9"/>
      <c r="O990" s="9"/>
      <c r="P990" s="9"/>
      <c r="Q990" s="223"/>
      <c r="R990" s="9"/>
      <c r="S990" s="9"/>
      <c r="T990" s="9"/>
      <c r="U990" s="9"/>
      <c r="V990" s="9"/>
      <c r="W990" s="971"/>
      <c r="X990" s="9"/>
      <c r="Y990" s="9"/>
      <c r="Z990" s="204"/>
      <c r="AA990" s="9"/>
      <c r="AB990" s="9"/>
      <c r="AC990" s="9"/>
      <c r="AD990" s="9"/>
    </row>
    <row r="991" ht="15.75" customHeight="1">
      <c r="A991" s="9"/>
      <c r="B991" s="9"/>
      <c r="C991" s="9"/>
      <c r="D991" s="9"/>
      <c r="E991" s="9"/>
      <c r="F991" s="9"/>
      <c r="G991" s="9"/>
      <c r="H991" s="223"/>
      <c r="I991" s="9"/>
      <c r="J991" s="9"/>
      <c r="K991" s="9"/>
      <c r="L991" s="9"/>
      <c r="M991" s="9"/>
      <c r="N991" s="9"/>
      <c r="O991" s="9"/>
      <c r="P991" s="9"/>
      <c r="Q991" s="223"/>
      <c r="R991" s="9"/>
      <c r="S991" s="9"/>
      <c r="T991" s="9"/>
      <c r="U991" s="9"/>
      <c r="V991" s="9"/>
      <c r="W991" s="971"/>
      <c r="X991" s="9"/>
      <c r="Y991" s="9"/>
      <c r="Z991" s="204"/>
      <c r="AA991" s="9"/>
      <c r="AB991" s="9"/>
      <c r="AC991" s="9"/>
      <c r="AD991" s="9"/>
    </row>
    <row r="992" ht="15.75" customHeight="1">
      <c r="A992" s="9"/>
      <c r="B992" s="9"/>
      <c r="C992" s="9"/>
      <c r="D992" s="9"/>
      <c r="E992" s="9"/>
      <c r="F992" s="9"/>
      <c r="G992" s="9"/>
      <c r="H992" s="223"/>
      <c r="I992" s="9"/>
      <c r="J992" s="9"/>
      <c r="K992" s="9"/>
      <c r="L992" s="9"/>
      <c r="M992" s="9"/>
      <c r="N992" s="9"/>
      <c r="O992" s="9"/>
      <c r="P992" s="9"/>
      <c r="Q992" s="223"/>
      <c r="R992" s="9"/>
      <c r="S992" s="9"/>
      <c r="T992" s="9"/>
      <c r="U992" s="9"/>
      <c r="V992" s="9"/>
      <c r="W992" s="971"/>
      <c r="X992" s="9"/>
      <c r="Y992" s="9"/>
      <c r="Z992" s="204"/>
      <c r="AA992" s="9"/>
      <c r="AB992" s="9"/>
      <c r="AC992" s="9"/>
      <c r="AD992" s="9"/>
    </row>
    <row r="993" ht="15.75" customHeight="1">
      <c r="A993" s="9"/>
      <c r="B993" s="9"/>
      <c r="C993" s="9"/>
      <c r="D993" s="9"/>
      <c r="E993" s="9"/>
      <c r="F993" s="9"/>
      <c r="G993" s="9"/>
      <c r="H993" s="223"/>
      <c r="I993" s="9"/>
      <c r="J993" s="9"/>
      <c r="K993" s="9"/>
      <c r="L993" s="9"/>
      <c r="M993" s="9"/>
      <c r="N993" s="9"/>
      <c r="O993" s="9"/>
      <c r="P993" s="9"/>
      <c r="Q993" s="223"/>
      <c r="R993" s="9"/>
      <c r="S993" s="9"/>
      <c r="T993" s="9"/>
      <c r="U993" s="9"/>
      <c r="V993" s="9"/>
      <c r="W993" s="971"/>
      <c r="X993" s="9"/>
      <c r="Y993" s="9"/>
      <c r="Z993" s="204"/>
      <c r="AA993" s="9"/>
      <c r="AB993" s="9"/>
      <c r="AC993" s="9"/>
      <c r="AD993" s="9"/>
    </row>
    <row r="994" ht="15.75" customHeight="1">
      <c r="A994" s="9"/>
      <c r="B994" s="9"/>
      <c r="C994" s="9"/>
      <c r="D994" s="9"/>
      <c r="E994" s="9"/>
      <c r="F994" s="9"/>
      <c r="G994" s="9"/>
      <c r="H994" s="223"/>
      <c r="I994" s="9"/>
      <c r="J994" s="9"/>
      <c r="K994" s="9"/>
      <c r="L994" s="9"/>
      <c r="M994" s="9"/>
      <c r="N994" s="9"/>
      <c r="O994" s="9"/>
      <c r="P994" s="9"/>
      <c r="Q994" s="223"/>
      <c r="R994" s="9"/>
      <c r="S994" s="9"/>
      <c r="T994" s="9"/>
      <c r="U994" s="9"/>
      <c r="V994" s="9"/>
      <c r="W994" s="971"/>
      <c r="X994" s="9"/>
      <c r="Y994" s="9"/>
      <c r="Z994" s="204"/>
      <c r="AA994" s="9"/>
      <c r="AB994" s="9"/>
      <c r="AC994" s="9"/>
      <c r="AD994" s="9"/>
    </row>
    <row r="995" ht="15.75" customHeight="1">
      <c r="A995" s="9"/>
      <c r="B995" s="9"/>
      <c r="C995" s="9"/>
      <c r="D995" s="9"/>
      <c r="E995" s="9"/>
      <c r="F995" s="9"/>
      <c r="G995" s="9"/>
      <c r="H995" s="223"/>
      <c r="I995" s="9"/>
      <c r="J995" s="9"/>
      <c r="K995" s="9"/>
      <c r="L995" s="9"/>
      <c r="M995" s="9"/>
      <c r="N995" s="9"/>
      <c r="O995" s="9"/>
      <c r="P995" s="9"/>
      <c r="Q995" s="223"/>
      <c r="R995" s="9"/>
      <c r="S995" s="9"/>
      <c r="T995" s="9"/>
      <c r="U995" s="9"/>
      <c r="V995" s="9"/>
      <c r="W995" s="971"/>
      <c r="X995" s="9"/>
      <c r="Y995" s="9"/>
      <c r="Z995" s="204"/>
      <c r="AA995" s="9"/>
      <c r="AB995" s="9"/>
      <c r="AC995" s="9"/>
      <c r="AD995" s="9"/>
    </row>
    <row r="996" ht="15.75" customHeight="1">
      <c r="A996" s="9"/>
      <c r="B996" s="9"/>
      <c r="C996" s="9"/>
      <c r="D996" s="9"/>
      <c r="E996" s="9"/>
      <c r="F996" s="9"/>
      <c r="G996" s="9"/>
      <c r="H996" s="223"/>
      <c r="I996" s="9"/>
      <c r="J996" s="9"/>
      <c r="K996" s="9"/>
      <c r="L996" s="9"/>
      <c r="M996" s="9"/>
      <c r="N996" s="9"/>
      <c r="O996" s="9"/>
      <c r="P996" s="9"/>
      <c r="Q996" s="223"/>
      <c r="R996" s="9"/>
      <c r="S996" s="9"/>
      <c r="T996" s="9"/>
      <c r="U996" s="9"/>
      <c r="V996" s="9"/>
      <c r="W996" s="971"/>
      <c r="X996" s="9"/>
      <c r="Y996" s="9"/>
      <c r="Z996" s="204"/>
      <c r="AA996" s="9"/>
      <c r="AB996" s="9"/>
      <c r="AC996" s="9"/>
      <c r="AD996" s="9"/>
    </row>
    <row r="997" ht="15.75" customHeight="1">
      <c r="A997" s="9"/>
      <c r="B997" s="9"/>
      <c r="C997" s="9"/>
      <c r="D997" s="9"/>
      <c r="E997" s="9"/>
      <c r="F997" s="9"/>
      <c r="G997" s="9"/>
      <c r="H997" s="223"/>
      <c r="I997" s="9"/>
      <c r="J997" s="9"/>
      <c r="K997" s="9"/>
      <c r="L997" s="9"/>
      <c r="M997" s="9"/>
      <c r="N997" s="9"/>
      <c r="O997" s="9"/>
      <c r="P997" s="9"/>
      <c r="Q997" s="223"/>
      <c r="R997" s="9"/>
      <c r="S997" s="9"/>
      <c r="T997" s="9"/>
      <c r="U997" s="9"/>
      <c r="V997" s="9"/>
      <c r="W997" s="971"/>
      <c r="X997" s="9"/>
      <c r="Y997" s="9"/>
      <c r="Z997" s="204"/>
      <c r="AA997" s="9"/>
      <c r="AB997" s="9"/>
      <c r="AC997" s="9"/>
      <c r="AD997" s="9"/>
    </row>
    <row r="998" ht="15.75" customHeight="1">
      <c r="A998" s="9"/>
      <c r="B998" s="9"/>
      <c r="C998" s="9"/>
      <c r="D998" s="9"/>
      <c r="E998" s="9"/>
      <c r="F998" s="9"/>
      <c r="G998" s="9"/>
      <c r="H998" s="223"/>
      <c r="I998" s="9"/>
      <c r="J998" s="9"/>
      <c r="K998" s="9"/>
      <c r="L998" s="9"/>
      <c r="M998" s="9"/>
      <c r="N998" s="9"/>
      <c r="O998" s="9"/>
      <c r="P998" s="9"/>
      <c r="Q998" s="223"/>
      <c r="R998" s="9"/>
      <c r="S998" s="9"/>
      <c r="T998" s="9"/>
      <c r="U998" s="9"/>
      <c r="V998" s="9"/>
      <c r="W998" s="971"/>
      <c r="X998" s="9"/>
      <c r="Y998" s="9"/>
      <c r="Z998" s="204"/>
      <c r="AA998" s="9"/>
      <c r="AB998" s="9"/>
      <c r="AC998" s="9"/>
      <c r="AD998" s="9"/>
    </row>
    <row r="999" ht="15.75" customHeight="1">
      <c r="A999" s="9"/>
      <c r="B999" s="9"/>
      <c r="C999" s="9"/>
      <c r="D999" s="9"/>
      <c r="E999" s="9"/>
      <c r="F999" s="9"/>
      <c r="G999" s="9"/>
      <c r="H999" s="223"/>
      <c r="I999" s="9"/>
      <c r="J999" s="9"/>
      <c r="K999" s="9"/>
      <c r="L999" s="9"/>
      <c r="M999" s="9"/>
      <c r="N999" s="9"/>
      <c r="O999" s="9"/>
      <c r="P999" s="9"/>
      <c r="Q999" s="223"/>
      <c r="R999" s="9"/>
      <c r="S999" s="9"/>
      <c r="T999" s="9"/>
      <c r="U999" s="9"/>
      <c r="V999" s="9"/>
      <c r="W999" s="971"/>
      <c r="X999" s="9"/>
      <c r="Y999" s="9"/>
      <c r="Z999" s="204"/>
      <c r="AA999" s="9"/>
      <c r="AB999" s="9"/>
      <c r="AC999" s="9"/>
      <c r="AD999" s="9"/>
    </row>
    <row r="1000" ht="15.75" customHeight="1">
      <c r="A1000" s="9"/>
      <c r="B1000" s="9"/>
      <c r="C1000" s="9"/>
      <c r="D1000" s="9"/>
      <c r="E1000" s="9"/>
      <c r="F1000" s="9"/>
      <c r="G1000" s="9"/>
      <c r="H1000" s="223"/>
      <c r="I1000" s="9"/>
      <c r="J1000" s="9"/>
      <c r="K1000" s="9"/>
      <c r="L1000" s="9"/>
      <c r="M1000" s="9"/>
      <c r="N1000" s="9"/>
      <c r="O1000" s="9"/>
      <c r="P1000" s="9"/>
      <c r="Q1000" s="223"/>
      <c r="R1000" s="9"/>
      <c r="S1000" s="9"/>
      <c r="T1000" s="9"/>
      <c r="U1000" s="9"/>
      <c r="V1000" s="9"/>
      <c r="W1000" s="971"/>
      <c r="X1000" s="9"/>
      <c r="Y1000" s="9"/>
      <c r="Z1000" s="204"/>
      <c r="AA1000" s="9"/>
      <c r="AB1000" s="9"/>
      <c r="AC1000" s="9"/>
      <c r="AD1000" s="9"/>
    </row>
    <row r="1001" ht="15.75" customHeight="1">
      <c r="A1001" s="9"/>
      <c r="B1001" s="9"/>
      <c r="C1001" s="9"/>
      <c r="D1001" s="9"/>
      <c r="E1001" s="9"/>
      <c r="F1001" s="9"/>
      <c r="G1001" s="9"/>
      <c r="H1001" s="223"/>
      <c r="I1001" s="9"/>
      <c r="J1001" s="9"/>
      <c r="K1001" s="9"/>
      <c r="L1001" s="9"/>
      <c r="M1001" s="9"/>
      <c r="N1001" s="9"/>
      <c r="O1001" s="9"/>
      <c r="P1001" s="9"/>
      <c r="Q1001" s="223"/>
      <c r="R1001" s="9"/>
      <c r="S1001" s="9"/>
      <c r="T1001" s="9"/>
      <c r="U1001" s="9"/>
      <c r="V1001" s="9"/>
      <c r="W1001" s="971"/>
      <c r="X1001" s="9"/>
      <c r="Y1001" s="9"/>
      <c r="Z1001" s="204"/>
      <c r="AA1001" s="9"/>
      <c r="AB1001" s="9"/>
      <c r="AC1001" s="9"/>
      <c r="AD1001" s="9"/>
    </row>
    <row r="1002" ht="15.75" customHeight="1">
      <c r="A1002" s="9"/>
      <c r="B1002" s="9"/>
      <c r="C1002" s="9"/>
      <c r="D1002" s="9"/>
      <c r="E1002" s="9"/>
      <c r="F1002" s="9"/>
      <c r="G1002" s="9"/>
      <c r="H1002" s="223"/>
      <c r="I1002" s="9"/>
      <c r="J1002" s="9"/>
      <c r="K1002" s="9"/>
      <c r="L1002" s="9"/>
      <c r="M1002" s="9"/>
      <c r="N1002" s="9"/>
      <c r="O1002" s="9"/>
      <c r="P1002" s="9"/>
      <c r="Q1002" s="223"/>
      <c r="R1002" s="9"/>
      <c r="S1002" s="9"/>
      <c r="T1002" s="9"/>
      <c r="U1002" s="9"/>
      <c r="V1002" s="9"/>
      <c r="W1002" s="971"/>
      <c r="X1002" s="9"/>
      <c r="Y1002" s="9"/>
      <c r="Z1002" s="204"/>
      <c r="AA1002" s="9"/>
      <c r="AB1002" s="9"/>
      <c r="AC1002" s="9"/>
      <c r="AD1002" s="9"/>
    </row>
    <row r="1003" ht="15.75" customHeight="1">
      <c r="A1003" s="9"/>
      <c r="B1003" s="9"/>
      <c r="C1003" s="9"/>
      <c r="D1003" s="9"/>
      <c r="E1003" s="9"/>
      <c r="F1003" s="9"/>
      <c r="G1003" s="9"/>
      <c r="H1003" s="223"/>
      <c r="I1003" s="9"/>
      <c r="J1003" s="9"/>
      <c r="K1003" s="9"/>
      <c r="L1003" s="9"/>
      <c r="M1003" s="9"/>
      <c r="N1003" s="9"/>
      <c r="O1003" s="9"/>
      <c r="P1003" s="9"/>
      <c r="Q1003" s="223"/>
      <c r="R1003" s="9"/>
      <c r="S1003" s="9"/>
      <c r="T1003" s="9"/>
      <c r="U1003" s="9"/>
      <c r="V1003" s="9"/>
      <c r="W1003" s="971"/>
      <c r="X1003" s="9"/>
      <c r="Y1003" s="9"/>
      <c r="Z1003" s="204"/>
      <c r="AA1003" s="9"/>
      <c r="AB1003" s="9"/>
      <c r="AC1003" s="9"/>
      <c r="AD1003" s="9"/>
    </row>
    <row r="1004" ht="15.75" customHeight="1">
      <c r="A1004" s="9"/>
      <c r="B1004" s="9"/>
      <c r="C1004" s="9"/>
      <c r="D1004" s="9"/>
      <c r="E1004" s="9"/>
      <c r="F1004" s="9"/>
      <c r="G1004" s="9"/>
      <c r="H1004" s="223"/>
      <c r="I1004" s="9"/>
      <c r="J1004" s="9"/>
      <c r="K1004" s="9"/>
      <c r="L1004" s="9"/>
      <c r="M1004" s="9"/>
      <c r="N1004" s="9"/>
      <c r="O1004" s="9"/>
      <c r="P1004" s="9"/>
      <c r="Q1004" s="223"/>
      <c r="R1004" s="9"/>
      <c r="S1004" s="9"/>
      <c r="T1004" s="9"/>
      <c r="U1004" s="9"/>
      <c r="V1004" s="9"/>
      <c r="W1004" s="971"/>
      <c r="X1004" s="9"/>
      <c r="Y1004" s="9"/>
      <c r="Z1004" s="204"/>
      <c r="AA1004" s="9"/>
      <c r="AB1004" s="9"/>
      <c r="AC1004" s="9"/>
      <c r="AD1004" s="9"/>
    </row>
    <row r="1005" ht="15.75" customHeight="1">
      <c r="A1005" s="9"/>
      <c r="B1005" s="9"/>
      <c r="C1005" s="9"/>
      <c r="D1005" s="9"/>
      <c r="E1005" s="9"/>
      <c r="F1005" s="9"/>
      <c r="G1005" s="9"/>
      <c r="H1005" s="223"/>
      <c r="I1005" s="9"/>
      <c r="J1005" s="9"/>
      <c r="K1005" s="9"/>
      <c r="L1005" s="9"/>
      <c r="M1005" s="9"/>
      <c r="N1005" s="9"/>
      <c r="O1005" s="9"/>
      <c r="P1005" s="9"/>
      <c r="Q1005" s="223"/>
      <c r="R1005" s="9"/>
      <c r="S1005" s="9"/>
      <c r="T1005" s="9"/>
      <c r="U1005" s="9"/>
      <c r="V1005" s="9"/>
      <c r="W1005" s="971"/>
      <c r="X1005" s="9"/>
      <c r="Y1005" s="9"/>
      <c r="Z1005" s="204"/>
      <c r="AA1005" s="9"/>
      <c r="AB1005" s="9"/>
      <c r="AC1005" s="9"/>
      <c r="AD1005" s="9"/>
    </row>
    <row r="1006" ht="15.75" customHeight="1">
      <c r="A1006" s="9"/>
      <c r="B1006" s="9"/>
      <c r="C1006" s="9"/>
      <c r="D1006" s="9"/>
      <c r="E1006" s="9"/>
      <c r="F1006" s="9"/>
      <c r="G1006" s="9"/>
      <c r="H1006" s="223"/>
      <c r="I1006" s="9"/>
      <c r="J1006" s="9"/>
      <c r="K1006" s="9"/>
      <c r="L1006" s="9"/>
      <c r="M1006" s="9"/>
      <c r="N1006" s="9"/>
      <c r="O1006" s="9"/>
      <c r="P1006" s="9"/>
      <c r="Q1006" s="223"/>
      <c r="R1006" s="9"/>
      <c r="S1006" s="9"/>
      <c r="T1006" s="9"/>
      <c r="U1006" s="9"/>
      <c r="V1006" s="9"/>
      <c r="W1006" s="971"/>
      <c r="X1006" s="9"/>
      <c r="Y1006" s="9"/>
      <c r="Z1006" s="204"/>
      <c r="AA1006" s="9"/>
      <c r="AB1006" s="9"/>
      <c r="AC1006" s="9"/>
      <c r="AD1006" s="9"/>
    </row>
    <row r="1007" ht="15.75" customHeight="1">
      <c r="A1007" s="9"/>
      <c r="B1007" s="9"/>
      <c r="C1007" s="9"/>
      <c r="D1007" s="9"/>
      <c r="E1007" s="9"/>
      <c r="F1007" s="9"/>
      <c r="G1007" s="9"/>
      <c r="H1007" s="223"/>
      <c r="I1007" s="9"/>
      <c r="J1007" s="9"/>
      <c r="K1007" s="9"/>
      <c r="L1007" s="9"/>
      <c r="M1007" s="9"/>
      <c r="N1007" s="9"/>
      <c r="O1007" s="9"/>
      <c r="P1007" s="9"/>
      <c r="Q1007" s="223"/>
      <c r="R1007" s="9"/>
      <c r="S1007" s="9"/>
      <c r="T1007" s="9"/>
      <c r="U1007" s="9"/>
      <c r="V1007" s="9"/>
      <c r="W1007" s="971"/>
      <c r="X1007" s="9"/>
      <c r="Y1007" s="9"/>
      <c r="Z1007" s="204"/>
      <c r="AA1007" s="9"/>
      <c r="AB1007" s="9"/>
      <c r="AC1007" s="9"/>
      <c r="AD1007" s="9"/>
    </row>
    <row r="1008" ht="15.75" customHeight="1">
      <c r="A1008" s="9"/>
      <c r="B1008" s="9"/>
      <c r="C1008" s="9"/>
      <c r="D1008" s="9"/>
      <c r="E1008" s="9"/>
      <c r="F1008" s="9"/>
      <c r="G1008" s="9"/>
      <c r="H1008" s="223"/>
      <c r="I1008" s="9"/>
      <c r="J1008" s="9"/>
      <c r="K1008" s="9"/>
      <c r="L1008" s="9"/>
      <c r="M1008" s="9"/>
      <c r="N1008" s="9"/>
      <c r="O1008" s="9"/>
      <c r="P1008" s="9"/>
      <c r="Q1008" s="223"/>
      <c r="R1008" s="9"/>
      <c r="S1008" s="9"/>
      <c r="T1008" s="9"/>
      <c r="U1008" s="9"/>
      <c r="V1008" s="9"/>
      <c r="W1008" s="971"/>
      <c r="X1008" s="9"/>
      <c r="Y1008" s="9"/>
      <c r="Z1008" s="204"/>
      <c r="AA1008" s="9"/>
      <c r="AB1008" s="9"/>
      <c r="AC1008" s="9"/>
      <c r="AD1008" s="9"/>
    </row>
    <row r="1009" ht="15.75" customHeight="1">
      <c r="A1009" s="9"/>
      <c r="B1009" s="9"/>
      <c r="C1009" s="9"/>
      <c r="D1009" s="9"/>
      <c r="E1009" s="9"/>
      <c r="F1009" s="9"/>
      <c r="G1009" s="9"/>
      <c r="H1009" s="223"/>
      <c r="I1009" s="9"/>
      <c r="J1009" s="9"/>
      <c r="K1009" s="9"/>
      <c r="L1009" s="9"/>
      <c r="M1009" s="9"/>
      <c r="N1009" s="9"/>
      <c r="O1009" s="9"/>
      <c r="P1009" s="9"/>
      <c r="Q1009" s="223"/>
      <c r="R1009" s="9"/>
      <c r="S1009" s="9"/>
      <c r="T1009" s="9"/>
      <c r="U1009" s="9"/>
      <c r="V1009" s="9"/>
      <c r="W1009" s="971"/>
      <c r="X1009" s="9"/>
      <c r="Y1009" s="9"/>
      <c r="Z1009" s="204"/>
      <c r="AA1009" s="9"/>
      <c r="AB1009" s="9"/>
      <c r="AC1009" s="9"/>
      <c r="AD1009" s="9"/>
    </row>
    <row r="1010" ht="15.75" customHeight="1">
      <c r="A1010" s="9"/>
      <c r="B1010" s="9"/>
      <c r="C1010" s="9"/>
      <c r="D1010" s="9"/>
      <c r="E1010" s="9"/>
      <c r="F1010" s="9"/>
      <c r="G1010" s="9"/>
      <c r="H1010" s="223"/>
      <c r="I1010" s="9"/>
      <c r="J1010" s="9"/>
      <c r="K1010" s="9"/>
      <c r="L1010" s="9"/>
      <c r="M1010" s="9"/>
      <c r="N1010" s="9"/>
      <c r="O1010" s="9"/>
      <c r="P1010" s="9"/>
      <c r="Q1010" s="223"/>
      <c r="R1010" s="9"/>
      <c r="S1010" s="9"/>
      <c r="T1010" s="9"/>
      <c r="U1010" s="9"/>
      <c r="V1010" s="9"/>
      <c r="W1010" s="971"/>
      <c r="X1010" s="9"/>
      <c r="Y1010" s="9"/>
      <c r="Z1010" s="204"/>
      <c r="AA1010" s="9"/>
      <c r="AB1010" s="9"/>
      <c r="AC1010" s="9"/>
      <c r="AD1010" s="9"/>
    </row>
    <row r="1011" ht="15.75" customHeight="1">
      <c r="A1011" s="9"/>
      <c r="B1011" s="9"/>
      <c r="C1011" s="9"/>
      <c r="D1011" s="9"/>
      <c r="E1011" s="9"/>
      <c r="F1011" s="9"/>
      <c r="G1011" s="9"/>
      <c r="H1011" s="223"/>
      <c r="I1011" s="9"/>
      <c r="J1011" s="9"/>
      <c r="K1011" s="9"/>
      <c r="L1011" s="9"/>
      <c r="M1011" s="9"/>
      <c r="N1011" s="9"/>
      <c r="O1011" s="9"/>
      <c r="P1011" s="9"/>
      <c r="Q1011" s="223"/>
      <c r="R1011" s="9"/>
      <c r="S1011" s="9"/>
      <c r="T1011" s="9"/>
      <c r="U1011" s="9"/>
      <c r="V1011" s="9"/>
      <c r="W1011" s="971"/>
      <c r="X1011" s="9"/>
      <c r="Y1011" s="9"/>
      <c r="Z1011" s="204"/>
      <c r="AA1011" s="9"/>
      <c r="AB1011" s="9"/>
      <c r="AC1011" s="9"/>
      <c r="AD1011" s="9"/>
    </row>
    <row r="1012" ht="15.75" customHeight="1">
      <c r="A1012" s="9"/>
      <c r="B1012" s="9"/>
      <c r="C1012" s="9"/>
      <c r="D1012" s="9"/>
      <c r="E1012" s="9"/>
      <c r="F1012" s="9"/>
      <c r="G1012" s="9"/>
      <c r="H1012" s="223"/>
      <c r="I1012" s="9"/>
      <c r="J1012" s="9"/>
      <c r="K1012" s="9"/>
      <c r="L1012" s="9"/>
      <c r="M1012" s="9"/>
      <c r="N1012" s="9"/>
      <c r="O1012" s="9"/>
      <c r="P1012" s="9"/>
      <c r="Q1012" s="223"/>
      <c r="R1012" s="9"/>
      <c r="S1012" s="9"/>
      <c r="T1012" s="9"/>
      <c r="U1012" s="9"/>
      <c r="V1012" s="9"/>
      <c r="W1012" s="971"/>
      <c r="X1012" s="9"/>
      <c r="Y1012" s="9"/>
      <c r="Z1012" s="204"/>
      <c r="AA1012" s="9"/>
      <c r="AB1012" s="9"/>
      <c r="AC1012" s="9"/>
      <c r="AD1012" s="9"/>
    </row>
    <row r="1013" ht="15.75" customHeight="1">
      <c r="A1013" s="9"/>
      <c r="B1013" s="9"/>
      <c r="C1013" s="9"/>
      <c r="D1013" s="9"/>
      <c r="E1013" s="9"/>
      <c r="F1013" s="9"/>
      <c r="G1013" s="9"/>
      <c r="H1013" s="223"/>
      <c r="I1013" s="9"/>
      <c r="J1013" s="9"/>
      <c r="K1013" s="9"/>
      <c r="L1013" s="9"/>
      <c r="M1013" s="9"/>
      <c r="N1013" s="9"/>
      <c r="O1013" s="9"/>
      <c r="P1013" s="9"/>
      <c r="Q1013" s="223"/>
      <c r="R1013" s="9"/>
      <c r="S1013" s="9"/>
      <c r="T1013" s="9"/>
      <c r="U1013" s="9"/>
      <c r="V1013" s="9"/>
      <c r="W1013" s="971"/>
      <c r="X1013" s="9"/>
      <c r="Y1013" s="9"/>
      <c r="Z1013" s="204"/>
      <c r="AA1013" s="9"/>
      <c r="AB1013" s="9"/>
      <c r="AC1013" s="9"/>
      <c r="AD1013" s="9"/>
    </row>
    <row r="1014" ht="15.75" customHeight="1">
      <c r="A1014" s="9"/>
      <c r="B1014" s="9"/>
      <c r="C1014" s="9"/>
      <c r="D1014" s="9"/>
      <c r="E1014" s="9"/>
      <c r="F1014" s="9"/>
      <c r="G1014" s="9"/>
      <c r="H1014" s="223"/>
      <c r="I1014" s="9"/>
      <c r="J1014" s="9"/>
      <c r="K1014" s="9"/>
      <c r="L1014" s="9"/>
      <c r="M1014" s="9"/>
      <c r="N1014" s="9"/>
      <c r="O1014" s="9"/>
      <c r="P1014" s="9"/>
      <c r="Q1014" s="223"/>
      <c r="R1014" s="9"/>
      <c r="S1014" s="9"/>
      <c r="T1014" s="9"/>
      <c r="U1014" s="9"/>
      <c r="V1014" s="9"/>
      <c r="W1014" s="971"/>
      <c r="X1014" s="9"/>
      <c r="Y1014" s="9"/>
      <c r="Z1014" s="204"/>
      <c r="AA1014" s="9"/>
      <c r="AB1014" s="9"/>
      <c r="AC1014" s="9"/>
      <c r="AD1014" s="9"/>
    </row>
    <row r="1015" ht="15.75" customHeight="1">
      <c r="A1015" s="9"/>
      <c r="B1015" s="9"/>
      <c r="C1015" s="9"/>
      <c r="D1015" s="9"/>
      <c r="E1015" s="9"/>
      <c r="F1015" s="9"/>
      <c r="G1015" s="9"/>
      <c r="H1015" s="223"/>
      <c r="I1015" s="9"/>
      <c r="J1015" s="9"/>
      <c r="K1015" s="9"/>
      <c r="L1015" s="9"/>
      <c r="M1015" s="9"/>
      <c r="N1015" s="9"/>
      <c r="O1015" s="9"/>
      <c r="P1015" s="9"/>
      <c r="Q1015" s="223"/>
      <c r="R1015" s="9"/>
      <c r="S1015" s="9"/>
      <c r="T1015" s="9"/>
      <c r="U1015" s="9"/>
      <c r="V1015" s="9"/>
      <c r="W1015" s="971"/>
      <c r="X1015" s="9"/>
      <c r="Y1015" s="9"/>
      <c r="Z1015" s="204"/>
      <c r="AA1015" s="9"/>
      <c r="AB1015" s="9"/>
      <c r="AC1015" s="9"/>
      <c r="AD1015" s="9"/>
    </row>
    <row r="1016" ht="15.75" customHeight="1">
      <c r="A1016" s="9"/>
      <c r="B1016" s="9"/>
      <c r="C1016" s="9"/>
      <c r="D1016" s="9"/>
      <c r="E1016" s="9"/>
      <c r="F1016" s="9"/>
      <c r="G1016" s="9"/>
      <c r="H1016" s="223"/>
      <c r="I1016" s="9"/>
      <c r="J1016" s="9"/>
      <c r="K1016" s="9"/>
      <c r="L1016" s="9"/>
      <c r="M1016" s="9"/>
      <c r="N1016" s="9"/>
      <c r="O1016" s="9"/>
      <c r="P1016" s="9"/>
      <c r="Q1016" s="223"/>
      <c r="R1016" s="9"/>
      <c r="S1016" s="9"/>
      <c r="T1016" s="9"/>
      <c r="U1016" s="9"/>
      <c r="V1016" s="9"/>
      <c r="W1016" s="971"/>
      <c r="X1016" s="9"/>
      <c r="Y1016" s="9"/>
      <c r="Z1016" s="204"/>
      <c r="AA1016" s="9"/>
      <c r="AB1016" s="9"/>
      <c r="AC1016" s="9"/>
      <c r="AD1016" s="9"/>
    </row>
    <row r="1017" ht="15.75" customHeight="1">
      <c r="A1017" s="9"/>
      <c r="B1017" s="9"/>
      <c r="C1017" s="9"/>
      <c r="D1017" s="9"/>
      <c r="E1017" s="9"/>
      <c r="F1017" s="9"/>
      <c r="G1017" s="9"/>
      <c r="H1017" s="223"/>
      <c r="I1017" s="9"/>
      <c r="J1017" s="9"/>
      <c r="K1017" s="9"/>
      <c r="L1017" s="9"/>
      <c r="M1017" s="9"/>
      <c r="N1017" s="9"/>
      <c r="O1017" s="9"/>
      <c r="P1017" s="9"/>
      <c r="Q1017" s="223"/>
      <c r="R1017" s="9"/>
      <c r="S1017" s="9"/>
      <c r="T1017" s="9"/>
      <c r="U1017" s="9"/>
      <c r="V1017" s="9"/>
      <c r="W1017" s="971"/>
      <c r="X1017" s="9"/>
      <c r="Y1017" s="9"/>
      <c r="Z1017" s="204"/>
      <c r="AA1017" s="9"/>
      <c r="AB1017" s="9"/>
      <c r="AC1017" s="9"/>
      <c r="AD1017" s="9"/>
    </row>
    <row r="1018" ht="15.75" customHeight="1">
      <c r="A1018" s="9"/>
      <c r="B1018" s="9"/>
      <c r="C1018" s="9"/>
      <c r="D1018" s="9"/>
      <c r="E1018" s="9"/>
      <c r="F1018" s="9"/>
      <c r="G1018" s="9"/>
      <c r="H1018" s="223"/>
      <c r="I1018" s="9"/>
      <c r="J1018" s="9"/>
      <c r="K1018" s="9"/>
      <c r="L1018" s="9"/>
      <c r="M1018" s="9"/>
      <c r="N1018" s="9"/>
      <c r="O1018" s="9"/>
      <c r="P1018" s="9"/>
      <c r="Q1018" s="223"/>
      <c r="R1018" s="9"/>
      <c r="S1018" s="9"/>
      <c r="T1018" s="9"/>
      <c r="U1018" s="9"/>
      <c r="V1018" s="9"/>
      <c r="W1018" s="971"/>
      <c r="X1018" s="9"/>
      <c r="Y1018" s="9"/>
      <c r="Z1018" s="204"/>
      <c r="AA1018" s="9"/>
      <c r="AB1018" s="9"/>
      <c r="AC1018" s="9"/>
      <c r="AD1018" s="9"/>
    </row>
    <row r="1019" ht="15.75" customHeight="1">
      <c r="A1019" s="9"/>
      <c r="B1019" s="9"/>
      <c r="C1019" s="9"/>
      <c r="D1019" s="9"/>
      <c r="E1019" s="9"/>
      <c r="F1019" s="9"/>
      <c r="G1019" s="9"/>
      <c r="H1019" s="223"/>
      <c r="I1019" s="9"/>
      <c r="J1019" s="9"/>
      <c r="K1019" s="9"/>
      <c r="L1019" s="9"/>
      <c r="M1019" s="9"/>
      <c r="N1019" s="9"/>
      <c r="O1019" s="9"/>
      <c r="P1019" s="9"/>
      <c r="Q1019" s="223"/>
      <c r="R1019" s="9"/>
      <c r="S1019" s="9"/>
      <c r="T1019" s="9"/>
      <c r="U1019" s="9"/>
      <c r="V1019" s="9"/>
      <c r="W1019" s="971"/>
      <c r="X1019" s="9"/>
      <c r="Y1019" s="9"/>
      <c r="Z1019" s="204"/>
      <c r="AA1019" s="9"/>
      <c r="AB1019" s="9"/>
      <c r="AC1019" s="9"/>
      <c r="AD1019" s="9"/>
    </row>
    <row r="1020" ht="15.75" customHeight="1">
      <c r="A1020" s="9"/>
      <c r="B1020" s="9"/>
      <c r="C1020" s="9"/>
      <c r="D1020" s="9"/>
      <c r="E1020" s="9"/>
      <c r="F1020" s="9"/>
      <c r="G1020" s="9"/>
      <c r="H1020" s="223"/>
      <c r="I1020" s="9"/>
      <c r="J1020" s="9"/>
      <c r="K1020" s="9"/>
      <c r="L1020" s="9"/>
      <c r="M1020" s="9"/>
      <c r="N1020" s="9"/>
      <c r="O1020" s="9"/>
      <c r="P1020" s="9"/>
      <c r="Q1020" s="223"/>
      <c r="R1020" s="9"/>
      <c r="S1020" s="9"/>
      <c r="T1020" s="9"/>
      <c r="U1020" s="9"/>
      <c r="V1020" s="9"/>
      <c r="W1020" s="971"/>
      <c r="X1020" s="9"/>
      <c r="Y1020" s="9"/>
      <c r="Z1020" s="204"/>
      <c r="AA1020" s="9"/>
      <c r="AB1020" s="9"/>
      <c r="AC1020" s="9"/>
      <c r="AD1020" s="9"/>
    </row>
    <row r="1021" ht="15.75" customHeight="1">
      <c r="A1021" s="9"/>
      <c r="B1021" s="9"/>
      <c r="C1021" s="9"/>
      <c r="D1021" s="9"/>
      <c r="E1021" s="9"/>
      <c r="F1021" s="9"/>
      <c r="G1021" s="9"/>
      <c r="H1021" s="223"/>
      <c r="I1021" s="9"/>
      <c r="J1021" s="9"/>
      <c r="K1021" s="9"/>
      <c r="L1021" s="9"/>
      <c r="M1021" s="9"/>
      <c r="N1021" s="9"/>
      <c r="O1021" s="9"/>
      <c r="P1021" s="9"/>
      <c r="Q1021" s="223"/>
      <c r="R1021" s="9"/>
      <c r="S1021" s="9"/>
      <c r="T1021" s="9"/>
      <c r="U1021" s="9"/>
      <c r="V1021" s="9"/>
      <c r="W1021" s="971"/>
      <c r="X1021" s="9"/>
      <c r="Y1021" s="9"/>
      <c r="Z1021" s="204"/>
      <c r="AA1021" s="9"/>
      <c r="AB1021" s="9"/>
      <c r="AC1021" s="9"/>
      <c r="AD1021" s="9"/>
    </row>
    <row r="1022" ht="15.75" customHeight="1">
      <c r="A1022" s="9"/>
      <c r="B1022" s="9"/>
      <c r="C1022" s="9"/>
      <c r="D1022" s="9"/>
      <c r="E1022" s="9"/>
      <c r="F1022" s="9"/>
      <c r="G1022" s="9"/>
      <c r="H1022" s="223"/>
      <c r="I1022" s="9"/>
      <c r="J1022" s="9"/>
      <c r="K1022" s="9"/>
      <c r="L1022" s="9"/>
      <c r="M1022" s="9"/>
      <c r="N1022" s="9"/>
      <c r="O1022" s="9"/>
      <c r="P1022" s="9"/>
      <c r="Q1022" s="223"/>
      <c r="R1022" s="9"/>
      <c r="S1022" s="9"/>
      <c r="T1022" s="9"/>
      <c r="U1022" s="9"/>
      <c r="V1022" s="9"/>
      <c r="W1022" s="971"/>
      <c r="X1022" s="9"/>
      <c r="Y1022" s="9"/>
      <c r="Z1022" s="204"/>
      <c r="AA1022" s="9"/>
      <c r="AB1022" s="9"/>
      <c r="AC1022" s="9"/>
      <c r="AD1022" s="9"/>
    </row>
    <row r="1023" ht="15.75" customHeight="1">
      <c r="A1023" s="9"/>
      <c r="B1023" s="9"/>
      <c r="C1023" s="9"/>
      <c r="D1023" s="9"/>
      <c r="E1023" s="9"/>
      <c r="F1023" s="9"/>
      <c r="G1023" s="9"/>
      <c r="H1023" s="223"/>
      <c r="I1023" s="9"/>
      <c r="J1023" s="9"/>
      <c r="K1023" s="9"/>
      <c r="L1023" s="9"/>
      <c r="M1023" s="9"/>
      <c r="N1023" s="9"/>
      <c r="O1023" s="9"/>
      <c r="P1023" s="9"/>
      <c r="Q1023" s="223"/>
      <c r="R1023" s="9"/>
      <c r="S1023" s="9"/>
      <c r="T1023" s="9"/>
      <c r="U1023" s="9"/>
      <c r="V1023" s="9"/>
      <c r="W1023" s="971"/>
      <c r="X1023" s="9"/>
      <c r="Y1023" s="9"/>
      <c r="Z1023" s="204"/>
      <c r="AA1023" s="9"/>
      <c r="AB1023" s="9"/>
      <c r="AC1023" s="9"/>
      <c r="AD1023" s="9"/>
    </row>
    <row r="1024" ht="15.75" customHeight="1">
      <c r="A1024" s="9"/>
      <c r="B1024" s="9"/>
      <c r="C1024" s="9"/>
      <c r="D1024" s="9"/>
      <c r="E1024" s="9"/>
      <c r="F1024" s="9"/>
      <c r="G1024" s="9"/>
      <c r="H1024" s="223"/>
      <c r="I1024" s="9"/>
      <c r="J1024" s="9"/>
      <c r="K1024" s="9"/>
      <c r="L1024" s="9"/>
      <c r="M1024" s="9"/>
      <c r="N1024" s="9"/>
      <c r="O1024" s="9"/>
      <c r="P1024" s="9"/>
      <c r="Q1024" s="223"/>
      <c r="R1024" s="9"/>
      <c r="S1024" s="9"/>
      <c r="T1024" s="9"/>
      <c r="U1024" s="9"/>
      <c r="V1024" s="9"/>
      <c r="W1024" s="971"/>
      <c r="X1024" s="9"/>
      <c r="Y1024" s="9"/>
      <c r="Z1024" s="204"/>
      <c r="AA1024" s="9"/>
      <c r="AB1024" s="9"/>
      <c r="AC1024" s="9"/>
      <c r="AD1024" s="9"/>
    </row>
    <row r="1025" ht="15.75" customHeight="1">
      <c r="A1025" s="9"/>
      <c r="B1025" s="9"/>
      <c r="C1025" s="9"/>
      <c r="D1025" s="9"/>
      <c r="E1025" s="9"/>
      <c r="F1025" s="9"/>
      <c r="G1025" s="9"/>
      <c r="H1025" s="223"/>
      <c r="I1025" s="9"/>
      <c r="J1025" s="9"/>
      <c r="K1025" s="9"/>
      <c r="L1025" s="9"/>
      <c r="M1025" s="9"/>
      <c r="N1025" s="9"/>
      <c r="O1025" s="9"/>
      <c r="P1025" s="9"/>
      <c r="Q1025" s="223"/>
      <c r="R1025" s="9"/>
      <c r="S1025" s="9"/>
      <c r="T1025" s="9"/>
      <c r="U1025" s="9"/>
      <c r="V1025" s="9"/>
      <c r="W1025" s="971"/>
      <c r="X1025" s="9"/>
      <c r="Y1025" s="9"/>
      <c r="Z1025" s="204"/>
      <c r="AA1025" s="9"/>
      <c r="AB1025" s="9"/>
      <c r="AC1025" s="9"/>
      <c r="AD1025" s="9"/>
    </row>
    <row r="1026" ht="15.75" customHeight="1">
      <c r="A1026" s="9"/>
      <c r="B1026" s="9"/>
      <c r="C1026" s="9"/>
      <c r="D1026" s="9"/>
      <c r="E1026" s="9"/>
      <c r="F1026" s="9"/>
      <c r="G1026" s="9"/>
      <c r="H1026" s="223"/>
      <c r="I1026" s="9"/>
      <c r="J1026" s="9"/>
      <c r="K1026" s="9"/>
      <c r="L1026" s="9"/>
      <c r="M1026" s="9"/>
      <c r="N1026" s="9"/>
      <c r="O1026" s="9"/>
      <c r="P1026" s="9"/>
      <c r="Q1026" s="223"/>
      <c r="R1026" s="9"/>
      <c r="S1026" s="9"/>
      <c r="T1026" s="9"/>
      <c r="U1026" s="9"/>
      <c r="V1026" s="9"/>
      <c r="W1026" s="971"/>
      <c r="X1026" s="9"/>
      <c r="Y1026" s="9"/>
      <c r="Z1026" s="204"/>
      <c r="AA1026" s="9"/>
      <c r="AB1026" s="9"/>
      <c r="AC1026" s="9"/>
      <c r="AD1026" s="9"/>
    </row>
    <row r="1027" ht="15.75" customHeight="1">
      <c r="A1027" s="9"/>
      <c r="B1027" s="9"/>
      <c r="C1027" s="9"/>
      <c r="D1027" s="9"/>
      <c r="E1027" s="9"/>
      <c r="F1027" s="9"/>
      <c r="G1027" s="9"/>
      <c r="H1027" s="223"/>
      <c r="I1027" s="9"/>
      <c r="J1027" s="9"/>
      <c r="K1027" s="9"/>
      <c r="L1027" s="9"/>
      <c r="M1027" s="9"/>
      <c r="N1027" s="9"/>
      <c r="O1027" s="9"/>
      <c r="P1027" s="9"/>
      <c r="Q1027" s="223"/>
      <c r="R1027" s="9"/>
      <c r="S1027" s="9"/>
      <c r="T1027" s="9"/>
      <c r="U1027" s="9"/>
      <c r="V1027" s="9"/>
      <c r="W1027" s="971"/>
      <c r="X1027" s="9"/>
      <c r="Y1027" s="9"/>
      <c r="Z1027" s="204"/>
      <c r="AA1027" s="9"/>
      <c r="AB1027" s="9"/>
      <c r="AC1027" s="9"/>
      <c r="AD1027" s="9"/>
    </row>
    <row r="1028" ht="15.75" customHeight="1">
      <c r="A1028" s="9"/>
      <c r="B1028" s="9"/>
      <c r="C1028" s="9"/>
      <c r="D1028" s="9"/>
      <c r="E1028" s="9"/>
      <c r="F1028" s="9"/>
      <c r="G1028" s="9"/>
      <c r="H1028" s="223"/>
      <c r="I1028" s="9"/>
      <c r="J1028" s="9"/>
      <c r="K1028" s="9"/>
      <c r="L1028" s="9"/>
      <c r="M1028" s="9"/>
      <c r="N1028" s="9"/>
      <c r="O1028" s="9"/>
      <c r="P1028" s="9"/>
      <c r="Q1028" s="223"/>
      <c r="R1028" s="9"/>
      <c r="S1028" s="9"/>
      <c r="T1028" s="9"/>
      <c r="U1028" s="9"/>
      <c r="V1028" s="9"/>
      <c r="W1028" s="971"/>
      <c r="X1028" s="9"/>
      <c r="Y1028" s="9"/>
      <c r="Z1028" s="204"/>
      <c r="AA1028" s="9"/>
      <c r="AB1028" s="9"/>
      <c r="AC1028" s="9"/>
      <c r="AD1028" s="9"/>
    </row>
    <row r="1029" ht="15.75" customHeight="1">
      <c r="A1029" s="9"/>
      <c r="B1029" s="9"/>
      <c r="C1029" s="9"/>
      <c r="D1029" s="9"/>
      <c r="E1029" s="9"/>
      <c r="F1029" s="9"/>
      <c r="G1029" s="9"/>
      <c r="H1029" s="223"/>
      <c r="I1029" s="9"/>
      <c r="J1029" s="9"/>
      <c r="K1029" s="9"/>
      <c r="L1029" s="9"/>
      <c r="M1029" s="9"/>
      <c r="N1029" s="9"/>
      <c r="O1029" s="9"/>
      <c r="P1029" s="9"/>
      <c r="Q1029" s="223"/>
      <c r="R1029" s="9"/>
      <c r="S1029" s="9"/>
      <c r="T1029" s="9"/>
      <c r="U1029" s="9"/>
      <c r="V1029" s="9"/>
      <c r="W1029" s="971"/>
      <c r="X1029" s="9"/>
      <c r="Y1029" s="9"/>
      <c r="Z1029" s="204"/>
      <c r="AA1029" s="9"/>
      <c r="AB1029" s="9"/>
      <c r="AC1029" s="9"/>
      <c r="AD1029" s="9"/>
    </row>
    <row r="1030" ht="15.75" customHeight="1">
      <c r="A1030" s="9"/>
      <c r="B1030" s="9"/>
      <c r="C1030" s="9"/>
      <c r="D1030" s="9"/>
      <c r="E1030" s="9"/>
      <c r="F1030" s="9"/>
      <c r="G1030" s="9"/>
      <c r="H1030" s="223"/>
      <c r="I1030" s="9"/>
      <c r="J1030" s="9"/>
      <c r="K1030" s="9"/>
      <c r="L1030" s="9"/>
      <c r="M1030" s="9"/>
      <c r="N1030" s="9"/>
      <c r="O1030" s="9"/>
      <c r="P1030" s="9"/>
      <c r="Q1030" s="223"/>
      <c r="R1030" s="9"/>
      <c r="S1030" s="9"/>
      <c r="T1030" s="9"/>
      <c r="U1030" s="9"/>
      <c r="V1030" s="9"/>
      <c r="W1030" s="971"/>
      <c r="X1030" s="9"/>
      <c r="Y1030" s="9"/>
      <c r="Z1030" s="204"/>
      <c r="AA1030" s="9"/>
      <c r="AB1030" s="9"/>
      <c r="AC1030" s="9"/>
      <c r="AD1030" s="9"/>
    </row>
    <row r="1031" ht="15.75" customHeight="1">
      <c r="A1031" s="9"/>
      <c r="B1031" s="9"/>
      <c r="C1031" s="9"/>
      <c r="D1031" s="9"/>
      <c r="E1031" s="9"/>
      <c r="F1031" s="9"/>
      <c r="G1031" s="9"/>
      <c r="H1031" s="223"/>
      <c r="I1031" s="9"/>
      <c r="J1031" s="9"/>
      <c r="K1031" s="9"/>
      <c r="L1031" s="9"/>
      <c r="M1031" s="9"/>
      <c r="N1031" s="9"/>
      <c r="O1031" s="9"/>
      <c r="P1031" s="9"/>
      <c r="Q1031" s="223"/>
      <c r="R1031" s="9"/>
      <c r="S1031" s="9"/>
      <c r="T1031" s="9"/>
      <c r="U1031" s="9"/>
      <c r="V1031" s="9"/>
      <c r="W1031" s="971"/>
      <c r="X1031" s="9"/>
      <c r="Y1031" s="9"/>
      <c r="Z1031" s="204"/>
      <c r="AA1031" s="9"/>
      <c r="AB1031" s="9"/>
      <c r="AC1031" s="9"/>
      <c r="AD1031" s="9"/>
    </row>
    <row r="1032" ht="15.75" customHeight="1">
      <c r="A1032" s="9"/>
      <c r="B1032" s="9"/>
      <c r="C1032" s="9"/>
      <c r="D1032" s="9"/>
      <c r="E1032" s="9"/>
      <c r="F1032" s="9"/>
      <c r="G1032" s="9"/>
      <c r="H1032" s="223"/>
      <c r="I1032" s="9"/>
      <c r="J1032" s="9"/>
      <c r="K1032" s="9"/>
      <c r="L1032" s="9"/>
      <c r="M1032" s="9"/>
      <c r="N1032" s="9"/>
      <c r="O1032" s="9"/>
      <c r="P1032" s="9"/>
      <c r="Q1032" s="223"/>
      <c r="R1032" s="9"/>
      <c r="S1032" s="9"/>
      <c r="T1032" s="9"/>
      <c r="U1032" s="9"/>
      <c r="V1032" s="9"/>
      <c r="W1032" s="971"/>
      <c r="X1032" s="9"/>
      <c r="Y1032" s="9"/>
      <c r="Z1032" s="204"/>
      <c r="AA1032" s="9"/>
      <c r="AB1032" s="9"/>
      <c r="AC1032" s="9"/>
      <c r="AD1032" s="9"/>
    </row>
    <row r="1033" ht="15.75" customHeight="1">
      <c r="A1033" s="9"/>
      <c r="B1033" s="9"/>
      <c r="C1033" s="9"/>
      <c r="D1033" s="9"/>
      <c r="E1033" s="9"/>
      <c r="F1033" s="9"/>
      <c r="G1033" s="9"/>
      <c r="H1033" s="223"/>
      <c r="I1033" s="9"/>
      <c r="J1033" s="9"/>
      <c r="K1033" s="9"/>
      <c r="L1033" s="9"/>
      <c r="M1033" s="9"/>
      <c r="N1033" s="9"/>
      <c r="O1033" s="9"/>
      <c r="P1033" s="9"/>
      <c r="Q1033" s="223"/>
      <c r="R1033" s="9"/>
      <c r="S1033" s="9"/>
      <c r="T1033" s="9"/>
      <c r="U1033" s="9"/>
      <c r="V1033" s="9"/>
      <c r="W1033" s="971"/>
      <c r="X1033" s="9"/>
      <c r="Y1033" s="9"/>
      <c r="Z1033" s="204"/>
      <c r="AA1033" s="9"/>
      <c r="AB1033" s="9"/>
      <c r="AC1033" s="9"/>
      <c r="AD1033" s="9"/>
    </row>
    <row r="1034" ht="15.75" customHeight="1">
      <c r="A1034" s="9"/>
      <c r="B1034" s="9"/>
      <c r="C1034" s="9"/>
      <c r="D1034" s="9"/>
      <c r="E1034" s="9"/>
      <c r="F1034" s="9"/>
      <c r="G1034" s="9"/>
      <c r="H1034" s="223"/>
      <c r="I1034" s="9"/>
      <c r="J1034" s="9"/>
      <c r="K1034" s="9"/>
      <c r="L1034" s="9"/>
      <c r="M1034" s="9"/>
      <c r="N1034" s="9"/>
      <c r="O1034" s="9"/>
      <c r="P1034" s="9"/>
      <c r="Q1034" s="223"/>
      <c r="R1034" s="9"/>
      <c r="S1034" s="9"/>
      <c r="T1034" s="9"/>
      <c r="U1034" s="9"/>
      <c r="V1034" s="9"/>
      <c r="W1034" s="971"/>
      <c r="X1034" s="9"/>
      <c r="Y1034" s="9"/>
      <c r="Z1034" s="204"/>
      <c r="AA1034" s="9"/>
      <c r="AB1034" s="9"/>
      <c r="AC1034" s="9"/>
      <c r="AD1034" s="9"/>
    </row>
    <row r="1035" ht="15.75" customHeight="1">
      <c r="A1035" s="9"/>
      <c r="B1035" s="9"/>
      <c r="C1035" s="9"/>
      <c r="D1035" s="9"/>
      <c r="E1035" s="9"/>
      <c r="F1035" s="9"/>
      <c r="G1035" s="9"/>
      <c r="H1035" s="223"/>
      <c r="I1035" s="9"/>
      <c r="J1035" s="9"/>
      <c r="K1035" s="9"/>
      <c r="L1035" s="9"/>
      <c r="M1035" s="9"/>
      <c r="N1035" s="9"/>
      <c r="O1035" s="9"/>
      <c r="P1035" s="9"/>
      <c r="Q1035" s="223"/>
      <c r="R1035" s="9"/>
      <c r="S1035" s="9"/>
      <c r="T1035" s="9"/>
      <c r="U1035" s="9"/>
      <c r="V1035" s="9"/>
      <c r="W1035" s="971"/>
      <c r="X1035" s="9"/>
      <c r="Y1035" s="9"/>
      <c r="Z1035" s="204"/>
      <c r="AA1035" s="9"/>
      <c r="AB1035" s="9"/>
      <c r="AC1035" s="9"/>
      <c r="AD1035" s="9"/>
    </row>
    <row r="1036" ht="15.75" customHeight="1">
      <c r="A1036" s="9"/>
      <c r="B1036" s="9"/>
      <c r="C1036" s="9"/>
      <c r="D1036" s="9"/>
      <c r="E1036" s="9"/>
      <c r="F1036" s="9"/>
      <c r="G1036" s="9"/>
      <c r="H1036" s="223"/>
      <c r="I1036" s="9"/>
      <c r="J1036" s="9"/>
      <c r="K1036" s="9"/>
      <c r="L1036" s="9"/>
      <c r="M1036" s="9"/>
      <c r="N1036" s="9"/>
      <c r="O1036" s="9"/>
      <c r="P1036" s="9"/>
      <c r="Q1036" s="223"/>
      <c r="R1036" s="9"/>
      <c r="S1036" s="9"/>
      <c r="T1036" s="9"/>
      <c r="U1036" s="9"/>
      <c r="V1036" s="9"/>
      <c r="W1036" s="971"/>
      <c r="X1036" s="9"/>
      <c r="Y1036" s="9"/>
      <c r="Z1036" s="204"/>
      <c r="AA1036" s="9"/>
      <c r="AB1036" s="9"/>
      <c r="AC1036" s="9"/>
      <c r="AD1036" s="9"/>
    </row>
    <row r="1037" ht="15.75" customHeight="1">
      <c r="A1037" s="9"/>
      <c r="B1037" s="9"/>
      <c r="C1037" s="9"/>
      <c r="D1037" s="9"/>
      <c r="E1037" s="9"/>
      <c r="F1037" s="9"/>
      <c r="G1037" s="9"/>
      <c r="H1037" s="223"/>
      <c r="I1037" s="9"/>
      <c r="J1037" s="9"/>
      <c r="K1037" s="9"/>
      <c r="L1037" s="9"/>
      <c r="M1037" s="9"/>
      <c r="N1037" s="9"/>
      <c r="O1037" s="9"/>
      <c r="P1037" s="9"/>
      <c r="Q1037" s="223"/>
      <c r="R1037" s="9"/>
      <c r="S1037" s="9"/>
      <c r="T1037" s="9"/>
      <c r="U1037" s="9"/>
      <c r="V1037" s="9"/>
      <c r="W1037" s="971"/>
      <c r="X1037" s="9"/>
      <c r="Y1037" s="9"/>
      <c r="Z1037" s="204"/>
      <c r="AA1037" s="9"/>
      <c r="AB1037" s="9"/>
      <c r="AC1037" s="9"/>
      <c r="AD1037" s="9"/>
    </row>
    <row r="1038" ht="15.75" customHeight="1">
      <c r="A1038" s="9"/>
      <c r="B1038" s="9"/>
      <c r="C1038" s="9"/>
      <c r="D1038" s="9"/>
      <c r="E1038" s="9"/>
      <c r="F1038" s="9"/>
      <c r="G1038" s="9"/>
      <c r="H1038" s="223"/>
      <c r="I1038" s="9"/>
      <c r="J1038" s="9"/>
      <c r="K1038" s="9"/>
      <c r="L1038" s="9"/>
      <c r="M1038" s="9"/>
      <c r="N1038" s="9"/>
      <c r="O1038" s="9"/>
      <c r="P1038" s="9"/>
      <c r="Q1038" s="223"/>
      <c r="R1038" s="9"/>
      <c r="S1038" s="9"/>
      <c r="T1038" s="9"/>
      <c r="U1038" s="9"/>
      <c r="V1038" s="9"/>
      <c r="W1038" s="971"/>
      <c r="X1038" s="9"/>
      <c r="Y1038" s="9"/>
      <c r="Z1038" s="204"/>
      <c r="AA1038" s="9"/>
      <c r="AB1038" s="9"/>
      <c r="AC1038" s="9"/>
      <c r="AD1038" s="9"/>
    </row>
    <row r="1039" ht="15.75" customHeight="1">
      <c r="A1039" s="9"/>
      <c r="B1039" s="9"/>
      <c r="C1039" s="9"/>
      <c r="D1039" s="9"/>
      <c r="E1039" s="9"/>
      <c r="F1039" s="9"/>
      <c r="G1039" s="9"/>
      <c r="H1039" s="223"/>
      <c r="I1039" s="9"/>
      <c r="J1039" s="9"/>
      <c r="K1039" s="9"/>
      <c r="L1039" s="9"/>
      <c r="M1039" s="9"/>
      <c r="N1039" s="9"/>
      <c r="O1039" s="9"/>
      <c r="P1039" s="9"/>
      <c r="Q1039" s="223"/>
      <c r="R1039" s="9"/>
      <c r="S1039" s="9"/>
      <c r="T1039" s="9"/>
      <c r="U1039" s="9"/>
      <c r="V1039" s="9"/>
      <c r="W1039" s="971"/>
      <c r="X1039" s="9"/>
      <c r="Y1039" s="9"/>
      <c r="Z1039" s="204"/>
      <c r="AA1039" s="9"/>
      <c r="AB1039" s="9"/>
      <c r="AC1039" s="9"/>
      <c r="AD1039" s="9"/>
    </row>
    <row r="1040" ht="15.75" customHeight="1">
      <c r="A1040" s="9"/>
      <c r="B1040" s="9"/>
      <c r="C1040" s="9"/>
      <c r="D1040" s="9"/>
      <c r="E1040" s="9"/>
      <c r="F1040" s="9"/>
      <c r="G1040" s="9"/>
      <c r="H1040" s="223"/>
      <c r="I1040" s="9"/>
      <c r="J1040" s="9"/>
      <c r="K1040" s="9"/>
      <c r="L1040" s="9"/>
      <c r="M1040" s="9"/>
      <c r="N1040" s="9"/>
      <c r="O1040" s="9"/>
      <c r="P1040" s="9"/>
      <c r="Q1040" s="223"/>
      <c r="R1040" s="9"/>
      <c r="S1040" s="9"/>
      <c r="T1040" s="9"/>
      <c r="U1040" s="9"/>
      <c r="V1040" s="9"/>
      <c r="W1040" s="971"/>
      <c r="X1040" s="9"/>
      <c r="Y1040" s="9"/>
      <c r="Z1040" s="204"/>
      <c r="AA1040" s="9"/>
      <c r="AB1040" s="9"/>
      <c r="AC1040" s="9"/>
      <c r="AD1040" s="9"/>
    </row>
    <row r="1041" ht="15.75" customHeight="1">
      <c r="A1041" s="9"/>
      <c r="B1041" s="9"/>
      <c r="C1041" s="9"/>
      <c r="D1041" s="9"/>
      <c r="E1041" s="9"/>
      <c r="F1041" s="9"/>
      <c r="G1041" s="9"/>
      <c r="H1041" s="223"/>
      <c r="I1041" s="9"/>
      <c r="J1041" s="9"/>
      <c r="K1041" s="9"/>
      <c r="L1041" s="9"/>
      <c r="M1041" s="9"/>
      <c r="N1041" s="9"/>
      <c r="O1041" s="9"/>
      <c r="P1041" s="9"/>
      <c r="Q1041" s="223"/>
      <c r="R1041" s="9"/>
      <c r="S1041" s="9"/>
      <c r="T1041" s="9"/>
      <c r="U1041" s="9"/>
      <c r="V1041" s="9"/>
      <c r="W1041" s="971"/>
      <c r="X1041" s="9"/>
      <c r="Y1041" s="9"/>
      <c r="Z1041" s="204"/>
      <c r="AA1041" s="9"/>
      <c r="AB1041" s="9"/>
      <c r="AC1041" s="9"/>
      <c r="AD1041" s="9"/>
    </row>
    <row r="1042" ht="15.75" customHeight="1">
      <c r="A1042" s="9"/>
      <c r="B1042" s="9"/>
      <c r="C1042" s="9"/>
      <c r="D1042" s="9"/>
      <c r="E1042" s="9"/>
      <c r="F1042" s="9"/>
      <c r="G1042" s="9"/>
      <c r="H1042" s="223"/>
      <c r="I1042" s="9"/>
      <c r="J1042" s="9"/>
      <c r="K1042" s="9"/>
      <c r="L1042" s="9"/>
      <c r="M1042" s="9"/>
      <c r="N1042" s="9"/>
      <c r="O1042" s="9"/>
      <c r="P1042" s="9"/>
      <c r="Q1042" s="223"/>
      <c r="R1042" s="9"/>
      <c r="S1042" s="9"/>
      <c r="T1042" s="9"/>
      <c r="U1042" s="9"/>
      <c r="V1042" s="9"/>
      <c r="W1042" s="971"/>
      <c r="X1042" s="9"/>
      <c r="Y1042" s="9"/>
      <c r="Z1042" s="204"/>
      <c r="AA1042" s="9"/>
      <c r="AB1042" s="9"/>
      <c r="AC1042" s="9"/>
      <c r="AD1042" s="9"/>
    </row>
    <row r="1043" ht="15.75" customHeight="1">
      <c r="A1043" s="9"/>
      <c r="B1043" s="9"/>
      <c r="C1043" s="9"/>
      <c r="D1043" s="9"/>
      <c r="E1043" s="9"/>
      <c r="F1043" s="9"/>
      <c r="G1043" s="9"/>
      <c r="H1043" s="223"/>
      <c r="I1043" s="9"/>
      <c r="J1043" s="9"/>
      <c r="K1043" s="9"/>
      <c r="L1043" s="9"/>
      <c r="M1043" s="9"/>
      <c r="N1043" s="9"/>
      <c r="O1043" s="9"/>
      <c r="P1043" s="9"/>
      <c r="Q1043" s="223"/>
      <c r="R1043" s="9"/>
      <c r="S1043" s="9"/>
      <c r="T1043" s="9"/>
      <c r="U1043" s="9"/>
      <c r="V1043" s="9"/>
      <c r="W1043" s="971"/>
      <c r="X1043" s="9"/>
      <c r="Y1043" s="9"/>
      <c r="Z1043" s="204"/>
      <c r="AA1043" s="9"/>
      <c r="AB1043" s="9"/>
      <c r="AC1043" s="9"/>
      <c r="AD1043" s="9"/>
    </row>
  </sheetData>
  <mergeCells count="600">
    <mergeCell ref="L6:L7"/>
    <mergeCell ref="M6:M7"/>
    <mergeCell ref="N6:N7"/>
    <mergeCell ref="O6:O7"/>
    <mergeCell ref="P6:P7"/>
    <mergeCell ref="Q6:Q7"/>
    <mergeCell ref="R6:R7"/>
    <mergeCell ref="A6:A7"/>
    <mergeCell ref="B6:B7"/>
    <mergeCell ref="C6:C7"/>
    <mergeCell ref="D6:D7"/>
    <mergeCell ref="E6:E7"/>
    <mergeCell ref="F6:F7"/>
    <mergeCell ref="K6:K7"/>
    <mergeCell ref="S8:S9"/>
    <mergeCell ref="T8:T9"/>
    <mergeCell ref="L8:L9"/>
    <mergeCell ref="M8:M9"/>
    <mergeCell ref="N8:N9"/>
    <mergeCell ref="O8:O9"/>
    <mergeCell ref="P8:P9"/>
    <mergeCell ref="Q8:Q9"/>
    <mergeCell ref="R8:R9"/>
    <mergeCell ref="G2:J2"/>
    <mergeCell ref="K2:P2"/>
    <mergeCell ref="Q2:S2"/>
    <mergeCell ref="T2:U2"/>
    <mergeCell ref="V2:V3"/>
    <mergeCell ref="W2:W3"/>
    <mergeCell ref="O3:P3"/>
    <mergeCell ref="A1:G1"/>
    <mergeCell ref="A2:A3"/>
    <mergeCell ref="B2:B3"/>
    <mergeCell ref="C2:C3"/>
    <mergeCell ref="D2:D3"/>
    <mergeCell ref="E2:E3"/>
    <mergeCell ref="F2:F3"/>
    <mergeCell ref="S4:S5"/>
    <mergeCell ref="T4:T5"/>
    <mergeCell ref="U4:U5"/>
    <mergeCell ref="V4:V5"/>
    <mergeCell ref="W4:W5"/>
    <mergeCell ref="L4:L5"/>
    <mergeCell ref="M4:M5"/>
    <mergeCell ref="N4:N5"/>
    <mergeCell ref="O4:O5"/>
    <mergeCell ref="P4:P5"/>
    <mergeCell ref="Q4:Q5"/>
    <mergeCell ref="R4:R5"/>
    <mergeCell ref="A4:A5"/>
    <mergeCell ref="B4:B5"/>
    <mergeCell ref="C4:C5"/>
    <mergeCell ref="D4:D5"/>
    <mergeCell ref="E4:E5"/>
    <mergeCell ref="F4:F5"/>
    <mergeCell ref="K4:K5"/>
    <mergeCell ref="S6:S7"/>
    <mergeCell ref="T6:T7"/>
    <mergeCell ref="U6:U7"/>
    <mergeCell ref="V6:V7"/>
    <mergeCell ref="W6:W7"/>
    <mergeCell ref="U8:U9"/>
    <mergeCell ref="V8:V9"/>
    <mergeCell ref="W8:W9"/>
    <mergeCell ref="A8:A9"/>
    <mergeCell ref="B8:B9"/>
    <mergeCell ref="C8:C9"/>
    <mergeCell ref="D8:D9"/>
    <mergeCell ref="E8:E9"/>
    <mergeCell ref="F8:F9"/>
    <mergeCell ref="K8:K9"/>
    <mergeCell ref="S15:S16"/>
    <mergeCell ref="T15:T16"/>
    <mergeCell ref="L15:L16"/>
    <mergeCell ref="M15:M16"/>
    <mergeCell ref="N15:N16"/>
    <mergeCell ref="O15:O16"/>
    <mergeCell ref="P15:P16"/>
    <mergeCell ref="Q15:Q16"/>
    <mergeCell ref="R15:R16"/>
    <mergeCell ref="S10:S11"/>
    <mergeCell ref="T10:T11"/>
    <mergeCell ref="U10:U11"/>
    <mergeCell ref="V10:V11"/>
    <mergeCell ref="W10:W11"/>
    <mergeCell ref="L10:L11"/>
    <mergeCell ref="M10:M11"/>
    <mergeCell ref="N10:N11"/>
    <mergeCell ref="O10:O11"/>
    <mergeCell ref="P10:P11"/>
    <mergeCell ref="Q10:Q11"/>
    <mergeCell ref="R10:R11"/>
    <mergeCell ref="A10:A11"/>
    <mergeCell ref="B10:B11"/>
    <mergeCell ref="C10:C11"/>
    <mergeCell ref="D10:D11"/>
    <mergeCell ref="E10:E11"/>
    <mergeCell ref="F10:F11"/>
    <mergeCell ref="K10:K11"/>
    <mergeCell ref="S12:S14"/>
    <mergeCell ref="T12:T14"/>
    <mergeCell ref="U12:U14"/>
    <mergeCell ref="V12:V14"/>
    <mergeCell ref="W12:W14"/>
    <mergeCell ref="U15:U16"/>
    <mergeCell ref="V15:V16"/>
    <mergeCell ref="W15:W16"/>
    <mergeCell ref="L12:L14"/>
    <mergeCell ref="M12:M14"/>
    <mergeCell ref="N12:N14"/>
    <mergeCell ref="O12:O14"/>
    <mergeCell ref="P12:P14"/>
    <mergeCell ref="Q12:Q14"/>
    <mergeCell ref="R12:R14"/>
    <mergeCell ref="A12:A14"/>
    <mergeCell ref="B12:B14"/>
    <mergeCell ref="C12:C14"/>
    <mergeCell ref="D12:D14"/>
    <mergeCell ref="E12:E14"/>
    <mergeCell ref="F12:F14"/>
    <mergeCell ref="K12:K14"/>
    <mergeCell ref="A15:A16"/>
    <mergeCell ref="B15:B16"/>
    <mergeCell ref="C15:C16"/>
    <mergeCell ref="D15:D16"/>
    <mergeCell ref="E15:E16"/>
    <mergeCell ref="F15:F16"/>
    <mergeCell ref="K15:K16"/>
    <mergeCell ref="S30:S34"/>
    <mergeCell ref="T30:T34"/>
    <mergeCell ref="L30:L34"/>
    <mergeCell ref="M30:M34"/>
    <mergeCell ref="N30:N34"/>
    <mergeCell ref="O30:O34"/>
    <mergeCell ref="P30:P34"/>
    <mergeCell ref="Q30:Q34"/>
    <mergeCell ref="R30:R34"/>
    <mergeCell ref="S18:S21"/>
    <mergeCell ref="T18:T21"/>
    <mergeCell ref="U18:U21"/>
    <mergeCell ref="V18:V21"/>
    <mergeCell ref="W18:W21"/>
    <mergeCell ref="L18:L21"/>
    <mergeCell ref="M18:M21"/>
    <mergeCell ref="N18:N21"/>
    <mergeCell ref="O18:O21"/>
    <mergeCell ref="P18:P21"/>
    <mergeCell ref="Q18:Q21"/>
    <mergeCell ref="R18:R21"/>
    <mergeCell ref="A18:A21"/>
    <mergeCell ref="B18:B21"/>
    <mergeCell ref="C18:C21"/>
    <mergeCell ref="D18:D21"/>
    <mergeCell ref="E18:E21"/>
    <mergeCell ref="F18:F21"/>
    <mergeCell ref="K18:K21"/>
    <mergeCell ref="S24:S29"/>
    <mergeCell ref="T24:T29"/>
    <mergeCell ref="U24:U29"/>
    <mergeCell ref="V24:V29"/>
    <mergeCell ref="W24:W29"/>
    <mergeCell ref="U30:U34"/>
    <mergeCell ref="V30:V34"/>
    <mergeCell ref="W30:W34"/>
    <mergeCell ref="L24:L29"/>
    <mergeCell ref="M24:M29"/>
    <mergeCell ref="N24:N29"/>
    <mergeCell ref="O24:O29"/>
    <mergeCell ref="P24:P29"/>
    <mergeCell ref="Q24:Q29"/>
    <mergeCell ref="R24:R29"/>
    <mergeCell ref="A24:A29"/>
    <mergeCell ref="B24:B29"/>
    <mergeCell ref="C24:C29"/>
    <mergeCell ref="D24:D29"/>
    <mergeCell ref="E24:E29"/>
    <mergeCell ref="F24:F29"/>
    <mergeCell ref="K24:K29"/>
    <mergeCell ref="A30:A34"/>
    <mergeCell ref="B30:B34"/>
    <mergeCell ref="C30:C34"/>
    <mergeCell ref="D30:D34"/>
    <mergeCell ref="E30:E34"/>
    <mergeCell ref="F30:F34"/>
    <mergeCell ref="K30:K34"/>
    <mergeCell ref="S66:S67"/>
    <mergeCell ref="T66:T67"/>
    <mergeCell ref="L66:L67"/>
    <mergeCell ref="M66:M67"/>
    <mergeCell ref="N66:N67"/>
    <mergeCell ref="O66:O67"/>
    <mergeCell ref="P66:P67"/>
    <mergeCell ref="Q66:Q67"/>
    <mergeCell ref="R66:R67"/>
    <mergeCell ref="S59:S61"/>
    <mergeCell ref="T59:T61"/>
    <mergeCell ref="U59:U61"/>
    <mergeCell ref="V59:V61"/>
    <mergeCell ref="W59:W61"/>
    <mergeCell ref="L59:L61"/>
    <mergeCell ref="M59:M61"/>
    <mergeCell ref="N59:N61"/>
    <mergeCell ref="O59:O61"/>
    <mergeCell ref="P59:P61"/>
    <mergeCell ref="Q59:Q61"/>
    <mergeCell ref="R59:R61"/>
    <mergeCell ref="A59:A61"/>
    <mergeCell ref="B59:B61"/>
    <mergeCell ref="C59:C61"/>
    <mergeCell ref="D59:D61"/>
    <mergeCell ref="E59:E61"/>
    <mergeCell ref="F59:F61"/>
    <mergeCell ref="K59:K61"/>
    <mergeCell ref="S62:S65"/>
    <mergeCell ref="T62:T65"/>
    <mergeCell ref="U62:U65"/>
    <mergeCell ref="V62:V65"/>
    <mergeCell ref="W62:W65"/>
    <mergeCell ref="U66:U67"/>
    <mergeCell ref="V66:V67"/>
    <mergeCell ref="W66:W67"/>
    <mergeCell ref="L62:L65"/>
    <mergeCell ref="M62:M65"/>
    <mergeCell ref="N62:N65"/>
    <mergeCell ref="O62:O65"/>
    <mergeCell ref="P62:P65"/>
    <mergeCell ref="Q62:Q65"/>
    <mergeCell ref="R62:R65"/>
    <mergeCell ref="A62:A65"/>
    <mergeCell ref="B62:B65"/>
    <mergeCell ref="C62:C65"/>
    <mergeCell ref="D62:D65"/>
    <mergeCell ref="E62:E65"/>
    <mergeCell ref="F62:F65"/>
    <mergeCell ref="K62:K65"/>
    <mergeCell ref="A66:A67"/>
    <mergeCell ref="B66:B67"/>
    <mergeCell ref="C66:C67"/>
    <mergeCell ref="D66:D67"/>
    <mergeCell ref="E66:E67"/>
    <mergeCell ref="F66:F67"/>
    <mergeCell ref="K66:K67"/>
    <mergeCell ref="S76:S79"/>
    <mergeCell ref="T76:T79"/>
    <mergeCell ref="L76:L79"/>
    <mergeCell ref="M76:M79"/>
    <mergeCell ref="N76:N79"/>
    <mergeCell ref="O76:O79"/>
    <mergeCell ref="P76:P79"/>
    <mergeCell ref="Q76:Q79"/>
    <mergeCell ref="R76:R79"/>
    <mergeCell ref="S69:S71"/>
    <mergeCell ref="T69:T71"/>
    <mergeCell ref="U69:U71"/>
    <mergeCell ref="V69:V71"/>
    <mergeCell ref="W69:W71"/>
    <mergeCell ref="L69:L71"/>
    <mergeCell ref="M69:M71"/>
    <mergeCell ref="N69:N71"/>
    <mergeCell ref="O69:O71"/>
    <mergeCell ref="P69:P71"/>
    <mergeCell ref="Q69:Q71"/>
    <mergeCell ref="R69:R71"/>
    <mergeCell ref="A69:A71"/>
    <mergeCell ref="B69:B71"/>
    <mergeCell ref="C69:C71"/>
    <mergeCell ref="D69:D71"/>
    <mergeCell ref="E69:E71"/>
    <mergeCell ref="F69:F71"/>
    <mergeCell ref="K69:K71"/>
    <mergeCell ref="S73:S75"/>
    <mergeCell ref="T73:T75"/>
    <mergeCell ref="U73:U75"/>
    <mergeCell ref="V73:V75"/>
    <mergeCell ref="W73:W75"/>
    <mergeCell ref="U76:U79"/>
    <mergeCell ref="V76:V79"/>
    <mergeCell ref="W76:W79"/>
    <mergeCell ref="L73:L75"/>
    <mergeCell ref="M73:M75"/>
    <mergeCell ref="N73:N75"/>
    <mergeCell ref="O73:O75"/>
    <mergeCell ref="P73:P75"/>
    <mergeCell ref="Q73:Q75"/>
    <mergeCell ref="R73:R75"/>
    <mergeCell ref="A73:A75"/>
    <mergeCell ref="B73:B75"/>
    <mergeCell ref="C73:C75"/>
    <mergeCell ref="D73:D75"/>
    <mergeCell ref="E73:E75"/>
    <mergeCell ref="F73:F75"/>
    <mergeCell ref="K73:K75"/>
    <mergeCell ref="A76:A79"/>
    <mergeCell ref="B76:B79"/>
    <mergeCell ref="C76:C79"/>
    <mergeCell ref="D76:D79"/>
    <mergeCell ref="E76:E79"/>
    <mergeCell ref="F76:F79"/>
    <mergeCell ref="K76:K79"/>
    <mergeCell ref="L97:L101"/>
    <mergeCell ref="M97:M101"/>
    <mergeCell ref="N97:N101"/>
    <mergeCell ref="O97:O101"/>
    <mergeCell ref="P97:P101"/>
    <mergeCell ref="Q97:Q101"/>
    <mergeCell ref="R97:R101"/>
    <mergeCell ref="A97:A101"/>
    <mergeCell ref="B97:B101"/>
    <mergeCell ref="C97:C101"/>
    <mergeCell ref="D97:D101"/>
    <mergeCell ref="E97:E101"/>
    <mergeCell ref="F97:F101"/>
    <mergeCell ref="K97:K101"/>
    <mergeCell ref="B110:D110"/>
    <mergeCell ref="B112:B127"/>
    <mergeCell ref="B128:B150"/>
    <mergeCell ref="B151:H151"/>
    <mergeCell ref="B152:H152"/>
    <mergeCell ref="K152:M152"/>
    <mergeCell ref="B153:H153"/>
    <mergeCell ref="B154:D154"/>
    <mergeCell ref="E154:H154"/>
    <mergeCell ref="B155:H155"/>
    <mergeCell ref="B156:H156"/>
    <mergeCell ref="B157:H157"/>
    <mergeCell ref="B158:H158"/>
    <mergeCell ref="B159:H159"/>
    <mergeCell ref="G164:G165"/>
    <mergeCell ref="L164:L165"/>
    <mergeCell ref="M164:M165"/>
    <mergeCell ref="N164:O165"/>
    <mergeCell ref="B166:J166"/>
    <mergeCell ref="N166:O166"/>
    <mergeCell ref="B170:D170"/>
    <mergeCell ref="A161:D161"/>
    <mergeCell ref="N163:O163"/>
    <mergeCell ref="B164:B165"/>
    <mergeCell ref="C164:C165"/>
    <mergeCell ref="D164:D165"/>
    <mergeCell ref="E164:E165"/>
    <mergeCell ref="F164:F165"/>
    <mergeCell ref="S87:S88"/>
    <mergeCell ref="T87:T88"/>
    <mergeCell ref="L87:L88"/>
    <mergeCell ref="M87:M88"/>
    <mergeCell ref="N87:N88"/>
    <mergeCell ref="O87:O88"/>
    <mergeCell ref="P87:P88"/>
    <mergeCell ref="Q87:Q88"/>
    <mergeCell ref="R87:R88"/>
    <mergeCell ref="S95:S96"/>
    <mergeCell ref="T95:T96"/>
    <mergeCell ref="U95:U96"/>
    <mergeCell ref="V95:V96"/>
    <mergeCell ref="W95:W96"/>
    <mergeCell ref="L95:L96"/>
    <mergeCell ref="M95:M96"/>
    <mergeCell ref="N95:N96"/>
    <mergeCell ref="O95:O96"/>
    <mergeCell ref="P95:P96"/>
    <mergeCell ref="Q95:Q96"/>
    <mergeCell ref="R95:R96"/>
    <mergeCell ref="A95:A96"/>
    <mergeCell ref="B95:B96"/>
    <mergeCell ref="C95:C96"/>
    <mergeCell ref="D95:D96"/>
    <mergeCell ref="E95:E96"/>
    <mergeCell ref="F95:F96"/>
    <mergeCell ref="K95:K96"/>
    <mergeCell ref="S97:S101"/>
    <mergeCell ref="T97:T101"/>
    <mergeCell ref="U97:U101"/>
    <mergeCell ref="V97:V101"/>
    <mergeCell ref="W97:W101"/>
    <mergeCell ref="B103:I103"/>
    <mergeCell ref="B104:I104"/>
    <mergeCell ref="B105:I105"/>
    <mergeCell ref="B106:I106"/>
    <mergeCell ref="B107:I107"/>
    <mergeCell ref="E110:J110"/>
    <mergeCell ref="M110:S110"/>
    <mergeCell ref="S41:S43"/>
    <mergeCell ref="T41:T43"/>
    <mergeCell ref="L41:L43"/>
    <mergeCell ref="M41:M43"/>
    <mergeCell ref="N41:N43"/>
    <mergeCell ref="O41:O43"/>
    <mergeCell ref="P41:P43"/>
    <mergeCell ref="Q41:Q43"/>
    <mergeCell ref="R41:R43"/>
    <mergeCell ref="S35:S36"/>
    <mergeCell ref="T35:T36"/>
    <mergeCell ref="U35:U36"/>
    <mergeCell ref="V35:V36"/>
    <mergeCell ref="W35:W36"/>
    <mergeCell ref="L35:L36"/>
    <mergeCell ref="M35:M36"/>
    <mergeCell ref="N35:N36"/>
    <mergeCell ref="O35:O36"/>
    <mergeCell ref="P35:P36"/>
    <mergeCell ref="Q35:Q36"/>
    <mergeCell ref="R35:R36"/>
    <mergeCell ref="A35:A36"/>
    <mergeCell ref="B35:B36"/>
    <mergeCell ref="C35:C36"/>
    <mergeCell ref="D35:D36"/>
    <mergeCell ref="E35:E36"/>
    <mergeCell ref="F35:F36"/>
    <mergeCell ref="K35:K36"/>
    <mergeCell ref="S39:S40"/>
    <mergeCell ref="T39:T40"/>
    <mergeCell ref="U39:U40"/>
    <mergeCell ref="V39:V40"/>
    <mergeCell ref="W39:W40"/>
    <mergeCell ref="U41:U43"/>
    <mergeCell ref="V41:V43"/>
    <mergeCell ref="W41:W43"/>
    <mergeCell ref="L39:L40"/>
    <mergeCell ref="M39:M40"/>
    <mergeCell ref="N39:N40"/>
    <mergeCell ref="O39:O40"/>
    <mergeCell ref="P39:P40"/>
    <mergeCell ref="Q39:Q40"/>
    <mergeCell ref="R39:R40"/>
    <mergeCell ref="A39:A40"/>
    <mergeCell ref="B39:B40"/>
    <mergeCell ref="C39:C40"/>
    <mergeCell ref="D39:D40"/>
    <mergeCell ref="E39:E40"/>
    <mergeCell ref="F39:F40"/>
    <mergeCell ref="K39:K40"/>
    <mergeCell ref="A41:A43"/>
    <mergeCell ref="B41:B43"/>
    <mergeCell ref="C41:C43"/>
    <mergeCell ref="D41:D43"/>
    <mergeCell ref="E41:E43"/>
    <mergeCell ref="F41:F43"/>
    <mergeCell ref="K41:K43"/>
    <mergeCell ref="S48:S50"/>
    <mergeCell ref="T48:T50"/>
    <mergeCell ref="L48:L50"/>
    <mergeCell ref="M48:M50"/>
    <mergeCell ref="N48:N50"/>
    <mergeCell ref="O48:O50"/>
    <mergeCell ref="P48:P50"/>
    <mergeCell ref="Q48:Q50"/>
    <mergeCell ref="R48:R50"/>
    <mergeCell ref="S44:S45"/>
    <mergeCell ref="T44:T45"/>
    <mergeCell ref="U44:U45"/>
    <mergeCell ref="V44:V45"/>
    <mergeCell ref="W44:W45"/>
    <mergeCell ref="L44:L45"/>
    <mergeCell ref="M44:M45"/>
    <mergeCell ref="N44:N45"/>
    <mergeCell ref="O44:O45"/>
    <mergeCell ref="P44:P45"/>
    <mergeCell ref="Q44:Q45"/>
    <mergeCell ref="R44:R45"/>
    <mergeCell ref="A44:A45"/>
    <mergeCell ref="B44:B45"/>
    <mergeCell ref="C44:C45"/>
    <mergeCell ref="D44:D45"/>
    <mergeCell ref="E44:E45"/>
    <mergeCell ref="F44:F45"/>
    <mergeCell ref="K44:K45"/>
    <mergeCell ref="S46:S47"/>
    <mergeCell ref="T46:T47"/>
    <mergeCell ref="U46:U47"/>
    <mergeCell ref="V46:V47"/>
    <mergeCell ref="W46:W47"/>
    <mergeCell ref="U48:U50"/>
    <mergeCell ref="V48:V50"/>
    <mergeCell ref="W48:W50"/>
    <mergeCell ref="L46:L47"/>
    <mergeCell ref="M46:M47"/>
    <mergeCell ref="N46:N47"/>
    <mergeCell ref="O46:O47"/>
    <mergeCell ref="P46:P47"/>
    <mergeCell ref="Q46:Q47"/>
    <mergeCell ref="R46:R47"/>
    <mergeCell ref="A46:A47"/>
    <mergeCell ref="B46:B47"/>
    <mergeCell ref="C46:C47"/>
    <mergeCell ref="D46:D47"/>
    <mergeCell ref="E46:E47"/>
    <mergeCell ref="F46:F47"/>
    <mergeCell ref="K46:K47"/>
    <mergeCell ref="A48:A50"/>
    <mergeCell ref="B48:B50"/>
    <mergeCell ref="C48:C50"/>
    <mergeCell ref="D48:D50"/>
    <mergeCell ref="E48:E50"/>
    <mergeCell ref="F48:F50"/>
    <mergeCell ref="K48:K50"/>
    <mergeCell ref="S55:S58"/>
    <mergeCell ref="T55:T58"/>
    <mergeCell ref="L55:L58"/>
    <mergeCell ref="M55:M58"/>
    <mergeCell ref="N55:N58"/>
    <mergeCell ref="O55:O58"/>
    <mergeCell ref="P55:P58"/>
    <mergeCell ref="Q55:Q58"/>
    <mergeCell ref="R55:R58"/>
    <mergeCell ref="S51:S52"/>
    <mergeCell ref="T51:T52"/>
    <mergeCell ref="U51:U52"/>
    <mergeCell ref="V51:V52"/>
    <mergeCell ref="W51:W52"/>
    <mergeCell ref="L51:L52"/>
    <mergeCell ref="M51:M52"/>
    <mergeCell ref="N51:N52"/>
    <mergeCell ref="O51:O52"/>
    <mergeCell ref="P51:P52"/>
    <mergeCell ref="Q51:Q52"/>
    <mergeCell ref="R51:R52"/>
    <mergeCell ref="A51:A52"/>
    <mergeCell ref="B51:B52"/>
    <mergeCell ref="C51:C52"/>
    <mergeCell ref="D51:D52"/>
    <mergeCell ref="E51:E52"/>
    <mergeCell ref="F51:F52"/>
    <mergeCell ref="K51:K52"/>
    <mergeCell ref="S53:S54"/>
    <mergeCell ref="T53:T54"/>
    <mergeCell ref="U53:U54"/>
    <mergeCell ref="V53:V54"/>
    <mergeCell ref="W53:W54"/>
    <mergeCell ref="U55:U58"/>
    <mergeCell ref="V55:V58"/>
    <mergeCell ref="W55:W58"/>
    <mergeCell ref="L53:L54"/>
    <mergeCell ref="M53:M54"/>
    <mergeCell ref="N53:N54"/>
    <mergeCell ref="O53:O54"/>
    <mergeCell ref="P53:P54"/>
    <mergeCell ref="Q53:Q54"/>
    <mergeCell ref="R53:R54"/>
    <mergeCell ref="A53:A54"/>
    <mergeCell ref="B53:B54"/>
    <mergeCell ref="C53:C54"/>
    <mergeCell ref="D53:D54"/>
    <mergeCell ref="E53:E54"/>
    <mergeCell ref="F53:F54"/>
    <mergeCell ref="K53:K54"/>
    <mergeCell ref="A55:A58"/>
    <mergeCell ref="B55:B58"/>
    <mergeCell ref="C55:C58"/>
    <mergeCell ref="D55:D58"/>
    <mergeCell ref="E55:E58"/>
    <mergeCell ref="F55:F58"/>
    <mergeCell ref="K55:K58"/>
    <mergeCell ref="S80:S82"/>
    <mergeCell ref="T80:T82"/>
    <mergeCell ref="U80:U82"/>
    <mergeCell ref="V80:V82"/>
    <mergeCell ref="W80:W82"/>
    <mergeCell ref="L80:L82"/>
    <mergeCell ref="M80:M82"/>
    <mergeCell ref="N80:N82"/>
    <mergeCell ref="O80:O82"/>
    <mergeCell ref="P80:P82"/>
    <mergeCell ref="Q80:Q82"/>
    <mergeCell ref="R80:R82"/>
    <mergeCell ref="A80:A82"/>
    <mergeCell ref="B80:B82"/>
    <mergeCell ref="C80:C82"/>
    <mergeCell ref="D80:D82"/>
    <mergeCell ref="E80:E82"/>
    <mergeCell ref="F80:F82"/>
    <mergeCell ref="K80:K82"/>
    <mergeCell ref="S84:S85"/>
    <mergeCell ref="T84:T85"/>
    <mergeCell ref="U84:U85"/>
    <mergeCell ref="V84:V85"/>
    <mergeCell ref="W84:W85"/>
    <mergeCell ref="U87:U88"/>
    <mergeCell ref="V87:V88"/>
    <mergeCell ref="W87:W88"/>
    <mergeCell ref="L84:L85"/>
    <mergeCell ref="M84:M85"/>
    <mergeCell ref="N84:N85"/>
    <mergeCell ref="O84:O85"/>
    <mergeCell ref="P84:P85"/>
    <mergeCell ref="Q84:Q85"/>
    <mergeCell ref="R84:R85"/>
    <mergeCell ref="A84:A85"/>
    <mergeCell ref="B84:B85"/>
    <mergeCell ref="C84:C85"/>
    <mergeCell ref="D84:D85"/>
    <mergeCell ref="E84:E85"/>
    <mergeCell ref="F84:F85"/>
    <mergeCell ref="K84:K85"/>
    <mergeCell ref="A87:A88"/>
    <mergeCell ref="B87:B88"/>
    <mergeCell ref="C87:C88"/>
    <mergeCell ref="D87:D88"/>
    <mergeCell ref="E87:E88"/>
    <mergeCell ref="F87:F88"/>
    <mergeCell ref="K87:K88"/>
  </mergeCells>
  <dataValidations>
    <dataValidation type="list" allowBlank="1" showErrorMessage="1" sqref="R4 R6 R8 R10 R12 R15 R17:R18 R22:R24 R30 R35 R37:R39 R41 R44 R46 R48 R51 R53 R55 R59 R62 R66 R68:R69 R72:R73 R76 R80 R83:R84 R86:R87 R89:R95 R97 R102">
      <formula1>"Cty trả ship"</formula1>
    </dataValidation>
    <dataValidation type="list" allowBlank="1" showErrorMessage="1" sqref="P4 P6 P8 P10 P12 P15 P17:P18 P22:P24 P30 P35 P37:P39 P41 P44 P46 P48 P51 P53 P55 P59 P62 P66 P68:P69 P72:P73 P76 P80 P83:P84 P86:P87 P89:P95 P97 P102">
      <formula1>"Chưa thu,Đã thu"</formula1>
    </dataValidation>
    <dataValidation type="list" allowBlank="1" showErrorMessage="1" sqref="O4 O6 O8 O10 O12 O15 O17:O18 O22:O24 O30 O35 O37:O39 O41 O44 O46 O48 O51 O53 O55 O59 O62 O66 O68:O69 O72:O73 O76 O80 O83:O84 O86:O87 O89:O95 O97 O102">
      <formula1>"Chưa giao,Đã giao"</formula1>
    </dataValidation>
  </dataValidation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4.0" ySplit="3.0" topLeftCell="E4" activePane="bottomRight" state="frozen"/>
      <selection activeCell="E1" sqref="E1" pane="topRight"/>
      <selection activeCell="A4" sqref="A4" pane="bottomLeft"/>
      <selection activeCell="E4" sqref="E4" pane="bottomRight"/>
    </sheetView>
  </sheetViews>
  <sheetFormatPr customHeight="1" defaultColWidth="12.63" defaultRowHeight="15.0"/>
  <cols>
    <col customWidth="1" min="1" max="1" width="7.63"/>
    <col customWidth="1" min="2" max="2" width="12.63"/>
    <col customWidth="1" min="3" max="3" width="19.75"/>
    <col customWidth="1" min="4" max="4" width="23.88"/>
    <col customWidth="1" min="5" max="5" width="24.25"/>
    <col customWidth="1" min="6" max="6" width="60.75"/>
    <col customWidth="1" min="7" max="7" width="22.0"/>
    <col customWidth="1" min="8" max="8" width="16.63"/>
    <col customWidth="1" min="9" max="9" width="17.38"/>
    <col customWidth="1" min="10" max="10" width="16.88"/>
    <col customWidth="1" min="11" max="11" width="16.13"/>
    <col customWidth="1" min="12" max="13" width="18.75"/>
    <col customWidth="1" min="14" max="14" width="21.38"/>
    <col customWidth="1" min="15" max="15" width="20.63"/>
    <col customWidth="1" min="16" max="16" width="19.75"/>
    <col customWidth="1" min="17" max="17" width="17.88"/>
    <col customWidth="1" min="18" max="18" width="17.25"/>
    <col customWidth="1" min="19" max="19" width="24.0"/>
    <col customWidth="1" min="20" max="20" width="20.38"/>
    <col customWidth="1" min="21" max="21" width="15.63"/>
    <col customWidth="1" min="22" max="22" width="34.88"/>
    <col customWidth="1" min="23" max="23" width="12.5"/>
    <col customWidth="1" min="24" max="24" width="21.13"/>
    <col customWidth="1" min="25" max="25" width="16.63"/>
    <col customWidth="1" min="26" max="29" width="12.63"/>
  </cols>
  <sheetData>
    <row r="1" ht="25.5" customHeight="1">
      <c r="A1" s="1" t="s">
        <v>2014</v>
      </c>
      <c r="B1" s="2"/>
      <c r="C1" s="2"/>
      <c r="D1" s="2"/>
      <c r="E1" s="2"/>
      <c r="F1" s="2"/>
      <c r="G1" s="3"/>
      <c r="H1" s="4"/>
      <c r="I1" s="4"/>
      <c r="J1" s="4"/>
      <c r="K1" s="4"/>
      <c r="L1" s="5"/>
      <c r="M1" s="5"/>
      <c r="N1" s="4"/>
      <c r="O1" s="4"/>
      <c r="P1" s="4"/>
      <c r="Q1" s="5"/>
      <c r="R1" s="4"/>
      <c r="S1" s="5"/>
      <c r="T1" s="4"/>
      <c r="U1" s="4"/>
      <c r="V1" s="1338"/>
      <c r="W1" s="1339"/>
      <c r="X1" s="6"/>
      <c r="Y1" s="7"/>
      <c r="Z1" s="8"/>
      <c r="AA1" s="8"/>
      <c r="AB1" s="8"/>
      <c r="AC1" s="9"/>
    </row>
    <row r="2" ht="15.75" customHeight="1">
      <c r="A2" s="10" t="s">
        <v>1</v>
      </c>
      <c r="B2" s="1340" t="s">
        <v>2015</v>
      </c>
      <c r="C2" s="12" t="s">
        <v>3</v>
      </c>
      <c r="D2" s="13" t="s">
        <v>4</v>
      </c>
      <c r="E2" s="14" t="s">
        <v>5</v>
      </c>
      <c r="F2" s="13" t="s">
        <v>6</v>
      </c>
      <c r="G2" s="15" t="s">
        <v>7</v>
      </c>
      <c r="H2" s="16"/>
      <c r="I2" s="16"/>
      <c r="J2" s="17"/>
      <c r="K2" s="18" t="s">
        <v>8</v>
      </c>
      <c r="L2" s="16"/>
      <c r="M2" s="16"/>
      <c r="N2" s="16"/>
      <c r="O2" s="16"/>
      <c r="P2" s="17"/>
      <c r="Q2" s="19" t="s">
        <v>9</v>
      </c>
      <c r="R2" s="16"/>
      <c r="S2" s="17"/>
      <c r="T2" s="20" t="s">
        <v>10</v>
      </c>
      <c r="U2" s="17"/>
      <c r="V2" s="21" t="s">
        <v>11</v>
      </c>
      <c r="W2" s="1130" t="s">
        <v>1548</v>
      </c>
      <c r="X2" s="23"/>
      <c r="Y2" s="24"/>
      <c r="Z2" s="25"/>
      <c r="AA2" s="25"/>
      <c r="AB2" s="25"/>
      <c r="AC2" s="22"/>
    </row>
    <row r="3" ht="47.25" customHeight="1">
      <c r="A3" s="26"/>
      <c r="B3" s="26"/>
      <c r="C3" s="26"/>
      <c r="D3" s="26"/>
      <c r="E3" s="26"/>
      <c r="F3" s="26"/>
      <c r="G3" s="27" t="s">
        <v>12</v>
      </c>
      <c r="H3" s="27" t="s">
        <v>13</v>
      </c>
      <c r="I3" s="28" t="s">
        <v>14</v>
      </c>
      <c r="J3" s="29" t="s">
        <v>15</v>
      </c>
      <c r="K3" s="30" t="s">
        <v>16</v>
      </c>
      <c r="L3" s="31" t="s">
        <v>17</v>
      </c>
      <c r="M3" s="33" t="s">
        <v>19</v>
      </c>
      <c r="N3" s="34" t="s">
        <v>20</v>
      </c>
      <c r="O3" s="558" t="s">
        <v>21</v>
      </c>
      <c r="P3" s="408"/>
      <c r="Q3" s="36" t="s">
        <v>22</v>
      </c>
      <c r="R3" s="37" t="s">
        <v>23</v>
      </c>
      <c r="S3" s="37" t="s">
        <v>2016</v>
      </c>
      <c r="T3" s="38" t="s">
        <v>25</v>
      </c>
      <c r="U3" s="38" t="s">
        <v>26</v>
      </c>
      <c r="V3" s="26"/>
      <c r="W3" s="67"/>
      <c r="X3" s="23"/>
      <c r="Y3" s="24"/>
      <c r="Z3" s="25"/>
      <c r="AA3" s="25"/>
      <c r="AB3" s="25"/>
      <c r="AC3" s="22"/>
    </row>
    <row r="4" ht="23.25" customHeight="1">
      <c r="A4" s="64">
        <v>1.0</v>
      </c>
      <c r="B4" s="120">
        <v>45042.0</v>
      </c>
      <c r="C4" s="409">
        <v>1.704731444144E12</v>
      </c>
      <c r="D4" s="1341" t="s">
        <v>2017</v>
      </c>
      <c r="E4" s="411" t="s">
        <v>2018</v>
      </c>
      <c r="F4" s="1342" t="s">
        <v>2019</v>
      </c>
      <c r="G4" s="45" t="s">
        <v>30</v>
      </c>
      <c r="H4" s="46">
        <v>3.0</v>
      </c>
      <c r="I4" s="847">
        <f t="shared" ref="I4:I6" si="1">VLOOKUP(G4,$X$4:$Y$40,2,0)</f>
        <v>220000</v>
      </c>
      <c r="J4" s="48">
        <f t="shared" ref="J4:J80" si="2">I4*H4</f>
        <v>660000</v>
      </c>
      <c r="K4" s="76">
        <f t="shared" ref="K4:K10" si="3">SUM(J4)</f>
        <v>660000</v>
      </c>
      <c r="L4" s="89"/>
      <c r="M4" s="79"/>
      <c r="N4" s="80">
        <f t="shared" ref="N4:N11" si="4">K4+L4-M4</f>
        <v>660000</v>
      </c>
      <c r="O4" s="81" t="s">
        <v>449</v>
      </c>
      <c r="P4" s="81" t="s">
        <v>31</v>
      </c>
      <c r="Q4" s="82">
        <v>53999.0</v>
      </c>
      <c r="R4" s="83" t="s">
        <v>32</v>
      </c>
      <c r="S4" s="84" t="s">
        <v>33</v>
      </c>
      <c r="T4" s="412"/>
      <c r="U4" s="412"/>
      <c r="V4" s="412"/>
      <c r="W4" s="429">
        <v>1.0</v>
      </c>
      <c r="X4" s="60" t="s">
        <v>34</v>
      </c>
      <c r="Y4" s="61">
        <v>65000.0</v>
      </c>
      <c r="Z4" s="107"/>
      <c r="AA4" s="107"/>
      <c r="AB4" s="107"/>
      <c r="AC4" s="106"/>
    </row>
    <row r="5" ht="23.25" customHeight="1">
      <c r="A5" s="93">
        <v>2.0</v>
      </c>
      <c r="B5" s="120">
        <v>45044.0</v>
      </c>
      <c r="C5" s="1152">
        <v>1.689057405936E12</v>
      </c>
      <c r="D5" s="884" t="s">
        <v>2020</v>
      </c>
      <c r="E5" s="105" t="s">
        <v>2021</v>
      </c>
      <c r="F5" s="1343" t="s">
        <v>2022</v>
      </c>
      <c r="G5" s="63" t="s">
        <v>122</v>
      </c>
      <c r="H5" s="64">
        <v>1.0</v>
      </c>
      <c r="I5" s="847">
        <f t="shared" si="1"/>
        <v>220000</v>
      </c>
      <c r="J5" s="48">
        <f t="shared" si="2"/>
        <v>220000</v>
      </c>
      <c r="K5" s="76">
        <f t="shared" si="3"/>
        <v>220000</v>
      </c>
      <c r="L5" s="568">
        <v>45000.0</v>
      </c>
      <c r="M5" s="115">
        <v>25000.0</v>
      </c>
      <c r="N5" s="80">
        <f t="shared" si="4"/>
        <v>240000</v>
      </c>
      <c r="O5" s="81" t="s">
        <v>449</v>
      </c>
      <c r="P5" s="81" t="s">
        <v>31</v>
      </c>
      <c r="Q5" s="65"/>
      <c r="R5" s="91"/>
      <c r="S5" s="84" t="s">
        <v>33</v>
      </c>
      <c r="T5" s="92" t="s">
        <v>147</v>
      </c>
      <c r="U5" s="92">
        <v>1.0</v>
      </c>
      <c r="V5" s="122"/>
      <c r="W5" s="693"/>
      <c r="X5" s="65" t="s">
        <v>36</v>
      </c>
      <c r="Y5" s="66">
        <v>180000.0</v>
      </c>
      <c r="Z5" s="25"/>
      <c r="AA5" s="25"/>
      <c r="AB5" s="25"/>
      <c r="AC5" s="22"/>
    </row>
    <row r="6" ht="23.25" customHeight="1">
      <c r="A6" s="69">
        <v>3.0</v>
      </c>
      <c r="B6" s="413">
        <v>45044.0</v>
      </c>
      <c r="C6" s="1139">
        <v>1.704848509209E12</v>
      </c>
      <c r="D6" s="68" t="s">
        <v>300</v>
      </c>
      <c r="E6" s="71" t="s">
        <v>2023</v>
      </c>
      <c r="F6" s="1140" t="s">
        <v>2024</v>
      </c>
      <c r="G6" s="68" t="s">
        <v>122</v>
      </c>
      <c r="H6" s="69">
        <v>2.0</v>
      </c>
      <c r="I6" s="847">
        <f t="shared" si="1"/>
        <v>220000</v>
      </c>
      <c r="J6" s="48">
        <f t="shared" si="2"/>
        <v>440000</v>
      </c>
      <c r="K6" s="76">
        <f t="shared" si="3"/>
        <v>440000</v>
      </c>
      <c r="L6" s="568">
        <v>50999.0</v>
      </c>
      <c r="M6" s="115">
        <v>20999.0</v>
      </c>
      <c r="N6" s="80">
        <f t="shared" si="4"/>
        <v>470000</v>
      </c>
      <c r="O6" s="81" t="s">
        <v>449</v>
      </c>
      <c r="P6" s="81" t="s">
        <v>31</v>
      </c>
      <c r="Q6" s="90"/>
      <c r="R6" s="91"/>
      <c r="S6" s="84" t="s">
        <v>33</v>
      </c>
      <c r="T6" s="63" t="s">
        <v>147</v>
      </c>
      <c r="U6" s="1344">
        <v>2.0</v>
      </c>
      <c r="V6" s="257"/>
      <c r="W6" s="693"/>
      <c r="X6" s="65" t="s">
        <v>38</v>
      </c>
      <c r="Y6" s="66">
        <v>160000.0</v>
      </c>
      <c r="Z6" s="25"/>
      <c r="AA6" s="25"/>
      <c r="AB6" s="25"/>
      <c r="AC6" s="22"/>
    </row>
    <row r="7" ht="23.25" customHeight="1">
      <c r="A7" s="69">
        <v>4.0</v>
      </c>
      <c r="B7" s="413">
        <v>45044.0</v>
      </c>
      <c r="C7" s="1139">
        <v>1.706592875768E12</v>
      </c>
      <c r="D7" s="68" t="s">
        <v>1970</v>
      </c>
      <c r="E7" s="71" t="s">
        <v>1971</v>
      </c>
      <c r="F7" s="1140" t="s">
        <v>1972</v>
      </c>
      <c r="G7" s="68" t="s">
        <v>147</v>
      </c>
      <c r="H7" s="69">
        <v>3.0</v>
      </c>
      <c r="I7" s="975">
        <v>80000.0</v>
      </c>
      <c r="J7" s="48">
        <f t="shared" si="2"/>
        <v>240000</v>
      </c>
      <c r="K7" s="76">
        <f t="shared" si="3"/>
        <v>240000</v>
      </c>
      <c r="L7" s="568">
        <v>45000.0</v>
      </c>
      <c r="M7" s="115">
        <v>25000.0</v>
      </c>
      <c r="N7" s="80">
        <f t="shared" si="4"/>
        <v>260000</v>
      </c>
      <c r="O7" s="81" t="s">
        <v>449</v>
      </c>
      <c r="P7" s="81" t="s">
        <v>31</v>
      </c>
      <c r="Q7" s="90"/>
      <c r="R7" s="91"/>
      <c r="S7" s="84" t="s">
        <v>33</v>
      </c>
      <c r="T7" s="85"/>
      <c r="U7" s="414"/>
      <c r="V7" s="86"/>
      <c r="W7" s="693"/>
      <c r="X7" s="65" t="s">
        <v>43</v>
      </c>
      <c r="Y7" s="66">
        <v>80000.0</v>
      </c>
      <c r="Z7" s="25"/>
      <c r="AA7" s="25"/>
      <c r="AB7" s="25"/>
      <c r="AC7" s="22"/>
    </row>
    <row r="8" ht="28.5" customHeight="1">
      <c r="A8" s="69">
        <v>5.0</v>
      </c>
      <c r="B8" s="413">
        <v>45049.0</v>
      </c>
      <c r="C8" s="1139">
        <v>1.706720559209E12</v>
      </c>
      <c r="D8" s="68" t="s">
        <v>2025</v>
      </c>
      <c r="E8" s="71" t="s">
        <v>2026</v>
      </c>
      <c r="F8" s="68" t="s">
        <v>2027</v>
      </c>
      <c r="G8" s="68" t="s">
        <v>30</v>
      </c>
      <c r="H8" s="69">
        <v>1.0</v>
      </c>
      <c r="I8" s="975">
        <v>220000.0</v>
      </c>
      <c r="J8" s="48">
        <f t="shared" si="2"/>
        <v>220000</v>
      </c>
      <c r="K8" s="76">
        <f t="shared" si="3"/>
        <v>220000</v>
      </c>
      <c r="L8" s="568">
        <v>38000.0</v>
      </c>
      <c r="M8" s="115">
        <v>18000.0</v>
      </c>
      <c r="N8" s="80">
        <f t="shared" si="4"/>
        <v>240000</v>
      </c>
      <c r="O8" s="81" t="s">
        <v>449</v>
      </c>
      <c r="P8" s="81" t="s">
        <v>31</v>
      </c>
      <c r="Q8" s="90"/>
      <c r="R8" s="91"/>
      <c r="S8" s="84" t="s">
        <v>33</v>
      </c>
      <c r="T8" s="85"/>
      <c r="U8" s="414"/>
      <c r="V8" s="86"/>
      <c r="W8" s="693"/>
      <c r="X8" s="65" t="s">
        <v>48</v>
      </c>
      <c r="Y8" s="66">
        <v>55000.0</v>
      </c>
      <c r="Z8" s="25"/>
      <c r="AA8" s="25"/>
      <c r="AB8" s="25"/>
      <c r="AC8" s="22"/>
    </row>
    <row r="9" ht="23.25" customHeight="1">
      <c r="A9" s="69">
        <v>6.0</v>
      </c>
      <c r="B9" s="413">
        <v>45049.0</v>
      </c>
      <c r="C9" s="1139">
        <v>1.706807502527E12</v>
      </c>
      <c r="D9" s="68" t="s">
        <v>312</v>
      </c>
      <c r="E9" s="71" t="s">
        <v>313</v>
      </c>
      <c r="F9" s="156" t="s">
        <v>2028</v>
      </c>
      <c r="G9" s="68" t="s">
        <v>122</v>
      </c>
      <c r="H9" s="69">
        <v>4.0</v>
      </c>
      <c r="I9" s="975">
        <v>220000.0</v>
      </c>
      <c r="J9" s="48">
        <f t="shared" si="2"/>
        <v>880000</v>
      </c>
      <c r="K9" s="76">
        <f t="shared" si="3"/>
        <v>880000</v>
      </c>
      <c r="L9" s="568"/>
      <c r="M9" s="79"/>
      <c r="N9" s="80">
        <f t="shared" si="4"/>
        <v>880000</v>
      </c>
      <c r="O9" s="81" t="s">
        <v>449</v>
      </c>
      <c r="P9" s="81" t="s">
        <v>31</v>
      </c>
      <c r="Q9" s="82">
        <v>65998.0</v>
      </c>
      <c r="R9" s="83" t="s">
        <v>32</v>
      </c>
      <c r="S9" s="84" t="s">
        <v>33</v>
      </c>
      <c r="T9" s="133" t="s">
        <v>147</v>
      </c>
      <c r="U9" s="133">
        <v>4.0</v>
      </c>
      <c r="V9" s="412"/>
      <c r="W9" s="693"/>
      <c r="X9" s="65" t="s">
        <v>60</v>
      </c>
      <c r="Y9" s="66">
        <v>45000.0</v>
      </c>
      <c r="Z9" s="25"/>
      <c r="AA9" s="25"/>
      <c r="AB9" s="25"/>
      <c r="AC9" s="22"/>
    </row>
    <row r="10" ht="30.75" customHeight="1">
      <c r="A10" s="69">
        <v>7.0</v>
      </c>
      <c r="B10" s="413">
        <v>45049.0</v>
      </c>
      <c r="C10" s="1152">
        <v>1.706882859131E12</v>
      </c>
      <c r="D10" s="155" t="s">
        <v>646</v>
      </c>
      <c r="E10" s="105" t="s">
        <v>2029</v>
      </c>
      <c r="F10" s="156" t="s">
        <v>2030</v>
      </c>
      <c r="G10" s="68" t="s">
        <v>30</v>
      </c>
      <c r="H10" s="69">
        <v>2.0</v>
      </c>
      <c r="I10" s="975">
        <v>220000.0</v>
      </c>
      <c r="J10" s="48">
        <f t="shared" si="2"/>
        <v>440000</v>
      </c>
      <c r="K10" s="76">
        <f t="shared" si="3"/>
        <v>440000</v>
      </c>
      <c r="L10" s="568">
        <v>50999.0</v>
      </c>
      <c r="M10" s="115">
        <v>20999.0</v>
      </c>
      <c r="N10" s="80">
        <f t="shared" si="4"/>
        <v>470000</v>
      </c>
      <c r="O10" s="81" t="s">
        <v>449</v>
      </c>
      <c r="P10" s="81" t="s">
        <v>31</v>
      </c>
      <c r="Q10" s="65"/>
      <c r="R10" s="91"/>
      <c r="S10" s="84" t="s">
        <v>33</v>
      </c>
      <c r="T10" s="122"/>
      <c r="U10" s="122"/>
      <c r="V10" s="122"/>
      <c r="W10" s="693"/>
      <c r="X10" s="65" t="s">
        <v>679</v>
      </c>
      <c r="Y10" s="66">
        <v>110000.0</v>
      </c>
      <c r="Z10" s="25"/>
      <c r="AA10" s="25"/>
      <c r="AB10" s="25"/>
      <c r="AC10" s="22"/>
    </row>
    <row r="11" ht="30.75" customHeight="1">
      <c r="A11" s="94">
        <v>8.0</v>
      </c>
      <c r="B11" s="416">
        <v>45049.0</v>
      </c>
      <c r="C11" s="1135">
        <v>1.70711384438E12</v>
      </c>
      <c r="D11" s="148" t="s">
        <v>2031</v>
      </c>
      <c r="E11" s="761" t="s">
        <v>2032</v>
      </c>
      <c r="F11" s="149" t="s">
        <v>277</v>
      </c>
      <c r="G11" s="155" t="s">
        <v>144</v>
      </c>
      <c r="H11" s="64">
        <v>5.0</v>
      </c>
      <c r="I11" s="975">
        <v>220000.0</v>
      </c>
      <c r="J11" s="48">
        <f t="shared" si="2"/>
        <v>1100000</v>
      </c>
      <c r="K11" s="49">
        <f>SUM(J11:J12)</f>
        <v>2200000</v>
      </c>
      <c r="L11" s="418"/>
      <c r="M11" s="52"/>
      <c r="N11" s="53">
        <f t="shared" si="4"/>
        <v>2200000</v>
      </c>
      <c r="O11" s="99" t="s">
        <v>449</v>
      </c>
      <c r="P11" s="99" t="s">
        <v>31</v>
      </c>
      <c r="Q11" s="145">
        <v>104000.0</v>
      </c>
      <c r="R11" s="56" t="s">
        <v>32</v>
      </c>
      <c r="S11" s="57" t="s">
        <v>33</v>
      </c>
      <c r="T11" s="142" t="s">
        <v>147</v>
      </c>
      <c r="U11" s="142">
        <v>5.0</v>
      </c>
      <c r="V11" s="147"/>
      <c r="W11" s="1031"/>
      <c r="X11" s="65" t="s">
        <v>66</v>
      </c>
      <c r="Y11" s="66">
        <v>205000.0</v>
      </c>
      <c r="Z11" s="25"/>
      <c r="AA11" s="25"/>
      <c r="AB11" s="25"/>
      <c r="AC11" s="22"/>
    </row>
    <row r="12" ht="23.25" customHeight="1">
      <c r="A12" s="67"/>
      <c r="B12" s="67"/>
      <c r="C12" s="67"/>
      <c r="D12" s="67"/>
      <c r="E12" s="102"/>
      <c r="F12" s="67"/>
      <c r="G12" s="63" t="s">
        <v>122</v>
      </c>
      <c r="H12" s="64">
        <v>5.0</v>
      </c>
      <c r="I12" s="975">
        <v>220000.0</v>
      </c>
      <c r="J12" s="48">
        <f t="shared" si="2"/>
        <v>1100000</v>
      </c>
      <c r="K12" s="67"/>
      <c r="L12" s="67"/>
      <c r="M12" s="67"/>
      <c r="N12" s="67"/>
      <c r="O12" s="67"/>
      <c r="P12" s="67"/>
      <c r="Q12" s="67"/>
      <c r="R12" s="67"/>
      <c r="S12" s="67"/>
      <c r="T12" s="67"/>
      <c r="U12" s="67"/>
      <c r="V12" s="67"/>
      <c r="W12" s="67"/>
      <c r="X12" s="65" t="s">
        <v>684</v>
      </c>
      <c r="Y12" s="66">
        <v>150000.0</v>
      </c>
      <c r="Z12" s="25"/>
      <c r="AA12" s="25"/>
      <c r="AB12" s="25"/>
      <c r="AC12" s="22"/>
    </row>
    <row r="13" ht="39.0" customHeight="1">
      <c r="A13" s="93">
        <v>9.0</v>
      </c>
      <c r="B13" s="120">
        <v>45049.0</v>
      </c>
      <c r="C13" s="1152">
        <v>1.707184508429E12</v>
      </c>
      <c r="D13" s="155" t="s">
        <v>2033</v>
      </c>
      <c r="E13" s="105" t="s">
        <v>2034</v>
      </c>
      <c r="F13" s="1345" t="s">
        <v>2035</v>
      </c>
      <c r="G13" s="63" t="s">
        <v>30</v>
      </c>
      <c r="H13" s="64">
        <v>4.0</v>
      </c>
      <c r="I13" s="975">
        <v>220000.0</v>
      </c>
      <c r="J13" s="48">
        <f t="shared" si="2"/>
        <v>880000</v>
      </c>
      <c r="K13" s="76">
        <f>SUM(J13)</f>
        <v>880000</v>
      </c>
      <c r="L13" s="65"/>
      <c r="M13" s="79"/>
      <c r="N13" s="80">
        <f t="shared" ref="N13:N14" si="5">K13+L13-M13</f>
        <v>880000</v>
      </c>
      <c r="O13" s="81" t="s">
        <v>449</v>
      </c>
      <c r="P13" s="81" t="s">
        <v>31</v>
      </c>
      <c r="Q13" s="108">
        <v>59998.0</v>
      </c>
      <c r="R13" s="83" t="s">
        <v>32</v>
      </c>
      <c r="S13" s="84" t="s">
        <v>33</v>
      </c>
      <c r="T13" s="122"/>
      <c r="U13" s="122"/>
      <c r="V13" s="122"/>
      <c r="W13" s="693"/>
      <c r="X13" s="110" t="s">
        <v>71</v>
      </c>
      <c r="Y13" s="66">
        <v>85000.0</v>
      </c>
      <c r="Z13" s="25"/>
      <c r="AA13" s="25"/>
      <c r="AB13" s="25"/>
      <c r="AC13" s="22"/>
    </row>
    <row r="14" ht="32.25" customHeight="1">
      <c r="A14" s="111">
        <v>10.0</v>
      </c>
      <c r="B14" s="40">
        <v>45049.0</v>
      </c>
      <c r="C14" s="1135">
        <v>1.707252119045E12</v>
      </c>
      <c r="D14" s="148" t="s">
        <v>734</v>
      </c>
      <c r="E14" s="143" t="s">
        <v>735</v>
      </c>
      <c r="F14" s="149" t="s">
        <v>1942</v>
      </c>
      <c r="G14" s="63" t="s">
        <v>30</v>
      </c>
      <c r="H14" s="64">
        <v>2.0</v>
      </c>
      <c r="I14" s="975">
        <v>220000.0</v>
      </c>
      <c r="J14" s="48">
        <f t="shared" si="2"/>
        <v>440000</v>
      </c>
      <c r="K14" s="49">
        <f>sum(J14:J15)</f>
        <v>880000</v>
      </c>
      <c r="L14" s="146"/>
      <c r="M14" s="52"/>
      <c r="N14" s="53">
        <f t="shared" si="5"/>
        <v>880000</v>
      </c>
      <c r="O14" s="99" t="s">
        <v>449</v>
      </c>
      <c r="P14" s="99" t="s">
        <v>31</v>
      </c>
      <c r="Q14" s="145">
        <v>71001.0</v>
      </c>
      <c r="R14" s="56" t="s">
        <v>32</v>
      </c>
      <c r="S14" s="57" t="s">
        <v>33</v>
      </c>
      <c r="T14" s="147"/>
      <c r="U14" s="147"/>
      <c r="V14" s="147"/>
      <c r="W14" s="1031"/>
      <c r="X14" s="65" t="s">
        <v>76</v>
      </c>
      <c r="Y14" s="66">
        <v>90000.0</v>
      </c>
      <c r="Z14" s="25"/>
      <c r="AA14" s="25"/>
      <c r="AB14" s="25"/>
      <c r="AC14" s="22"/>
    </row>
    <row r="15" ht="23.25" customHeight="1">
      <c r="A15" s="67"/>
      <c r="B15" s="67"/>
      <c r="C15" s="67"/>
      <c r="D15" s="67"/>
      <c r="E15" s="67"/>
      <c r="F15" s="67"/>
      <c r="G15" s="63" t="s">
        <v>35</v>
      </c>
      <c r="H15" s="64">
        <v>2.0</v>
      </c>
      <c r="I15" s="975">
        <v>220000.0</v>
      </c>
      <c r="J15" s="48">
        <f t="shared" si="2"/>
        <v>440000</v>
      </c>
      <c r="K15" s="67"/>
      <c r="L15" s="67"/>
      <c r="M15" s="67"/>
      <c r="N15" s="67"/>
      <c r="O15" s="67"/>
      <c r="P15" s="67"/>
      <c r="Q15" s="67"/>
      <c r="R15" s="67"/>
      <c r="S15" s="67"/>
      <c r="T15" s="67"/>
      <c r="U15" s="67"/>
      <c r="V15" s="67"/>
      <c r="W15" s="67"/>
      <c r="X15" s="65" t="s">
        <v>80</v>
      </c>
      <c r="Y15" s="66">
        <v>85000.0</v>
      </c>
      <c r="Z15" s="25"/>
      <c r="AA15" s="25"/>
      <c r="AB15" s="25"/>
      <c r="AC15" s="22"/>
    </row>
    <row r="16" ht="27.75" customHeight="1">
      <c r="A16" s="93">
        <v>11.0</v>
      </c>
      <c r="B16" s="120">
        <v>45049.0</v>
      </c>
      <c r="C16" s="1152">
        <v>1.70743636734E12</v>
      </c>
      <c r="D16" s="155" t="s">
        <v>1783</v>
      </c>
      <c r="E16" s="105" t="s">
        <v>2036</v>
      </c>
      <c r="F16" s="155" t="s">
        <v>2037</v>
      </c>
      <c r="G16" s="63"/>
      <c r="H16" s="85"/>
      <c r="I16" s="459"/>
      <c r="J16" s="48">
        <f t="shared" si="2"/>
        <v>0</v>
      </c>
      <c r="K16" s="76">
        <f>SUM(J16)</f>
        <v>0</v>
      </c>
      <c r="L16" s="108"/>
      <c r="M16" s="79"/>
      <c r="N16" s="80"/>
      <c r="O16" s="81" t="s">
        <v>449</v>
      </c>
      <c r="P16" s="81" t="s">
        <v>31</v>
      </c>
      <c r="Q16" s="65"/>
      <c r="R16" s="91"/>
      <c r="S16" s="84" t="s">
        <v>33</v>
      </c>
      <c r="T16" s="92" t="s">
        <v>75</v>
      </c>
      <c r="U16" s="92">
        <v>1.0</v>
      </c>
      <c r="V16" s="93" t="s">
        <v>1633</v>
      </c>
      <c r="W16" s="693"/>
      <c r="X16" s="65" t="s">
        <v>81</v>
      </c>
      <c r="Y16" s="66">
        <v>150000.0</v>
      </c>
      <c r="Z16" s="25"/>
      <c r="AA16" s="25"/>
      <c r="AB16" s="25"/>
      <c r="AC16" s="22"/>
    </row>
    <row r="17" ht="23.25" customHeight="1">
      <c r="A17" s="94">
        <v>12.0</v>
      </c>
      <c r="B17" s="416">
        <v>45050.0</v>
      </c>
      <c r="C17" s="1141">
        <v>1.709144865216E12</v>
      </c>
      <c r="D17" s="417" t="s">
        <v>2038</v>
      </c>
      <c r="E17" s="97" t="s">
        <v>2039</v>
      </c>
      <c r="F17" s="1346" t="s">
        <v>2040</v>
      </c>
      <c r="G17" s="63" t="s">
        <v>58</v>
      </c>
      <c r="H17" s="64">
        <v>1.0</v>
      </c>
      <c r="I17" s="975">
        <v>220000.0</v>
      </c>
      <c r="J17" s="48">
        <f t="shared" si="2"/>
        <v>220000</v>
      </c>
      <c r="K17" s="49">
        <f>sum(J17:J18)</f>
        <v>310000</v>
      </c>
      <c r="L17" s="418">
        <v>48000.0</v>
      </c>
      <c r="M17" s="117">
        <v>28000.0</v>
      </c>
      <c r="N17" s="53">
        <f>K17+L17-M17</f>
        <v>330000</v>
      </c>
      <c r="O17" s="99" t="s">
        <v>449</v>
      </c>
      <c r="P17" s="99" t="s">
        <v>31</v>
      </c>
      <c r="Q17" s="118"/>
      <c r="R17" s="119"/>
      <c r="S17" s="57" t="s">
        <v>33</v>
      </c>
      <c r="T17" s="100"/>
      <c r="U17" s="977"/>
      <c r="V17" s="58"/>
      <c r="W17" s="1031"/>
      <c r="X17" s="65" t="s">
        <v>85</v>
      </c>
      <c r="Y17" s="66">
        <v>125000.0</v>
      </c>
      <c r="Z17" s="25"/>
      <c r="AA17" s="25"/>
      <c r="AB17" s="25"/>
      <c r="AC17" s="22"/>
    </row>
    <row r="18" ht="23.25" customHeight="1">
      <c r="A18" s="67"/>
      <c r="B18" s="67"/>
      <c r="C18" s="67"/>
      <c r="D18" s="67"/>
      <c r="E18" s="67"/>
      <c r="F18" s="67"/>
      <c r="G18" s="63" t="s">
        <v>75</v>
      </c>
      <c r="H18" s="64">
        <v>2.0</v>
      </c>
      <c r="I18" s="975">
        <v>45000.0</v>
      </c>
      <c r="J18" s="48">
        <f t="shared" si="2"/>
        <v>90000</v>
      </c>
      <c r="K18" s="67"/>
      <c r="L18" s="67"/>
      <c r="M18" s="67"/>
      <c r="N18" s="67"/>
      <c r="O18" s="67"/>
      <c r="P18" s="67"/>
      <c r="Q18" s="67"/>
      <c r="R18" s="67"/>
      <c r="S18" s="67"/>
      <c r="T18" s="67"/>
      <c r="U18" s="67"/>
      <c r="V18" s="67"/>
      <c r="W18" s="67"/>
      <c r="X18" s="65" t="s">
        <v>89</v>
      </c>
      <c r="Y18" s="66">
        <v>35000.0</v>
      </c>
      <c r="Z18" s="25"/>
      <c r="AA18" s="25"/>
      <c r="AB18" s="25"/>
      <c r="AC18" s="22"/>
    </row>
    <row r="19" ht="38.25" customHeight="1">
      <c r="A19" s="69">
        <v>13.0</v>
      </c>
      <c r="B19" s="413">
        <v>45051.0</v>
      </c>
      <c r="C19" s="1139">
        <v>1.697317029864E12</v>
      </c>
      <c r="D19" s="68" t="s">
        <v>1118</v>
      </c>
      <c r="E19" s="71" t="s">
        <v>1119</v>
      </c>
      <c r="F19" s="1140" t="s">
        <v>1120</v>
      </c>
      <c r="G19" s="63" t="s">
        <v>30</v>
      </c>
      <c r="H19" s="64">
        <v>5.0</v>
      </c>
      <c r="I19" s="975">
        <v>220000.0</v>
      </c>
      <c r="J19" s="48">
        <f t="shared" si="2"/>
        <v>1100000</v>
      </c>
      <c r="K19" s="76">
        <f>SUM(J19)</f>
        <v>1100000</v>
      </c>
      <c r="L19" s="89"/>
      <c r="M19" s="79"/>
      <c r="N19" s="80">
        <f t="shared" ref="N19:N20" si="6">K19+L19-M19</f>
        <v>1100000</v>
      </c>
      <c r="O19" s="81" t="s">
        <v>449</v>
      </c>
      <c r="P19" s="81" t="s">
        <v>31</v>
      </c>
      <c r="Q19" s="82">
        <v>62998.0</v>
      </c>
      <c r="R19" s="83" t="s">
        <v>32</v>
      </c>
      <c r="S19" s="84" t="s">
        <v>33</v>
      </c>
      <c r="T19" s="419"/>
      <c r="U19" s="419"/>
      <c r="V19" s="412"/>
      <c r="W19" s="693"/>
      <c r="X19" s="65" t="s">
        <v>93</v>
      </c>
      <c r="Y19" s="66">
        <v>90000.0</v>
      </c>
      <c r="Z19" s="25"/>
      <c r="AA19" s="25"/>
      <c r="AB19" s="25"/>
      <c r="AC19" s="22"/>
    </row>
    <row r="20" ht="38.25" customHeight="1">
      <c r="A20" s="111">
        <v>14.0</v>
      </c>
      <c r="B20" s="416">
        <v>45051.0</v>
      </c>
      <c r="C20" s="1135">
        <v>1.705554838051E12</v>
      </c>
      <c r="D20" s="148" t="s">
        <v>902</v>
      </c>
      <c r="E20" s="143" t="s">
        <v>441</v>
      </c>
      <c r="F20" s="1150" t="s">
        <v>831</v>
      </c>
      <c r="G20" s="63" t="s">
        <v>37</v>
      </c>
      <c r="H20" s="64">
        <v>4.0</v>
      </c>
      <c r="I20" s="975">
        <v>220000.0</v>
      </c>
      <c r="J20" s="577">
        <f t="shared" si="2"/>
        <v>880000</v>
      </c>
      <c r="K20" s="49">
        <f>SUM(J20:J21)</f>
        <v>3520000</v>
      </c>
      <c r="L20" s="50"/>
      <c r="M20" s="52"/>
      <c r="N20" s="53">
        <f t="shared" si="6"/>
        <v>3520000</v>
      </c>
      <c r="O20" s="99" t="s">
        <v>449</v>
      </c>
      <c r="P20" s="99" t="s">
        <v>31</v>
      </c>
      <c r="Q20" s="145">
        <v>192088.0</v>
      </c>
      <c r="R20" s="56" t="s">
        <v>32</v>
      </c>
      <c r="S20" s="57" t="s">
        <v>33</v>
      </c>
      <c r="T20" s="142" t="s">
        <v>147</v>
      </c>
      <c r="U20" s="142">
        <v>12.0</v>
      </c>
      <c r="V20" s="147"/>
      <c r="W20" s="1031"/>
      <c r="X20" s="65" t="s">
        <v>94</v>
      </c>
      <c r="Y20" s="66">
        <v>140000.0</v>
      </c>
      <c r="Z20" s="25"/>
      <c r="AA20" s="25"/>
      <c r="AB20" s="25"/>
      <c r="AC20" s="22"/>
    </row>
    <row r="21" ht="23.25" customHeight="1">
      <c r="A21" s="67"/>
      <c r="B21" s="67"/>
      <c r="C21" s="67"/>
      <c r="D21" s="67"/>
      <c r="E21" s="67"/>
      <c r="F21" s="67"/>
      <c r="G21" s="63" t="s">
        <v>122</v>
      </c>
      <c r="H21" s="64">
        <v>12.0</v>
      </c>
      <c r="I21" s="975">
        <v>220000.0</v>
      </c>
      <c r="J21" s="577">
        <f t="shared" si="2"/>
        <v>2640000</v>
      </c>
      <c r="K21" s="67"/>
      <c r="L21" s="67"/>
      <c r="M21" s="67"/>
      <c r="N21" s="67"/>
      <c r="O21" s="67"/>
      <c r="P21" s="67"/>
      <c r="Q21" s="67"/>
      <c r="R21" s="67"/>
      <c r="S21" s="67"/>
      <c r="T21" s="67"/>
      <c r="U21" s="67"/>
      <c r="V21" s="67"/>
      <c r="W21" s="67"/>
      <c r="X21" s="65" t="s">
        <v>97</v>
      </c>
      <c r="Y21" s="66">
        <v>95000.0</v>
      </c>
      <c r="Z21" s="25"/>
      <c r="AA21" s="25"/>
      <c r="AB21" s="25"/>
      <c r="AC21" s="22"/>
    </row>
    <row r="22" ht="23.25" customHeight="1">
      <c r="A22" s="111">
        <v>15.0</v>
      </c>
      <c r="B22" s="40">
        <v>45052.0</v>
      </c>
      <c r="C22" s="1135">
        <v>1.684042316678E12</v>
      </c>
      <c r="D22" s="1347" t="s">
        <v>1017</v>
      </c>
      <c r="E22" s="1348" t="s">
        <v>1018</v>
      </c>
      <c r="F22" s="1349" t="s">
        <v>1019</v>
      </c>
      <c r="G22" s="63" t="s">
        <v>165</v>
      </c>
      <c r="H22" s="64">
        <v>1.0</v>
      </c>
      <c r="I22" s="975">
        <v>220000.0</v>
      </c>
      <c r="J22" s="48">
        <f t="shared" si="2"/>
        <v>220000</v>
      </c>
      <c r="K22" s="49">
        <f>SUM(J22:J24)</f>
        <v>660000</v>
      </c>
      <c r="L22" s="146"/>
      <c r="M22" s="52"/>
      <c r="N22" s="53">
        <f>K22+L22-M22</f>
        <v>660000</v>
      </c>
      <c r="O22" s="99" t="s">
        <v>449</v>
      </c>
      <c r="P22" s="99" t="s">
        <v>31</v>
      </c>
      <c r="Q22" s="145">
        <v>51999.0</v>
      </c>
      <c r="R22" s="56" t="s">
        <v>32</v>
      </c>
      <c r="S22" s="57" t="s">
        <v>33</v>
      </c>
      <c r="T22" s="142" t="s">
        <v>147</v>
      </c>
      <c r="U22" s="142">
        <v>1.0</v>
      </c>
      <c r="V22" s="147"/>
      <c r="W22" s="1031"/>
      <c r="X22" s="65" t="s">
        <v>99</v>
      </c>
      <c r="Y22" s="66">
        <v>140000.0</v>
      </c>
      <c r="Z22" s="25"/>
      <c r="AA22" s="25"/>
      <c r="AB22" s="25"/>
      <c r="AC22" s="22"/>
    </row>
    <row r="23" ht="23.25" customHeight="1">
      <c r="A23" s="62"/>
      <c r="B23" s="62"/>
      <c r="C23" s="62"/>
      <c r="D23" s="62"/>
      <c r="E23" s="62"/>
      <c r="F23" s="423"/>
      <c r="G23" s="63" t="s">
        <v>122</v>
      </c>
      <c r="H23" s="64">
        <v>1.0</v>
      </c>
      <c r="I23" s="975">
        <v>220000.0</v>
      </c>
      <c r="J23" s="48">
        <f t="shared" si="2"/>
        <v>220000</v>
      </c>
      <c r="K23" s="62"/>
      <c r="L23" s="62"/>
      <c r="M23" s="62"/>
      <c r="N23" s="62"/>
      <c r="O23" s="62"/>
      <c r="P23" s="62"/>
      <c r="Q23" s="62"/>
      <c r="R23" s="62"/>
      <c r="S23" s="62"/>
      <c r="T23" s="62"/>
      <c r="U23" s="62"/>
      <c r="V23" s="62"/>
      <c r="W23" s="62"/>
      <c r="X23" s="65" t="s">
        <v>101</v>
      </c>
      <c r="Y23" s="66">
        <v>150000.0</v>
      </c>
      <c r="Z23" s="25"/>
      <c r="AA23" s="25"/>
      <c r="AB23" s="25"/>
      <c r="AC23" s="22"/>
    </row>
    <row r="24" ht="23.25" customHeight="1">
      <c r="A24" s="67"/>
      <c r="B24" s="67"/>
      <c r="C24" s="67"/>
      <c r="D24" s="67"/>
      <c r="E24" s="67"/>
      <c r="F24" s="102"/>
      <c r="G24" s="68" t="s">
        <v>144</v>
      </c>
      <c r="H24" s="69">
        <v>1.0</v>
      </c>
      <c r="I24" s="975">
        <v>220000.0</v>
      </c>
      <c r="J24" s="48">
        <f t="shared" si="2"/>
        <v>220000</v>
      </c>
      <c r="K24" s="67"/>
      <c r="L24" s="67"/>
      <c r="M24" s="67"/>
      <c r="N24" s="67"/>
      <c r="O24" s="67"/>
      <c r="P24" s="67"/>
      <c r="Q24" s="67"/>
      <c r="R24" s="67"/>
      <c r="S24" s="67"/>
      <c r="T24" s="67"/>
      <c r="U24" s="67"/>
      <c r="V24" s="67"/>
      <c r="W24" s="67"/>
      <c r="X24" s="65" t="s">
        <v>109</v>
      </c>
      <c r="Y24" s="66">
        <v>125000.0</v>
      </c>
      <c r="Z24" s="25"/>
      <c r="AA24" s="25"/>
      <c r="AB24" s="25"/>
      <c r="AC24" s="22"/>
    </row>
    <row r="25" ht="23.25" customHeight="1">
      <c r="A25" s="111">
        <v>16.0</v>
      </c>
      <c r="B25" s="40">
        <v>45052.0</v>
      </c>
      <c r="C25" s="1135">
        <v>1.684112843052E12</v>
      </c>
      <c r="D25" s="148" t="s">
        <v>1991</v>
      </c>
      <c r="E25" s="1348" t="s">
        <v>1992</v>
      </c>
      <c r="F25" s="1349" t="s">
        <v>2041</v>
      </c>
      <c r="G25" s="1350" t="s">
        <v>165</v>
      </c>
      <c r="H25" s="69">
        <v>1.0</v>
      </c>
      <c r="I25" s="975">
        <v>220000.0</v>
      </c>
      <c r="J25" s="48">
        <f t="shared" si="2"/>
        <v>220000</v>
      </c>
      <c r="K25" s="49">
        <f>SUM(J25:J26)</f>
        <v>660000</v>
      </c>
      <c r="L25" s="146"/>
      <c r="M25" s="52"/>
      <c r="N25" s="53">
        <f>K25+L25-M25</f>
        <v>660000</v>
      </c>
      <c r="O25" s="99" t="s">
        <v>449</v>
      </c>
      <c r="P25" s="99" t="s">
        <v>31</v>
      </c>
      <c r="Q25" s="145">
        <v>41999.0</v>
      </c>
      <c r="R25" s="56" t="s">
        <v>32</v>
      </c>
      <c r="S25" s="57" t="s">
        <v>33</v>
      </c>
      <c r="T25" s="147"/>
      <c r="U25" s="147"/>
      <c r="V25" s="147"/>
      <c r="W25" s="1351"/>
      <c r="X25" s="65" t="s">
        <v>113</v>
      </c>
      <c r="Y25" s="66">
        <v>75000.0</v>
      </c>
      <c r="Z25" s="25"/>
      <c r="AA25" s="25"/>
      <c r="AB25" s="25"/>
      <c r="AC25" s="22"/>
    </row>
    <row r="26" ht="23.25" customHeight="1">
      <c r="A26" s="67"/>
      <c r="B26" s="67"/>
      <c r="C26" s="67"/>
      <c r="D26" s="67"/>
      <c r="E26" s="67"/>
      <c r="F26" s="102"/>
      <c r="G26" s="1350" t="s">
        <v>516</v>
      </c>
      <c r="H26" s="69">
        <v>2.0</v>
      </c>
      <c r="I26" s="975">
        <v>220000.0</v>
      </c>
      <c r="J26" s="48">
        <f t="shared" si="2"/>
        <v>440000</v>
      </c>
      <c r="K26" s="67"/>
      <c r="L26" s="67"/>
      <c r="M26" s="67"/>
      <c r="N26" s="67"/>
      <c r="O26" s="67"/>
      <c r="P26" s="67"/>
      <c r="Q26" s="67"/>
      <c r="R26" s="67"/>
      <c r="S26" s="67"/>
      <c r="T26" s="67"/>
      <c r="U26" s="67"/>
      <c r="V26" s="67"/>
      <c r="W26" s="67"/>
      <c r="X26" s="65" t="s">
        <v>116</v>
      </c>
      <c r="Y26" s="66">
        <v>475000.0</v>
      </c>
      <c r="Z26" s="25"/>
      <c r="AA26" s="25"/>
      <c r="AB26" s="25"/>
      <c r="AC26" s="22"/>
    </row>
    <row r="27" ht="23.25" customHeight="1">
      <c r="A27" s="64">
        <v>17.0</v>
      </c>
      <c r="B27" s="132">
        <v>45052.0</v>
      </c>
      <c r="C27" s="1240">
        <v>1.684226133441E12</v>
      </c>
      <c r="D27" s="63" t="s">
        <v>1820</v>
      </c>
      <c r="E27" s="1044" t="s">
        <v>2042</v>
      </c>
      <c r="F27" s="1352" t="s">
        <v>2043</v>
      </c>
      <c r="G27" s="1353" t="s">
        <v>30</v>
      </c>
      <c r="H27" s="64">
        <v>1.0</v>
      </c>
      <c r="I27" s="975">
        <v>220000.0</v>
      </c>
      <c r="J27" s="48">
        <f t="shared" si="2"/>
        <v>220000</v>
      </c>
      <c r="K27" s="76">
        <f>SUM(J27)</f>
        <v>220000</v>
      </c>
      <c r="L27" s="568">
        <v>40000.0</v>
      </c>
      <c r="M27" s="115">
        <v>20000.0</v>
      </c>
      <c r="N27" s="80">
        <f t="shared" ref="N27:N28" si="7">K27+L27-M27</f>
        <v>240000</v>
      </c>
      <c r="O27" s="81" t="s">
        <v>449</v>
      </c>
      <c r="P27" s="81" t="s">
        <v>31</v>
      </c>
      <c r="Q27" s="90"/>
      <c r="R27" s="91"/>
      <c r="S27" s="84" t="s">
        <v>33</v>
      </c>
      <c r="T27" s="85"/>
      <c r="U27" s="414"/>
      <c r="V27" s="86"/>
      <c r="W27" s="693"/>
      <c r="X27" s="85" t="s">
        <v>121</v>
      </c>
      <c r="Y27" s="128">
        <v>220000.0</v>
      </c>
      <c r="Z27" s="25"/>
      <c r="AA27" s="25"/>
      <c r="AB27" s="25"/>
      <c r="AC27" s="22"/>
    </row>
    <row r="28" ht="23.25" customHeight="1">
      <c r="A28" s="39">
        <v>18.0</v>
      </c>
      <c r="B28" s="125">
        <v>45052.0</v>
      </c>
      <c r="C28" s="1146">
        <v>1.684330133996E12</v>
      </c>
      <c r="D28" s="126" t="s">
        <v>209</v>
      </c>
      <c r="E28" s="1354" t="s">
        <v>210</v>
      </c>
      <c r="F28" s="1349" t="s">
        <v>2044</v>
      </c>
      <c r="G28" s="63" t="s">
        <v>165</v>
      </c>
      <c r="H28" s="64">
        <v>2.0</v>
      </c>
      <c r="I28" s="975">
        <v>220000.0</v>
      </c>
      <c r="J28" s="48">
        <f t="shared" si="2"/>
        <v>440000</v>
      </c>
      <c r="K28" s="49">
        <f>SUM(J28:J29)</f>
        <v>880000</v>
      </c>
      <c r="L28" s="127"/>
      <c r="M28" s="52"/>
      <c r="N28" s="53">
        <f t="shared" si="7"/>
        <v>880000</v>
      </c>
      <c r="O28" s="99" t="s">
        <v>449</v>
      </c>
      <c r="P28" s="99" t="s">
        <v>31</v>
      </c>
      <c r="Q28" s="55">
        <v>50998.0</v>
      </c>
      <c r="R28" s="56" t="s">
        <v>32</v>
      </c>
      <c r="S28" s="57" t="s">
        <v>33</v>
      </c>
      <c r="T28" s="126" t="s">
        <v>147</v>
      </c>
      <c r="U28" s="1355">
        <v>2.0</v>
      </c>
      <c r="V28" s="58"/>
      <c r="W28" s="1031"/>
      <c r="X28" s="85" t="s">
        <v>123</v>
      </c>
      <c r="Y28" s="128">
        <v>220000.0</v>
      </c>
      <c r="Z28" s="25"/>
      <c r="AA28" s="25"/>
      <c r="AB28" s="25"/>
      <c r="AC28" s="22"/>
    </row>
    <row r="29" ht="23.25" customHeight="1">
      <c r="A29" s="67"/>
      <c r="B29" s="67"/>
      <c r="C29" s="67"/>
      <c r="D29" s="67"/>
      <c r="E29" s="67"/>
      <c r="F29" s="102"/>
      <c r="G29" s="63" t="s">
        <v>37</v>
      </c>
      <c r="H29" s="64">
        <v>2.0</v>
      </c>
      <c r="I29" s="975">
        <v>220000.0</v>
      </c>
      <c r="J29" s="48">
        <f t="shared" si="2"/>
        <v>440000</v>
      </c>
      <c r="K29" s="67"/>
      <c r="L29" s="67"/>
      <c r="M29" s="67"/>
      <c r="N29" s="67"/>
      <c r="O29" s="67"/>
      <c r="P29" s="67"/>
      <c r="Q29" s="67"/>
      <c r="R29" s="67"/>
      <c r="S29" s="67"/>
      <c r="T29" s="67"/>
      <c r="U29" s="67"/>
      <c r="V29" s="67"/>
      <c r="W29" s="67"/>
      <c r="X29" s="85" t="s">
        <v>124</v>
      </c>
      <c r="Y29" s="128">
        <v>220000.0</v>
      </c>
      <c r="Z29" s="25"/>
      <c r="AA29" s="25"/>
      <c r="AB29" s="25"/>
      <c r="AC29" s="22"/>
    </row>
    <row r="30" ht="33.75" customHeight="1">
      <c r="A30" s="64">
        <v>19.0</v>
      </c>
      <c r="B30" s="1356">
        <v>45052.0</v>
      </c>
      <c r="C30" s="1357">
        <v>1.69160247917E12</v>
      </c>
      <c r="D30" s="1350" t="s">
        <v>2045</v>
      </c>
      <c r="E30" s="131" t="s">
        <v>2046</v>
      </c>
      <c r="F30" s="1358" t="s">
        <v>2047</v>
      </c>
      <c r="G30" s="63" t="s">
        <v>30</v>
      </c>
      <c r="H30" s="64">
        <v>1.0</v>
      </c>
      <c r="I30" s="975">
        <v>220000.0</v>
      </c>
      <c r="J30" s="48">
        <f t="shared" si="2"/>
        <v>220000</v>
      </c>
      <c r="K30" s="76">
        <f t="shared" ref="K30:K31" si="8">SUM(J30)</f>
        <v>220000</v>
      </c>
      <c r="L30" s="568">
        <v>45000.0</v>
      </c>
      <c r="M30" s="115">
        <v>25000.0</v>
      </c>
      <c r="N30" s="80">
        <f t="shared" ref="N30:N32" si="9">K30+L30-M30</f>
        <v>240000</v>
      </c>
      <c r="O30" s="81" t="s">
        <v>449</v>
      </c>
      <c r="P30" s="81" t="s">
        <v>31</v>
      </c>
      <c r="Q30" s="90"/>
      <c r="R30" s="91"/>
      <c r="S30" s="84" t="s">
        <v>33</v>
      </c>
      <c r="T30" s="419"/>
      <c r="U30" s="419"/>
      <c r="V30" s="576"/>
      <c r="W30" s="693"/>
      <c r="X30" s="129" t="s">
        <v>125</v>
      </c>
      <c r="Y30" s="80">
        <v>220000.0</v>
      </c>
      <c r="Z30" s="25"/>
      <c r="AA30" s="25"/>
      <c r="AB30" s="25"/>
      <c r="AC30" s="22"/>
    </row>
    <row r="31" ht="33.75" customHeight="1">
      <c r="A31" s="93">
        <v>20.0</v>
      </c>
      <c r="B31" s="120">
        <v>45054.0</v>
      </c>
      <c r="C31" s="1152">
        <v>1.710574098245E12</v>
      </c>
      <c r="D31" s="155" t="s">
        <v>902</v>
      </c>
      <c r="E31" s="105" t="s">
        <v>441</v>
      </c>
      <c r="F31" s="1359" t="s">
        <v>831</v>
      </c>
      <c r="G31" s="63" t="s">
        <v>122</v>
      </c>
      <c r="H31" s="64">
        <v>1.0</v>
      </c>
      <c r="I31" s="459"/>
      <c r="J31" s="48">
        <f t="shared" si="2"/>
        <v>0</v>
      </c>
      <c r="K31" s="76">
        <f t="shared" si="8"/>
        <v>0</v>
      </c>
      <c r="L31" s="65"/>
      <c r="M31" s="79"/>
      <c r="N31" s="80">
        <f t="shared" si="9"/>
        <v>0</v>
      </c>
      <c r="O31" s="81" t="s">
        <v>449</v>
      </c>
      <c r="P31" s="81" t="s">
        <v>31</v>
      </c>
      <c r="Q31" s="108">
        <v>48500.0</v>
      </c>
      <c r="R31" s="83" t="s">
        <v>32</v>
      </c>
      <c r="S31" s="84" t="s">
        <v>33</v>
      </c>
      <c r="T31" s="122"/>
      <c r="U31" s="122"/>
      <c r="V31" s="576" t="s">
        <v>2048</v>
      </c>
      <c r="W31" s="693"/>
      <c r="X31" s="129" t="s">
        <v>129</v>
      </c>
      <c r="Y31" s="80">
        <v>220000.0</v>
      </c>
      <c r="Z31" s="25"/>
      <c r="AA31" s="25"/>
      <c r="AB31" s="25"/>
      <c r="AC31" s="22"/>
    </row>
    <row r="32" ht="23.25" customHeight="1">
      <c r="A32" s="39">
        <v>21.0</v>
      </c>
      <c r="B32" s="125">
        <v>45054.0</v>
      </c>
      <c r="C32" s="1146">
        <v>1.710223488338E12</v>
      </c>
      <c r="D32" s="149" t="s">
        <v>171</v>
      </c>
      <c r="E32" s="143" t="s">
        <v>172</v>
      </c>
      <c r="F32" s="1150" t="s">
        <v>1421</v>
      </c>
      <c r="G32" s="63" t="s">
        <v>30</v>
      </c>
      <c r="H32" s="64">
        <v>1.0</v>
      </c>
      <c r="I32" s="975">
        <v>220000.0</v>
      </c>
      <c r="J32" s="48">
        <f t="shared" si="2"/>
        <v>220000</v>
      </c>
      <c r="K32" s="49">
        <f>SUM(J32:J33)</f>
        <v>660000</v>
      </c>
      <c r="L32" s="127"/>
      <c r="M32" s="52"/>
      <c r="N32" s="53">
        <f t="shared" si="9"/>
        <v>660000</v>
      </c>
      <c r="O32" s="99" t="s">
        <v>449</v>
      </c>
      <c r="P32" s="99" t="s">
        <v>31</v>
      </c>
      <c r="Q32" s="55">
        <v>53999.0</v>
      </c>
      <c r="R32" s="56" t="s">
        <v>32</v>
      </c>
      <c r="S32" s="57" t="s">
        <v>33</v>
      </c>
      <c r="T32" s="100"/>
      <c r="U32" s="977"/>
      <c r="V32" s="58"/>
      <c r="W32" s="1038">
        <v>1.0</v>
      </c>
      <c r="X32" s="85" t="s">
        <v>133</v>
      </c>
      <c r="Y32" s="128">
        <v>220000.0</v>
      </c>
      <c r="Z32" s="25"/>
      <c r="AA32" s="25"/>
      <c r="AB32" s="25"/>
      <c r="AC32" s="22"/>
    </row>
    <row r="33" ht="23.25" customHeight="1">
      <c r="A33" s="67"/>
      <c r="B33" s="67"/>
      <c r="C33" s="67"/>
      <c r="D33" s="67"/>
      <c r="E33" s="67"/>
      <c r="F33" s="67"/>
      <c r="G33" s="63" t="s">
        <v>35</v>
      </c>
      <c r="H33" s="64">
        <v>2.0</v>
      </c>
      <c r="I33" s="975">
        <v>220000.0</v>
      </c>
      <c r="J33" s="48">
        <f t="shared" si="2"/>
        <v>440000</v>
      </c>
      <c r="K33" s="67"/>
      <c r="L33" s="67"/>
      <c r="M33" s="67"/>
      <c r="N33" s="67"/>
      <c r="O33" s="67"/>
      <c r="P33" s="67"/>
      <c r="Q33" s="67"/>
      <c r="R33" s="67"/>
      <c r="S33" s="67"/>
      <c r="T33" s="67"/>
      <c r="U33" s="67"/>
      <c r="V33" s="67"/>
      <c r="W33" s="67"/>
      <c r="X33" s="85" t="s">
        <v>135</v>
      </c>
      <c r="Y33" s="128">
        <v>220000.0</v>
      </c>
      <c r="Z33" s="25"/>
      <c r="AA33" s="25"/>
      <c r="AB33" s="25"/>
      <c r="AC33" s="22"/>
    </row>
    <row r="34" ht="23.25" customHeight="1">
      <c r="A34" s="64">
        <v>22.0</v>
      </c>
      <c r="B34" s="132">
        <v>45055.0</v>
      </c>
      <c r="C34" s="1240">
        <v>1.686303456992E12</v>
      </c>
      <c r="D34" s="63" t="s">
        <v>206</v>
      </c>
      <c r="E34" s="131" t="s">
        <v>207</v>
      </c>
      <c r="F34" s="63" t="s">
        <v>2049</v>
      </c>
      <c r="G34" s="63" t="s">
        <v>37</v>
      </c>
      <c r="H34" s="64">
        <v>8.0</v>
      </c>
      <c r="I34" s="975">
        <v>220000.0</v>
      </c>
      <c r="J34" s="48">
        <f t="shared" si="2"/>
        <v>1760000</v>
      </c>
      <c r="K34" s="76">
        <f t="shared" ref="K34:K36" si="10">SUM(J34)</f>
        <v>1760000</v>
      </c>
      <c r="L34" s="77"/>
      <c r="M34" s="79"/>
      <c r="N34" s="80">
        <f t="shared" ref="N34:N37" si="11">K34+L34-M34</f>
        <v>1760000</v>
      </c>
      <c r="O34" s="81" t="s">
        <v>449</v>
      </c>
      <c r="P34" s="81" t="s">
        <v>31</v>
      </c>
      <c r="Q34" s="82">
        <v>74499.0</v>
      </c>
      <c r="R34" s="83" t="s">
        <v>32</v>
      </c>
      <c r="S34" s="84" t="s">
        <v>33</v>
      </c>
      <c r="T34" s="85"/>
      <c r="U34" s="414"/>
      <c r="V34" s="86"/>
      <c r="W34" s="693"/>
      <c r="X34" s="85" t="s">
        <v>139</v>
      </c>
      <c r="Y34" s="128">
        <v>80000.0</v>
      </c>
      <c r="Z34" s="25"/>
      <c r="AA34" s="25"/>
      <c r="AB34" s="25"/>
      <c r="AC34" s="22"/>
    </row>
    <row r="35" ht="36.75" customHeight="1">
      <c r="A35" s="64">
        <v>23.0</v>
      </c>
      <c r="B35" s="132">
        <v>45057.0</v>
      </c>
      <c r="C35" s="1240">
        <v>1.688286604636E12</v>
      </c>
      <c r="D35" s="63" t="s">
        <v>1934</v>
      </c>
      <c r="E35" s="131" t="s">
        <v>2050</v>
      </c>
      <c r="F35" s="63" t="s">
        <v>2051</v>
      </c>
      <c r="G35" s="63" t="s">
        <v>30</v>
      </c>
      <c r="H35" s="64">
        <v>1.0</v>
      </c>
      <c r="I35" s="975">
        <v>220000.0</v>
      </c>
      <c r="J35" s="48">
        <f t="shared" si="2"/>
        <v>220000</v>
      </c>
      <c r="K35" s="76">
        <f t="shared" si="10"/>
        <v>220000</v>
      </c>
      <c r="L35" s="114">
        <v>45000.0</v>
      </c>
      <c r="M35" s="115">
        <v>25000.0</v>
      </c>
      <c r="N35" s="80">
        <f t="shared" si="11"/>
        <v>240000</v>
      </c>
      <c r="O35" s="81" t="s">
        <v>449</v>
      </c>
      <c r="P35" s="81" t="s">
        <v>31</v>
      </c>
      <c r="Q35" s="90"/>
      <c r="R35" s="91"/>
      <c r="S35" s="84" t="s">
        <v>33</v>
      </c>
      <c r="T35" s="419"/>
      <c r="U35" s="419"/>
      <c r="V35" s="412"/>
      <c r="W35" s="693"/>
      <c r="X35" s="85" t="s">
        <v>142</v>
      </c>
      <c r="Y35" s="128">
        <v>220000.0</v>
      </c>
      <c r="Z35" s="25"/>
      <c r="AA35" s="25"/>
      <c r="AB35" s="25"/>
      <c r="AC35" s="22"/>
    </row>
    <row r="36" ht="23.25" customHeight="1">
      <c r="A36" s="93">
        <v>24.0</v>
      </c>
      <c r="B36" s="132">
        <v>45057.0</v>
      </c>
      <c r="C36" s="1152">
        <v>1.706462076779E12</v>
      </c>
      <c r="D36" s="155" t="s">
        <v>2052</v>
      </c>
      <c r="E36" s="105" t="s">
        <v>2053</v>
      </c>
      <c r="F36" s="1359" t="s">
        <v>2054</v>
      </c>
      <c r="G36" s="63" t="s">
        <v>144</v>
      </c>
      <c r="H36" s="64">
        <v>1.0</v>
      </c>
      <c r="I36" s="975">
        <v>220000.0</v>
      </c>
      <c r="J36" s="48">
        <f t="shared" si="2"/>
        <v>220000</v>
      </c>
      <c r="K36" s="76">
        <f t="shared" si="10"/>
        <v>220000</v>
      </c>
      <c r="L36" s="108">
        <v>38000.0</v>
      </c>
      <c r="M36" s="115">
        <v>18000.0</v>
      </c>
      <c r="N36" s="80">
        <f t="shared" si="11"/>
        <v>240000</v>
      </c>
      <c r="O36" s="81" t="s">
        <v>449</v>
      </c>
      <c r="P36" s="81" t="s">
        <v>31</v>
      </c>
      <c r="Q36" s="65"/>
      <c r="R36" s="91"/>
      <c r="S36" s="84" t="s">
        <v>33</v>
      </c>
      <c r="T36" s="122"/>
      <c r="U36" s="122"/>
      <c r="V36" s="122"/>
      <c r="W36" s="693"/>
      <c r="X36" s="85" t="s">
        <v>145</v>
      </c>
      <c r="Y36" s="128">
        <v>220000.0</v>
      </c>
      <c r="Z36" s="25"/>
      <c r="AA36" s="25"/>
      <c r="AB36" s="25"/>
      <c r="AC36" s="22"/>
    </row>
    <row r="37" ht="23.25" customHeight="1">
      <c r="A37" s="111">
        <v>25.0</v>
      </c>
      <c r="B37" s="125">
        <v>45058.0</v>
      </c>
      <c r="C37" s="146"/>
      <c r="D37" s="148" t="s">
        <v>1963</v>
      </c>
      <c r="E37" s="143" t="s">
        <v>1964</v>
      </c>
      <c r="F37" s="44" t="s">
        <v>1965</v>
      </c>
      <c r="G37" s="63" t="s">
        <v>382</v>
      </c>
      <c r="H37" s="64">
        <v>1.0</v>
      </c>
      <c r="I37" s="975">
        <v>220000.0</v>
      </c>
      <c r="J37" s="48">
        <f t="shared" si="2"/>
        <v>220000</v>
      </c>
      <c r="K37" s="49">
        <f>SUM(J37:J39)</f>
        <v>345000</v>
      </c>
      <c r="L37" s="146"/>
      <c r="M37" s="52"/>
      <c r="N37" s="53">
        <f t="shared" si="11"/>
        <v>345000</v>
      </c>
      <c r="O37" s="99" t="s">
        <v>449</v>
      </c>
      <c r="P37" s="99" t="s">
        <v>31</v>
      </c>
      <c r="Q37" s="146"/>
      <c r="R37" s="119"/>
      <c r="S37" s="57" t="s">
        <v>33</v>
      </c>
      <c r="T37" s="147"/>
      <c r="U37" s="147"/>
      <c r="V37" s="142" t="s">
        <v>2055</v>
      </c>
      <c r="W37" s="693"/>
      <c r="X37" s="85" t="s">
        <v>153</v>
      </c>
      <c r="Y37" s="128">
        <v>45000.0</v>
      </c>
      <c r="Z37" s="25"/>
      <c r="AA37" s="25"/>
      <c r="AB37" s="25"/>
      <c r="AC37" s="22"/>
    </row>
    <row r="38" ht="23.25" customHeight="1">
      <c r="A38" s="62"/>
      <c r="B38" s="62"/>
      <c r="C38" s="62"/>
      <c r="D38" s="62"/>
      <c r="E38" s="62"/>
      <c r="F38" s="62"/>
      <c r="G38" s="63" t="s">
        <v>457</v>
      </c>
      <c r="H38" s="64">
        <v>1.0</v>
      </c>
      <c r="I38" s="975">
        <v>45000.0</v>
      </c>
      <c r="J38" s="48">
        <f t="shared" si="2"/>
        <v>45000</v>
      </c>
      <c r="K38" s="62"/>
      <c r="L38" s="62"/>
      <c r="M38" s="62"/>
      <c r="N38" s="62"/>
      <c r="O38" s="62"/>
      <c r="P38" s="62"/>
      <c r="Q38" s="62"/>
      <c r="R38" s="62"/>
      <c r="S38" s="62"/>
      <c r="T38" s="62"/>
      <c r="U38" s="62"/>
      <c r="V38" s="62"/>
      <c r="W38" s="693"/>
      <c r="X38" s="139" t="s">
        <v>151</v>
      </c>
      <c r="Y38" s="140">
        <v>220000.0</v>
      </c>
      <c r="Z38" s="25"/>
      <c r="AA38" s="25"/>
      <c r="AB38" s="25"/>
      <c r="AC38" s="22"/>
    </row>
    <row r="39" ht="23.25" customHeight="1">
      <c r="A39" s="67"/>
      <c r="B39" s="67"/>
      <c r="C39" s="67"/>
      <c r="D39" s="67"/>
      <c r="E39" s="67"/>
      <c r="F39" s="67"/>
      <c r="G39" s="63" t="s">
        <v>147</v>
      </c>
      <c r="H39" s="64">
        <v>1.0</v>
      </c>
      <c r="I39" s="975">
        <v>80000.0</v>
      </c>
      <c r="J39" s="48">
        <f t="shared" si="2"/>
        <v>80000</v>
      </c>
      <c r="K39" s="67"/>
      <c r="L39" s="67"/>
      <c r="M39" s="67"/>
      <c r="N39" s="67"/>
      <c r="O39" s="67"/>
      <c r="P39" s="67"/>
      <c r="Q39" s="67"/>
      <c r="R39" s="67"/>
      <c r="S39" s="67"/>
      <c r="T39" s="67"/>
      <c r="U39" s="67"/>
      <c r="V39" s="67"/>
      <c r="W39" s="693"/>
      <c r="X39" s="65" t="s">
        <v>148</v>
      </c>
      <c r="Y39" s="66">
        <v>220000.0</v>
      </c>
      <c r="Z39" s="25"/>
      <c r="AA39" s="25"/>
      <c r="AB39" s="25"/>
      <c r="AC39" s="22"/>
    </row>
    <row r="40" ht="23.25" customHeight="1">
      <c r="A40" s="111">
        <v>26.0</v>
      </c>
      <c r="B40" s="40">
        <v>45061.0</v>
      </c>
      <c r="C40" s="111">
        <v>1.703954683625E12</v>
      </c>
      <c r="D40" s="148" t="s">
        <v>2056</v>
      </c>
      <c r="E40" s="143" t="s">
        <v>2057</v>
      </c>
      <c r="F40" s="148" t="s">
        <v>2058</v>
      </c>
      <c r="G40" s="63" t="s">
        <v>30</v>
      </c>
      <c r="H40" s="64">
        <v>1.0</v>
      </c>
      <c r="I40" s="975">
        <v>220000.0</v>
      </c>
      <c r="J40" s="48">
        <f t="shared" si="2"/>
        <v>220000</v>
      </c>
      <c r="K40" s="49">
        <f>SUM(J40:J41)</f>
        <v>440000</v>
      </c>
      <c r="L40" s="418">
        <v>36000.0</v>
      </c>
      <c r="M40" s="117">
        <v>6000.0</v>
      </c>
      <c r="N40" s="53">
        <f>K40+L40-M40</f>
        <v>470000</v>
      </c>
      <c r="O40" s="99" t="s">
        <v>449</v>
      </c>
      <c r="P40" s="99" t="s">
        <v>31</v>
      </c>
      <c r="Q40" s="55"/>
      <c r="R40" s="56"/>
      <c r="S40" s="57" t="s">
        <v>33</v>
      </c>
      <c r="T40" s="100"/>
      <c r="U40" s="977"/>
      <c r="V40" s="58"/>
      <c r="W40" s="1038"/>
      <c r="X40" s="93" t="s">
        <v>488</v>
      </c>
      <c r="Y40" s="87">
        <v>45000.0</v>
      </c>
      <c r="Z40" s="25"/>
      <c r="AA40" s="25"/>
      <c r="AB40" s="25"/>
      <c r="AC40" s="22"/>
    </row>
    <row r="41" ht="23.25" customHeight="1">
      <c r="A41" s="67"/>
      <c r="B41" s="67"/>
      <c r="C41" s="67"/>
      <c r="D41" s="67"/>
      <c r="E41" s="67"/>
      <c r="F41" s="67"/>
      <c r="G41" s="63" t="s">
        <v>1559</v>
      </c>
      <c r="H41" s="64">
        <v>1.0</v>
      </c>
      <c r="I41" s="975">
        <v>220000.0</v>
      </c>
      <c r="J41" s="48">
        <f t="shared" si="2"/>
        <v>220000</v>
      </c>
      <c r="K41" s="67"/>
      <c r="L41" s="67"/>
      <c r="M41" s="67"/>
      <c r="N41" s="67"/>
      <c r="O41" s="67"/>
      <c r="P41" s="67"/>
      <c r="Q41" s="67"/>
      <c r="R41" s="67"/>
      <c r="S41" s="67"/>
      <c r="T41" s="67"/>
      <c r="U41" s="67"/>
      <c r="V41" s="67"/>
      <c r="W41" s="67"/>
      <c r="X41" s="93" t="s">
        <v>157</v>
      </c>
      <c r="Y41" s="87">
        <v>45000.0</v>
      </c>
      <c r="Z41" s="25"/>
      <c r="AA41" s="25"/>
      <c r="AB41" s="25"/>
      <c r="AC41" s="22"/>
    </row>
    <row r="42" ht="23.25" customHeight="1">
      <c r="A42" s="111">
        <v>27.0</v>
      </c>
      <c r="B42" s="40">
        <v>45061.0</v>
      </c>
      <c r="C42" s="111">
        <v>1.706906923131E12</v>
      </c>
      <c r="D42" s="148" t="s">
        <v>2059</v>
      </c>
      <c r="E42" s="143" t="s">
        <v>2060</v>
      </c>
      <c r="F42" s="148" t="s">
        <v>2061</v>
      </c>
      <c r="G42" s="63" t="s">
        <v>2062</v>
      </c>
      <c r="H42" s="64">
        <v>1.0</v>
      </c>
      <c r="I42" s="975">
        <v>220000.0</v>
      </c>
      <c r="J42" s="48">
        <f t="shared" si="2"/>
        <v>220000</v>
      </c>
      <c r="K42" s="49">
        <f>SUM(J42:J43)</f>
        <v>300000</v>
      </c>
      <c r="L42" s="418">
        <v>43000.0</v>
      </c>
      <c r="M42" s="117">
        <v>23000.0</v>
      </c>
      <c r="N42" s="53">
        <f>K42+L42-M42</f>
        <v>320000</v>
      </c>
      <c r="O42" s="99" t="s">
        <v>449</v>
      </c>
      <c r="P42" s="99" t="s">
        <v>31</v>
      </c>
      <c r="Q42" s="55"/>
      <c r="R42" s="56"/>
      <c r="S42" s="57" t="s">
        <v>33</v>
      </c>
      <c r="T42" s="100"/>
      <c r="U42" s="977"/>
      <c r="V42" s="58"/>
      <c r="W42" s="1038"/>
      <c r="X42" s="93" t="s">
        <v>488</v>
      </c>
      <c r="Y42" s="87">
        <v>45000.0</v>
      </c>
      <c r="Z42" s="25"/>
      <c r="AA42" s="25"/>
      <c r="AB42" s="25"/>
      <c r="AC42" s="22"/>
    </row>
    <row r="43" ht="23.25" customHeight="1">
      <c r="A43" s="67"/>
      <c r="B43" s="67"/>
      <c r="C43" s="67"/>
      <c r="D43" s="67"/>
      <c r="E43" s="67"/>
      <c r="F43" s="67"/>
      <c r="G43" s="63" t="s">
        <v>147</v>
      </c>
      <c r="H43" s="64">
        <v>1.0</v>
      </c>
      <c r="I43" s="975">
        <v>80000.0</v>
      </c>
      <c r="J43" s="48">
        <f t="shared" si="2"/>
        <v>80000</v>
      </c>
      <c r="K43" s="67"/>
      <c r="L43" s="67"/>
      <c r="M43" s="67"/>
      <c r="N43" s="67"/>
      <c r="O43" s="67"/>
      <c r="P43" s="67"/>
      <c r="Q43" s="67"/>
      <c r="R43" s="67"/>
      <c r="S43" s="67"/>
      <c r="T43" s="67"/>
      <c r="U43" s="67"/>
      <c r="V43" s="67"/>
      <c r="W43" s="67"/>
      <c r="X43" s="93" t="s">
        <v>157</v>
      </c>
      <c r="Y43" s="87">
        <v>45000.0</v>
      </c>
      <c r="Z43" s="25"/>
      <c r="AA43" s="25"/>
      <c r="AB43" s="25"/>
      <c r="AC43" s="22"/>
    </row>
    <row r="44" ht="23.25" customHeight="1">
      <c r="A44" s="93">
        <v>28.0</v>
      </c>
      <c r="B44" s="120">
        <v>45062.0</v>
      </c>
      <c r="C44" s="1152">
        <v>1.694646780821E12</v>
      </c>
      <c r="D44" s="155" t="s">
        <v>2063</v>
      </c>
      <c r="E44" s="105" t="s">
        <v>2064</v>
      </c>
      <c r="F44" s="1359" t="s">
        <v>2065</v>
      </c>
      <c r="G44" s="63" t="s">
        <v>122</v>
      </c>
      <c r="H44" s="64">
        <v>3.0</v>
      </c>
      <c r="I44" s="975">
        <v>220000.0</v>
      </c>
      <c r="J44" s="48">
        <f t="shared" si="2"/>
        <v>660000</v>
      </c>
      <c r="K44" s="76">
        <f t="shared" ref="K44:K45" si="12">SUM(J44)</f>
        <v>660000</v>
      </c>
      <c r="L44" s="65"/>
      <c r="M44" s="79"/>
      <c r="N44" s="80">
        <f t="shared" ref="N44:N46" si="13">K44+L44-M44</f>
        <v>660000</v>
      </c>
      <c r="O44" s="81" t="s">
        <v>449</v>
      </c>
      <c r="P44" s="81" t="s">
        <v>31</v>
      </c>
      <c r="Q44" s="108">
        <v>56999.0</v>
      </c>
      <c r="R44" s="83" t="s">
        <v>32</v>
      </c>
      <c r="S44" s="84" t="s">
        <v>33</v>
      </c>
      <c r="T44" s="92" t="s">
        <v>147</v>
      </c>
      <c r="U44" s="92">
        <v>3.0</v>
      </c>
      <c r="V44" s="122"/>
      <c r="W44" s="693"/>
      <c r="X44" s="9"/>
      <c r="Y44" s="204"/>
      <c r="Z44" s="25"/>
      <c r="AA44" s="25"/>
      <c r="AB44" s="25"/>
      <c r="AC44" s="22"/>
    </row>
    <row r="45" ht="23.25" customHeight="1">
      <c r="A45" s="93">
        <v>29.0</v>
      </c>
      <c r="B45" s="120">
        <v>45062.0</v>
      </c>
      <c r="C45" s="1152">
        <v>1.694749366399E12</v>
      </c>
      <c r="D45" s="155" t="s">
        <v>44</v>
      </c>
      <c r="E45" s="105" t="s">
        <v>45</v>
      </c>
      <c r="F45" s="1360" t="s">
        <v>324</v>
      </c>
      <c r="G45" s="63" t="s">
        <v>30</v>
      </c>
      <c r="H45" s="64">
        <v>15.0</v>
      </c>
      <c r="I45" s="975">
        <v>220000.0</v>
      </c>
      <c r="J45" s="577">
        <f t="shared" si="2"/>
        <v>3300000</v>
      </c>
      <c r="K45" s="76">
        <f t="shared" si="12"/>
        <v>3300000</v>
      </c>
      <c r="L45" s="65"/>
      <c r="M45" s="79"/>
      <c r="N45" s="80">
        <f t="shared" si="13"/>
        <v>3300000</v>
      </c>
      <c r="O45" s="81" t="s">
        <v>449</v>
      </c>
      <c r="P45" s="81" t="s">
        <v>31</v>
      </c>
      <c r="Q45" s="108">
        <v>119485.0</v>
      </c>
      <c r="R45" s="83" t="s">
        <v>32</v>
      </c>
      <c r="S45" s="84" t="s">
        <v>33</v>
      </c>
      <c r="T45" s="122"/>
      <c r="U45" s="122"/>
      <c r="V45" s="92" t="s">
        <v>2066</v>
      </c>
      <c r="W45" s="693"/>
      <c r="X45" s="9"/>
      <c r="Y45" s="204"/>
      <c r="Z45" s="25"/>
      <c r="AA45" s="25"/>
      <c r="AB45" s="25"/>
      <c r="AC45" s="22"/>
    </row>
    <row r="46" ht="23.25" customHeight="1">
      <c r="A46" s="111">
        <v>30.0</v>
      </c>
      <c r="B46" s="40">
        <v>45064.0</v>
      </c>
      <c r="C46" s="1135">
        <v>1.707459290824E12</v>
      </c>
      <c r="D46" s="148" t="s">
        <v>39</v>
      </c>
      <c r="E46" s="143" t="s">
        <v>40</v>
      </c>
      <c r="F46" s="1361" t="s">
        <v>1085</v>
      </c>
      <c r="G46" s="1362" t="s">
        <v>30</v>
      </c>
      <c r="H46" s="64">
        <v>12.0</v>
      </c>
      <c r="I46" s="975">
        <v>220000.0</v>
      </c>
      <c r="J46" s="577">
        <f t="shared" si="2"/>
        <v>2640000</v>
      </c>
      <c r="K46" s="49">
        <f>sum(J46:J55)</f>
        <v>14080000</v>
      </c>
      <c r="L46" s="146"/>
      <c r="M46" s="117">
        <v>440000.0</v>
      </c>
      <c r="N46" s="53">
        <f t="shared" si="13"/>
        <v>13640000</v>
      </c>
      <c r="O46" s="99" t="s">
        <v>449</v>
      </c>
      <c r="P46" s="99" t="s">
        <v>31</v>
      </c>
      <c r="Q46" s="145">
        <v>445159.0</v>
      </c>
      <c r="R46" s="56" t="s">
        <v>32</v>
      </c>
      <c r="S46" s="57" t="s">
        <v>33</v>
      </c>
      <c r="T46" s="147"/>
      <c r="U46" s="147"/>
      <c r="V46" s="44" t="s">
        <v>2067</v>
      </c>
      <c r="W46" s="1031"/>
      <c r="X46" s="9"/>
      <c r="Y46" s="204"/>
      <c r="Z46" s="25"/>
      <c r="AA46" s="25"/>
      <c r="AB46" s="25"/>
      <c r="AC46" s="22"/>
    </row>
    <row r="47" ht="23.25" customHeight="1">
      <c r="A47" s="62"/>
      <c r="B47" s="62"/>
      <c r="C47" s="62"/>
      <c r="D47" s="62"/>
      <c r="E47" s="62"/>
      <c r="F47" s="62"/>
      <c r="G47" s="1363" t="s">
        <v>37</v>
      </c>
      <c r="H47" s="64">
        <v>6.0</v>
      </c>
      <c r="I47" s="975">
        <v>220000.0</v>
      </c>
      <c r="J47" s="577">
        <f t="shared" si="2"/>
        <v>1320000</v>
      </c>
      <c r="K47" s="62"/>
      <c r="L47" s="62"/>
      <c r="M47" s="62"/>
      <c r="N47" s="62"/>
      <c r="O47" s="62"/>
      <c r="P47" s="62"/>
      <c r="Q47" s="62"/>
      <c r="R47" s="62"/>
      <c r="S47" s="62"/>
      <c r="T47" s="62"/>
      <c r="U47" s="62"/>
      <c r="V47" s="62"/>
      <c r="W47" s="62"/>
      <c r="X47" s="9"/>
      <c r="Y47" s="204"/>
      <c r="Z47" s="25"/>
      <c r="AA47" s="25"/>
      <c r="AB47" s="25"/>
      <c r="AC47" s="22"/>
    </row>
    <row r="48" ht="23.25" customHeight="1">
      <c r="A48" s="62"/>
      <c r="B48" s="62"/>
      <c r="C48" s="62"/>
      <c r="D48" s="62"/>
      <c r="E48" s="62"/>
      <c r="F48" s="62"/>
      <c r="G48" s="1363" t="s">
        <v>165</v>
      </c>
      <c r="H48" s="64">
        <v>6.0</v>
      </c>
      <c r="I48" s="975">
        <v>220000.0</v>
      </c>
      <c r="J48" s="577">
        <f t="shared" si="2"/>
        <v>1320000</v>
      </c>
      <c r="K48" s="62"/>
      <c r="L48" s="62"/>
      <c r="M48" s="62"/>
      <c r="N48" s="62"/>
      <c r="O48" s="62"/>
      <c r="P48" s="62"/>
      <c r="Q48" s="62"/>
      <c r="R48" s="62"/>
      <c r="S48" s="62"/>
      <c r="T48" s="62"/>
      <c r="U48" s="62"/>
      <c r="V48" s="62"/>
      <c r="W48" s="62"/>
      <c r="X48" s="9"/>
      <c r="Y48" s="204"/>
      <c r="Z48" s="25"/>
      <c r="AA48" s="25"/>
      <c r="AB48" s="25"/>
      <c r="AC48" s="22"/>
    </row>
    <row r="49" ht="23.25" customHeight="1">
      <c r="A49" s="62"/>
      <c r="B49" s="62"/>
      <c r="C49" s="62"/>
      <c r="D49" s="62"/>
      <c r="E49" s="62"/>
      <c r="F49" s="62"/>
      <c r="G49" s="1363" t="s">
        <v>122</v>
      </c>
      <c r="H49" s="64">
        <v>6.0</v>
      </c>
      <c r="I49" s="975">
        <v>220000.0</v>
      </c>
      <c r="J49" s="577">
        <f t="shared" si="2"/>
        <v>1320000</v>
      </c>
      <c r="K49" s="62"/>
      <c r="L49" s="62"/>
      <c r="M49" s="62"/>
      <c r="N49" s="62"/>
      <c r="O49" s="62"/>
      <c r="P49" s="62"/>
      <c r="Q49" s="62"/>
      <c r="R49" s="62"/>
      <c r="S49" s="62"/>
      <c r="T49" s="62"/>
      <c r="U49" s="62"/>
      <c r="V49" s="62"/>
      <c r="W49" s="62"/>
      <c r="X49" s="9"/>
      <c r="Y49" s="204"/>
      <c r="Z49" s="25"/>
      <c r="AA49" s="25"/>
      <c r="AB49" s="25"/>
      <c r="AC49" s="22"/>
    </row>
    <row r="50" ht="23.25" customHeight="1">
      <c r="A50" s="62"/>
      <c r="B50" s="62"/>
      <c r="C50" s="62"/>
      <c r="D50" s="62"/>
      <c r="E50" s="62"/>
      <c r="F50" s="62"/>
      <c r="G50" s="1363" t="s">
        <v>58</v>
      </c>
      <c r="H50" s="64">
        <v>8.0</v>
      </c>
      <c r="I50" s="975">
        <v>220000.0</v>
      </c>
      <c r="J50" s="577">
        <f t="shared" si="2"/>
        <v>1760000</v>
      </c>
      <c r="K50" s="62"/>
      <c r="L50" s="62"/>
      <c r="M50" s="62"/>
      <c r="N50" s="62"/>
      <c r="O50" s="62"/>
      <c r="P50" s="62"/>
      <c r="Q50" s="62"/>
      <c r="R50" s="62"/>
      <c r="S50" s="62"/>
      <c r="T50" s="62"/>
      <c r="U50" s="62"/>
      <c r="V50" s="62"/>
      <c r="W50" s="62"/>
      <c r="X50" s="9"/>
      <c r="Y50" s="204"/>
      <c r="Z50" s="25"/>
      <c r="AA50" s="25"/>
      <c r="AB50" s="25"/>
      <c r="AC50" s="22"/>
    </row>
    <row r="51" ht="23.25" customHeight="1">
      <c r="A51" s="62"/>
      <c r="B51" s="62"/>
      <c r="C51" s="62"/>
      <c r="D51" s="62"/>
      <c r="E51" s="62"/>
      <c r="F51" s="62"/>
      <c r="G51" s="1363" t="s">
        <v>47</v>
      </c>
      <c r="H51" s="64">
        <v>12.0</v>
      </c>
      <c r="I51" s="975">
        <v>220000.0</v>
      </c>
      <c r="J51" s="577">
        <f t="shared" si="2"/>
        <v>2640000</v>
      </c>
      <c r="K51" s="62"/>
      <c r="L51" s="62"/>
      <c r="M51" s="62"/>
      <c r="N51" s="62"/>
      <c r="O51" s="62"/>
      <c r="P51" s="62"/>
      <c r="Q51" s="62"/>
      <c r="R51" s="62"/>
      <c r="S51" s="62"/>
      <c r="T51" s="62"/>
      <c r="U51" s="62"/>
      <c r="V51" s="62"/>
      <c r="W51" s="62"/>
      <c r="X51" s="9"/>
      <c r="Y51" s="204"/>
      <c r="Z51" s="25"/>
      <c r="AA51" s="25"/>
      <c r="AB51" s="25"/>
      <c r="AC51" s="22"/>
    </row>
    <row r="52" ht="23.25" customHeight="1">
      <c r="A52" s="62"/>
      <c r="B52" s="62"/>
      <c r="C52" s="62"/>
      <c r="D52" s="62"/>
      <c r="E52" s="62"/>
      <c r="F52" s="62"/>
      <c r="G52" s="1363" t="s">
        <v>147</v>
      </c>
      <c r="H52" s="64">
        <v>11.0</v>
      </c>
      <c r="I52" s="975">
        <v>80000.0</v>
      </c>
      <c r="J52" s="577">
        <f t="shared" si="2"/>
        <v>880000</v>
      </c>
      <c r="K52" s="62"/>
      <c r="L52" s="62"/>
      <c r="M52" s="62"/>
      <c r="N52" s="62"/>
      <c r="O52" s="62"/>
      <c r="P52" s="62"/>
      <c r="Q52" s="62"/>
      <c r="R52" s="62"/>
      <c r="S52" s="62"/>
      <c r="T52" s="62"/>
      <c r="U52" s="62"/>
      <c r="V52" s="62"/>
      <c r="W52" s="62"/>
      <c r="X52" s="9"/>
      <c r="Y52" s="204"/>
      <c r="Z52" s="25"/>
      <c r="AA52" s="25"/>
      <c r="AB52" s="25"/>
      <c r="AC52" s="22"/>
    </row>
    <row r="53" ht="23.25" customHeight="1">
      <c r="A53" s="62"/>
      <c r="B53" s="62"/>
      <c r="C53" s="62"/>
      <c r="D53" s="62"/>
      <c r="E53" s="62"/>
      <c r="F53" s="62"/>
      <c r="G53" s="1364" t="s">
        <v>478</v>
      </c>
      <c r="H53" s="73">
        <v>11.0</v>
      </c>
      <c r="I53" s="979">
        <v>80000.0</v>
      </c>
      <c r="J53" s="716">
        <f t="shared" si="2"/>
        <v>880000</v>
      </c>
      <c r="K53" s="62"/>
      <c r="L53" s="62"/>
      <c r="M53" s="62"/>
      <c r="N53" s="62"/>
      <c r="O53" s="62"/>
      <c r="P53" s="62"/>
      <c r="Q53" s="62"/>
      <c r="R53" s="62"/>
      <c r="S53" s="62"/>
      <c r="T53" s="62"/>
      <c r="U53" s="62"/>
      <c r="V53" s="62"/>
      <c r="W53" s="62"/>
      <c r="X53" s="9"/>
      <c r="Y53" s="204"/>
      <c r="Z53" s="25"/>
      <c r="AA53" s="25"/>
      <c r="AB53" s="25"/>
      <c r="AC53" s="22"/>
    </row>
    <row r="54" ht="23.25" customHeight="1">
      <c r="A54" s="62"/>
      <c r="B54" s="62"/>
      <c r="C54" s="62"/>
      <c r="D54" s="62"/>
      <c r="E54" s="62"/>
      <c r="F54" s="62"/>
      <c r="G54" s="1364" t="s">
        <v>476</v>
      </c>
      <c r="H54" s="73">
        <v>11.0</v>
      </c>
      <c r="I54" s="979">
        <v>55000.0</v>
      </c>
      <c r="J54" s="716">
        <f t="shared" si="2"/>
        <v>605000</v>
      </c>
      <c r="K54" s="62"/>
      <c r="L54" s="62"/>
      <c r="M54" s="62"/>
      <c r="N54" s="62"/>
      <c r="O54" s="62"/>
      <c r="P54" s="62"/>
      <c r="Q54" s="62"/>
      <c r="R54" s="62"/>
      <c r="S54" s="62"/>
      <c r="T54" s="62"/>
      <c r="U54" s="62"/>
      <c r="V54" s="62"/>
      <c r="W54" s="62"/>
      <c r="X54" s="9"/>
      <c r="Y54" s="204"/>
      <c r="Z54" s="25"/>
      <c r="AA54" s="25"/>
      <c r="AB54" s="25"/>
      <c r="AC54" s="22"/>
    </row>
    <row r="55" ht="23.25" customHeight="1">
      <c r="A55" s="67"/>
      <c r="B55" s="67"/>
      <c r="C55" s="67"/>
      <c r="D55" s="67"/>
      <c r="E55" s="67"/>
      <c r="F55" s="67"/>
      <c r="G55" s="1365" t="s">
        <v>477</v>
      </c>
      <c r="H55" s="73">
        <v>11.0</v>
      </c>
      <c r="I55" s="979">
        <v>65000.0</v>
      </c>
      <c r="J55" s="716">
        <f t="shared" si="2"/>
        <v>715000</v>
      </c>
      <c r="K55" s="67"/>
      <c r="L55" s="67"/>
      <c r="M55" s="67"/>
      <c r="N55" s="67"/>
      <c r="O55" s="67"/>
      <c r="P55" s="67"/>
      <c r="Q55" s="67"/>
      <c r="R55" s="67"/>
      <c r="S55" s="67"/>
      <c r="T55" s="67"/>
      <c r="U55" s="67"/>
      <c r="V55" s="67"/>
      <c r="W55" s="67"/>
      <c r="X55" s="9"/>
      <c r="Y55" s="204"/>
      <c r="Z55" s="25"/>
      <c r="AA55" s="25"/>
      <c r="AB55" s="25"/>
      <c r="AC55" s="22"/>
    </row>
    <row r="56" ht="23.25" customHeight="1">
      <c r="A56" s="111">
        <v>31.0</v>
      </c>
      <c r="B56" s="40">
        <v>45064.0</v>
      </c>
      <c r="C56" s="1135">
        <v>1.70765575748E12</v>
      </c>
      <c r="D56" s="142" t="s">
        <v>1840</v>
      </c>
      <c r="E56" s="111" t="s">
        <v>2068</v>
      </c>
      <c r="F56" s="1361" t="s">
        <v>2069</v>
      </c>
      <c r="G56" s="1362" t="s">
        <v>75</v>
      </c>
      <c r="H56" s="64">
        <v>1.0</v>
      </c>
      <c r="I56" s="975">
        <v>45000.0</v>
      </c>
      <c r="J56" s="48">
        <f t="shared" si="2"/>
        <v>45000</v>
      </c>
      <c r="K56" s="49">
        <f>sum(J56:J64)</f>
        <v>1630000</v>
      </c>
      <c r="L56" s="146"/>
      <c r="M56" s="52"/>
      <c r="N56" s="53">
        <f>K56+L56-M56</f>
        <v>1630000</v>
      </c>
      <c r="O56" s="99" t="s">
        <v>449</v>
      </c>
      <c r="P56" s="99" t="s">
        <v>31</v>
      </c>
      <c r="Q56" s="145">
        <v>94502.0</v>
      </c>
      <c r="R56" s="56" t="s">
        <v>32</v>
      </c>
      <c r="S56" s="57" t="s">
        <v>33</v>
      </c>
      <c r="T56" s="147"/>
      <c r="U56" s="147"/>
      <c r="V56" s="147"/>
      <c r="W56" s="1031"/>
      <c r="X56" s="9"/>
      <c r="Y56" s="204"/>
      <c r="Z56" s="25"/>
      <c r="AA56" s="25"/>
      <c r="AB56" s="25"/>
      <c r="AC56" s="22"/>
    </row>
    <row r="57" ht="23.25" customHeight="1">
      <c r="A57" s="62"/>
      <c r="B57" s="62"/>
      <c r="C57" s="62"/>
      <c r="D57" s="62"/>
      <c r="E57" s="62"/>
      <c r="F57" s="62"/>
      <c r="G57" s="1363" t="s">
        <v>35</v>
      </c>
      <c r="H57" s="64">
        <v>1.0</v>
      </c>
      <c r="I57" s="975">
        <v>220000.0</v>
      </c>
      <c r="J57" s="48">
        <f t="shared" si="2"/>
        <v>220000</v>
      </c>
      <c r="K57" s="62"/>
      <c r="L57" s="62"/>
      <c r="M57" s="62"/>
      <c r="N57" s="62"/>
      <c r="O57" s="62"/>
      <c r="P57" s="62"/>
      <c r="Q57" s="62"/>
      <c r="R57" s="62"/>
      <c r="S57" s="62"/>
      <c r="T57" s="62"/>
      <c r="U57" s="62"/>
      <c r="V57" s="62"/>
      <c r="W57" s="62"/>
      <c r="X57" s="9"/>
      <c r="Y57" s="204"/>
      <c r="Z57" s="25"/>
      <c r="AA57" s="25"/>
      <c r="AB57" s="25"/>
      <c r="AC57" s="22"/>
    </row>
    <row r="58" ht="23.25" customHeight="1">
      <c r="A58" s="62"/>
      <c r="B58" s="62"/>
      <c r="C58" s="62"/>
      <c r="D58" s="62"/>
      <c r="E58" s="62"/>
      <c r="F58" s="62"/>
      <c r="G58" s="1363" t="s">
        <v>290</v>
      </c>
      <c r="H58" s="64">
        <v>1.0</v>
      </c>
      <c r="I58" s="975">
        <v>220000.0</v>
      </c>
      <c r="J58" s="48">
        <f t="shared" si="2"/>
        <v>220000</v>
      </c>
      <c r="K58" s="62"/>
      <c r="L58" s="62"/>
      <c r="M58" s="62"/>
      <c r="N58" s="62"/>
      <c r="O58" s="62"/>
      <c r="P58" s="62"/>
      <c r="Q58" s="62"/>
      <c r="R58" s="62"/>
      <c r="S58" s="62"/>
      <c r="T58" s="62"/>
      <c r="U58" s="62"/>
      <c r="V58" s="62"/>
      <c r="W58" s="62"/>
      <c r="X58" s="9"/>
      <c r="Y58" s="204"/>
      <c r="Z58" s="25"/>
      <c r="AA58" s="25"/>
      <c r="AB58" s="25"/>
      <c r="AC58" s="22"/>
    </row>
    <row r="59" ht="23.25" customHeight="1">
      <c r="A59" s="62"/>
      <c r="B59" s="62"/>
      <c r="C59" s="62"/>
      <c r="D59" s="62"/>
      <c r="E59" s="62"/>
      <c r="F59" s="62"/>
      <c r="G59" s="1363" t="s">
        <v>165</v>
      </c>
      <c r="H59" s="64">
        <v>1.0</v>
      </c>
      <c r="I59" s="975">
        <v>220000.0</v>
      </c>
      <c r="J59" s="48">
        <f t="shared" si="2"/>
        <v>220000</v>
      </c>
      <c r="K59" s="62"/>
      <c r="L59" s="62"/>
      <c r="M59" s="62"/>
      <c r="N59" s="62"/>
      <c r="O59" s="62"/>
      <c r="P59" s="62"/>
      <c r="Q59" s="62"/>
      <c r="R59" s="62"/>
      <c r="S59" s="62"/>
      <c r="T59" s="62"/>
      <c r="U59" s="62"/>
      <c r="V59" s="62"/>
      <c r="W59" s="62"/>
      <c r="X59" s="9"/>
      <c r="Y59" s="204"/>
      <c r="Z59" s="25"/>
      <c r="AA59" s="25"/>
      <c r="AB59" s="25"/>
      <c r="AC59" s="22"/>
    </row>
    <row r="60" ht="23.25" customHeight="1">
      <c r="A60" s="62"/>
      <c r="B60" s="62"/>
      <c r="C60" s="62"/>
      <c r="D60" s="62"/>
      <c r="E60" s="62"/>
      <c r="F60" s="62"/>
      <c r="G60" s="1363" t="s">
        <v>457</v>
      </c>
      <c r="H60" s="64">
        <v>1.0</v>
      </c>
      <c r="I60" s="975">
        <v>45000.0</v>
      </c>
      <c r="J60" s="48">
        <f t="shared" si="2"/>
        <v>45000</v>
      </c>
      <c r="K60" s="62"/>
      <c r="L60" s="62"/>
      <c r="M60" s="62"/>
      <c r="N60" s="62"/>
      <c r="O60" s="62"/>
      <c r="P60" s="62"/>
      <c r="Q60" s="62"/>
      <c r="R60" s="62"/>
      <c r="S60" s="62"/>
      <c r="T60" s="62"/>
      <c r="U60" s="62"/>
      <c r="V60" s="62"/>
      <c r="W60" s="62"/>
      <c r="X60" s="9"/>
      <c r="Y60" s="204"/>
      <c r="Z60" s="25"/>
      <c r="AA60" s="25"/>
      <c r="AB60" s="25"/>
      <c r="AC60" s="22"/>
    </row>
    <row r="61" ht="23.25" customHeight="1">
      <c r="A61" s="62"/>
      <c r="B61" s="62"/>
      <c r="C61" s="62"/>
      <c r="D61" s="62"/>
      <c r="E61" s="62"/>
      <c r="F61" s="62"/>
      <c r="G61" s="1363" t="s">
        <v>58</v>
      </c>
      <c r="H61" s="64">
        <v>1.0</v>
      </c>
      <c r="I61" s="975">
        <v>220000.0</v>
      </c>
      <c r="J61" s="48">
        <f t="shared" si="2"/>
        <v>220000</v>
      </c>
      <c r="K61" s="62"/>
      <c r="L61" s="62"/>
      <c r="M61" s="62"/>
      <c r="N61" s="62"/>
      <c r="O61" s="62"/>
      <c r="P61" s="62"/>
      <c r="Q61" s="62"/>
      <c r="R61" s="62"/>
      <c r="S61" s="62"/>
      <c r="T61" s="62"/>
      <c r="U61" s="62"/>
      <c r="V61" s="62"/>
      <c r="W61" s="62"/>
      <c r="X61" s="9"/>
      <c r="Y61" s="204"/>
      <c r="Z61" s="25"/>
      <c r="AA61" s="25"/>
      <c r="AB61" s="25"/>
      <c r="AC61" s="22"/>
    </row>
    <row r="62" ht="23.25" customHeight="1">
      <c r="A62" s="62"/>
      <c r="B62" s="62"/>
      <c r="C62" s="62"/>
      <c r="D62" s="62"/>
      <c r="E62" s="62"/>
      <c r="F62" s="62"/>
      <c r="G62" s="1363" t="s">
        <v>37</v>
      </c>
      <c r="H62" s="64">
        <v>1.0</v>
      </c>
      <c r="I62" s="975">
        <v>220000.0</v>
      </c>
      <c r="J62" s="48">
        <f t="shared" si="2"/>
        <v>220000</v>
      </c>
      <c r="K62" s="62"/>
      <c r="L62" s="62"/>
      <c r="M62" s="62"/>
      <c r="N62" s="62"/>
      <c r="O62" s="62"/>
      <c r="P62" s="62"/>
      <c r="Q62" s="62"/>
      <c r="R62" s="62"/>
      <c r="S62" s="62"/>
      <c r="T62" s="62"/>
      <c r="U62" s="62"/>
      <c r="V62" s="62"/>
      <c r="W62" s="62"/>
      <c r="X62" s="9"/>
      <c r="Y62" s="204"/>
      <c r="Z62" s="25"/>
      <c r="AA62" s="25"/>
      <c r="AB62" s="25"/>
      <c r="AC62" s="22"/>
    </row>
    <row r="63" ht="23.25" customHeight="1">
      <c r="A63" s="62"/>
      <c r="B63" s="62"/>
      <c r="C63" s="62"/>
      <c r="D63" s="62"/>
      <c r="E63" s="62"/>
      <c r="F63" s="62"/>
      <c r="G63" s="1366" t="s">
        <v>122</v>
      </c>
      <c r="H63" s="64">
        <v>1.0</v>
      </c>
      <c r="I63" s="975">
        <v>220000.0</v>
      </c>
      <c r="J63" s="48">
        <f t="shared" si="2"/>
        <v>220000</v>
      </c>
      <c r="K63" s="62"/>
      <c r="L63" s="62"/>
      <c r="M63" s="62"/>
      <c r="N63" s="62"/>
      <c r="O63" s="62"/>
      <c r="P63" s="62"/>
      <c r="Q63" s="62"/>
      <c r="R63" s="62"/>
      <c r="S63" s="62"/>
      <c r="T63" s="62"/>
      <c r="U63" s="62"/>
      <c r="V63" s="62"/>
      <c r="W63" s="62"/>
      <c r="X63" s="9"/>
      <c r="Y63" s="204"/>
      <c r="Z63" s="25"/>
      <c r="AA63" s="25"/>
      <c r="AB63" s="25"/>
      <c r="AC63" s="22"/>
    </row>
    <row r="64" ht="23.25" customHeight="1">
      <c r="A64" s="67"/>
      <c r="B64" s="67"/>
      <c r="C64" s="67"/>
      <c r="D64" s="67"/>
      <c r="E64" s="67"/>
      <c r="F64" s="67"/>
      <c r="G64" s="1366" t="s">
        <v>911</v>
      </c>
      <c r="H64" s="64">
        <v>1.0</v>
      </c>
      <c r="I64" s="975">
        <v>220000.0</v>
      </c>
      <c r="J64" s="48">
        <f t="shared" si="2"/>
        <v>220000</v>
      </c>
      <c r="K64" s="67"/>
      <c r="L64" s="67"/>
      <c r="M64" s="67"/>
      <c r="N64" s="67"/>
      <c r="O64" s="67"/>
      <c r="P64" s="67"/>
      <c r="Q64" s="67"/>
      <c r="R64" s="67"/>
      <c r="S64" s="67"/>
      <c r="T64" s="67"/>
      <c r="U64" s="67"/>
      <c r="V64" s="67"/>
      <c r="W64" s="67"/>
      <c r="X64" s="9"/>
      <c r="Y64" s="204"/>
      <c r="Z64" s="25"/>
      <c r="AA64" s="25"/>
      <c r="AB64" s="25"/>
      <c r="AC64" s="22"/>
    </row>
    <row r="65" ht="31.5" customHeight="1">
      <c r="A65" s="111">
        <v>32.0</v>
      </c>
      <c r="B65" s="112">
        <v>45064.0</v>
      </c>
      <c r="C65" s="1135">
        <v>1.714825200233E12</v>
      </c>
      <c r="D65" s="142" t="s">
        <v>1075</v>
      </c>
      <c r="E65" s="143" t="s">
        <v>1076</v>
      </c>
      <c r="F65" s="1367" t="s">
        <v>1077</v>
      </c>
      <c r="G65" s="63" t="s">
        <v>37</v>
      </c>
      <c r="H65" s="64">
        <v>3.0</v>
      </c>
      <c r="I65" s="975">
        <v>220000.0</v>
      </c>
      <c r="J65" s="48">
        <f t="shared" si="2"/>
        <v>660000</v>
      </c>
      <c r="K65" s="49">
        <f>sum(J65:J67)</f>
        <v>1340000</v>
      </c>
      <c r="L65" s="146"/>
      <c r="M65" s="52"/>
      <c r="N65" s="53">
        <f>K65+L65-M65</f>
        <v>1340000</v>
      </c>
      <c r="O65" s="99" t="s">
        <v>449</v>
      </c>
      <c r="P65" s="99" t="s">
        <v>31</v>
      </c>
      <c r="Q65" s="145">
        <v>65998.0</v>
      </c>
      <c r="R65" s="56" t="s">
        <v>32</v>
      </c>
      <c r="S65" s="57" t="s">
        <v>33</v>
      </c>
      <c r="T65" s="147"/>
      <c r="U65" s="147"/>
      <c r="V65" s="147"/>
      <c r="W65" s="1031"/>
      <c r="X65" s="9"/>
      <c r="Y65" s="204"/>
      <c r="Z65" s="25"/>
      <c r="AA65" s="25"/>
      <c r="AB65" s="25"/>
      <c r="AC65" s="22"/>
    </row>
    <row r="66" ht="23.25" customHeight="1">
      <c r="A66" s="62"/>
      <c r="B66" s="62"/>
      <c r="C66" s="62"/>
      <c r="D66" s="62"/>
      <c r="E66" s="62"/>
      <c r="F66" s="423"/>
      <c r="G66" s="63" t="s">
        <v>147</v>
      </c>
      <c r="H66" s="64">
        <v>3.0</v>
      </c>
      <c r="I66" s="975">
        <v>80000.0</v>
      </c>
      <c r="J66" s="48">
        <f t="shared" si="2"/>
        <v>240000</v>
      </c>
      <c r="K66" s="62"/>
      <c r="L66" s="62"/>
      <c r="M66" s="62"/>
      <c r="N66" s="62"/>
      <c r="O66" s="62"/>
      <c r="P66" s="62"/>
      <c r="Q66" s="62"/>
      <c r="R66" s="62"/>
      <c r="S66" s="62"/>
      <c r="T66" s="62"/>
      <c r="U66" s="62"/>
      <c r="V66" s="62"/>
      <c r="W66" s="62"/>
      <c r="X66" s="9"/>
      <c r="Y66" s="204"/>
      <c r="Z66" s="25"/>
      <c r="AA66" s="25"/>
      <c r="AB66" s="25"/>
      <c r="AC66" s="22"/>
    </row>
    <row r="67" ht="23.25" customHeight="1">
      <c r="A67" s="67"/>
      <c r="B67" s="67"/>
      <c r="C67" s="67"/>
      <c r="D67" s="67"/>
      <c r="E67" s="67"/>
      <c r="F67" s="102"/>
      <c r="G67" s="63" t="s">
        <v>144</v>
      </c>
      <c r="H67" s="64">
        <v>2.0</v>
      </c>
      <c r="I67" s="975">
        <v>220000.0</v>
      </c>
      <c r="J67" s="48">
        <f t="shared" si="2"/>
        <v>440000</v>
      </c>
      <c r="K67" s="67"/>
      <c r="L67" s="67"/>
      <c r="M67" s="67"/>
      <c r="N67" s="67"/>
      <c r="O67" s="67"/>
      <c r="P67" s="67"/>
      <c r="Q67" s="67"/>
      <c r="R67" s="67"/>
      <c r="S67" s="67"/>
      <c r="T67" s="67"/>
      <c r="U67" s="67"/>
      <c r="V67" s="67"/>
      <c r="W67" s="67"/>
      <c r="X67" s="9"/>
      <c r="Y67" s="204"/>
      <c r="Z67" s="25"/>
      <c r="AA67" s="25"/>
      <c r="AB67" s="25"/>
      <c r="AC67" s="22"/>
    </row>
    <row r="68" ht="37.5" customHeight="1">
      <c r="A68" s="93">
        <v>33.0</v>
      </c>
      <c r="B68" s="103">
        <v>45068.0</v>
      </c>
      <c r="C68" s="1152">
        <v>1.688733723138E12</v>
      </c>
      <c r="D68" s="92" t="s">
        <v>1840</v>
      </c>
      <c r="E68" s="1368" t="s">
        <v>2070</v>
      </c>
      <c r="F68" s="1369" t="s">
        <v>2069</v>
      </c>
      <c r="G68" s="63" t="s">
        <v>58</v>
      </c>
      <c r="H68" s="64">
        <v>1.0</v>
      </c>
      <c r="I68" s="459"/>
      <c r="J68" s="48">
        <f t="shared" si="2"/>
        <v>0</v>
      </c>
      <c r="K68" s="76">
        <f t="shared" ref="K68:K80" si="14">SUM(J68)</f>
        <v>0</v>
      </c>
      <c r="L68" s="65"/>
      <c r="M68" s="79"/>
      <c r="N68" s="80">
        <f t="shared" ref="N68:N81" si="15">K68+L68-M68</f>
        <v>0</v>
      </c>
      <c r="O68" s="81" t="s">
        <v>449</v>
      </c>
      <c r="P68" s="81"/>
      <c r="Q68" s="108">
        <v>44000.0</v>
      </c>
      <c r="R68" s="83" t="s">
        <v>32</v>
      </c>
      <c r="S68" s="84" t="s">
        <v>33</v>
      </c>
      <c r="T68" s="122"/>
      <c r="U68" s="122"/>
      <c r="V68" s="121" t="s">
        <v>2071</v>
      </c>
      <c r="W68" s="693"/>
      <c r="X68" s="9"/>
      <c r="Y68" s="204"/>
      <c r="Z68" s="25"/>
      <c r="AA68" s="25"/>
      <c r="AB68" s="25"/>
      <c r="AC68" s="22"/>
    </row>
    <row r="69" ht="24.0" customHeight="1">
      <c r="A69" s="93">
        <v>34.0</v>
      </c>
      <c r="B69" s="103">
        <v>45068.0</v>
      </c>
      <c r="C69" s="1152">
        <v>1.688595970614E12</v>
      </c>
      <c r="D69" s="92" t="s">
        <v>44</v>
      </c>
      <c r="E69" s="105" t="s">
        <v>45</v>
      </c>
      <c r="F69" s="1153" t="s">
        <v>324</v>
      </c>
      <c r="G69" s="63" t="s">
        <v>30</v>
      </c>
      <c r="H69" s="64">
        <v>8.0</v>
      </c>
      <c r="I69" s="975">
        <v>220000.0</v>
      </c>
      <c r="J69" s="48">
        <f t="shared" si="2"/>
        <v>1760000</v>
      </c>
      <c r="K69" s="76">
        <f t="shared" si="14"/>
        <v>1760000</v>
      </c>
      <c r="L69" s="65"/>
      <c r="M69" s="79"/>
      <c r="N69" s="80">
        <f t="shared" si="15"/>
        <v>1760000</v>
      </c>
      <c r="O69" s="81" t="s">
        <v>449</v>
      </c>
      <c r="P69" s="176"/>
      <c r="Q69" s="108">
        <v>79498.0</v>
      </c>
      <c r="R69" s="83" t="s">
        <v>32</v>
      </c>
      <c r="S69" s="183"/>
      <c r="T69" s="122"/>
      <c r="U69" s="122"/>
      <c r="V69" s="122"/>
      <c r="W69" s="693"/>
      <c r="X69" s="9"/>
      <c r="Y69" s="204"/>
      <c r="Z69" s="25"/>
      <c r="AA69" s="25"/>
      <c r="AB69" s="25"/>
      <c r="AC69" s="22"/>
    </row>
    <row r="70" ht="30.75" customHeight="1">
      <c r="A70" s="93">
        <v>35.0</v>
      </c>
      <c r="B70" s="103">
        <v>45068.0</v>
      </c>
      <c r="C70" s="1152">
        <v>1.707384438721E12</v>
      </c>
      <c r="D70" s="92" t="s">
        <v>2072</v>
      </c>
      <c r="E70" s="105" t="s">
        <v>2073</v>
      </c>
      <c r="F70" s="1132" t="s">
        <v>2074</v>
      </c>
      <c r="G70" s="63" t="s">
        <v>30</v>
      </c>
      <c r="H70" s="64">
        <v>3.0</v>
      </c>
      <c r="I70" s="975">
        <v>220000.0</v>
      </c>
      <c r="J70" s="48">
        <f t="shared" si="2"/>
        <v>660000</v>
      </c>
      <c r="K70" s="76">
        <f t="shared" si="14"/>
        <v>660000</v>
      </c>
      <c r="L70" s="65"/>
      <c r="M70" s="79"/>
      <c r="N70" s="80">
        <f t="shared" si="15"/>
        <v>660000</v>
      </c>
      <c r="O70" s="81" t="s">
        <v>449</v>
      </c>
      <c r="P70" s="176"/>
      <c r="Q70" s="108">
        <v>53999.0</v>
      </c>
      <c r="R70" s="83" t="s">
        <v>32</v>
      </c>
      <c r="S70" s="183"/>
      <c r="T70" s="122"/>
      <c r="U70" s="122"/>
      <c r="V70" s="122"/>
      <c r="W70" s="693"/>
      <c r="X70" s="9"/>
      <c r="Y70" s="204"/>
      <c r="Z70" s="25"/>
      <c r="AA70" s="25"/>
      <c r="AB70" s="25"/>
      <c r="AC70" s="22"/>
    </row>
    <row r="71" ht="39.75" customHeight="1">
      <c r="A71" s="93">
        <v>36.0</v>
      </c>
      <c r="B71" s="103">
        <v>45069.0</v>
      </c>
      <c r="C71" s="1152">
        <v>1.697596426346E12</v>
      </c>
      <c r="D71" s="92" t="s">
        <v>1017</v>
      </c>
      <c r="E71" s="105" t="s">
        <v>1018</v>
      </c>
      <c r="F71" s="156" t="s">
        <v>1019</v>
      </c>
      <c r="G71" s="72" t="s">
        <v>76</v>
      </c>
      <c r="H71" s="73">
        <v>1.0</v>
      </c>
      <c r="I71" s="979">
        <v>90000.0</v>
      </c>
      <c r="J71" s="48">
        <f t="shared" si="2"/>
        <v>90000</v>
      </c>
      <c r="K71" s="76">
        <f t="shared" si="14"/>
        <v>90000</v>
      </c>
      <c r="L71" s="65"/>
      <c r="M71" s="79"/>
      <c r="N71" s="80">
        <f t="shared" si="15"/>
        <v>90000</v>
      </c>
      <c r="O71" s="176"/>
      <c r="P71" s="176"/>
      <c r="Q71" s="65"/>
      <c r="R71" s="91"/>
      <c r="S71" s="183"/>
      <c r="T71" s="122"/>
      <c r="U71" s="122"/>
      <c r="V71" s="122"/>
      <c r="W71" s="693"/>
      <c r="X71" s="9"/>
      <c r="Y71" s="204"/>
      <c r="Z71" s="25"/>
      <c r="AA71" s="25"/>
      <c r="AB71" s="25"/>
      <c r="AC71" s="22"/>
    </row>
    <row r="72" ht="23.25" customHeight="1">
      <c r="A72" s="93">
        <v>37.0</v>
      </c>
      <c r="B72" s="103">
        <v>45071.0</v>
      </c>
      <c r="C72" s="1152">
        <v>1.696836154345E12</v>
      </c>
      <c r="D72" s="92" t="s">
        <v>2075</v>
      </c>
      <c r="E72" s="105" t="s">
        <v>2076</v>
      </c>
      <c r="F72" s="1359" t="s">
        <v>2077</v>
      </c>
      <c r="G72" s="63" t="s">
        <v>37</v>
      </c>
      <c r="H72" s="64">
        <v>2.0</v>
      </c>
      <c r="I72" s="975">
        <v>220000.0</v>
      </c>
      <c r="J72" s="48">
        <f t="shared" si="2"/>
        <v>440000</v>
      </c>
      <c r="K72" s="76">
        <f t="shared" si="14"/>
        <v>440000</v>
      </c>
      <c r="L72" s="108">
        <v>46000.0</v>
      </c>
      <c r="M72" s="115">
        <v>16000.0</v>
      </c>
      <c r="N72" s="80">
        <f t="shared" si="15"/>
        <v>470000</v>
      </c>
      <c r="O72" s="176"/>
      <c r="P72" s="176"/>
      <c r="Q72" s="65"/>
      <c r="R72" s="91"/>
      <c r="S72" s="183"/>
      <c r="T72" s="122"/>
      <c r="U72" s="122"/>
      <c r="V72" s="122"/>
      <c r="W72" s="693"/>
      <c r="X72" s="9"/>
      <c r="Y72" s="204"/>
      <c r="Z72" s="25"/>
      <c r="AA72" s="25"/>
      <c r="AB72" s="25"/>
      <c r="AC72" s="22"/>
    </row>
    <row r="73" ht="23.25" customHeight="1">
      <c r="A73" s="65"/>
      <c r="B73" s="65"/>
      <c r="C73" s="65"/>
      <c r="D73" s="122"/>
      <c r="E73" s="65"/>
      <c r="F73" s="284"/>
      <c r="G73" s="457"/>
      <c r="H73" s="85"/>
      <c r="I73" s="459"/>
      <c r="J73" s="48">
        <f t="shared" si="2"/>
        <v>0</v>
      </c>
      <c r="K73" s="76">
        <f t="shared" si="14"/>
        <v>0</v>
      </c>
      <c r="L73" s="65"/>
      <c r="M73" s="79"/>
      <c r="N73" s="80">
        <f t="shared" si="15"/>
        <v>0</v>
      </c>
      <c r="O73" s="176"/>
      <c r="P73" s="176"/>
      <c r="Q73" s="65"/>
      <c r="R73" s="91"/>
      <c r="S73" s="183"/>
      <c r="T73" s="122"/>
      <c r="U73" s="122"/>
      <c r="V73" s="122"/>
      <c r="W73" s="693"/>
      <c r="X73" s="9"/>
      <c r="Y73" s="204"/>
      <c r="Z73" s="25"/>
      <c r="AA73" s="25"/>
      <c r="AB73" s="25"/>
      <c r="AC73" s="22"/>
    </row>
    <row r="74" ht="23.25" customHeight="1">
      <c r="A74" s="65"/>
      <c r="B74" s="65"/>
      <c r="C74" s="65"/>
      <c r="D74" s="122"/>
      <c r="E74" s="65"/>
      <c r="F74" s="284"/>
      <c r="G74" s="457"/>
      <c r="H74" s="85"/>
      <c r="I74" s="459"/>
      <c r="J74" s="48">
        <f t="shared" si="2"/>
        <v>0</v>
      </c>
      <c r="K74" s="76">
        <f t="shared" si="14"/>
        <v>0</v>
      </c>
      <c r="L74" s="65"/>
      <c r="M74" s="79"/>
      <c r="N74" s="80">
        <f t="shared" si="15"/>
        <v>0</v>
      </c>
      <c r="O74" s="176"/>
      <c r="P74" s="176"/>
      <c r="Q74" s="65"/>
      <c r="R74" s="91"/>
      <c r="S74" s="183"/>
      <c r="T74" s="122"/>
      <c r="U74" s="122"/>
      <c r="V74" s="122"/>
      <c r="W74" s="693"/>
      <c r="X74" s="9"/>
      <c r="Y74" s="204"/>
      <c r="Z74" s="25"/>
      <c r="AA74" s="25"/>
      <c r="AB74" s="25"/>
      <c r="AC74" s="22"/>
    </row>
    <row r="75" ht="23.25" customHeight="1">
      <c r="A75" s="65"/>
      <c r="B75" s="65"/>
      <c r="C75" s="65"/>
      <c r="D75" s="122"/>
      <c r="E75" s="65"/>
      <c r="F75" s="284"/>
      <c r="G75" s="457"/>
      <c r="H75" s="85"/>
      <c r="I75" s="459"/>
      <c r="J75" s="48">
        <f t="shared" si="2"/>
        <v>0</v>
      </c>
      <c r="K75" s="76">
        <f t="shared" si="14"/>
        <v>0</v>
      </c>
      <c r="L75" s="65"/>
      <c r="M75" s="79"/>
      <c r="N75" s="80">
        <f t="shared" si="15"/>
        <v>0</v>
      </c>
      <c r="O75" s="176"/>
      <c r="P75" s="176"/>
      <c r="Q75" s="65"/>
      <c r="R75" s="91"/>
      <c r="S75" s="183"/>
      <c r="T75" s="122"/>
      <c r="U75" s="122"/>
      <c r="V75" s="122"/>
      <c r="W75" s="693"/>
      <c r="X75" s="9"/>
      <c r="Y75" s="204"/>
      <c r="Z75" s="25"/>
      <c r="AA75" s="25"/>
      <c r="AB75" s="25"/>
      <c r="AC75" s="22"/>
    </row>
    <row r="76" ht="23.25" customHeight="1">
      <c r="A76" s="65"/>
      <c r="B76" s="65"/>
      <c r="C76" s="65"/>
      <c r="D76" s="122"/>
      <c r="E76" s="65"/>
      <c r="F76" s="284"/>
      <c r="G76" s="457"/>
      <c r="H76" s="85"/>
      <c r="I76" s="459"/>
      <c r="J76" s="48">
        <f t="shared" si="2"/>
        <v>0</v>
      </c>
      <c r="K76" s="76">
        <f t="shared" si="14"/>
        <v>0</v>
      </c>
      <c r="L76" s="65"/>
      <c r="M76" s="79"/>
      <c r="N76" s="80">
        <f t="shared" si="15"/>
        <v>0</v>
      </c>
      <c r="O76" s="176"/>
      <c r="P76" s="176"/>
      <c r="Q76" s="65"/>
      <c r="R76" s="91"/>
      <c r="S76" s="183"/>
      <c r="T76" s="122"/>
      <c r="U76" s="122"/>
      <c r="V76" s="122"/>
      <c r="W76" s="693"/>
      <c r="X76" s="9"/>
      <c r="Y76" s="204"/>
      <c r="Z76" s="25"/>
      <c r="AA76" s="25"/>
      <c r="AB76" s="25"/>
      <c r="AC76" s="22"/>
    </row>
    <row r="77" ht="23.25" customHeight="1">
      <c r="A77" s="65"/>
      <c r="B77" s="65"/>
      <c r="C77" s="65"/>
      <c r="D77" s="122"/>
      <c r="E77" s="65"/>
      <c r="F77" s="284"/>
      <c r="G77" s="457"/>
      <c r="H77" s="85"/>
      <c r="I77" s="459"/>
      <c r="J77" s="48">
        <f t="shared" si="2"/>
        <v>0</v>
      </c>
      <c r="K77" s="76">
        <f t="shared" si="14"/>
        <v>0</v>
      </c>
      <c r="L77" s="65"/>
      <c r="M77" s="79"/>
      <c r="N77" s="80">
        <f t="shared" si="15"/>
        <v>0</v>
      </c>
      <c r="O77" s="176"/>
      <c r="P77" s="176"/>
      <c r="Q77" s="65"/>
      <c r="R77" s="91"/>
      <c r="S77" s="183"/>
      <c r="T77" s="122"/>
      <c r="U77" s="122"/>
      <c r="V77" s="122"/>
      <c r="W77" s="693"/>
      <c r="X77" s="9"/>
      <c r="Y77" s="204"/>
      <c r="Z77" s="25"/>
      <c r="AA77" s="25"/>
      <c r="AB77" s="25"/>
      <c r="AC77" s="22"/>
    </row>
    <row r="78" ht="23.25" customHeight="1">
      <c r="A78" s="65"/>
      <c r="B78" s="65"/>
      <c r="C78" s="65"/>
      <c r="D78" s="122"/>
      <c r="E78" s="65"/>
      <c r="F78" s="284"/>
      <c r="G78" s="457"/>
      <c r="H78" s="85"/>
      <c r="I78" s="459"/>
      <c r="J78" s="48">
        <f t="shared" si="2"/>
        <v>0</v>
      </c>
      <c r="K78" s="76">
        <f t="shared" si="14"/>
        <v>0</v>
      </c>
      <c r="L78" s="65"/>
      <c r="M78" s="79"/>
      <c r="N78" s="80">
        <f t="shared" si="15"/>
        <v>0</v>
      </c>
      <c r="O78" s="176"/>
      <c r="P78" s="176"/>
      <c r="Q78" s="65"/>
      <c r="R78" s="91"/>
      <c r="S78" s="183"/>
      <c r="T78" s="122"/>
      <c r="U78" s="122"/>
      <c r="V78" s="122"/>
      <c r="W78" s="693"/>
      <c r="X78" s="9"/>
      <c r="Y78" s="204"/>
      <c r="Z78" s="25"/>
      <c r="AA78" s="25"/>
      <c r="AB78" s="25"/>
      <c r="AC78" s="22"/>
    </row>
    <row r="79" ht="23.25" customHeight="1">
      <c r="A79" s="65"/>
      <c r="B79" s="65"/>
      <c r="C79" s="65"/>
      <c r="D79" s="122"/>
      <c r="E79" s="65"/>
      <c r="F79" s="284"/>
      <c r="G79" s="457"/>
      <c r="H79" s="85"/>
      <c r="I79" s="459"/>
      <c r="J79" s="48">
        <f t="shared" si="2"/>
        <v>0</v>
      </c>
      <c r="K79" s="76">
        <f t="shared" si="14"/>
        <v>0</v>
      </c>
      <c r="L79" s="65"/>
      <c r="M79" s="79"/>
      <c r="N79" s="80">
        <f t="shared" si="15"/>
        <v>0</v>
      </c>
      <c r="O79" s="176"/>
      <c r="P79" s="176"/>
      <c r="Q79" s="65"/>
      <c r="R79" s="91"/>
      <c r="S79" s="183"/>
      <c r="T79" s="122"/>
      <c r="U79" s="122"/>
      <c r="V79" s="122"/>
      <c r="W79" s="693"/>
      <c r="X79" s="9"/>
      <c r="Y79" s="204"/>
      <c r="Z79" s="25"/>
      <c r="AA79" s="25"/>
      <c r="AB79" s="25"/>
      <c r="AC79" s="22"/>
    </row>
    <row r="80" ht="23.25" customHeight="1">
      <c r="A80" s="65"/>
      <c r="B80" s="65"/>
      <c r="C80" s="65"/>
      <c r="D80" s="122"/>
      <c r="E80" s="65"/>
      <c r="F80" s="284"/>
      <c r="G80" s="457"/>
      <c r="H80" s="85"/>
      <c r="I80" s="459"/>
      <c r="J80" s="48">
        <f t="shared" si="2"/>
        <v>0</v>
      </c>
      <c r="K80" s="76">
        <f t="shared" si="14"/>
        <v>0</v>
      </c>
      <c r="L80" s="65"/>
      <c r="M80" s="79"/>
      <c r="N80" s="80">
        <f t="shared" si="15"/>
        <v>0</v>
      </c>
      <c r="O80" s="176"/>
      <c r="P80" s="176"/>
      <c r="Q80" s="65"/>
      <c r="R80" s="91"/>
      <c r="S80" s="183"/>
      <c r="T80" s="122"/>
      <c r="U80" s="122"/>
      <c r="V80" s="122"/>
      <c r="W80" s="693"/>
      <c r="X80" s="9"/>
      <c r="Y80" s="204"/>
      <c r="Z80" s="25"/>
      <c r="AA80" s="25"/>
      <c r="AB80" s="25"/>
      <c r="AC80" s="22"/>
    </row>
    <row r="81" ht="24.75" customHeight="1">
      <c r="A81" s="223"/>
      <c r="B81" s="1167" t="s">
        <v>384</v>
      </c>
      <c r="C81" s="16"/>
      <c r="D81" s="16"/>
      <c r="E81" s="16"/>
      <c r="F81" s="16"/>
      <c r="G81" s="16"/>
      <c r="H81" s="16"/>
      <c r="I81" s="17"/>
      <c r="J81" s="1168">
        <f t="shared" ref="J81:M81" si="16">SUM(J4:J80)</f>
        <v>42535000</v>
      </c>
      <c r="K81" s="76">
        <f t="shared" si="16"/>
        <v>42535000</v>
      </c>
      <c r="L81" s="201">
        <f t="shared" si="16"/>
        <v>570998</v>
      </c>
      <c r="M81" s="201">
        <f t="shared" si="16"/>
        <v>710998</v>
      </c>
      <c r="N81" s="80">
        <f t="shared" si="15"/>
        <v>42395000</v>
      </c>
      <c r="O81" s="201"/>
      <c r="P81" s="201">
        <f t="shared" ref="P81:V81" si="17">SUM(P4:P80)</f>
        <v>0</v>
      </c>
      <c r="Q81" s="201">
        <f t="shared" si="17"/>
        <v>1891716</v>
      </c>
      <c r="R81" s="201">
        <f t="shared" si="17"/>
        <v>0</v>
      </c>
      <c r="S81" s="201">
        <f t="shared" si="17"/>
        <v>0</v>
      </c>
      <c r="T81" s="201">
        <f t="shared" si="17"/>
        <v>0</v>
      </c>
      <c r="U81" s="201">
        <f t="shared" si="17"/>
        <v>31</v>
      </c>
      <c r="V81" s="201">
        <f t="shared" si="17"/>
        <v>0</v>
      </c>
      <c r="W81" s="907"/>
      <c r="X81" s="9"/>
      <c r="Y81" s="204"/>
      <c r="Z81" s="205"/>
      <c r="AA81" s="205"/>
      <c r="AB81" s="205"/>
      <c r="AC81" s="9"/>
    </row>
    <row r="82" ht="24.75" customHeight="1">
      <c r="A82" s="223"/>
      <c r="B82" s="463" t="s">
        <v>385</v>
      </c>
      <c r="C82" s="16"/>
      <c r="D82" s="16"/>
      <c r="E82" s="16"/>
      <c r="F82" s="16"/>
      <c r="G82" s="16"/>
      <c r="H82" s="16"/>
      <c r="I82" s="17"/>
      <c r="J82" s="207">
        <f>SUMIF(G4:G80, "&lt;&gt;*Omi*", J4:J80)</f>
        <v>2290000</v>
      </c>
      <c r="K82" s="208"/>
      <c r="L82" s="208"/>
      <c r="M82" s="210"/>
      <c r="N82" s="211"/>
      <c r="O82" s="210"/>
      <c r="P82" s="210"/>
      <c r="Q82" s="23"/>
      <c r="R82" s="23"/>
      <c r="S82" s="23"/>
      <c r="T82" s="23"/>
      <c r="U82" s="464"/>
      <c r="V82" s="464"/>
      <c r="W82" s="9"/>
      <c r="X82" s="9"/>
      <c r="Y82" s="204"/>
      <c r="Z82" s="205"/>
      <c r="AA82" s="205"/>
      <c r="AB82" s="205"/>
      <c r="AC82" s="9"/>
    </row>
    <row r="83" ht="24.75" customHeight="1">
      <c r="A83" s="223"/>
      <c r="B83" s="214" t="s">
        <v>386</v>
      </c>
      <c r="C83" s="16"/>
      <c r="D83" s="16"/>
      <c r="E83" s="16"/>
      <c r="F83" s="16"/>
      <c r="G83" s="16"/>
      <c r="H83" s="16"/>
      <c r="I83" s="17"/>
      <c r="J83" s="215">
        <f>J81-J82</f>
        <v>40245000</v>
      </c>
      <c r="K83" s="208"/>
      <c r="L83" s="208"/>
      <c r="M83" s="208"/>
      <c r="N83" s="216"/>
      <c r="O83" s="216"/>
      <c r="P83" s="23"/>
      <c r="Q83" s="23"/>
      <c r="R83" s="23"/>
      <c r="S83" s="23"/>
      <c r="T83" s="23"/>
      <c r="U83" s="464"/>
      <c r="V83" s="464"/>
      <c r="W83" s="9"/>
      <c r="X83" s="9"/>
      <c r="Y83" s="204"/>
      <c r="Z83" s="205"/>
      <c r="AA83" s="205"/>
      <c r="AB83" s="205"/>
      <c r="AC83" s="9"/>
    </row>
    <row r="84" ht="24.75" customHeight="1">
      <c r="A84" s="223"/>
      <c r="B84" s="217" t="s">
        <v>387</v>
      </c>
      <c r="C84" s="16"/>
      <c r="D84" s="16"/>
      <c r="E84" s="16"/>
      <c r="F84" s="16"/>
      <c r="G84" s="16"/>
      <c r="H84" s="16"/>
      <c r="I84" s="17"/>
      <c r="J84" s="207">
        <f>SUMIF(R4:R80,"Cty trả ship",Q4:Q80)</f>
        <v>1891716</v>
      </c>
      <c r="K84" s="208"/>
      <c r="L84" s="208"/>
      <c r="M84" s="208"/>
      <c r="N84" s="216"/>
      <c r="O84" s="216"/>
      <c r="P84" s="23"/>
      <c r="Q84" s="23"/>
      <c r="R84" s="23"/>
      <c r="S84" s="23"/>
      <c r="T84" s="23"/>
      <c r="U84" s="464"/>
      <c r="V84" s="464"/>
      <c r="W84" s="9"/>
      <c r="X84" s="218"/>
      <c r="Y84" s="219"/>
      <c r="Z84" s="205"/>
      <c r="AA84" s="205"/>
      <c r="AB84" s="205"/>
      <c r="AC84" s="9"/>
    </row>
    <row r="85" ht="24.75" customHeight="1">
      <c r="A85" s="223"/>
      <c r="B85" s="220" t="s">
        <v>388</v>
      </c>
      <c r="C85" s="16"/>
      <c r="D85" s="16"/>
      <c r="E85" s="16"/>
      <c r="F85" s="16"/>
      <c r="G85" s="16"/>
      <c r="H85" s="16"/>
      <c r="I85" s="17"/>
      <c r="J85" s="221">
        <f>M81</f>
        <v>710998</v>
      </c>
      <c r="K85" s="208"/>
      <c r="L85" s="208"/>
      <c r="M85" s="210"/>
      <c r="N85" s="211"/>
      <c r="O85" s="210"/>
      <c r="P85" s="210"/>
      <c r="Q85" s="23"/>
      <c r="R85" s="23"/>
      <c r="S85" s="210"/>
      <c r="T85" s="210"/>
      <c r="U85" s="466"/>
      <c r="V85" s="466"/>
      <c r="W85" s="210"/>
      <c r="X85" s="218"/>
      <c r="Y85" s="219"/>
      <c r="Z85" s="205"/>
      <c r="AA85" s="205"/>
      <c r="AB85" s="205"/>
      <c r="AC85" s="9"/>
    </row>
    <row r="86" ht="15.75" customHeight="1">
      <c r="A86" s="223"/>
      <c r="B86" s="223"/>
      <c r="C86" s="223"/>
      <c r="D86" s="9"/>
      <c r="E86" s="223"/>
      <c r="F86" s="222"/>
      <c r="G86" s="223"/>
      <c r="H86" s="224"/>
      <c r="I86" s="225"/>
      <c r="J86" s="225"/>
      <c r="K86" s="22"/>
      <c r="L86" s="223"/>
      <c r="M86" s="223"/>
      <c r="N86" s="226"/>
      <c r="O86" s="9"/>
      <c r="P86" s="9"/>
      <c r="Q86" s="223"/>
      <c r="R86" s="9"/>
      <c r="S86" s="223"/>
      <c r="T86" s="9"/>
      <c r="U86" s="913"/>
      <c r="V86" s="913"/>
      <c r="W86" s="9"/>
      <c r="X86" s="9"/>
      <c r="Y86" s="204"/>
      <c r="Z86" s="205"/>
      <c r="AA86" s="205"/>
      <c r="AB86" s="205"/>
      <c r="AC86" s="9"/>
    </row>
    <row r="87" ht="15.75" customHeight="1">
      <c r="A87" s="218"/>
      <c r="B87" s="227"/>
      <c r="C87" s="228"/>
      <c r="D87" s="229"/>
      <c r="E87" s="772"/>
      <c r="F87" s="229"/>
      <c r="G87" s="231"/>
      <c r="H87" s="231"/>
      <c r="I87" s="231"/>
      <c r="J87" s="232"/>
      <c r="K87" s="233"/>
      <c r="L87" s="232"/>
      <c r="M87" s="232"/>
      <c r="N87" s="234"/>
      <c r="O87" s="218"/>
      <c r="P87" s="218"/>
      <c r="Q87" s="218"/>
      <c r="R87" s="218"/>
      <c r="S87" s="218"/>
      <c r="T87" s="218"/>
      <c r="U87" s="601"/>
      <c r="V87" s="601"/>
      <c r="W87" s="235"/>
      <c r="X87" s="218"/>
      <c r="Y87" s="219"/>
      <c r="Z87" s="205"/>
      <c r="AA87" s="205"/>
      <c r="AB87" s="205"/>
      <c r="AC87" s="9"/>
    </row>
    <row r="88" ht="15.75" customHeight="1">
      <c r="A88" s="218"/>
      <c r="B88" s="236"/>
      <c r="C88" s="16"/>
      <c r="D88" s="17"/>
      <c r="E88" s="237" t="s">
        <v>389</v>
      </c>
      <c r="F88" s="16"/>
      <c r="G88" s="16"/>
      <c r="H88" s="16"/>
      <c r="I88" s="16"/>
      <c r="J88" s="17"/>
      <c r="K88" s="23"/>
      <c r="L88" s="218"/>
      <c r="M88" s="1171" t="s">
        <v>864</v>
      </c>
      <c r="N88" s="2"/>
      <c r="O88" s="2"/>
      <c r="P88" s="2"/>
      <c r="Q88" s="2"/>
      <c r="R88" s="2"/>
      <c r="S88" s="3"/>
      <c r="T88" s="218"/>
      <c r="U88" s="604"/>
      <c r="V88" s="604"/>
      <c r="W88" s="240"/>
      <c r="X88" s="218"/>
      <c r="Y88" s="219"/>
      <c r="Z88" s="205"/>
      <c r="AA88" s="205"/>
      <c r="AB88" s="205"/>
      <c r="AC88" s="9"/>
    </row>
    <row r="89" ht="15.75" customHeight="1">
      <c r="A89" s="218"/>
      <c r="B89" s="241" t="s">
        <v>391</v>
      </c>
      <c r="C89" s="242" t="s">
        <v>392</v>
      </c>
      <c r="D89" s="243" t="s">
        <v>393</v>
      </c>
      <c r="E89" s="244" t="s">
        <v>394</v>
      </c>
      <c r="F89" s="1370" t="s">
        <v>395</v>
      </c>
      <c r="G89" s="201" t="s">
        <v>396</v>
      </c>
      <c r="H89" s="243" t="s">
        <v>397</v>
      </c>
      <c r="I89" s="246" t="s">
        <v>398</v>
      </c>
      <c r="J89" s="247" t="s">
        <v>399</v>
      </c>
      <c r="K89" s="23"/>
      <c r="L89" s="218"/>
      <c r="M89" s="1172" t="s">
        <v>400</v>
      </c>
      <c r="N89" s="1173" t="s">
        <v>2078</v>
      </c>
      <c r="O89" s="1173" t="s">
        <v>2079</v>
      </c>
      <c r="P89" s="1174" t="s">
        <v>2009</v>
      </c>
      <c r="Q89" s="1174" t="s">
        <v>1929</v>
      </c>
      <c r="R89" s="252" t="s">
        <v>405</v>
      </c>
      <c r="S89" s="253" t="s">
        <v>406</v>
      </c>
      <c r="T89" s="9"/>
      <c r="U89" s="618"/>
      <c r="V89" s="608"/>
      <c r="W89" s="240"/>
      <c r="X89" s="218"/>
      <c r="Y89" s="219"/>
      <c r="Z89" s="205"/>
      <c r="AA89" s="205"/>
      <c r="AB89" s="205"/>
      <c r="AC89" s="9"/>
    </row>
    <row r="90" ht="15.75" customHeight="1">
      <c r="A90" s="218"/>
      <c r="B90" s="254" t="s">
        <v>407</v>
      </c>
      <c r="C90" s="85" t="s">
        <v>121</v>
      </c>
      <c r="D90" s="255">
        <f t="shared" ref="D90:D128" si="18">SUMIF($G$4:$G$83,C90,$H$4:$H$83)</f>
        <v>1</v>
      </c>
      <c r="E90" s="65"/>
      <c r="F90" s="255"/>
      <c r="G90" s="256">
        <f t="shared" ref="G90:G128" si="19">D90-E90-F90</f>
        <v>1</v>
      </c>
      <c r="H90" s="128">
        <v>220000.0</v>
      </c>
      <c r="I90" s="217">
        <f t="shared" ref="I90:I128" si="20">G90*H90</f>
        <v>220000</v>
      </c>
      <c r="J90" s="257">
        <f t="shared" ref="J90:J128" si="21">SUMIF($T$4:$T$80,C90,$U$4:$U$80)</f>
        <v>0</v>
      </c>
      <c r="K90" s="23"/>
      <c r="L90" s="218"/>
      <c r="M90" s="103">
        <v>45042.0</v>
      </c>
      <c r="N90" s="261">
        <f>660000+240000+2200000</f>
        <v>3100000</v>
      </c>
      <c r="O90" s="261"/>
      <c r="P90" s="1176">
        <f>89999+38000</f>
        <v>127999</v>
      </c>
      <c r="Q90" s="1176"/>
      <c r="R90" s="1178">
        <f t="shared" ref="R90:R106" si="22">N90+O90-P90-Q90</f>
        <v>2972001</v>
      </c>
      <c r="S90" s="488"/>
      <c r="T90" s="9"/>
      <c r="U90" s="608"/>
      <c r="V90" s="611"/>
      <c r="W90" s="266"/>
      <c r="X90" s="218"/>
      <c r="Y90" s="219"/>
      <c r="Z90" s="205"/>
      <c r="AA90" s="205"/>
      <c r="AB90" s="205"/>
      <c r="AC90" s="9"/>
    </row>
    <row r="91" ht="15.75" customHeight="1">
      <c r="A91" s="218"/>
      <c r="B91" s="62"/>
      <c r="C91" s="85" t="s">
        <v>123</v>
      </c>
      <c r="D91" s="255">
        <f t="shared" si="18"/>
        <v>9</v>
      </c>
      <c r="E91" s="65"/>
      <c r="F91" s="255"/>
      <c r="G91" s="256">
        <f t="shared" si="19"/>
        <v>9</v>
      </c>
      <c r="H91" s="128">
        <v>220000.0</v>
      </c>
      <c r="I91" s="217">
        <f t="shared" si="20"/>
        <v>1980000</v>
      </c>
      <c r="J91" s="257">
        <f t="shared" si="21"/>
        <v>0</v>
      </c>
      <c r="K91" s="23"/>
      <c r="L91" s="218"/>
      <c r="M91" s="103">
        <v>45044.0</v>
      </c>
      <c r="N91" s="261">
        <f>470000+1100000+2200000</f>
        <v>3770000</v>
      </c>
      <c r="O91" s="261"/>
      <c r="P91" s="487">
        <f>38000+50999+84999+68998+53999+89999+62998</f>
        <v>449992</v>
      </c>
      <c r="Q91" s="1176"/>
      <c r="R91" s="1178">
        <f t="shared" si="22"/>
        <v>3320008</v>
      </c>
      <c r="S91" s="488"/>
      <c r="T91" s="9"/>
      <c r="U91" s="608"/>
      <c r="V91" s="611"/>
      <c r="W91" s="266"/>
      <c r="X91" s="218"/>
      <c r="Y91" s="219"/>
      <c r="Z91" s="205"/>
      <c r="AA91" s="205"/>
      <c r="AB91" s="205"/>
      <c r="AC91" s="9"/>
    </row>
    <row r="92" ht="15.75" customHeight="1">
      <c r="A92" s="218"/>
      <c r="B92" s="62"/>
      <c r="C92" s="85" t="s">
        <v>124</v>
      </c>
      <c r="D92" s="255">
        <f t="shared" si="18"/>
        <v>12</v>
      </c>
      <c r="E92" s="65"/>
      <c r="F92" s="255"/>
      <c r="G92" s="256">
        <f t="shared" si="19"/>
        <v>12</v>
      </c>
      <c r="H92" s="128">
        <v>220000.0</v>
      </c>
      <c r="I92" s="217">
        <f t="shared" si="20"/>
        <v>2640000</v>
      </c>
      <c r="J92" s="257">
        <f t="shared" si="21"/>
        <v>0</v>
      </c>
      <c r="K92" s="23"/>
      <c r="L92" s="218"/>
      <c r="M92" s="103">
        <v>45047.0</v>
      </c>
      <c r="N92" s="261">
        <f>1320000</f>
        <v>1320000</v>
      </c>
      <c r="O92" s="261">
        <f>N4+N7</f>
        <v>920000</v>
      </c>
      <c r="P92" s="487"/>
      <c r="Q92" s="1176">
        <f>L5+L6+L7+Q4</f>
        <v>194998</v>
      </c>
      <c r="R92" s="1178">
        <f t="shared" si="22"/>
        <v>2045002</v>
      </c>
      <c r="S92" s="488"/>
      <c r="T92" s="9"/>
      <c r="U92" s="608"/>
      <c r="V92" s="611"/>
      <c r="W92" s="266"/>
      <c r="X92" s="218"/>
      <c r="Y92" s="219"/>
      <c r="Z92" s="205"/>
      <c r="AA92" s="205"/>
      <c r="AB92" s="205"/>
      <c r="AC92" s="9"/>
    </row>
    <row r="93" ht="15.75" customHeight="1">
      <c r="A93" s="218"/>
      <c r="B93" s="62"/>
      <c r="C93" s="129" t="s">
        <v>125</v>
      </c>
      <c r="D93" s="255">
        <f t="shared" si="18"/>
        <v>1</v>
      </c>
      <c r="E93" s="65"/>
      <c r="F93" s="255"/>
      <c r="G93" s="256">
        <f t="shared" si="19"/>
        <v>1</v>
      </c>
      <c r="H93" s="80">
        <v>220000.0</v>
      </c>
      <c r="I93" s="217">
        <f t="shared" si="20"/>
        <v>220000</v>
      </c>
      <c r="J93" s="257">
        <f t="shared" si="21"/>
        <v>0</v>
      </c>
      <c r="K93" s="23"/>
      <c r="L93" s="218"/>
      <c r="M93" s="103">
        <v>45049.0</v>
      </c>
      <c r="N93" s="261"/>
      <c r="O93" s="261">
        <f>N6</f>
        <v>470000</v>
      </c>
      <c r="P93" s="487"/>
      <c r="Q93" s="1176"/>
      <c r="R93" s="1178">
        <f t="shared" si="22"/>
        <v>470000</v>
      </c>
      <c r="S93" s="488"/>
      <c r="T93" s="9"/>
      <c r="U93" s="608"/>
      <c r="V93" s="611"/>
      <c r="W93" s="266"/>
      <c r="X93" s="218"/>
      <c r="Y93" s="219"/>
      <c r="Z93" s="205"/>
      <c r="AA93" s="205"/>
      <c r="AB93" s="205"/>
      <c r="AC93" s="9"/>
    </row>
    <row r="94" ht="15.75" customHeight="1">
      <c r="A94" s="218"/>
      <c r="B94" s="62"/>
      <c r="C94" s="129" t="s">
        <v>129</v>
      </c>
      <c r="D94" s="255">
        <f t="shared" si="18"/>
        <v>36</v>
      </c>
      <c r="E94" s="1371">
        <v>1.0</v>
      </c>
      <c r="F94" s="269"/>
      <c r="G94" s="256">
        <f t="shared" si="19"/>
        <v>35</v>
      </c>
      <c r="H94" s="80">
        <v>220000.0</v>
      </c>
      <c r="I94" s="217">
        <f t="shared" si="20"/>
        <v>7700000</v>
      </c>
      <c r="J94" s="257">
        <f t="shared" si="21"/>
        <v>0</v>
      </c>
      <c r="K94" s="23"/>
      <c r="L94" s="218"/>
      <c r="M94" s="103">
        <v>45054.0</v>
      </c>
      <c r="N94" s="261"/>
      <c r="O94" s="261">
        <f>N17+N5+N8+N9+N14+N25+N11+N13+N19+N10</f>
        <v>7880000</v>
      </c>
      <c r="P94" s="487"/>
      <c r="Q94" s="1176">
        <f>Q19+L17+Q20+L10+Q13+L8+Q9+Q11+Q14</f>
        <v>693082</v>
      </c>
      <c r="R94" s="1178">
        <f t="shared" si="22"/>
        <v>7186918</v>
      </c>
      <c r="S94" s="488"/>
      <c r="T94" s="9"/>
      <c r="U94" s="608"/>
      <c r="V94" s="611"/>
      <c r="W94" s="266"/>
      <c r="X94" s="218"/>
      <c r="Y94" s="219"/>
      <c r="Z94" s="205"/>
      <c r="AA94" s="205"/>
      <c r="AB94" s="205"/>
      <c r="AC94" s="9"/>
    </row>
    <row r="95" ht="15.75" customHeight="1">
      <c r="A95" s="218"/>
      <c r="B95" s="62"/>
      <c r="C95" s="85" t="s">
        <v>133</v>
      </c>
      <c r="D95" s="255">
        <f t="shared" si="18"/>
        <v>5</v>
      </c>
      <c r="E95" s="65"/>
      <c r="F95" s="269"/>
      <c r="G95" s="256">
        <f t="shared" si="19"/>
        <v>5</v>
      </c>
      <c r="H95" s="128">
        <v>220000.0</v>
      </c>
      <c r="I95" s="217">
        <f t="shared" si="20"/>
        <v>1100000</v>
      </c>
      <c r="J95" s="257">
        <f t="shared" si="21"/>
        <v>0</v>
      </c>
      <c r="K95" s="23"/>
      <c r="L95" s="218"/>
      <c r="M95" s="103">
        <v>45056.0</v>
      </c>
      <c r="N95" s="261"/>
      <c r="O95" s="261">
        <f>N28+N27+N20</f>
        <v>4640000</v>
      </c>
      <c r="P95" s="487"/>
      <c r="Q95" s="1176">
        <f>L30+Q25+L27+Q28+Q22+5000</f>
        <v>234996</v>
      </c>
      <c r="R95" s="1178">
        <f t="shared" si="22"/>
        <v>4405004</v>
      </c>
      <c r="S95" s="483" t="s">
        <v>2080</v>
      </c>
      <c r="T95" s="9"/>
      <c r="U95" s="608"/>
      <c r="V95" s="611"/>
      <c r="W95" s="266"/>
      <c r="X95" s="218"/>
      <c r="Y95" s="219"/>
      <c r="Z95" s="205"/>
      <c r="AA95" s="205"/>
      <c r="AB95" s="205"/>
      <c r="AC95" s="9"/>
    </row>
    <row r="96" ht="15.75" customHeight="1">
      <c r="A96" s="218"/>
      <c r="B96" s="62"/>
      <c r="C96" s="85" t="s">
        <v>135</v>
      </c>
      <c r="D96" s="255">
        <f t="shared" si="18"/>
        <v>1</v>
      </c>
      <c r="E96" s="268"/>
      <c r="F96" s="269"/>
      <c r="G96" s="256">
        <f t="shared" si="19"/>
        <v>1</v>
      </c>
      <c r="H96" s="128">
        <v>220000.0</v>
      </c>
      <c r="I96" s="217">
        <f t="shared" si="20"/>
        <v>220000</v>
      </c>
      <c r="J96" s="257">
        <f t="shared" si="21"/>
        <v>0</v>
      </c>
      <c r="K96" s="23"/>
      <c r="L96" s="218"/>
      <c r="M96" s="103">
        <v>45058.0</v>
      </c>
      <c r="N96" s="261"/>
      <c r="O96" s="261">
        <f>N32+N30+N22</f>
        <v>1560000</v>
      </c>
      <c r="P96" s="487"/>
      <c r="Q96" s="1176">
        <f>Q34+Q32+Q31</f>
        <v>176998</v>
      </c>
      <c r="R96" s="1178">
        <f t="shared" si="22"/>
        <v>1383002</v>
      </c>
      <c r="S96" s="488"/>
      <c r="T96" s="9"/>
      <c r="U96" s="608"/>
      <c r="V96" s="611"/>
      <c r="W96" s="266"/>
      <c r="X96" s="218"/>
      <c r="Y96" s="219"/>
      <c r="Z96" s="205"/>
      <c r="AA96" s="205"/>
      <c r="AB96" s="205"/>
      <c r="AC96" s="9"/>
    </row>
    <row r="97" ht="15.75" customHeight="1">
      <c r="A97" s="218"/>
      <c r="B97" s="62"/>
      <c r="C97" s="85" t="s">
        <v>139</v>
      </c>
      <c r="D97" s="255">
        <f t="shared" si="18"/>
        <v>19</v>
      </c>
      <c r="E97" s="65"/>
      <c r="F97" s="269"/>
      <c r="G97" s="256">
        <f t="shared" si="19"/>
        <v>19</v>
      </c>
      <c r="H97" s="128">
        <v>80000.0</v>
      </c>
      <c r="I97" s="217">
        <f t="shared" si="20"/>
        <v>1520000</v>
      </c>
      <c r="J97" s="257">
        <f t="shared" si="21"/>
        <v>30</v>
      </c>
      <c r="K97" s="23"/>
      <c r="L97" s="218"/>
      <c r="M97" s="103">
        <v>45061.0</v>
      </c>
      <c r="N97" s="261"/>
      <c r="O97" s="261">
        <f>N34+N35+N36</f>
        <v>2240000</v>
      </c>
      <c r="P97" s="487"/>
      <c r="Q97" s="1176">
        <f>L36+L35</f>
        <v>83000</v>
      </c>
      <c r="R97" s="1178">
        <f t="shared" si="22"/>
        <v>2157000</v>
      </c>
      <c r="S97" s="488"/>
      <c r="T97" s="9"/>
      <c r="U97" s="608"/>
      <c r="V97" s="611"/>
      <c r="W97" s="266"/>
      <c r="X97" s="218"/>
      <c r="Y97" s="219"/>
      <c r="Z97" s="205"/>
      <c r="AA97" s="205"/>
      <c r="AB97" s="205"/>
      <c r="AC97" s="9"/>
    </row>
    <row r="98" ht="15.75" customHeight="1">
      <c r="A98" s="218"/>
      <c r="B98" s="62"/>
      <c r="C98" s="85" t="s">
        <v>142</v>
      </c>
      <c r="D98" s="255">
        <f t="shared" si="18"/>
        <v>2</v>
      </c>
      <c r="E98" s="65"/>
      <c r="F98" s="269"/>
      <c r="G98" s="256">
        <f t="shared" si="19"/>
        <v>2</v>
      </c>
      <c r="H98" s="128">
        <v>220000.0</v>
      </c>
      <c r="I98" s="217">
        <f t="shared" si="20"/>
        <v>440000</v>
      </c>
      <c r="J98" s="257">
        <f t="shared" si="21"/>
        <v>0</v>
      </c>
      <c r="K98" s="23"/>
      <c r="L98" s="218"/>
      <c r="M98" s="103">
        <v>45065.0</v>
      </c>
      <c r="N98" s="261"/>
      <c r="O98" s="261">
        <f>N40+N42</f>
        <v>790000</v>
      </c>
      <c r="P98" s="487"/>
      <c r="Q98" s="1176">
        <f>L40+L42+Q45+Q44</f>
        <v>255484</v>
      </c>
      <c r="R98" s="1178">
        <f t="shared" si="22"/>
        <v>534516</v>
      </c>
      <c r="S98" s="488"/>
      <c r="T98" s="9"/>
      <c r="U98" s="608"/>
      <c r="V98" s="611"/>
      <c r="W98" s="266"/>
      <c r="X98" s="218"/>
      <c r="Y98" s="219"/>
      <c r="Z98" s="205"/>
      <c r="AA98" s="205"/>
      <c r="AB98" s="205"/>
      <c r="AC98" s="9"/>
    </row>
    <row r="99" ht="15.75" customHeight="1">
      <c r="A99" s="218"/>
      <c r="B99" s="62"/>
      <c r="C99" s="85" t="s">
        <v>145</v>
      </c>
      <c r="D99" s="255">
        <f t="shared" si="18"/>
        <v>60</v>
      </c>
      <c r="E99" s="65"/>
      <c r="F99" s="270"/>
      <c r="G99" s="256">
        <f t="shared" si="19"/>
        <v>60</v>
      </c>
      <c r="H99" s="128">
        <v>220000.0</v>
      </c>
      <c r="I99" s="217">
        <f t="shared" si="20"/>
        <v>13200000</v>
      </c>
      <c r="J99" s="257">
        <f t="shared" si="21"/>
        <v>0</v>
      </c>
      <c r="K99" s="23"/>
      <c r="L99" s="218"/>
      <c r="M99" s="103">
        <v>45068.0</v>
      </c>
      <c r="N99" s="261"/>
      <c r="O99" s="261">
        <f>N44+N45</f>
        <v>3960000</v>
      </c>
      <c r="P99" s="487"/>
      <c r="Q99" s="1176">
        <f>Q46+Q56+Q65</f>
        <v>605659</v>
      </c>
      <c r="R99" s="1178">
        <f t="shared" si="22"/>
        <v>3354341</v>
      </c>
      <c r="S99" s="488"/>
      <c r="T99" s="9"/>
      <c r="U99" s="608"/>
      <c r="V99" s="611"/>
      <c r="W99" s="266"/>
      <c r="X99" s="218"/>
      <c r="Y99" s="219"/>
      <c r="Z99" s="205"/>
      <c r="AA99" s="205"/>
      <c r="AB99" s="205"/>
      <c r="AC99" s="9"/>
    </row>
    <row r="100" ht="15.75" customHeight="1">
      <c r="A100" s="218"/>
      <c r="B100" s="62"/>
      <c r="C100" s="85" t="s">
        <v>153</v>
      </c>
      <c r="D100" s="255">
        <f t="shared" si="18"/>
        <v>3</v>
      </c>
      <c r="E100" s="65"/>
      <c r="F100" s="269"/>
      <c r="G100" s="256">
        <f t="shared" si="19"/>
        <v>3</v>
      </c>
      <c r="H100" s="128">
        <v>45000.0</v>
      </c>
      <c r="I100" s="217">
        <f t="shared" si="20"/>
        <v>135000</v>
      </c>
      <c r="J100" s="257">
        <f t="shared" si="21"/>
        <v>1</v>
      </c>
      <c r="K100" s="23"/>
      <c r="L100" s="218"/>
      <c r="M100" s="103">
        <v>45070.0</v>
      </c>
      <c r="N100" s="261"/>
      <c r="O100" s="261">
        <f>N46+N65+N56</f>
        <v>16610000</v>
      </c>
      <c r="P100" s="487"/>
      <c r="Q100" s="1176">
        <f>0</f>
        <v>0</v>
      </c>
      <c r="R100" s="1178">
        <f t="shared" si="22"/>
        <v>16610000</v>
      </c>
      <c r="S100" s="488"/>
      <c r="T100" s="9"/>
      <c r="U100" s="608"/>
      <c r="V100" s="611"/>
      <c r="W100" s="266"/>
      <c r="X100" s="218"/>
      <c r="Y100" s="219"/>
      <c r="Z100" s="205"/>
      <c r="AA100" s="205"/>
      <c r="AB100" s="205"/>
      <c r="AC100" s="9"/>
    </row>
    <row r="101" ht="15.75" customHeight="1">
      <c r="A101" s="218"/>
      <c r="B101" s="62"/>
      <c r="C101" s="273" t="s">
        <v>161</v>
      </c>
      <c r="D101" s="255">
        <f t="shared" si="18"/>
        <v>12</v>
      </c>
      <c r="E101" s="93">
        <v>1.0</v>
      </c>
      <c r="F101" s="269"/>
      <c r="G101" s="256">
        <f t="shared" si="19"/>
        <v>11</v>
      </c>
      <c r="H101" s="274">
        <v>220000.0</v>
      </c>
      <c r="I101" s="217">
        <f t="shared" si="20"/>
        <v>2420000</v>
      </c>
      <c r="J101" s="257">
        <f t="shared" si="21"/>
        <v>0</v>
      </c>
      <c r="K101" s="23"/>
      <c r="L101" s="218"/>
      <c r="M101" s="620"/>
      <c r="N101" s="261"/>
      <c r="O101" s="261"/>
      <c r="P101" s="487"/>
      <c r="Q101" s="1176"/>
      <c r="R101" s="1178">
        <f t="shared" si="22"/>
        <v>0</v>
      </c>
      <c r="S101" s="488"/>
      <c r="T101" s="9"/>
      <c r="U101" s="608"/>
      <c r="V101" s="611"/>
      <c r="W101" s="266"/>
      <c r="X101" s="218"/>
      <c r="Y101" s="219"/>
      <c r="Z101" s="205"/>
      <c r="AA101" s="205"/>
      <c r="AB101" s="205"/>
      <c r="AC101" s="9"/>
    </row>
    <row r="102" ht="15.75" customHeight="1">
      <c r="A102" s="218"/>
      <c r="B102" s="62"/>
      <c r="C102" s="273" t="s">
        <v>488</v>
      </c>
      <c r="D102" s="255">
        <f t="shared" si="18"/>
        <v>2</v>
      </c>
      <c r="E102" s="65"/>
      <c r="F102" s="269"/>
      <c r="G102" s="256">
        <f t="shared" si="19"/>
        <v>2</v>
      </c>
      <c r="H102" s="274">
        <v>45000.0</v>
      </c>
      <c r="I102" s="217">
        <f t="shared" si="20"/>
        <v>90000</v>
      </c>
      <c r="J102" s="257">
        <f t="shared" si="21"/>
        <v>0</v>
      </c>
      <c r="K102" s="23"/>
      <c r="L102" s="218"/>
      <c r="M102" s="620"/>
      <c r="N102" s="261"/>
      <c r="O102" s="261"/>
      <c r="P102" s="487"/>
      <c r="Q102" s="1176"/>
      <c r="R102" s="1178">
        <f t="shared" si="22"/>
        <v>0</v>
      </c>
      <c r="S102" s="488"/>
      <c r="T102" s="9"/>
      <c r="U102" s="608"/>
      <c r="V102" s="611"/>
      <c r="W102" s="266"/>
      <c r="X102" s="218"/>
      <c r="Y102" s="219"/>
      <c r="Z102" s="205"/>
      <c r="AA102" s="205"/>
      <c r="AB102" s="205"/>
      <c r="AC102" s="9"/>
    </row>
    <row r="103" ht="15.75" customHeight="1">
      <c r="A103" s="218"/>
      <c r="B103" s="62"/>
      <c r="C103" s="273" t="s">
        <v>412</v>
      </c>
      <c r="D103" s="255">
        <f t="shared" si="18"/>
        <v>0</v>
      </c>
      <c r="E103" s="65"/>
      <c r="F103" s="269"/>
      <c r="G103" s="256">
        <f t="shared" si="19"/>
        <v>0</v>
      </c>
      <c r="H103" s="274">
        <v>45000.0</v>
      </c>
      <c r="I103" s="217">
        <f t="shared" si="20"/>
        <v>0</v>
      </c>
      <c r="J103" s="257">
        <f t="shared" si="21"/>
        <v>0</v>
      </c>
      <c r="K103" s="23"/>
      <c r="L103" s="218"/>
      <c r="M103" s="620"/>
      <c r="N103" s="261"/>
      <c r="O103" s="261"/>
      <c r="P103" s="487"/>
      <c r="Q103" s="1176"/>
      <c r="R103" s="1178">
        <f t="shared" si="22"/>
        <v>0</v>
      </c>
      <c r="S103" s="488"/>
      <c r="T103" s="9"/>
      <c r="U103" s="608"/>
      <c r="V103" s="611"/>
      <c r="W103" s="266"/>
      <c r="X103" s="218"/>
      <c r="Y103" s="219"/>
      <c r="Z103" s="205"/>
      <c r="AA103" s="205"/>
      <c r="AB103" s="205"/>
      <c r="AC103" s="9"/>
    </row>
    <row r="104" ht="15.75" customHeight="1">
      <c r="A104" s="218"/>
      <c r="B104" s="62"/>
      <c r="C104" s="273" t="s">
        <v>151</v>
      </c>
      <c r="D104" s="255">
        <f t="shared" si="18"/>
        <v>27</v>
      </c>
      <c r="E104" s="65"/>
      <c r="F104" s="269"/>
      <c r="G104" s="256">
        <f t="shared" si="19"/>
        <v>27</v>
      </c>
      <c r="H104" s="274">
        <v>220000.0</v>
      </c>
      <c r="I104" s="217">
        <f t="shared" si="20"/>
        <v>5940000</v>
      </c>
      <c r="J104" s="257">
        <f t="shared" si="21"/>
        <v>0</v>
      </c>
      <c r="K104" s="23"/>
      <c r="L104" s="218"/>
      <c r="M104" s="620"/>
      <c r="N104" s="261"/>
      <c r="O104" s="261"/>
      <c r="P104" s="487"/>
      <c r="Q104" s="1176"/>
      <c r="R104" s="1178">
        <f t="shared" si="22"/>
        <v>0</v>
      </c>
      <c r="S104" s="488"/>
      <c r="T104" s="9"/>
      <c r="U104" s="608"/>
      <c r="V104" s="611"/>
      <c r="W104" s="266"/>
      <c r="X104" s="218"/>
      <c r="Y104" s="219"/>
      <c r="Z104" s="205"/>
      <c r="AA104" s="205"/>
      <c r="AB104" s="205"/>
      <c r="AC104" s="9"/>
    </row>
    <row r="105" ht="15.75" customHeight="1">
      <c r="A105" s="218"/>
      <c r="B105" s="62"/>
      <c r="C105" s="65" t="s">
        <v>148</v>
      </c>
      <c r="D105" s="255">
        <f t="shared" si="18"/>
        <v>11</v>
      </c>
      <c r="E105" s="65"/>
      <c r="F105" s="269"/>
      <c r="G105" s="256">
        <f t="shared" si="19"/>
        <v>11</v>
      </c>
      <c r="H105" s="66">
        <v>220000.0</v>
      </c>
      <c r="I105" s="217">
        <f t="shared" si="20"/>
        <v>2420000</v>
      </c>
      <c r="J105" s="257">
        <f t="shared" si="21"/>
        <v>0</v>
      </c>
      <c r="K105" s="23"/>
      <c r="L105" s="218"/>
      <c r="M105" s="620"/>
      <c r="N105" s="261"/>
      <c r="O105" s="261"/>
      <c r="P105" s="487"/>
      <c r="Q105" s="1176"/>
      <c r="R105" s="1178">
        <f t="shared" si="22"/>
        <v>0</v>
      </c>
      <c r="S105" s="488"/>
      <c r="T105" s="9"/>
      <c r="U105" s="608"/>
      <c r="V105" s="611"/>
      <c r="W105" s="266"/>
      <c r="X105" s="218"/>
      <c r="Y105" s="219"/>
      <c r="Z105" s="205"/>
      <c r="AA105" s="205"/>
      <c r="AB105" s="205"/>
      <c r="AC105" s="9"/>
    </row>
    <row r="106" ht="15.75" customHeight="1">
      <c r="A106" s="218"/>
      <c r="B106" s="254" t="s">
        <v>415</v>
      </c>
      <c r="C106" s="283" t="s">
        <v>34</v>
      </c>
      <c r="D106" s="255">
        <f t="shared" si="18"/>
        <v>11</v>
      </c>
      <c r="E106" s="65"/>
      <c r="F106" s="269"/>
      <c r="G106" s="256">
        <f t="shared" si="19"/>
        <v>11</v>
      </c>
      <c r="H106" s="61">
        <v>65000.0</v>
      </c>
      <c r="I106" s="217">
        <f t="shared" si="20"/>
        <v>715000</v>
      </c>
      <c r="J106" s="257">
        <f t="shared" si="21"/>
        <v>0</v>
      </c>
      <c r="K106" s="23"/>
      <c r="L106" s="218"/>
      <c r="M106" s="620"/>
      <c r="N106" s="261"/>
      <c r="O106" s="261"/>
      <c r="P106" s="487"/>
      <c r="Q106" s="1176"/>
      <c r="R106" s="1178">
        <f t="shared" si="22"/>
        <v>0</v>
      </c>
      <c r="S106" s="488"/>
      <c r="T106" s="617"/>
      <c r="U106" s="618"/>
      <c r="V106" s="616"/>
      <c r="W106" s="266"/>
      <c r="X106" s="218"/>
      <c r="Y106" s="219"/>
      <c r="Z106" s="205"/>
      <c r="AA106" s="205"/>
      <c r="AB106" s="205"/>
      <c r="AC106" s="9"/>
    </row>
    <row r="107" ht="15.75" customHeight="1">
      <c r="A107" s="218"/>
      <c r="B107" s="62"/>
      <c r="C107" s="285" t="s">
        <v>36</v>
      </c>
      <c r="D107" s="255">
        <f t="shared" si="18"/>
        <v>0</v>
      </c>
      <c r="E107" s="65"/>
      <c r="F107" s="269"/>
      <c r="G107" s="256">
        <f t="shared" si="19"/>
        <v>0</v>
      </c>
      <c r="H107" s="66">
        <v>180000.0</v>
      </c>
      <c r="I107" s="217">
        <f t="shared" si="20"/>
        <v>0</v>
      </c>
      <c r="J107" s="257">
        <f t="shared" si="21"/>
        <v>0</v>
      </c>
      <c r="K107" s="23"/>
      <c r="L107" s="218"/>
      <c r="M107" s="1180" t="s">
        <v>421</v>
      </c>
      <c r="N107" s="1123">
        <f t="shared" ref="N107:R107" si="23">SUM(N90:N106)</f>
        <v>8190000</v>
      </c>
      <c r="O107" s="1123">
        <f t="shared" si="23"/>
        <v>39070000</v>
      </c>
      <c r="P107" s="1123">
        <f t="shared" si="23"/>
        <v>577991</v>
      </c>
      <c r="Q107" s="1123">
        <f t="shared" si="23"/>
        <v>2244217</v>
      </c>
      <c r="R107" s="1123">
        <f t="shared" si="23"/>
        <v>44437792</v>
      </c>
      <c r="S107" s="1181"/>
      <c r="T107" s="617"/>
      <c r="U107" s="618"/>
      <c r="V107" s="616"/>
      <c r="W107" s="266"/>
      <c r="X107" s="218"/>
      <c r="Y107" s="219"/>
      <c r="Z107" s="205"/>
      <c r="AA107" s="205"/>
      <c r="AB107" s="205"/>
      <c r="AC107" s="9"/>
    </row>
    <row r="108" ht="15.75" customHeight="1">
      <c r="A108" s="218"/>
      <c r="B108" s="62"/>
      <c r="C108" s="285" t="s">
        <v>38</v>
      </c>
      <c r="D108" s="255">
        <f t="shared" si="18"/>
        <v>0</v>
      </c>
      <c r="E108" s="65"/>
      <c r="F108" s="269"/>
      <c r="G108" s="256">
        <f t="shared" si="19"/>
        <v>0</v>
      </c>
      <c r="H108" s="66">
        <v>160000.0</v>
      </c>
      <c r="I108" s="217">
        <f t="shared" si="20"/>
        <v>0</v>
      </c>
      <c r="J108" s="257">
        <f t="shared" si="21"/>
        <v>0</v>
      </c>
      <c r="K108" s="23"/>
      <c r="L108" s="218"/>
      <c r="M108" s="218"/>
      <c r="N108" s="298"/>
      <c r="O108" s="299"/>
      <c r="P108" s="299"/>
      <c r="Q108" s="299"/>
      <c r="R108" s="299"/>
      <c r="S108" s="299"/>
      <c r="T108" s="617"/>
      <c r="U108" s="618"/>
      <c r="V108" s="616"/>
      <c r="W108" s="266"/>
      <c r="X108" s="218"/>
      <c r="Y108" s="219"/>
      <c r="Z108" s="205"/>
      <c r="AA108" s="205"/>
      <c r="AB108" s="205"/>
      <c r="AC108" s="9"/>
    </row>
    <row r="109" ht="15.75" customHeight="1">
      <c r="A109" s="218"/>
      <c r="B109" s="62"/>
      <c r="C109" s="285" t="s">
        <v>43</v>
      </c>
      <c r="D109" s="255">
        <f t="shared" si="18"/>
        <v>11</v>
      </c>
      <c r="E109" s="65"/>
      <c r="F109" s="269"/>
      <c r="G109" s="256">
        <f t="shared" si="19"/>
        <v>11</v>
      </c>
      <c r="H109" s="66">
        <v>80000.0</v>
      </c>
      <c r="I109" s="217">
        <f t="shared" si="20"/>
        <v>880000</v>
      </c>
      <c r="J109" s="257">
        <f t="shared" si="21"/>
        <v>0</v>
      </c>
      <c r="K109" s="23"/>
      <c r="L109" s="218"/>
      <c r="M109" s="218"/>
      <c r="N109" s="298"/>
      <c r="O109" s="299"/>
      <c r="P109" s="299"/>
      <c r="Q109" s="299"/>
      <c r="R109" s="299"/>
      <c r="S109" s="299"/>
      <c r="T109" s="617"/>
      <c r="U109" s="618"/>
      <c r="V109" s="616"/>
      <c r="W109" s="266"/>
      <c r="X109" s="218"/>
      <c r="Y109" s="219"/>
      <c r="Z109" s="205"/>
      <c r="AA109" s="205"/>
      <c r="AB109" s="205"/>
      <c r="AC109" s="9"/>
    </row>
    <row r="110" ht="15.75" customHeight="1">
      <c r="A110" s="218"/>
      <c r="B110" s="62"/>
      <c r="C110" s="285" t="s">
        <v>48</v>
      </c>
      <c r="D110" s="255">
        <f t="shared" si="18"/>
        <v>11</v>
      </c>
      <c r="E110" s="65"/>
      <c r="F110" s="269"/>
      <c r="G110" s="256">
        <f t="shared" si="19"/>
        <v>11</v>
      </c>
      <c r="H110" s="66">
        <v>55000.0</v>
      </c>
      <c r="I110" s="217">
        <f t="shared" si="20"/>
        <v>605000</v>
      </c>
      <c r="J110" s="257">
        <f t="shared" si="21"/>
        <v>0</v>
      </c>
      <c r="K110" s="23"/>
      <c r="L110" s="218"/>
      <c r="M110" s="218"/>
      <c r="N110" s="298"/>
      <c r="O110" s="299"/>
      <c r="P110" s="299"/>
      <c r="Q110" s="299"/>
      <c r="R110" s="299"/>
      <c r="S110" s="299"/>
      <c r="T110" s="617"/>
      <c r="U110" s="618"/>
      <c r="V110" s="616"/>
      <c r="W110" s="266"/>
      <c r="X110" s="218"/>
      <c r="Y110" s="219"/>
      <c r="Z110" s="205"/>
      <c r="AA110" s="205"/>
      <c r="AB110" s="205"/>
      <c r="AC110" s="9"/>
    </row>
    <row r="111" ht="15.75" customHeight="1">
      <c r="A111" s="218"/>
      <c r="B111" s="62"/>
      <c r="C111" s="285" t="s">
        <v>60</v>
      </c>
      <c r="D111" s="255">
        <f t="shared" si="18"/>
        <v>0</v>
      </c>
      <c r="E111" s="65"/>
      <c r="F111" s="269"/>
      <c r="G111" s="256">
        <f t="shared" si="19"/>
        <v>0</v>
      </c>
      <c r="H111" s="66">
        <v>45000.0</v>
      </c>
      <c r="I111" s="217">
        <f t="shared" si="20"/>
        <v>0</v>
      </c>
      <c r="J111" s="257">
        <f t="shared" si="21"/>
        <v>0</v>
      </c>
      <c r="K111" s="23"/>
      <c r="L111" s="218"/>
      <c r="M111" s="218"/>
      <c r="N111" s="298"/>
      <c r="O111" s="299"/>
      <c r="P111" s="299"/>
      <c r="Q111" s="299"/>
      <c r="R111" s="299"/>
      <c r="S111" s="299"/>
      <c r="T111" s="617"/>
      <c r="U111" s="618"/>
      <c r="V111" s="616"/>
      <c r="W111" s="266"/>
      <c r="X111" s="218"/>
      <c r="Y111" s="219"/>
      <c r="Z111" s="205"/>
      <c r="AA111" s="205"/>
      <c r="AB111" s="205"/>
      <c r="AC111" s="9"/>
    </row>
    <row r="112" ht="15.75" customHeight="1">
      <c r="A112" s="218"/>
      <c r="B112" s="62"/>
      <c r="C112" s="285" t="s">
        <v>679</v>
      </c>
      <c r="D112" s="255">
        <f t="shared" si="18"/>
        <v>0</v>
      </c>
      <c r="E112" s="65"/>
      <c r="F112" s="269"/>
      <c r="G112" s="256">
        <f t="shared" si="19"/>
        <v>0</v>
      </c>
      <c r="H112" s="66">
        <v>110000.0</v>
      </c>
      <c r="I112" s="217">
        <f t="shared" si="20"/>
        <v>0</v>
      </c>
      <c r="J112" s="257">
        <f t="shared" si="21"/>
        <v>0</v>
      </c>
      <c r="K112" s="23"/>
      <c r="L112" s="218"/>
      <c r="M112" s="218"/>
      <c r="N112" s="298"/>
      <c r="O112" s="299"/>
      <c r="P112" s="299"/>
      <c r="Q112" s="299"/>
      <c r="R112" s="299"/>
      <c r="S112" s="299"/>
      <c r="T112" s="617"/>
      <c r="U112" s="618"/>
      <c r="V112" s="616"/>
      <c r="W112" s="266"/>
      <c r="X112" s="218"/>
      <c r="Y112" s="219"/>
      <c r="Z112" s="205"/>
      <c r="AA112" s="205"/>
      <c r="AB112" s="205"/>
      <c r="AC112" s="9"/>
    </row>
    <row r="113" ht="15.75" customHeight="1">
      <c r="A113" s="218"/>
      <c r="B113" s="62"/>
      <c r="C113" s="285" t="s">
        <v>66</v>
      </c>
      <c r="D113" s="255">
        <f t="shared" si="18"/>
        <v>0</v>
      </c>
      <c r="E113" s="65"/>
      <c r="F113" s="269"/>
      <c r="G113" s="256">
        <f t="shared" si="19"/>
        <v>0</v>
      </c>
      <c r="H113" s="66">
        <v>205000.0</v>
      </c>
      <c r="I113" s="217">
        <f t="shared" si="20"/>
        <v>0</v>
      </c>
      <c r="J113" s="257">
        <f t="shared" si="21"/>
        <v>0</v>
      </c>
      <c r="K113" s="23"/>
      <c r="L113" s="218"/>
      <c r="M113" s="218"/>
      <c r="N113" s="298"/>
      <c r="O113" s="299"/>
      <c r="P113" s="299"/>
      <c r="Q113" s="299"/>
      <c r="R113" s="299"/>
      <c r="S113" s="299"/>
      <c r="T113" s="617"/>
      <c r="U113" s="618"/>
      <c r="V113" s="616"/>
      <c r="W113" s="266"/>
      <c r="X113" s="218"/>
      <c r="Y113" s="219"/>
      <c r="Z113" s="205"/>
      <c r="AA113" s="205"/>
      <c r="AB113" s="205"/>
      <c r="AC113" s="9"/>
    </row>
    <row r="114" ht="15.75" customHeight="1">
      <c r="A114" s="218"/>
      <c r="B114" s="62"/>
      <c r="C114" s="285" t="s">
        <v>684</v>
      </c>
      <c r="D114" s="255">
        <f t="shared" si="18"/>
        <v>0</v>
      </c>
      <c r="E114" s="65"/>
      <c r="F114" s="269"/>
      <c r="G114" s="256">
        <f t="shared" si="19"/>
        <v>0</v>
      </c>
      <c r="H114" s="66">
        <v>150000.0</v>
      </c>
      <c r="I114" s="217">
        <f t="shared" si="20"/>
        <v>0</v>
      </c>
      <c r="J114" s="257">
        <f t="shared" si="21"/>
        <v>0</v>
      </c>
      <c r="K114" s="23"/>
      <c r="L114" s="218"/>
      <c r="M114" s="218"/>
      <c r="N114" s="298"/>
      <c r="O114" s="299"/>
      <c r="P114" s="299"/>
      <c r="Q114" s="299"/>
      <c r="R114" s="299"/>
      <c r="S114" s="299"/>
      <c r="T114" s="617"/>
      <c r="U114" s="618"/>
      <c r="V114" s="616"/>
      <c r="W114" s="266"/>
      <c r="X114" s="218"/>
      <c r="Y114" s="219"/>
      <c r="Z114" s="205"/>
      <c r="AA114" s="205"/>
      <c r="AB114" s="205"/>
      <c r="AC114" s="9"/>
    </row>
    <row r="115" ht="15.75" customHeight="1">
      <c r="A115" s="218"/>
      <c r="B115" s="62"/>
      <c r="C115" s="288" t="s">
        <v>71</v>
      </c>
      <c r="D115" s="255">
        <f t="shared" si="18"/>
        <v>0</v>
      </c>
      <c r="E115" s="65"/>
      <c r="F115" s="269"/>
      <c r="G115" s="256">
        <f t="shared" si="19"/>
        <v>0</v>
      </c>
      <c r="H115" s="66">
        <v>85000.0</v>
      </c>
      <c r="I115" s="217">
        <f t="shared" si="20"/>
        <v>0</v>
      </c>
      <c r="J115" s="257">
        <f t="shared" si="21"/>
        <v>0</v>
      </c>
      <c r="K115" s="23"/>
      <c r="L115" s="218"/>
      <c r="M115" s="218"/>
      <c r="N115" s="298"/>
      <c r="O115" s="299"/>
      <c r="P115" s="299"/>
      <c r="Q115" s="299"/>
      <c r="R115" s="299"/>
      <c r="S115" s="299"/>
      <c r="T115" s="617"/>
      <c r="U115" s="618"/>
      <c r="V115" s="616"/>
      <c r="W115" s="266"/>
      <c r="X115" s="218"/>
      <c r="Y115" s="219"/>
      <c r="Z115" s="205"/>
      <c r="AA115" s="205"/>
      <c r="AB115" s="205"/>
      <c r="AC115" s="9"/>
    </row>
    <row r="116" ht="15.75" customHeight="1">
      <c r="A116" s="218"/>
      <c r="B116" s="62"/>
      <c r="C116" s="285" t="s">
        <v>76</v>
      </c>
      <c r="D116" s="255">
        <f t="shared" si="18"/>
        <v>1</v>
      </c>
      <c r="E116" s="65"/>
      <c r="F116" s="269"/>
      <c r="G116" s="256">
        <f t="shared" si="19"/>
        <v>1</v>
      </c>
      <c r="H116" s="66">
        <v>90000.0</v>
      </c>
      <c r="I116" s="217">
        <f t="shared" si="20"/>
        <v>90000</v>
      </c>
      <c r="J116" s="257">
        <f t="shared" si="21"/>
        <v>0</v>
      </c>
      <c r="K116" s="23"/>
      <c r="L116" s="218"/>
      <c r="M116" s="218"/>
      <c r="N116" s="298"/>
      <c r="O116" s="299"/>
      <c r="P116" s="299"/>
      <c r="Q116" s="299"/>
      <c r="R116" s="299"/>
      <c r="S116" s="299"/>
      <c r="T116" s="617"/>
      <c r="U116" s="618"/>
      <c r="V116" s="616"/>
      <c r="W116" s="266"/>
      <c r="X116" s="218"/>
      <c r="Y116" s="219"/>
      <c r="Z116" s="205"/>
      <c r="AA116" s="205"/>
      <c r="AB116" s="205"/>
      <c r="AC116" s="9"/>
    </row>
    <row r="117" ht="15.75" customHeight="1">
      <c r="A117" s="218"/>
      <c r="B117" s="62"/>
      <c r="C117" s="285" t="s">
        <v>80</v>
      </c>
      <c r="D117" s="255">
        <f t="shared" si="18"/>
        <v>0</v>
      </c>
      <c r="E117" s="65"/>
      <c r="F117" s="269"/>
      <c r="G117" s="256">
        <f t="shared" si="19"/>
        <v>0</v>
      </c>
      <c r="H117" s="66">
        <v>85000.0</v>
      </c>
      <c r="I117" s="217">
        <f t="shared" si="20"/>
        <v>0</v>
      </c>
      <c r="J117" s="257">
        <f t="shared" si="21"/>
        <v>0</v>
      </c>
      <c r="K117" s="23"/>
      <c r="L117" s="218"/>
      <c r="M117" s="218"/>
      <c r="N117" s="298"/>
      <c r="O117" s="299"/>
      <c r="P117" s="299"/>
      <c r="Q117" s="299"/>
      <c r="R117" s="299"/>
      <c r="S117" s="299"/>
      <c r="T117" s="617"/>
      <c r="U117" s="618"/>
      <c r="V117" s="616"/>
      <c r="W117" s="266"/>
      <c r="X117" s="218"/>
      <c r="Y117" s="219"/>
      <c r="Z117" s="205"/>
      <c r="AA117" s="205"/>
      <c r="AB117" s="205"/>
      <c r="AC117" s="9"/>
    </row>
    <row r="118" ht="15.75" customHeight="1">
      <c r="A118" s="218"/>
      <c r="B118" s="62"/>
      <c r="C118" s="285" t="s">
        <v>81</v>
      </c>
      <c r="D118" s="255">
        <f t="shared" si="18"/>
        <v>0</v>
      </c>
      <c r="E118" s="65"/>
      <c r="F118" s="269"/>
      <c r="G118" s="256">
        <f t="shared" si="19"/>
        <v>0</v>
      </c>
      <c r="H118" s="66">
        <v>150000.0</v>
      </c>
      <c r="I118" s="217">
        <f t="shared" si="20"/>
        <v>0</v>
      </c>
      <c r="J118" s="257">
        <f t="shared" si="21"/>
        <v>0</v>
      </c>
      <c r="K118" s="23"/>
      <c r="L118" s="218"/>
      <c r="M118" s="218"/>
      <c r="N118" s="298"/>
      <c r="O118" s="299"/>
      <c r="P118" s="299"/>
      <c r="Q118" s="299"/>
      <c r="R118" s="299"/>
      <c r="S118" s="299"/>
      <c r="T118" s="617"/>
      <c r="U118" s="618"/>
      <c r="V118" s="616"/>
      <c r="W118" s="266"/>
      <c r="X118" s="218"/>
      <c r="Y118" s="219"/>
      <c r="Z118" s="205"/>
      <c r="AA118" s="205"/>
      <c r="AB118" s="205"/>
      <c r="AC118" s="9"/>
    </row>
    <row r="119" ht="15.75" customHeight="1">
      <c r="A119" s="218"/>
      <c r="B119" s="62"/>
      <c r="C119" s="285" t="s">
        <v>85</v>
      </c>
      <c r="D119" s="255">
        <f t="shared" si="18"/>
        <v>0</v>
      </c>
      <c r="E119" s="65"/>
      <c r="F119" s="269"/>
      <c r="G119" s="256">
        <f t="shared" si="19"/>
        <v>0</v>
      </c>
      <c r="H119" s="66">
        <v>125000.0</v>
      </c>
      <c r="I119" s="217">
        <f t="shared" si="20"/>
        <v>0</v>
      </c>
      <c r="J119" s="257">
        <f t="shared" si="21"/>
        <v>0</v>
      </c>
      <c r="K119" s="23"/>
      <c r="L119" s="218"/>
      <c r="M119" s="218"/>
      <c r="N119" s="298"/>
      <c r="O119" s="299"/>
      <c r="P119" s="299"/>
      <c r="Q119" s="299"/>
      <c r="R119" s="299"/>
      <c r="S119" s="299"/>
      <c r="T119" s="617"/>
      <c r="U119" s="618"/>
      <c r="V119" s="622"/>
      <c r="W119" s="235"/>
      <c r="X119" s="218"/>
      <c r="Y119" s="219"/>
      <c r="Z119" s="205"/>
      <c r="AA119" s="205"/>
      <c r="AB119" s="205"/>
      <c r="AC119" s="9"/>
    </row>
    <row r="120" ht="15.75" customHeight="1">
      <c r="A120" s="218"/>
      <c r="B120" s="62"/>
      <c r="C120" s="285" t="s">
        <v>89</v>
      </c>
      <c r="D120" s="255">
        <f t="shared" si="18"/>
        <v>0</v>
      </c>
      <c r="E120" s="65"/>
      <c r="F120" s="269"/>
      <c r="G120" s="256">
        <f t="shared" si="19"/>
        <v>0</v>
      </c>
      <c r="H120" s="66">
        <v>35000.0</v>
      </c>
      <c r="I120" s="217">
        <f t="shared" si="20"/>
        <v>0</v>
      </c>
      <c r="J120" s="257">
        <f t="shared" si="21"/>
        <v>0</v>
      </c>
      <c r="K120" s="23"/>
      <c r="L120" s="218"/>
      <c r="M120" s="218"/>
      <c r="N120" s="298"/>
      <c r="O120" s="299"/>
      <c r="P120" s="299"/>
      <c r="Q120" s="299"/>
      <c r="R120" s="299"/>
      <c r="S120" s="299"/>
      <c r="T120" s="617"/>
      <c r="U120" s="618"/>
      <c r="V120" s="616"/>
      <c r="W120" s="266"/>
      <c r="X120" s="218"/>
      <c r="Y120" s="219"/>
      <c r="Z120" s="205"/>
      <c r="AA120" s="205"/>
      <c r="AB120" s="205"/>
      <c r="AC120" s="9"/>
    </row>
    <row r="121" ht="15.75" customHeight="1">
      <c r="A121" s="218"/>
      <c r="B121" s="62"/>
      <c r="C121" s="285" t="s">
        <v>93</v>
      </c>
      <c r="D121" s="255">
        <f t="shared" si="18"/>
        <v>0</v>
      </c>
      <c r="E121" s="65"/>
      <c r="F121" s="269"/>
      <c r="G121" s="256">
        <f t="shared" si="19"/>
        <v>0</v>
      </c>
      <c r="H121" s="66">
        <v>90000.0</v>
      </c>
      <c r="I121" s="217">
        <f t="shared" si="20"/>
        <v>0</v>
      </c>
      <c r="J121" s="257">
        <f t="shared" si="21"/>
        <v>0</v>
      </c>
      <c r="K121" s="23"/>
      <c r="L121" s="218"/>
      <c r="M121" s="218"/>
      <c r="N121" s="298"/>
      <c r="O121" s="299"/>
      <c r="P121" s="299"/>
      <c r="Q121" s="299"/>
      <c r="R121" s="299"/>
      <c r="S121" s="299"/>
      <c r="T121" s="617"/>
      <c r="U121" s="618"/>
      <c r="V121" s="616"/>
      <c r="W121" s="266"/>
      <c r="X121" s="218"/>
      <c r="Y121" s="219"/>
      <c r="Z121" s="205"/>
      <c r="AA121" s="205"/>
      <c r="AB121" s="205"/>
      <c r="AC121" s="9"/>
    </row>
    <row r="122" ht="15.75" customHeight="1">
      <c r="A122" s="218"/>
      <c r="B122" s="62"/>
      <c r="C122" s="285" t="s">
        <v>94</v>
      </c>
      <c r="D122" s="255">
        <f t="shared" si="18"/>
        <v>0</v>
      </c>
      <c r="E122" s="65"/>
      <c r="F122" s="269"/>
      <c r="G122" s="256">
        <f t="shared" si="19"/>
        <v>0</v>
      </c>
      <c r="H122" s="66">
        <v>140000.0</v>
      </c>
      <c r="I122" s="217">
        <f t="shared" si="20"/>
        <v>0</v>
      </c>
      <c r="J122" s="257">
        <f t="shared" si="21"/>
        <v>0</v>
      </c>
      <c r="K122" s="23"/>
      <c r="L122" s="218"/>
      <c r="M122" s="218"/>
      <c r="N122" s="298"/>
      <c r="O122" s="299"/>
      <c r="P122" s="299"/>
      <c r="Q122" s="299"/>
      <c r="R122" s="299"/>
      <c r="S122" s="299"/>
      <c r="T122" s="617"/>
      <c r="U122" s="618"/>
      <c r="V122" s="611"/>
      <c r="W122" s="266"/>
      <c r="X122" s="218"/>
      <c r="Y122" s="219"/>
      <c r="Z122" s="205"/>
      <c r="AA122" s="205"/>
      <c r="AB122" s="205"/>
      <c r="AC122" s="9"/>
    </row>
    <row r="123" ht="15.75" customHeight="1">
      <c r="A123" s="218"/>
      <c r="B123" s="62"/>
      <c r="C123" s="285" t="s">
        <v>97</v>
      </c>
      <c r="D123" s="255">
        <f t="shared" si="18"/>
        <v>0</v>
      </c>
      <c r="E123" s="65"/>
      <c r="F123" s="269"/>
      <c r="G123" s="256">
        <f t="shared" si="19"/>
        <v>0</v>
      </c>
      <c r="H123" s="66">
        <v>95000.0</v>
      </c>
      <c r="I123" s="217">
        <f t="shared" si="20"/>
        <v>0</v>
      </c>
      <c r="J123" s="257">
        <f t="shared" si="21"/>
        <v>0</v>
      </c>
      <c r="K123" s="23"/>
      <c r="L123" s="218"/>
      <c r="M123" s="218"/>
      <c r="N123" s="298"/>
      <c r="O123" s="299"/>
      <c r="P123" s="299"/>
      <c r="Q123" s="299"/>
      <c r="R123" s="299"/>
      <c r="S123" s="299"/>
      <c r="T123" s="617"/>
      <c r="U123" s="608"/>
      <c r="V123" s="611"/>
      <c r="W123" s="266"/>
      <c r="X123" s="218"/>
      <c r="Y123" s="219"/>
      <c r="Z123" s="205"/>
      <c r="AA123" s="205"/>
      <c r="AB123" s="205"/>
      <c r="AC123" s="9"/>
    </row>
    <row r="124" ht="15.75" customHeight="1">
      <c r="A124" s="218"/>
      <c r="B124" s="62"/>
      <c r="C124" s="285" t="s">
        <v>99</v>
      </c>
      <c r="D124" s="255">
        <f t="shared" si="18"/>
        <v>0</v>
      </c>
      <c r="E124" s="65"/>
      <c r="F124" s="269"/>
      <c r="G124" s="256">
        <f t="shared" si="19"/>
        <v>0</v>
      </c>
      <c r="H124" s="66">
        <v>140000.0</v>
      </c>
      <c r="I124" s="217">
        <f t="shared" si="20"/>
        <v>0</v>
      </c>
      <c r="J124" s="257">
        <f t="shared" si="21"/>
        <v>0</v>
      </c>
      <c r="K124" s="23"/>
      <c r="L124" s="218"/>
      <c r="M124" s="218"/>
      <c r="N124" s="298"/>
      <c r="O124" s="299"/>
      <c r="P124" s="299"/>
      <c r="Q124" s="299"/>
      <c r="R124" s="299"/>
      <c r="S124" s="299"/>
      <c r="T124" s="218"/>
      <c r="U124" s="608"/>
      <c r="V124" s="611"/>
      <c r="W124" s="266"/>
      <c r="X124" s="218"/>
      <c r="Y124" s="219"/>
      <c r="Z124" s="205"/>
      <c r="AA124" s="205"/>
      <c r="AB124" s="205"/>
      <c r="AC124" s="9"/>
    </row>
    <row r="125" ht="15.75" customHeight="1">
      <c r="A125" s="218"/>
      <c r="B125" s="62"/>
      <c r="C125" s="285" t="s">
        <v>101</v>
      </c>
      <c r="D125" s="255">
        <f t="shared" si="18"/>
        <v>0</v>
      </c>
      <c r="E125" s="65"/>
      <c r="F125" s="269"/>
      <c r="G125" s="256">
        <f t="shared" si="19"/>
        <v>0</v>
      </c>
      <c r="H125" s="66">
        <v>150000.0</v>
      </c>
      <c r="I125" s="217">
        <f t="shared" si="20"/>
        <v>0</v>
      </c>
      <c r="J125" s="257">
        <f t="shared" si="21"/>
        <v>0</v>
      </c>
      <c r="K125" s="23"/>
      <c r="L125" s="218"/>
      <c r="M125" s="218"/>
      <c r="N125" s="298"/>
      <c r="O125" s="299"/>
      <c r="P125" s="299"/>
      <c r="Q125" s="299"/>
      <c r="R125" s="299"/>
      <c r="S125" s="299"/>
      <c r="T125" s="218"/>
      <c r="U125" s="608"/>
      <c r="V125" s="611"/>
      <c r="W125" s="266"/>
      <c r="X125" s="218"/>
      <c r="Y125" s="219"/>
      <c r="Z125" s="205"/>
      <c r="AA125" s="205"/>
      <c r="AB125" s="205"/>
      <c r="AC125" s="9"/>
    </row>
    <row r="126" ht="15.75" customHeight="1">
      <c r="A126" s="218"/>
      <c r="B126" s="62"/>
      <c r="C126" s="285" t="s">
        <v>109</v>
      </c>
      <c r="D126" s="255">
        <f t="shared" si="18"/>
        <v>0</v>
      </c>
      <c r="E126" s="65"/>
      <c r="F126" s="269"/>
      <c r="G126" s="256">
        <f t="shared" si="19"/>
        <v>0</v>
      </c>
      <c r="H126" s="66">
        <v>125000.0</v>
      </c>
      <c r="I126" s="217">
        <f t="shared" si="20"/>
        <v>0</v>
      </c>
      <c r="J126" s="257">
        <f t="shared" si="21"/>
        <v>0</v>
      </c>
      <c r="K126" s="23"/>
      <c r="L126" s="218"/>
      <c r="M126" s="218"/>
      <c r="N126" s="298"/>
      <c r="O126" s="299"/>
      <c r="P126" s="299"/>
      <c r="Q126" s="299"/>
      <c r="R126" s="299"/>
      <c r="S126" s="299"/>
      <c r="T126" s="218"/>
      <c r="U126" s="608"/>
      <c r="V126" s="622"/>
      <c r="W126" s="235"/>
      <c r="X126" s="218"/>
      <c r="Y126" s="219"/>
      <c r="Z126" s="205"/>
      <c r="AA126" s="205"/>
      <c r="AB126" s="205"/>
      <c r="AC126" s="9"/>
    </row>
    <row r="127" ht="15.75" customHeight="1">
      <c r="A127" s="218"/>
      <c r="B127" s="62"/>
      <c r="C127" s="285" t="s">
        <v>113</v>
      </c>
      <c r="D127" s="255">
        <f t="shared" si="18"/>
        <v>0</v>
      </c>
      <c r="E127" s="65"/>
      <c r="F127" s="269"/>
      <c r="G127" s="256">
        <f t="shared" si="19"/>
        <v>0</v>
      </c>
      <c r="H127" s="66">
        <v>75000.0</v>
      </c>
      <c r="I127" s="217">
        <f t="shared" si="20"/>
        <v>0</v>
      </c>
      <c r="J127" s="257">
        <f t="shared" si="21"/>
        <v>0</v>
      </c>
      <c r="K127" s="23"/>
      <c r="L127" s="218"/>
      <c r="M127" s="218"/>
      <c r="N127" s="298"/>
      <c r="O127" s="299"/>
      <c r="P127" s="299"/>
      <c r="Q127" s="299"/>
      <c r="R127" s="299"/>
      <c r="S127" s="299"/>
      <c r="T127" s="218"/>
      <c r="U127" s="608"/>
      <c r="V127" s="622"/>
      <c r="W127" s="235"/>
      <c r="X127" s="218"/>
      <c r="Y127" s="219"/>
      <c r="Z127" s="205"/>
      <c r="AA127" s="205"/>
      <c r="AB127" s="205"/>
      <c r="AC127" s="9"/>
    </row>
    <row r="128" ht="15.75" customHeight="1">
      <c r="A128" s="218"/>
      <c r="B128" s="67"/>
      <c r="C128" s="300" t="s">
        <v>116</v>
      </c>
      <c r="D128" s="301">
        <f t="shared" si="18"/>
        <v>0</v>
      </c>
      <c r="E128" s="146"/>
      <c r="F128" s="305"/>
      <c r="G128" s="624">
        <f t="shared" si="19"/>
        <v>0</v>
      </c>
      <c r="H128" s="302">
        <v>475000.0</v>
      </c>
      <c r="I128" s="217">
        <f t="shared" si="20"/>
        <v>0</v>
      </c>
      <c r="J128" s="257">
        <f t="shared" si="21"/>
        <v>0</v>
      </c>
      <c r="K128" s="23"/>
      <c r="L128" s="218"/>
      <c r="M128" s="218"/>
      <c r="N128" s="298"/>
      <c r="O128" s="299"/>
      <c r="P128" s="299"/>
      <c r="Q128" s="299"/>
      <c r="R128" s="299"/>
      <c r="S128" s="299"/>
      <c r="T128" s="218"/>
      <c r="U128" s="608"/>
      <c r="V128" s="622"/>
      <c r="W128" s="235"/>
      <c r="X128" s="218"/>
      <c r="Y128" s="219"/>
      <c r="Z128" s="205"/>
      <c r="AA128" s="205"/>
      <c r="AB128" s="205"/>
      <c r="AC128" s="9"/>
    </row>
    <row r="129" ht="22.5" customHeight="1">
      <c r="A129" s="218"/>
      <c r="B129" s="308" t="s">
        <v>419</v>
      </c>
      <c r="C129" s="16"/>
      <c r="D129" s="16"/>
      <c r="E129" s="16"/>
      <c r="F129" s="16"/>
      <c r="G129" s="16"/>
      <c r="H129" s="17"/>
      <c r="I129" s="309">
        <f>SUM(I90:I105)</f>
        <v>40245000</v>
      </c>
      <c r="J129" s="23"/>
      <c r="K129" s="23"/>
      <c r="L129" s="218"/>
      <c r="M129" s="218"/>
      <c r="N129" s="298"/>
      <c r="O129" s="299"/>
      <c r="P129" s="299"/>
      <c r="Q129" s="299"/>
      <c r="R129" s="299"/>
      <c r="S129" s="299"/>
      <c r="T129" s="299"/>
      <c r="U129" s="608"/>
      <c r="V129" s="601"/>
      <c r="W129" s="235"/>
      <c r="X129" s="218"/>
      <c r="Y129" s="219"/>
      <c r="Z129" s="205"/>
      <c r="AA129" s="205"/>
      <c r="AB129" s="205"/>
      <c r="AC129" s="9"/>
    </row>
    <row r="130" ht="22.5" customHeight="1">
      <c r="A130" s="218"/>
      <c r="B130" s="308" t="s">
        <v>385</v>
      </c>
      <c r="C130" s="16"/>
      <c r="D130" s="16"/>
      <c r="E130" s="16"/>
      <c r="F130" s="16"/>
      <c r="G130" s="16"/>
      <c r="H130" s="17"/>
      <c r="I130" s="309">
        <f>SUM(I106:I128)</f>
        <v>2290000</v>
      </c>
      <c r="J130" s="23"/>
      <c r="K130" s="310" t="s">
        <v>420</v>
      </c>
      <c r="L130" s="16"/>
      <c r="M130" s="17"/>
      <c r="N130" s="298"/>
      <c r="O130" s="299"/>
      <c r="P130" s="299"/>
      <c r="Q130" s="299"/>
      <c r="R130" s="299"/>
      <c r="S130" s="299"/>
      <c r="T130" s="299"/>
      <c r="U130" s="608"/>
      <c r="V130" s="601"/>
      <c r="W130" s="235"/>
      <c r="X130" s="218"/>
      <c r="Y130" s="219"/>
      <c r="Z130" s="205"/>
      <c r="AA130" s="205"/>
      <c r="AB130" s="205"/>
      <c r="AC130" s="9"/>
    </row>
    <row r="131" ht="22.5" customHeight="1">
      <c r="A131" s="218"/>
      <c r="B131" s="312" t="s">
        <v>421</v>
      </c>
      <c r="C131" s="16"/>
      <c r="D131" s="16"/>
      <c r="E131" s="16"/>
      <c r="F131" s="16"/>
      <c r="G131" s="16"/>
      <c r="H131" s="17"/>
      <c r="I131" s="313">
        <f>SUM(I129:I130)</f>
        <v>42535000</v>
      </c>
      <c r="J131" s="23"/>
      <c r="K131" s="314" t="s">
        <v>422</v>
      </c>
      <c r="L131" s="625">
        <f>9020000-660000</f>
        <v>8360000</v>
      </c>
      <c r="M131" s="316"/>
      <c r="N131" s="1372"/>
      <c r="O131" s="218"/>
      <c r="P131" s="218"/>
      <c r="Q131" s="218"/>
      <c r="R131" s="218"/>
      <c r="S131" s="218"/>
      <c r="T131" s="218"/>
      <c r="U131" s="601"/>
      <c r="V131" s="601"/>
      <c r="W131" s="235"/>
      <c r="X131" s="218"/>
      <c r="Y131" s="219"/>
      <c r="Z131" s="205"/>
      <c r="AA131" s="205"/>
      <c r="AB131" s="205"/>
      <c r="AC131" s="9"/>
    </row>
    <row r="132" ht="22.5" customHeight="1">
      <c r="A132" s="218"/>
      <c r="B132" s="317"/>
      <c r="C132" s="16"/>
      <c r="D132" s="17"/>
      <c r="E132" s="777" t="s">
        <v>423</v>
      </c>
      <c r="F132" s="16"/>
      <c r="G132" s="16"/>
      <c r="H132" s="17"/>
      <c r="I132" s="319">
        <f>N81</f>
        <v>42395000</v>
      </c>
      <c r="J132" s="23"/>
      <c r="K132" s="314" t="s">
        <v>424</v>
      </c>
      <c r="L132" s="316">
        <f>sumif(P4:P80,"Đã thu",K4:K80)</f>
        <v>39585000</v>
      </c>
      <c r="M132" s="316"/>
      <c r="N132" s="234"/>
      <c r="O132" s="218"/>
      <c r="P132" s="218"/>
      <c r="Q132" s="218"/>
      <c r="R132" s="218"/>
      <c r="S132" s="218"/>
      <c r="T132" s="218"/>
      <c r="U132" s="601"/>
      <c r="V132" s="601"/>
      <c r="W132" s="235"/>
      <c r="X132" s="218"/>
      <c r="Y132" s="219"/>
      <c r="Z132" s="205"/>
      <c r="AA132" s="205"/>
      <c r="AB132" s="205"/>
      <c r="AC132" s="9"/>
    </row>
    <row r="133" ht="22.5" customHeight="1">
      <c r="A133" s="218"/>
      <c r="B133" s="321" t="s">
        <v>425</v>
      </c>
      <c r="C133" s="16"/>
      <c r="D133" s="16"/>
      <c r="E133" s="16"/>
      <c r="F133" s="16"/>
      <c r="G133" s="16"/>
      <c r="H133" s="17"/>
      <c r="I133" s="322">
        <f>SUMIF(P4:P80,"Đã thu",N4:N80)</f>
        <v>39415000</v>
      </c>
      <c r="J133" s="23"/>
      <c r="K133" s="507" t="s">
        <v>415</v>
      </c>
      <c r="L133" s="315">
        <f>I130</f>
        <v>2290000</v>
      </c>
      <c r="M133" s="324"/>
      <c r="N133" s="234"/>
      <c r="O133" s="218"/>
      <c r="P133" s="218"/>
      <c r="Q133" s="218"/>
      <c r="R133" s="218"/>
      <c r="S133" s="218"/>
      <c r="T133" s="218"/>
      <c r="U133" s="601"/>
      <c r="V133" s="601"/>
      <c r="W133" s="235"/>
      <c r="X133" s="218"/>
      <c r="Y133" s="219"/>
      <c r="Z133" s="205"/>
      <c r="AA133" s="205"/>
      <c r="AB133" s="205"/>
      <c r="AC133" s="9"/>
    </row>
    <row r="134" ht="22.5" customHeight="1">
      <c r="A134" s="325"/>
      <c r="B134" s="326" t="s">
        <v>426</v>
      </c>
      <c r="C134" s="16"/>
      <c r="D134" s="16"/>
      <c r="E134" s="16"/>
      <c r="F134" s="16"/>
      <c r="G134" s="16"/>
      <c r="H134" s="17"/>
      <c r="I134" s="327">
        <f>I132-I133</f>
        <v>2980000</v>
      </c>
      <c r="J134" s="23"/>
      <c r="K134" s="328" t="s">
        <v>407</v>
      </c>
      <c r="L134" s="315">
        <f>sum(L131:L132)-L133</f>
        <v>45655000</v>
      </c>
      <c r="M134" s="324"/>
      <c r="N134" s="234"/>
      <c r="O134" s="218"/>
      <c r="P134" s="218"/>
      <c r="Q134" s="218"/>
      <c r="R134" s="218"/>
      <c r="S134" s="218"/>
      <c r="T134" s="218"/>
      <c r="U134" s="601"/>
      <c r="V134" s="601"/>
      <c r="W134" s="235"/>
      <c r="X134" s="218"/>
      <c r="Y134" s="219"/>
      <c r="Z134" s="205"/>
      <c r="AA134" s="205"/>
      <c r="AB134" s="205"/>
      <c r="AC134" s="9"/>
    </row>
    <row r="135" ht="22.5" customHeight="1">
      <c r="A135" s="325"/>
      <c r="B135" s="330" t="s">
        <v>427</v>
      </c>
      <c r="C135" s="16"/>
      <c r="D135" s="16"/>
      <c r="E135" s="16"/>
      <c r="F135" s="16"/>
      <c r="G135" s="16"/>
      <c r="H135" s="17"/>
      <c r="I135" s="331">
        <f>L81+Q81</f>
        <v>2462714</v>
      </c>
      <c r="J135" s="23"/>
      <c r="K135" s="335"/>
      <c r="L135" s="299"/>
      <c r="M135" s="218"/>
      <c r="N135" s="234"/>
      <c r="O135" s="218"/>
      <c r="P135" s="218"/>
      <c r="Q135" s="218"/>
      <c r="R135" s="218"/>
      <c r="S135" s="218"/>
      <c r="T135" s="218"/>
      <c r="U135" s="601"/>
      <c r="V135" s="601"/>
      <c r="W135" s="235"/>
      <c r="X135" s="218"/>
      <c r="Y135" s="219"/>
      <c r="Z135" s="205"/>
      <c r="AA135" s="205"/>
      <c r="AB135" s="205"/>
      <c r="AC135" s="9"/>
    </row>
    <row r="136" ht="22.5" customHeight="1">
      <c r="A136" s="218"/>
      <c r="B136" s="321" t="s">
        <v>428</v>
      </c>
      <c r="C136" s="16"/>
      <c r="D136" s="16"/>
      <c r="E136" s="16"/>
      <c r="F136" s="16"/>
      <c r="G136" s="16"/>
      <c r="H136" s="17"/>
      <c r="I136" s="207">
        <f>SUMIF($S$4:$S$80,"x",Q4:Q80)+SUMIF($S$4:$S$80,"x",$L$4:$L$80)</f>
        <v>2283217</v>
      </c>
      <c r="J136" s="23"/>
      <c r="K136" s="335"/>
      <c r="L136" s="299"/>
      <c r="M136" s="299"/>
      <c r="N136" s="234"/>
      <c r="O136" s="218"/>
      <c r="P136" s="218"/>
      <c r="Q136" s="218"/>
      <c r="R136" s="218"/>
      <c r="S136" s="218"/>
      <c r="T136" s="218"/>
      <c r="U136" s="601"/>
      <c r="V136" s="601"/>
      <c r="W136" s="235"/>
      <c r="X136" s="218"/>
      <c r="Y136" s="219"/>
      <c r="Z136" s="205"/>
      <c r="AA136" s="205"/>
      <c r="AB136" s="205"/>
      <c r="AC136" s="9"/>
    </row>
    <row r="137" ht="22.5" customHeight="1">
      <c r="A137" s="218"/>
      <c r="B137" s="326" t="s">
        <v>429</v>
      </c>
      <c r="C137" s="16"/>
      <c r="D137" s="16"/>
      <c r="E137" s="16"/>
      <c r="F137" s="16"/>
      <c r="G137" s="16"/>
      <c r="H137" s="17"/>
      <c r="I137" s="327">
        <f>I135-I136</f>
        <v>179497</v>
      </c>
      <c r="J137" s="23"/>
      <c r="K137" s="335"/>
      <c r="L137" s="299">
        <f>I131-L132</f>
        <v>2950000</v>
      </c>
      <c r="M137" s="218"/>
      <c r="N137" s="234"/>
      <c r="O137" s="218"/>
      <c r="P137" s="218"/>
      <c r="Q137" s="218"/>
      <c r="R137" s="218"/>
      <c r="S137" s="218"/>
      <c r="T137" s="218"/>
      <c r="U137" s="601"/>
      <c r="V137" s="601"/>
      <c r="W137" s="235"/>
      <c r="X137" s="218"/>
      <c r="Y137" s="219"/>
      <c r="Z137" s="205"/>
      <c r="AA137" s="205"/>
      <c r="AB137" s="205"/>
      <c r="AC137" s="9"/>
    </row>
    <row r="138" ht="15.75" customHeight="1">
      <c r="A138" s="218"/>
      <c r="B138" s="336"/>
      <c r="C138" s="336"/>
      <c r="D138" s="336"/>
      <c r="E138" s="345"/>
      <c r="F138" s="338"/>
      <c r="G138" s="218"/>
      <c r="H138" s="218"/>
      <c r="I138" s="218"/>
      <c r="J138" s="218"/>
      <c r="K138" s="23"/>
      <c r="L138" s="218"/>
      <c r="M138" s="218"/>
      <c r="N138" s="234"/>
      <c r="O138" s="218"/>
      <c r="P138" s="218"/>
      <c r="Q138" s="218"/>
      <c r="R138" s="218"/>
      <c r="S138" s="218"/>
      <c r="T138" s="218"/>
      <c r="U138" s="601"/>
      <c r="V138" s="601"/>
      <c r="W138" s="235"/>
      <c r="X138" s="218"/>
      <c r="Y138" s="219"/>
      <c r="Z138" s="205"/>
      <c r="AA138" s="205"/>
      <c r="AB138" s="205"/>
      <c r="AC138" s="9"/>
    </row>
    <row r="139" ht="15.75" customHeight="1">
      <c r="A139" s="339" t="s">
        <v>430</v>
      </c>
      <c r="E139" s="345"/>
      <c r="F139" s="338"/>
      <c r="G139" s="218"/>
      <c r="H139" s="218"/>
      <c r="I139" s="218"/>
      <c r="J139" s="218"/>
      <c r="K139" s="23"/>
      <c r="L139" s="218"/>
      <c r="M139" s="218"/>
      <c r="N139" s="234"/>
      <c r="O139" s="218"/>
      <c r="P139" s="218"/>
      <c r="Q139" s="218"/>
      <c r="R139" s="218"/>
      <c r="S139" s="218"/>
      <c r="T139" s="218"/>
      <c r="U139" s="601"/>
      <c r="V139" s="601"/>
      <c r="W139" s="235"/>
      <c r="X139" s="218"/>
      <c r="Y139" s="219"/>
      <c r="Z139" s="205"/>
      <c r="AA139" s="205"/>
      <c r="AB139" s="205"/>
      <c r="AC139" s="9"/>
    </row>
    <row r="140" ht="15.75" customHeight="1">
      <c r="A140" s="340"/>
      <c r="B140" s="342"/>
      <c r="C140" s="342"/>
      <c r="D140" s="341"/>
      <c r="E140" s="342"/>
      <c r="F140" s="341"/>
      <c r="G140" s="341"/>
      <c r="H140" s="341"/>
      <c r="I140" s="341"/>
      <c r="J140" s="341"/>
      <c r="K140" s="341"/>
      <c r="L140" s="342"/>
      <c r="M140" s="342"/>
      <c r="N140" s="343"/>
      <c r="O140" s="344"/>
      <c r="P140" s="344"/>
      <c r="Q140" s="345"/>
      <c r="R140" s="344"/>
      <c r="S140" s="345"/>
      <c r="T140" s="344"/>
      <c r="U140" s="662"/>
      <c r="V140" s="662"/>
      <c r="W140" s="344"/>
      <c r="X140" s="344"/>
      <c r="Y140" s="219"/>
      <c r="Z140" s="205"/>
      <c r="AA140" s="205"/>
      <c r="AB140" s="205"/>
      <c r="AC140" s="9"/>
    </row>
    <row r="141" ht="39.0" customHeight="1">
      <c r="A141" s="513"/>
      <c r="B141" s="346" t="s">
        <v>431</v>
      </c>
      <c r="C141" s="347" t="s">
        <v>432</v>
      </c>
      <c r="D141" s="348" t="s">
        <v>433</v>
      </c>
      <c r="E141" s="348" t="s">
        <v>434</v>
      </c>
      <c r="F141" s="349" t="s">
        <v>5</v>
      </c>
      <c r="G141" s="348" t="s">
        <v>435</v>
      </c>
      <c r="H141" s="348" t="s">
        <v>25</v>
      </c>
      <c r="I141" s="349" t="s">
        <v>26</v>
      </c>
      <c r="J141" s="349" t="s">
        <v>436</v>
      </c>
      <c r="K141" s="349" t="s">
        <v>437</v>
      </c>
      <c r="L141" s="349" t="s">
        <v>438</v>
      </c>
      <c r="M141" s="932" t="s">
        <v>9</v>
      </c>
      <c r="N141" s="933" t="s">
        <v>439</v>
      </c>
      <c r="O141" s="17"/>
      <c r="P141" s="107"/>
      <c r="Q141" s="513"/>
      <c r="R141" s="513"/>
      <c r="S141" s="513"/>
      <c r="T141" s="513"/>
      <c r="U141" s="1373"/>
      <c r="V141" s="1374"/>
      <c r="W141" s="513"/>
      <c r="X141" s="335"/>
      <c r="Y141" s="521"/>
      <c r="Z141" s="25"/>
      <c r="AA141" s="25"/>
      <c r="AB141" s="25"/>
      <c r="AC141" s="22"/>
    </row>
    <row r="142" ht="51.0" customHeight="1">
      <c r="A142" s="522"/>
      <c r="B142" s="69">
        <v>4.0</v>
      </c>
      <c r="C142" s="70">
        <v>45040.0</v>
      </c>
      <c r="D142" s="1375">
        <v>1.688397532816E12</v>
      </c>
      <c r="E142" s="1249" t="s">
        <v>1871</v>
      </c>
      <c r="F142" s="684" t="s">
        <v>1994</v>
      </c>
      <c r="G142" s="576" t="s">
        <v>1995</v>
      </c>
      <c r="H142" s="366" t="s">
        <v>30</v>
      </c>
      <c r="I142" s="69">
        <v>3.0</v>
      </c>
      <c r="J142" s="524">
        <v>220000.0</v>
      </c>
      <c r="K142" s="525">
        <f>J142*I142</f>
        <v>660000</v>
      </c>
      <c r="L142" s="69" t="s">
        <v>438</v>
      </c>
      <c r="M142" s="1376">
        <f>53999+5000</f>
        <v>58999</v>
      </c>
      <c r="N142" s="1377" t="s">
        <v>2081</v>
      </c>
      <c r="O142" s="17"/>
      <c r="P142" s="107"/>
      <c r="Q142" s="527"/>
      <c r="R142" s="527"/>
      <c r="S142" s="527"/>
      <c r="T142" s="527"/>
      <c r="U142" s="464"/>
      <c r="V142" s="466"/>
      <c r="W142" s="527"/>
      <c r="X142" s="527"/>
      <c r="Y142" s="528"/>
      <c r="Z142" s="25"/>
      <c r="AA142" s="25"/>
      <c r="AB142" s="25"/>
      <c r="AC142" s="22"/>
    </row>
    <row r="143" ht="31.5" customHeight="1">
      <c r="A143" s="522"/>
      <c r="B143" s="389" t="s">
        <v>421</v>
      </c>
      <c r="C143" s="16"/>
      <c r="D143" s="16"/>
      <c r="E143" s="16"/>
      <c r="F143" s="16"/>
      <c r="G143" s="16"/>
      <c r="H143" s="16"/>
      <c r="I143" s="16"/>
      <c r="J143" s="17"/>
      <c r="K143" s="1378">
        <f>sum(K142)</f>
        <v>660000</v>
      </c>
      <c r="L143" s="392"/>
      <c r="M143" s="967">
        <f>SUM(M142)</f>
        <v>58999</v>
      </c>
      <c r="N143" s="542"/>
      <c r="O143" s="17"/>
      <c r="P143" s="107"/>
      <c r="Q143" s="527"/>
      <c r="R143" s="527"/>
      <c r="S143" s="527"/>
      <c r="T143" s="527"/>
      <c r="U143" s="464"/>
      <c r="V143" s="464"/>
      <c r="W143" s="529"/>
      <c r="X143" s="527"/>
      <c r="Y143" s="528"/>
      <c r="Z143" s="25"/>
      <c r="AA143" s="25"/>
      <c r="AB143" s="25"/>
      <c r="AC143" s="22"/>
    </row>
    <row r="144" ht="15.75" customHeight="1">
      <c r="A144" s="345"/>
      <c r="B144" s="345"/>
      <c r="C144" s="792"/>
      <c r="D144" s="395"/>
      <c r="E144" s="396"/>
      <c r="F144" s="1379"/>
      <c r="G144" s="396"/>
      <c r="H144" s="345"/>
      <c r="I144" s="344"/>
      <c r="J144" s="344"/>
      <c r="K144" s="107"/>
      <c r="L144" s="345"/>
      <c r="M144" s="345"/>
      <c r="N144" s="343"/>
      <c r="O144" s="344"/>
      <c r="P144" s="344"/>
      <c r="Q144" s="345"/>
      <c r="R144" s="344"/>
      <c r="S144" s="345"/>
      <c r="T144" s="344"/>
      <c r="U144" s="662"/>
      <c r="V144" s="662"/>
      <c r="W144" s="344"/>
      <c r="X144" s="344"/>
      <c r="Y144" s="219"/>
      <c r="Z144" s="205"/>
      <c r="AA144" s="205"/>
      <c r="AB144" s="205"/>
      <c r="AC144" s="9"/>
    </row>
    <row r="145" ht="15.75" customHeight="1">
      <c r="A145" s="223"/>
      <c r="B145" s="223"/>
      <c r="C145" s="792"/>
      <c r="D145" s="395"/>
      <c r="E145" s="396"/>
      <c r="F145" s="1379"/>
      <c r="G145" s="396"/>
      <c r="H145" s="224"/>
      <c r="I145" s="225"/>
      <c r="J145" s="225"/>
      <c r="K145" s="22"/>
      <c r="L145" s="223"/>
      <c r="M145" s="223"/>
      <c r="N145" s="226"/>
      <c r="O145" s="9"/>
      <c r="P145" s="9"/>
      <c r="Q145" s="223"/>
      <c r="R145" s="9"/>
      <c r="S145" s="223"/>
      <c r="T145" s="9"/>
      <c r="U145" s="913"/>
      <c r="V145" s="913"/>
      <c r="W145" s="9"/>
      <c r="X145" s="9"/>
      <c r="Y145" s="204"/>
      <c r="Z145" s="205"/>
      <c r="AA145" s="205"/>
      <c r="AB145" s="205"/>
      <c r="AC145" s="9"/>
    </row>
    <row r="146" ht="15.75" customHeight="1">
      <c r="A146" s="223"/>
      <c r="B146" s="223"/>
      <c r="C146" s="1380"/>
      <c r="D146" s="9"/>
      <c r="E146" s="223"/>
      <c r="F146" s="222"/>
      <c r="G146" s="223"/>
      <c r="H146" s="224"/>
      <c r="I146" s="225"/>
      <c r="J146" s="225"/>
      <c r="K146" s="22"/>
      <c r="L146" s="223"/>
      <c r="M146" s="223"/>
      <c r="N146" s="226"/>
      <c r="O146" s="9"/>
      <c r="P146" s="9"/>
      <c r="Q146" s="223"/>
      <c r="R146" s="9"/>
      <c r="S146" s="223"/>
      <c r="T146" s="9"/>
      <c r="U146" s="913"/>
      <c r="V146" s="913"/>
      <c r="W146" s="9"/>
      <c r="X146" s="9"/>
      <c r="Y146" s="204"/>
      <c r="Z146" s="9"/>
      <c r="AA146" s="9"/>
      <c r="AB146" s="9"/>
      <c r="AC146" s="9"/>
    </row>
    <row r="147" ht="31.5" customHeight="1">
      <c r="A147" s="223"/>
      <c r="B147" s="794" t="s">
        <v>1302</v>
      </c>
      <c r="E147" s="223"/>
      <c r="F147" s="222"/>
      <c r="G147" s="223"/>
      <c r="H147" s="224"/>
      <c r="I147" s="225"/>
      <c r="J147" s="225"/>
      <c r="K147" s="22"/>
      <c r="L147" s="223"/>
      <c r="M147" s="223"/>
      <c r="N147" s="226"/>
      <c r="O147" s="9"/>
      <c r="P147" s="9"/>
      <c r="Q147" s="223"/>
      <c r="R147" s="9"/>
      <c r="S147" s="223"/>
      <c r="T147" s="9"/>
      <c r="U147" s="913"/>
      <c r="V147" s="913"/>
      <c r="W147" s="9"/>
      <c r="X147" s="9"/>
      <c r="Y147" s="204"/>
      <c r="Z147" s="9"/>
      <c r="AA147" s="9"/>
      <c r="AB147" s="9"/>
      <c r="AC147" s="9"/>
    </row>
    <row r="148" ht="15.75" customHeight="1">
      <c r="A148" s="223"/>
      <c r="B148" s="223"/>
      <c r="C148" s="1380"/>
      <c r="D148" s="9"/>
      <c r="E148" s="223"/>
      <c r="F148" s="222"/>
      <c r="G148" s="223"/>
      <c r="H148" s="224"/>
      <c r="I148" s="225"/>
      <c r="J148" s="225"/>
      <c r="K148" s="22"/>
      <c r="L148" s="223"/>
      <c r="M148" s="223"/>
      <c r="N148" s="226"/>
      <c r="O148" s="9"/>
      <c r="P148" s="9"/>
      <c r="Q148" s="223"/>
      <c r="R148" s="9"/>
      <c r="S148" s="223"/>
      <c r="T148" s="9"/>
      <c r="U148" s="913"/>
      <c r="V148" s="913"/>
      <c r="W148" s="9"/>
      <c r="X148" s="9"/>
      <c r="Y148" s="204"/>
      <c r="Z148" s="9"/>
      <c r="AA148" s="9"/>
      <c r="AB148" s="9"/>
      <c r="AC148" s="9"/>
    </row>
    <row r="149" ht="24.75" customHeight="1">
      <c r="A149" s="589"/>
      <c r="B149" s="795" t="s">
        <v>431</v>
      </c>
      <c r="C149" s="796" t="s">
        <v>432</v>
      </c>
      <c r="D149" s="795" t="s">
        <v>433</v>
      </c>
      <c r="E149" s="795" t="s">
        <v>434</v>
      </c>
      <c r="F149" s="1381" t="s">
        <v>435</v>
      </c>
      <c r="G149" s="795" t="s">
        <v>5</v>
      </c>
      <c r="H149" s="797" t="s">
        <v>26</v>
      </c>
      <c r="I149" s="674"/>
      <c r="J149" s="674"/>
      <c r="K149" s="799"/>
      <c r="L149" s="589"/>
      <c r="M149" s="589"/>
      <c r="N149" s="801"/>
      <c r="O149" s="106"/>
      <c r="P149" s="106"/>
      <c r="Q149" s="589"/>
      <c r="R149" s="106"/>
      <c r="S149" s="589"/>
      <c r="T149" s="106"/>
      <c r="U149" s="517"/>
      <c r="V149" s="517"/>
      <c r="W149" s="106"/>
      <c r="X149" s="106"/>
      <c r="Y149" s="427"/>
      <c r="Z149" s="106"/>
      <c r="AA149" s="106"/>
      <c r="AB149" s="106"/>
      <c r="AC149" s="106"/>
    </row>
    <row r="150" ht="30.75" customHeight="1">
      <c r="A150" s="589"/>
      <c r="B150" s="694">
        <v>5.0</v>
      </c>
      <c r="C150" s="103">
        <v>45062.0</v>
      </c>
      <c r="D150" s="1152">
        <v>1.694749366399E12</v>
      </c>
      <c r="E150" s="155" t="s">
        <v>44</v>
      </c>
      <c r="F150" s="1382" t="s">
        <v>324</v>
      </c>
      <c r="G150" s="105" t="s">
        <v>45</v>
      </c>
      <c r="H150" s="93">
        <v>2.0</v>
      </c>
      <c r="I150" s="107"/>
      <c r="J150" s="107"/>
      <c r="K150" s="106"/>
      <c r="L150" s="589"/>
      <c r="M150" s="589"/>
      <c r="N150" s="801"/>
      <c r="O150" s="106"/>
      <c r="P150" s="106"/>
      <c r="Q150" s="589"/>
      <c r="R150" s="106"/>
      <c r="S150" s="589"/>
      <c r="T150" s="106"/>
      <c r="U150" s="517"/>
      <c r="V150" s="517"/>
      <c r="W150" s="106"/>
      <c r="X150" s="106"/>
      <c r="Y150" s="427"/>
      <c r="Z150" s="106"/>
      <c r="AA150" s="106"/>
      <c r="AB150" s="106"/>
      <c r="AC150" s="106"/>
    </row>
    <row r="151" ht="15.75" customHeight="1">
      <c r="A151" s="223"/>
      <c r="B151" s="223"/>
      <c r="C151" s="1380"/>
      <c r="D151" s="9"/>
      <c r="E151" s="223"/>
      <c r="F151" s="222"/>
      <c r="G151" s="223"/>
      <c r="H151" s="224"/>
      <c r="I151" s="225"/>
      <c r="J151" s="225"/>
      <c r="K151" s="22"/>
      <c r="L151" s="223"/>
      <c r="M151" s="223"/>
      <c r="N151" s="226"/>
      <c r="O151" s="9"/>
      <c r="P151" s="9"/>
      <c r="Q151" s="223"/>
      <c r="R151" s="9"/>
      <c r="S151" s="223"/>
      <c r="T151" s="9"/>
      <c r="U151" s="913"/>
      <c r="V151" s="913"/>
      <c r="W151" s="9"/>
      <c r="X151" s="9"/>
      <c r="Y151" s="204"/>
      <c r="Z151" s="9"/>
      <c r="AA151" s="9"/>
      <c r="AB151" s="9"/>
      <c r="AC151" s="9"/>
    </row>
    <row r="152" ht="15.75" customHeight="1">
      <c r="A152" s="223"/>
      <c r="B152" s="223"/>
      <c r="C152" s="1380"/>
      <c r="D152" s="9"/>
      <c r="E152" s="223"/>
      <c r="F152" s="222"/>
      <c r="G152" s="223"/>
      <c r="H152" s="224"/>
      <c r="I152" s="225"/>
      <c r="J152" s="225"/>
      <c r="K152" s="22"/>
      <c r="L152" s="223"/>
      <c r="M152" s="223"/>
      <c r="N152" s="226"/>
      <c r="O152" s="9"/>
      <c r="P152" s="9"/>
      <c r="Q152" s="223"/>
      <c r="R152" s="9"/>
      <c r="S152" s="223"/>
      <c r="T152" s="9"/>
      <c r="U152" s="913"/>
      <c r="V152" s="913"/>
      <c r="W152" s="9"/>
      <c r="X152" s="9"/>
      <c r="Y152" s="204"/>
      <c r="Z152" s="9"/>
      <c r="AA152" s="9"/>
      <c r="AB152" s="9"/>
      <c r="AC152" s="9"/>
    </row>
    <row r="153" ht="15.75" customHeight="1">
      <c r="A153" s="223"/>
      <c r="B153" s="223"/>
      <c r="C153" s="1380"/>
      <c r="D153" s="9"/>
      <c r="E153" s="223"/>
      <c r="F153" s="222"/>
      <c r="G153" s="223"/>
      <c r="H153" s="224"/>
      <c r="I153" s="225"/>
      <c r="J153" s="225"/>
      <c r="K153" s="22"/>
      <c r="L153" s="223"/>
      <c r="M153" s="223"/>
      <c r="N153" s="226"/>
      <c r="O153" s="9"/>
      <c r="P153" s="9"/>
      <c r="Q153" s="223"/>
      <c r="R153" s="9"/>
      <c r="S153" s="223"/>
      <c r="T153" s="9"/>
      <c r="U153" s="913"/>
      <c r="V153" s="913"/>
      <c r="W153" s="9"/>
      <c r="X153" s="9"/>
      <c r="Y153" s="204"/>
      <c r="Z153" s="9"/>
      <c r="AA153" s="9"/>
      <c r="AB153" s="9"/>
      <c r="AC153" s="9"/>
    </row>
    <row r="154" ht="15.75" customHeight="1">
      <c r="A154" s="223"/>
      <c r="B154" s="223"/>
      <c r="C154" s="1380"/>
      <c r="D154" s="9"/>
      <c r="E154" s="223"/>
      <c r="F154" s="222"/>
      <c r="G154" s="223"/>
      <c r="H154" s="224"/>
      <c r="I154" s="225"/>
      <c r="J154" s="225"/>
      <c r="K154" s="22"/>
      <c r="L154" s="223"/>
      <c r="M154" s="223"/>
      <c r="N154" s="226"/>
      <c r="O154" s="9"/>
      <c r="P154" s="9"/>
      <c r="Q154" s="223"/>
      <c r="R154" s="9"/>
      <c r="S154" s="223"/>
      <c r="T154" s="9"/>
      <c r="U154" s="913"/>
      <c r="V154" s="913"/>
      <c r="W154" s="9"/>
      <c r="X154" s="9"/>
      <c r="Y154" s="204"/>
      <c r="Z154" s="9"/>
      <c r="AA154" s="9"/>
      <c r="AB154" s="9"/>
      <c r="AC154" s="9"/>
    </row>
    <row r="155" ht="15.75" customHeight="1">
      <c r="A155" s="223"/>
      <c r="B155" s="223"/>
      <c r="C155" s="1380"/>
      <c r="D155" s="9"/>
      <c r="E155" s="223"/>
      <c r="F155" s="222"/>
      <c r="G155" s="223"/>
      <c r="H155" s="224"/>
      <c r="I155" s="225"/>
      <c r="J155" s="225"/>
      <c r="K155" s="22"/>
      <c r="L155" s="223"/>
      <c r="M155" s="223"/>
      <c r="N155" s="226"/>
      <c r="O155" s="9"/>
      <c r="P155" s="9"/>
      <c r="Q155" s="223"/>
      <c r="R155" s="9"/>
      <c r="S155" s="223"/>
      <c r="T155" s="9"/>
      <c r="U155" s="913"/>
      <c r="V155" s="913"/>
      <c r="W155" s="9"/>
      <c r="X155" s="9"/>
      <c r="Y155" s="204"/>
      <c r="Z155" s="9"/>
      <c r="AA155" s="9"/>
      <c r="AB155" s="9"/>
      <c r="AC155" s="9"/>
    </row>
    <row r="156" ht="15.75" customHeight="1">
      <c r="A156" s="223"/>
      <c r="B156" s="223"/>
      <c r="C156" s="1380"/>
      <c r="D156" s="9"/>
      <c r="E156" s="223"/>
      <c r="F156" s="222"/>
      <c r="G156" s="223"/>
      <c r="H156" s="224"/>
      <c r="I156" s="225"/>
      <c r="J156" s="225"/>
      <c r="K156" s="22"/>
      <c r="L156" s="223"/>
      <c r="M156" s="223"/>
      <c r="N156" s="226"/>
      <c r="O156" s="9"/>
      <c r="P156" s="9"/>
      <c r="Q156" s="223"/>
      <c r="R156" s="9"/>
      <c r="S156" s="223"/>
      <c r="T156" s="9"/>
      <c r="U156" s="913"/>
      <c r="V156" s="913"/>
      <c r="W156" s="9"/>
      <c r="X156" s="9"/>
      <c r="Y156" s="204"/>
      <c r="Z156" s="9"/>
      <c r="AA156" s="9"/>
      <c r="AB156" s="9"/>
      <c r="AC156" s="9"/>
    </row>
    <row r="157" ht="15.75" customHeight="1">
      <c r="A157" s="223"/>
      <c r="B157" s="223"/>
      <c r="C157" s="1380"/>
      <c r="D157" s="9"/>
      <c r="E157" s="223"/>
      <c r="F157" s="222"/>
      <c r="G157" s="223"/>
      <c r="H157" s="224"/>
      <c r="I157" s="225"/>
      <c r="J157" s="225"/>
      <c r="K157" s="22"/>
      <c r="L157" s="223"/>
      <c r="M157" s="223"/>
      <c r="N157" s="226"/>
      <c r="O157" s="9"/>
      <c r="P157" s="9"/>
      <c r="Q157" s="223"/>
      <c r="R157" s="9"/>
      <c r="S157" s="223"/>
      <c r="T157" s="9"/>
      <c r="U157" s="913"/>
      <c r="V157" s="913"/>
      <c r="W157" s="9"/>
      <c r="X157" s="9"/>
      <c r="Y157" s="204"/>
      <c r="Z157" s="9"/>
      <c r="AA157" s="9"/>
      <c r="AB157" s="9"/>
      <c r="AC157" s="9"/>
    </row>
    <row r="158" ht="15.75" customHeight="1">
      <c r="A158" s="223"/>
      <c r="B158" s="223"/>
      <c r="C158" s="1380"/>
      <c r="D158" s="9"/>
      <c r="E158" s="223"/>
      <c r="F158" s="222"/>
      <c r="G158" s="223"/>
      <c r="H158" s="224"/>
      <c r="I158" s="225"/>
      <c r="J158" s="225"/>
      <c r="K158" s="22"/>
      <c r="L158" s="223"/>
      <c r="M158" s="223"/>
      <c r="N158" s="226"/>
      <c r="O158" s="9"/>
      <c r="P158" s="9"/>
      <c r="Q158" s="223"/>
      <c r="R158" s="9"/>
      <c r="S158" s="223"/>
      <c r="T158" s="9"/>
      <c r="U158" s="913"/>
      <c r="V158" s="913"/>
      <c r="W158" s="9"/>
      <c r="X158" s="9"/>
      <c r="Y158" s="204"/>
      <c r="Z158" s="9"/>
      <c r="AA158" s="9"/>
      <c r="AB158" s="9"/>
      <c r="AC158" s="9"/>
    </row>
    <row r="159" ht="15.75" customHeight="1">
      <c r="A159" s="223"/>
      <c r="B159" s="223"/>
      <c r="C159" s="1380"/>
      <c r="D159" s="9"/>
      <c r="E159" s="223"/>
      <c r="F159" s="222"/>
      <c r="G159" s="223"/>
      <c r="H159" s="224"/>
      <c r="I159" s="225"/>
      <c r="J159" s="225"/>
      <c r="K159" s="22"/>
      <c r="L159" s="223"/>
      <c r="M159" s="223"/>
      <c r="N159" s="226"/>
      <c r="O159" s="9"/>
      <c r="P159" s="9"/>
      <c r="Q159" s="223"/>
      <c r="R159" s="9"/>
      <c r="S159" s="223"/>
      <c r="T159" s="9"/>
      <c r="U159" s="913"/>
      <c r="V159" s="913"/>
      <c r="W159" s="9"/>
      <c r="X159" s="9"/>
      <c r="Y159" s="204"/>
      <c r="Z159" s="9"/>
      <c r="AA159" s="9"/>
      <c r="AB159" s="9"/>
      <c r="AC159" s="9"/>
    </row>
    <row r="160" ht="15.75" customHeight="1">
      <c r="A160" s="223"/>
      <c r="B160" s="223"/>
      <c r="C160" s="1380"/>
      <c r="D160" s="9"/>
      <c r="E160" s="223"/>
      <c r="F160" s="222"/>
      <c r="G160" s="223"/>
      <c r="H160" s="224"/>
      <c r="I160" s="225"/>
      <c r="J160" s="225"/>
      <c r="K160" s="22"/>
      <c r="L160" s="223"/>
      <c r="M160" s="223"/>
      <c r="N160" s="226"/>
      <c r="O160" s="9"/>
      <c r="P160" s="9"/>
      <c r="Q160" s="223"/>
      <c r="R160" s="9"/>
      <c r="S160" s="223"/>
      <c r="T160" s="9"/>
      <c r="U160" s="913"/>
      <c r="V160" s="913"/>
      <c r="W160" s="9"/>
      <c r="X160" s="9"/>
      <c r="Y160" s="204"/>
      <c r="Z160" s="9"/>
      <c r="AA160" s="9"/>
      <c r="AB160" s="9"/>
      <c r="AC160" s="9"/>
    </row>
    <row r="161" ht="15.75" customHeight="1">
      <c r="A161" s="223"/>
      <c r="B161" s="223"/>
      <c r="C161" s="1380"/>
      <c r="D161" s="9"/>
      <c r="E161" s="223"/>
      <c r="F161" s="222"/>
      <c r="G161" s="223"/>
      <c r="H161" s="224"/>
      <c r="I161" s="225"/>
      <c r="J161" s="225"/>
      <c r="K161" s="22"/>
      <c r="L161" s="223"/>
      <c r="M161" s="223"/>
      <c r="N161" s="226"/>
      <c r="O161" s="9"/>
      <c r="P161" s="9"/>
      <c r="Q161" s="223"/>
      <c r="R161" s="9"/>
      <c r="S161" s="223"/>
      <c r="T161" s="9"/>
      <c r="U161" s="913"/>
      <c r="V161" s="913"/>
      <c r="W161" s="9"/>
      <c r="X161" s="9"/>
      <c r="Y161" s="204"/>
      <c r="Z161" s="9"/>
      <c r="AA161" s="9"/>
      <c r="AB161" s="9"/>
      <c r="AC161" s="9"/>
    </row>
    <row r="162" ht="15.75" customHeight="1">
      <c r="A162" s="223"/>
      <c r="B162" s="223"/>
      <c r="C162" s="223"/>
      <c r="D162" s="9"/>
      <c r="E162" s="223"/>
      <c r="F162" s="971"/>
      <c r="G162" s="9"/>
      <c r="H162" s="9"/>
      <c r="I162" s="9"/>
      <c r="J162" s="9"/>
      <c r="K162" s="9"/>
      <c r="L162" s="223"/>
      <c r="M162" s="223"/>
      <c r="N162" s="9"/>
      <c r="O162" s="9"/>
      <c r="P162" s="9"/>
      <c r="Q162" s="223"/>
      <c r="R162" s="9"/>
      <c r="S162" s="223"/>
      <c r="T162" s="9"/>
      <c r="U162" s="9"/>
      <c r="V162" s="9"/>
      <c r="W162" s="9"/>
      <c r="X162" s="9"/>
      <c r="Y162" s="204"/>
      <c r="Z162" s="9"/>
      <c r="AA162" s="9"/>
      <c r="AB162" s="9"/>
      <c r="AC162" s="9"/>
    </row>
    <row r="163" ht="15.75" customHeight="1">
      <c r="A163" s="223"/>
      <c r="B163" s="223"/>
      <c r="C163" s="223"/>
      <c r="D163" s="9"/>
      <c r="E163" s="223"/>
      <c r="F163" s="971"/>
      <c r="G163" s="9"/>
      <c r="H163" s="9"/>
      <c r="I163" s="9"/>
      <c r="J163" s="9"/>
      <c r="K163" s="9"/>
      <c r="L163" s="223"/>
      <c r="M163" s="223"/>
      <c r="N163" s="9"/>
      <c r="O163" s="9"/>
      <c r="P163" s="9"/>
      <c r="Q163" s="223"/>
      <c r="R163" s="9"/>
      <c r="S163" s="223"/>
      <c r="T163" s="9"/>
      <c r="U163" s="9"/>
      <c r="V163" s="9"/>
      <c r="W163" s="9"/>
      <c r="X163" s="9"/>
      <c r="Y163" s="204"/>
      <c r="Z163" s="9"/>
      <c r="AA163" s="9"/>
      <c r="AB163" s="9"/>
      <c r="AC163" s="9"/>
    </row>
    <row r="164" ht="15.75" customHeight="1">
      <c r="A164" s="223"/>
      <c r="B164" s="223"/>
      <c r="C164" s="223"/>
      <c r="D164" s="9"/>
      <c r="E164" s="223"/>
      <c r="F164" s="971"/>
      <c r="G164" s="9"/>
      <c r="H164" s="9"/>
      <c r="I164" s="9"/>
      <c r="J164" s="9"/>
      <c r="K164" s="9"/>
      <c r="L164" s="223"/>
      <c r="M164" s="223"/>
      <c r="N164" s="9"/>
      <c r="O164" s="9"/>
      <c r="P164" s="9"/>
      <c r="Q164" s="223"/>
      <c r="R164" s="9"/>
      <c r="S164" s="223"/>
      <c r="T164" s="9"/>
      <c r="U164" s="9"/>
      <c r="V164" s="9"/>
      <c r="W164" s="9"/>
      <c r="X164" s="9"/>
      <c r="Y164" s="204"/>
      <c r="Z164" s="9"/>
      <c r="AA164" s="9"/>
      <c r="AB164" s="9"/>
      <c r="AC164" s="9"/>
    </row>
    <row r="165" ht="15.75" customHeight="1">
      <c r="A165" s="223"/>
      <c r="B165" s="223"/>
      <c r="C165" s="223"/>
      <c r="D165" s="9"/>
      <c r="E165" s="223"/>
      <c r="F165" s="971"/>
      <c r="G165" s="9"/>
      <c r="H165" s="9"/>
      <c r="I165" s="9"/>
      <c r="J165" s="9"/>
      <c r="K165" s="9"/>
      <c r="L165" s="223"/>
      <c r="M165" s="223"/>
      <c r="N165" s="9"/>
      <c r="O165" s="9"/>
      <c r="P165" s="9"/>
      <c r="Q165" s="223"/>
      <c r="R165" s="9"/>
      <c r="S165" s="223"/>
      <c r="T165" s="9"/>
      <c r="U165" s="9"/>
      <c r="V165" s="9"/>
      <c r="W165" s="9"/>
      <c r="X165" s="9"/>
      <c r="Y165" s="204"/>
      <c r="Z165" s="9"/>
      <c r="AA165" s="9"/>
      <c r="AB165" s="9"/>
      <c r="AC165" s="9"/>
    </row>
    <row r="166" ht="15.75" customHeight="1">
      <c r="A166" s="223"/>
      <c r="B166" s="223"/>
      <c r="C166" s="223"/>
      <c r="D166" s="9"/>
      <c r="E166" s="223"/>
      <c r="F166" s="971"/>
      <c r="G166" s="9"/>
      <c r="H166" s="9"/>
      <c r="I166" s="9"/>
      <c r="J166" s="9"/>
      <c r="K166" s="9"/>
      <c r="L166" s="223"/>
      <c r="M166" s="223"/>
      <c r="N166" s="9"/>
      <c r="O166" s="9"/>
      <c r="P166" s="9"/>
      <c r="Q166" s="223"/>
      <c r="R166" s="9"/>
      <c r="S166" s="223"/>
      <c r="T166" s="9"/>
      <c r="U166" s="9"/>
      <c r="V166" s="9"/>
      <c r="W166" s="9"/>
      <c r="X166" s="9"/>
      <c r="Y166" s="204"/>
      <c r="Z166" s="9"/>
      <c r="AA166" s="9"/>
      <c r="AB166" s="9"/>
      <c r="AC166" s="9"/>
    </row>
    <row r="167" ht="15.75" customHeight="1">
      <c r="A167" s="223"/>
      <c r="B167" s="223"/>
      <c r="C167" s="223"/>
      <c r="D167" s="9"/>
      <c r="E167" s="223"/>
      <c r="F167" s="971"/>
      <c r="G167" s="9"/>
      <c r="H167" s="9"/>
      <c r="I167" s="9"/>
      <c r="J167" s="9"/>
      <c r="K167" s="9"/>
      <c r="L167" s="223"/>
      <c r="M167" s="223"/>
      <c r="N167" s="9"/>
      <c r="O167" s="9"/>
      <c r="P167" s="9"/>
      <c r="Q167" s="223"/>
      <c r="R167" s="9"/>
      <c r="S167" s="223"/>
      <c r="T167" s="9"/>
      <c r="U167" s="9"/>
      <c r="V167" s="9"/>
      <c r="W167" s="9"/>
      <c r="X167" s="9"/>
      <c r="Y167" s="204"/>
      <c r="Z167" s="9"/>
      <c r="AA167" s="9"/>
      <c r="AB167" s="9"/>
      <c r="AC167" s="9"/>
    </row>
    <row r="168" ht="15.75" customHeight="1">
      <c r="A168" s="223"/>
      <c r="B168" s="223"/>
      <c r="C168" s="223"/>
      <c r="D168" s="9"/>
      <c r="E168" s="223"/>
      <c r="F168" s="971"/>
      <c r="G168" s="9"/>
      <c r="H168" s="9"/>
      <c r="I168" s="9"/>
      <c r="J168" s="9"/>
      <c r="K168" s="9"/>
      <c r="L168" s="223"/>
      <c r="M168" s="223"/>
      <c r="N168" s="9"/>
      <c r="O168" s="9"/>
      <c r="P168" s="9"/>
      <c r="Q168" s="223"/>
      <c r="R168" s="9"/>
      <c r="S168" s="223"/>
      <c r="T168" s="9"/>
      <c r="U168" s="9"/>
      <c r="V168" s="9"/>
      <c r="W168" s="9"/>
      <c r="X168" s="9"/>
      <c r="Y168" s="204"/>
      <c r="Z168" s="9"/>
      <c r="AA168" s="9"/>
      <c r="AB168" s="9"/>
      <c r="AC168" s="9"/>
    </row>
    <row r="169" ht="15.75" customHeight="1">
      <c r="A169" s="223"/>
      <c r="B169" s="223"/>
      <c r="C169" s="223"/>
      <c r="D169" s="9"/>
      <c r="E169" s="223"/>
      <c r="F169" s="971"/>
      <c r="G169" s="9"/>
      <c r="H169" s="9"/>
      <c r="I169" s="9"/>
      <c r="J169" s="9"/>
      <c r="K169" s="9"/>
      <c r="L169" s="223"/>
      <c r="M169" s="223"/>
      <c r="N169" s="9"/>
      <c r="O169" s="9"/>
      <c r="P169" s="9"/>
      <c r="Q169" s="223"/>
      <c r="R169" s="9"/>
      <c r="S169" s="223"/>
      <c r="T169" s="9"/>
      <c r="U169" s="9"/>
      <c r="V169" s="9"/>
      <c r="W169" s="9"/>
      <c r="X169" s="9"/>
      <c r="Y169" s="204"/>
      <c r="Z169" s="9"/>
      <c r="AA169" s="9"/>
      <c r="AB169" s="9"/>
      <c r="AC169" s="9"/>
    </row>
    <row r="170" ht="15.75" customHeight="1">
      <c r="A170" s="223"/>
      <c r="B170" s="223"/>
      <c r="C170" s="223"/>
      <c r="D170" s="9"/>
      <c r="E170" s="223"/>
      <c r="F170" s="971"/>
      <c r="G170" s="9"/>
      <c r="H170" s="9"/>
      <c r="I170" s="9"/>
      <c r="J170" s="9"/>
      <c r="K170" s="9"/>
      <c r="L170" s="223"/>
      <c r="M170" s="223"/>
      <c r="N170" s="9"/>
      <c r="O170" s="9"/>
      <c r="P170" s="9"/>
      <c r="Q170" s="223"/>
      <c r="R170" s="9"/>
      <c r="S170" s="223"/>
      <c r="T170" s="9"/>
      <c r="U170" s="9"/>
      <c r="V170" s="9"/>
      <c r="W170" s="9"/>
      <c r="X170" s="9"/>
      <c r="Y170" s="204"/>
      <c r="Z170" s="9"/>
      <c r="AA170" s="9"/>
      <c r="AB170" s="9"/>
      <c r="AC170" s="9"/>
    </row>
    <row r="171" ht="15.75" customHeight="1">
      <c r="A171" s="223"/>
      <c r="B171" s="223"/>
      <c r="C171" s="223"/>
      <c r="D171" s="9"/>
      <c r="E171" s="223"/>
      <c r="F171" s="971"/>
      <c r="G171" s="9"/>
      <c r="H171" s="9"/>
      <c r="I171" s="9"/>
      <c r="J171" s="9"/>
      <c r="K171" s="9"/>
      <c r="L171" s="223"/>
      <c r="M171" s="223"/>
      <c r="N171" s="9"/>
      <c r="O171" s="9"/>
      <c r="P171" s="9"/>
      <c r="Q171" s="223"/>
      <c r="R171" s="9"/>
      <c r="S171" s="223"/>
      <c r="T171" s="9"/>
      <c r="U171" s="9"/>
      <c r="V171" s="9"/>
      <c r="W171" s="9"/>
      <c r="X171" s="9"/>
      <c r="Y171" s="204"/>
      <c r="Z171" s="9"/>
      <c r="AA171" s="9"/>
      <c r="AB171" s="9"/>
      <c r="AC171" s="9"/>
    </row>
    <row r="172" ht="15.75" customHeight="1">
      <c r="A172" s="223"/>
      <c r="B172" s="223"/>
      <c r="C172" s="223"/>
      <c r="D172" s="9"/>
      <c r="E172" s="223"/>
      <c r="F172" s="971"/>
      <c r="G172" s="9"/>
      <c r="H172" s="9"/>
      <c r="I172" s="9"/>
      <c r="J172" s="9"/>
      <c r="K172" s="9"/>
      <c r="L172" s="223"/>
      <c r="M172" s="223"/>
      <c r="N172" s="9"/>
      <c r="O172" s="9"/>
      <c r="P172" s="9"/>
      <c r="Q172" s="223"/>
      <c r="R172" s="9"/>
      <c r="S172" s="223"/>
      <c r="T172" s="9"/>
      <c r="U172" s="9"/>
      <c r="V172" s="9"/>
      <c r="W172" s="9"/>
      <c r="X172" s="9"/>
      <c r="Y172" s="204"/>
      <c r="Z172" s="9"/>
      <c r="AA172" s="9"/>
      <c r="AB172" s="9"/>
      <c r="AC172" s="9"/>
    </row>
    <row r="173" ht="15.75" customHeight="1">
      <c r="A173" s="223"/>
      <c r="B173" s="223"/>
      <c r="C173" s="223"/>
      <c r="D173" s="9"/>
      <c r="E173" s="223"/>
      <c r="F173" s="971"/>
      <c r="G173" s="9"/>
      <c r="H173" s="9"/>
      <c r="I173" s="9"/>
      <c r="J173" s="9"/>
      <c r="K173" s="9"/>
      <c r="L173" s="223"/>
      <c r="M173" s="223"/>
      <c r="N173" s="9"/>
      <c r="O173" s="9"/>
      <c r="P173" s="9"/>
      <c r="Q173" s="223"/>
      <c r="R173" s="9"/>
      <c r="S173" s="223"/>
      <c r="T173" s="9"/>
      <c r="U173" s="9"/>
      <c r="V173" s="9"/>
      <c r="W173" s="9"/>
      <c r="X173" s="9"/>
      <c r="Y173" s="204"/>
      <c r="Z173" s="9"/>
      <c r="AA173" s="9"/>
      <c r="AB173" s="9"/>
      <c r="AC173" s="9"/>
    </row>
    <row r="174" ht="15.75" customHeight="1">
      <c r="A174" s="223"/>
      <c r="B174" s="223"/>
      <c r="C174" s="223"/>
      <c r="D174" s="9"/>
      <c r="E174" s="223"/>
      <c r="F174" s="971"/>
      <c r="G174" s="9"/>
      <c r="H174" s="9"/>
      <c r="I174" s="9"/>
      <c r="J174" s="9"/>
      <c r="K174" s="9"/>
      <c r="L174" s="223"/>
      <c r="M174" s="223"/>
      <c r="N174" s="9"/>
      <c r="O174" s="9"/>
      <c r="P174" s="9"/>
      <c r="Q174" s="223"/>
      <c r="R174" s="9"/>
      <c r="S174" s="223"/>
      <c r="T174" s="9"/>
      <c r="U174" s="9"/>
      <c r="V174" s="9"/>
      <c r="W174" s="9"/>
      <c r="X174" s="9"/>
      <c r="Y174" s="204"/>
      <c r="Z174" s="9"/>
      <c r="AA174" s="9"/>
      <c r="AB174" s="9"/>
      <c r="AC174" s="9"/>
    </row>
    <row r="175" ht="15.75" customHeight="1">
      <c r="A175" s="223"/>
      <c r="B175" s="223"/>
      <c r="C175" s="223"/>
      <c r="D175" s="9"/>
      <c r="E175" s="223"/>
      <c r="F175" s="971"/>
      <c r="G175" s="9"/>
      <c r="H175" s="9"/>
      <c r="I175" s="9"/>
      <c r="J175" s="9"/>
      <c r="K175" s="9"/>
      <c r="L175" s="223"/>
      <c r="M175" s="223"/>
      <c r="N175" s="9"/>
      <c r="O175" s="9"/>
      <c r="P175" s="9"/>
      <c r="Q175" s="223"/>
      <c r="R175" s="9"/>
      <c r="S175" s="223"/>
      <c r="T175" s="9"/>
      <c r="U175" s="9"/>
      <c r="V175" s="9"/>
      <c r="W175" s="9"/>
      <c r="X175" s="9"/>
      <c r="Y175" s="204"/>
      <c r="Z175" s="9"/>
      <c r="AA175" s="9"/>
      <c r="AB175" s="9"/>
      <c r="AC175" s="9"/>
    </row>
    <row r="176" ht="15.75" customHeight="1">
      <c r="A176" s="223"/>
      <c r="B176" s="223"/>
      <c r="C176" s="223"/>
      <c r="D176" s="9"/>
      <c r="E176" s="223"/>
      <c r="F176" s="971"/>
      <c r="G176" s="9"/>
      <c r="H176" s="9"/>
      <c r="I176" s="9"/>
      <c r="J176" s="9"/>
      <c r="K176" s="9"/>
      <c r="L176" s="223"/>
      <c r="M176" s="223"/>
      <c r="N176" s="9"/>
      <c r="O176" s="9"/>
      <c r="P176" s="9"/>
      <c r="Q176" s="223"/>
      <c r="R176" s="9"/>
      <c r="S176" s="223"/>
      <c r="T176" s="9"/>
      <c r="U176" s="9"/>
      <c r="V176" s="9"/>
      <c r="W176" s="9"/>
      <c r="X176" s="9"/>
      <c r="Y176" s="204"/>
      <c r="Z176" s="9"/>
      <c r="AA176" s="9"/>
      <c r="AB176" s="9"/>
      <c r="AC176" s="9"/>
    </row>
    <row r="177" ht="15.75" customHeight="1">
      <c r="A177" s="223"/>
      <c r="B177" s="223"/>
      <c r="C177" s="223"/>
      <c r="D177" s="9"/>
      <c r="E177" s="223"/>
      <c r="F177" s="971"/>
      <c r="G177" s="9"/>
      <c r="H177" s="9"/>
      <c r="I177" s="9"/>
      <c r="J177" s="9"/>
      <c r="K177" s="9"/>
      <c r="L177" s="223"/>
      <c r="M177" s="223"/>
      <c r="N177" s="9"/>
      <c r="O177" s="9"/>
      <c r="P177" s="9"/>
      <c r="Q177" s="223"/>
      <c r="R177" s="9"/>
      <c r="S177" s="223"/>
      <c r="T177" s="9"/>
      <c r="U177" s="9"/>
      <c r="V177" s="9"/>
      <c r="W177" s="9"/>
      <c r="X177" s="9"/>
      <c r="Y177" s="204"/>
      <c r="Z177" s="9"/>
      <c r="AA177" s="9"/>
      <c r="AB177" s="9"/>
      <c r="AC177" s="9"/>
    </row>
    <row r="178" ht="15.75" customHeight="1">
      <c r="A178" s="223"/>
      <c r="B178" s="223"/>
      <c r="C178" s="223"/>
      <c r="D178" s="9"/>
      <c r="E178" s="223"/>
      <c r="F178" s="971"/>
      <c r="G178" s="9"/>
      <c r="H178" s="9"/>
      <c r="I178" s="9"/>
      <c r="J178" s="9"/>
      <c r="K178" s="9"/>
      <c r="L178" s="223"/>
      <c r="M178" s="223"/>
      <c r="N178" s="9"/>
      <c r="O178" s="9"/>
      <c r="P178" s="9"/>
      <c r="Q178" s="223"/>
      <c r="R178" s="9"/>
      <c r="S178" s="223"/>
      <c r="T178" s="9"/>
      <c r="U178" s="9"/>
      <c r="V178" s="9"/>
      <c r="W178" s="9"/>
      <c r="X178" s="9"/>
      <c r="Y178" s="204"/>
      <c r="Z178" s="9"/>
      <c r="AA178" s="9"/>
      <c r="AB178" s="9"/>
      <c r="AC178" s="9"/>
    </row>
    <row r="179" ht="15.75" customHeight="1">
      <c r="A179" s="223"/>
      <c r="B179" s="223"/>
      <c r="C179" s="223"/>
      <c r="D179" s="9"/>
      <c r="E179" s="223"/>
      <c r="F179" s="971"/>
      <c r="G179" s="9"/>
      <c r="H179" s="9"/>
      <c r="I179" s="9"/>
      <c r="J179" s="9"/>
      <c r="K179" s="9"/>
      <c r="L179" s="223"/>
      <c r="M179" s="223"/>
      <c r="N179" s="9"/>
      <c r="O179" s="9"/>
      <c r="P179" s="9"/>
      <c r="Q179" s="223"/>
      <c r="R179" s="9"/>
      <c r="S179" s="223"/>
      <c r="T179" s="9"/>
      <c r="U179" s="9"/>
      <c r="V179" s="9"/>
      <c r="W179" s="9"/>
      <c r="X179" s="9"/>
      <c r="Y179" s="204"/>
      <c r="Z179" s="9"/>
      <c r="AA179" s="9"/>
      <c r="AB179" s="9"/>
      <c r="AC179" s="9"/>
    </row>
    <row r="180" ht="15.75" customHeight="1">
      <c r="A180" s="223"/>
      <c r="B180" s="223"/>
      <c r="C180" s="223"/>
      <c r="D180" s="9"/>
      <c r="E180" s="223"/>
      <c r="F180" s="971"/>
      <c r="G180" s="9"/>
      <c r="H180" s="9"/>
      <c r="I180" s="9"/>
      <c r="J180" s="9"/>
      <c r="K180" s="9"/>
      <c r="L180" s="223"/>
      <c r="M180" s="223"/>
      <c r="N180" s="9"/>
      <c r="O180" s="9"/>
      <c r="P180" s="9"/>
      <c r="Q180" s="223"/>
      <c r="R180" s="9"/>
      <c r="S180" s="223"/>
      <c r="T180" s="9"/>
      <c r="U180" s="9"/>
      <c r="V180" s="9"/>
      <c r="W180" s="9"/>
      <c r="X180" s="9"/>
      <c r="Y180" s="204"/>
      <c r="Z180" s="9"/>
      <c r="AA180" s="9"/>
      <c r="AB180" s="9"/>
      <c r="AC180" s="9"/>
    </row>
    <row r="181" ht="15.75" customHeight="1">
      <c r="A181" s="223"/>
      <c r="B181" s="223"/>
      <c r="C181" s="223"/>
      <c r="D181" s="9"/>
      <c r="E181" s="223"/>
      <c r="F181" s="971"/>
      <c r="G181" s="9"/>
      <c r="H181" s="9"/>
      <c r="I181" s="9"/>
      <c r="J181" s="9"/>
      <c r="K181" s="9"/>
      <c r="L181" s="223"/>
      <c r="M181" s="223"/>
      <c r="N181" s="9"/>
      <c r="O181" s="9"/>
      <c r="P181" s="9"/>
      <c r="Q181" s="223"/>
      <c r="R181" s="9"/>
      <c r="S181" s="223"/>
      <c r="T181" s="9"/>
      <c r="U181" s="9"/>
      <c r="V181" s="9"/>
      <c r="W181" s="9"/>
      <c r="X181" s="9"/>
      <c r="Y181" s="204"/>
      <c r="Z181" s="9"/>
      <c r="AA181" s="9"/>
      <c r="AB181" s="9"/>
      <c r="AC181" s="9"/>
    </row>
    <row r="182" ht="15.75" customHeight="1">
      <c r="A182" s="223"/>
      <c r="B182" s="223"/>
      <c r="C182" s="223"/>
      <c r="D182" s="9"/>
      <c r="E182" s="223"/>
      <c r="F182" s="971"/>
      <c r="G182" s="9"/>
      <c r="H182" s="9"/>
      <c r="I182" s="9"/>
      <c r="J182" s="9"/>
      <c r="K182" s="9"/>
      <c r="L182" s="223"/>
      <c r="M182" s="223"/>
      <c r="N182" s="9"/>
      <c r="O182" s="9"/>
      <c r="P182" s="9"/>
      <c r="Q182" s="223"/>
      <c r="R182" s="9"/>
      <c r="S182" s="223"/>
      <c r="T182" s="9"/>
      <c r="U182" s="9"/>
      <c r="V182" s="9"/>
      <c r="W182" s="9"/>
      <c r="X182" s="9"/>
      <c r="Y182" s="204"/>
      <c r="Z182" s="9"/>
      <c r="AA182" s="9"/>
      <c r="AB182" s="9"/>
      <c r="AC182" s="9"/>
    </row>
    <row r="183" ht="15.75" customHeight="1">
      <c r="A183" s="223"/>
      <c r="B183" s="223"/>
      <c r="C183" s="223"/>
      <c r="D183" s="9"/>
      <c r="E183" s="223"/>
      <c r="F183" s="971"/>
      <c r="G183" s="9"/>
      <c r="H183" s="9"/>
      <c r="I183" s="9"/>
      <c r="J183" s="9"/>
      <c r="K183" s="9"/>
      <c r="L183" s="223"/>
      <c r="M183" s="223"/>
      <c r="N183" s="9"/>
      <c r="O183" s="9"/>
      <c r="P183" s="9"/>
      <c r="Q183" s="223"/>
      <c r="R183" s="9"/>
      <c r="S183" s="223"/>
      <c r="T183" s="9"/>
      <c r="U183" s="9"/>
      <c r="V183" s="9"/>
      <c r="W183" s="9"/>
      <c r="X183" s="9"/>
      <c r="Y183" s="204"/>
      <c r="Z183" s="9"/>
      <c r="AA183" s="9"/>
      <c r="AB183" s="9"/>
      <c r="AC183" s="9"/>
    </row>
    <row r="184" ht="15.75" customHeight="1">
      <c r="A184" s="223"/>
      <c r="B184" s="223"/>
      <c r="C184" s="223"/>
      <c r="D184" s="9"/>
      <c r="E184" s="223"/>
      <c r="F184" s="971"/>
      <c r="G184" s="9"/>
      <c r="H184" s="9"/>
      <c r="I184" s="9"/>
      <c r="J184" s="9"/>
      <c r="K184" s="9"/>
      <c r="L184" s="223"/>
      <c r="M184" s="223"/>
      <c r="N184" s="9"/>
      <c r="O184" s="9"/>
      <c r="P184" s="9"/>
      <c r="Q184" s="223"/>
      <c r="R184" s="9"/>
      <c r="S184" s="223"/>
      <c r="T184" s="9"/>
      <c r="U184" s="9"/>
      <c r="V184" s="9"/>
      <c r="W184" s="9"/>
      <c r="X184" s="9"/>
      <c r="Y184" s="204"/>
      <c r="Z184" s="9"/>
      <c r="AA184" s="9"/>
      <c r="AB184" s="9"/>
      <c r="AC184" s="9"/>
    </row>
    <row r="185" ht="15.75" customHeight="1">
      <c r="A185" s="223"/>
      <c r="B185" s="223"/>
      <c r="C185" s="223"/>
      <c r="D185" s="9"/>
      <c r="E185" s="223"/>
      <c r="F185" s="971"/>
      <c r="G185" s="9"/>
      <c r="H185" s="9"/>
      <c r="I185" s="9"/>
      <c r="J185" s="9"/>
      <c r="K185" s="9"/>
      <c r="L185" s="223"/>
      <c r="M185" s="223"/>
      <c r="N185" s="9"/>
      <c r="O185" s="9"/>
      <c r="P185" s="9"/>
      <c r="Q185" s="223"/>
      <c r="R185" s="9"/>
      <c r="S185" s="223"/>
      <c r="T185" s="9"/>
      <c r="U185" s="9"/>
      <c r="V185" s="9"/>
      <c r="W185" s="9"/>
      <c r="X185" s="9"/>
      <c r="Y185" s="204"/>
      <c r="Z185" s="9"/>
      <c r="AA185" s="9"/>
      <c r="AB185" s="9"/>
      <c r="AC185" s="9"/>
    </row>
    <row r="186" ht="15.75" customHeight="1">
      <c r="A186" s="223"/>
      <c r="B186" s="223"/>
      <c r="C186" s="223"/>
      <c r="D186" s="9"/>
      <c r="E186" s="223"/>
      <c r="F186" s="971"/>
      <c r="G186" s="9"/>
      <c r="H186" s="9"/>
      <c r="I186" s="9"/>
      <c r="J186" s="9"/>
      <c r="K186" s="9"/>
      <c r="L186" s="223"/>
      <c r="M186" s="223"/>
      <c r="N186" s="9"/>
      <c r="O186" s="9"/>
      <c r="P186" s="9"/>
      <c r="Q186" s="223"/>
      <c r="R186" s="9"/>
      <c r="S186" s="223"/>
      <c r="T186" s="9"/>
      <c r="U186" s="9"/>
      <c r="V186" s="9"/>
      <c r="W186" s="9"/>
      <c r="X186" s="9"/>
      <c r="Y186" s="204"/>
      <c r="Z186" s="9"/>
      <c r="AA186" s="9"/>
      <c r="AB186" s="9"/>
      <c r="AC186" s="9"/>
    </row>
    <row r="187" ht="15.75" customHeight="1">
      <c r="A187" s="223"/>
      <c r="B187" s="223"/>
      <c r="C187" s="223"/>
      <c r="D187" s="9"/>
      <c r="E187" s="223"/>
      <c r="F187" s="971"/>
      <c r="G187" s="9"/>
      <c r="H187" s="9"/>
      <c r="I187" s="9"/>
      <c r="J187" s="9"/>
      <c r="K187" s="9"/>
      <c r="L187" s="223"/>
      <c r="M187" s="223"/>
      <c r="N187" s="9"/>
      <c r="O187" s="9"/>
      <c r="P187" s="9"/>
      <c r="Q187" s="223"/>
      <c r="R187" s="9"/>
      <c r="S187" s="223"/>
      <c r="T187" s="9"/>
      <c r="U187" s="9"/>
      <c r="V187" s="9"/>
      <c r="W187" s="9"/>
      <c r="X187" s="9"/>
      <c r="Y187" s="204"/>
      <c r="Z187" s="9"/>
      <c r="AA187" s="9"/>
      <c r="AB187" s="9"/>
      <c r="AC187" s="9"/>
    </row>
    <row r="188" ht="15.75" customHeight="1">
      <c r="A188" s="223"/>
      <c r="B188" s="223"/>
      <c r="C188" s="223"/>
      <c r="D188" s="9"/>
      <c r="E188" s="223"/>
      <c r="F188" s="971"/>
      <c r="G188" s="9"/>
      <c r="H188" s="9"/>
      <c r="I188" s="9"/>
      <c r="J188" s="9"/>
      <c r="K188" s="9"/>
      <c r="L188" s="223"/>
      <c r="M188" s="223"/>
      <c r="N188" s="9"/>
      <c r="O188" s="9"/>
      <c r="P188" s="9"/>
      <c r="Q188" s="223"/>
      <c r="R188" s="9"/>
      <c r="S188" s="223"/>
      <c r="T188" s="9"/>
      <c r="U188" s="9"/>
      <c r="V188" s="9"/>
      <c r="W188" s="9"/>
      <c r="X188" s="9"/>
      <c r="Y188" s="204"/>
      <c r="Z188" s="9"/>
      <c r="AA188" s="9"/>
      <c r="AB188" s="9"/>
      <c r="AC188" s="9"/>
    </row>
    <row r="189" ht="15.75" customHeight="1">
      <c r="A189" s="223"/>
      <c r="B189" s="223"/>
      <c r="C189" s="223"/>
      <c r="D189" s="9"/>
      <c r="E189" s="223"/>
      <c r="F189" s="971"/>
      <c r="G189" s="9"/>
      <c r="H189" s="9"/>
      <c r="I189" s="9"/>
      <c r="J189" s="9"/>
      <c r="K189" s="9"/>
      <c r="L189" s="223"/>
      <c r="M189" s="223"/>
      <c r="N189" s="9"/>
      <c r="O189" s="9"/>
      <c r="P189" s="9"/>
      <c r="Q189" s="223"/>
      <c r="R189" s="9"/>
      <c r="S189" s="223"/>
      <c r="T189" s="9"/>
      <c r="U189" s="9"/>
      <c r="V189" s="9"/>
      <c r="W189" s="9"/>
      <c r="X189" s="9"/>
      <c r="Y189" s="204"/>
      <c r="Z189" s="9"/>
      <c r="AA189" s="9"/>
      <c r="AB189" s="9"/>
      <c r="AC189" s="9"/>
    </row>
    <row r="190" ht="15.75" customHeight="1">
      <c r="A190" s="223"/>
      <c r="B190" s="223"/>
      <c r="C190" s="223"/>
      <c r="D190" s="9"/>
      <c r="E190" s="223"/>
      <c r="F190" s="971"/>
      <c r="G190" s="9"/>
      <c r="H190" s="9"/>
      <c r="I190" s="9"/>
      <c r="J190" s="9"/>
      <c r="K190" s="9"/>
      <c r="L190" s="223"/>
      <c r="M190" s="223"/>
      <c r="N190" s="9"/>
      <c r="O190" s="9"/>
      <c r="P190" s="9"/>
      <c r="Q190" s="223"/>
      <c r="R190" s="9"/>
      <c r="S190" s="223"/>
      <c r="T190" s="9"/>
      <c r="U190" s="9"/>
      <c r="V190" s="9"/>
      <c r="W190" s="9"/>
      <c r="X190" s="9"/>
      <c r="Y190" s="204"/>
      <c r="Z190" s="9"/>
      <c r="AA190" s="9"/>
      <c r="AB190" s="9"/>
      <c r="AC190" s="9"/>
    </row>
    <row r="191" ht="15.75" customHeight="1">
      <c r="A191" s="223"/>
      <c r="B191" s="223"/>
      <c r="C191" s="223"/>
      <c r="D191" s="9"/>
      <c r="E191" s="223"/>
      <c r="F191" s="971"/>
      <c r="G191" s="9"/>
      <c r="H191" s="9"/>
      <c r="I191" s="9"/>
      <c r="J191" s="9"/>
      <c r="K191" s="9"/>
      <c r="L191" s="223"/>
      <c r="M191" s="223"/>
      <c r="N191" s="9"/>
      <c r="O191" s="9"/>
      <c r="P191" s="9"/>
      <c r="Q191" s="223"/>
      <c r="R191" s="9"/>
      <c r="S191" s="223"/>
      <c r="T191" s="9"/>
      <c r="U191" s="9"/>
      <c r="V191" s="9"/>
      <c r="W191" s="9"/>
      <c r="X191" s="9"/>
      <c r="Y191" s="204"/>
      <c r="Z191" s="9"/>
      <c r="AA191" s="9"/>
      <c r="AB191" s="9"/>
      <c r="AC191" s="9"/>
    </row>
    <row r="192" ht="15.75" customHeight="1">
      <c r="A192" s="223"/>
      <c r="B192" s="223"/>
      <c r="C192" s="223"/>
      <c r="D192" s="9"/>
      <c r="E192" s="223"/>
      <c r="F192" s="971"/>
      <c r="G192" s="9"/>
      <c r="H192" s="9"/>
      <c r="I192" s="9"/>
      <c r="J192" s="9"/>
      <c r="K192" s="9"/>
      <c r="L192" s="223"/>
      <c r="M192" s="223"/>
      <c r="N192" s="9"/>
      <c r="O192" s="9"/>
      <c r="P192" s="9"/>
      <c r="Q192" s="223"/>
      <c r="R192" s="9"/>
      <c r="S192" s="223"/>
      <c r="T192" s="9"/>
      <c r="U192" s="9"/>
      <c r="V192" s="9"/>
      <c r="W192" s="9"/>
      <c r="X192" s="9"/>
      <c r="Y192" s="204"/>
      <c r="Z192" s="9"/>
      <c r="AA192" s="9"/>
      <c r="AB192" s="9"/>
      <c r="AC192" s="9"/>
    </row>
    <row r="193" ht="15.75" customHeight="1">
      <c r="A193" s="223"/>
      <c r="B193" s="223"/>
      <c r="C193" s="223"/>
      <c r="D193" s="9"/>
      <c r="E193" s="223"/>
      <c r="F193" s="971"/>
      <c r="G193" s="9"/>
      <c r="H193" s="9"/>
      <c r="I193" s="9"/>
      <c r="J193" s="9"/>
      <c r="K193" s="9"/>
      <c r="L193" s="223"/>
      <c r="M193" s="223"/>
      <c r="N193" s="9"/>
      <c r="O193" s="9"/>
      <c r="P193" s="9"/>
      <c r="Q193" s="223"/>
      <c r="R193" s="9"/>
      <c r="S193" s="223"/>
      <c r="T193" s="9"/>
      <c r="U193" s="9"/>
      <c r="V193" s="9"/>
      <c r="W193" s="9"/>
      <c r="X193" s="9"/>
      <c r="Y193" s="204"/>
      <c r="Z193" s="9"/>
      <c r="AA193" s="9"/>
      <c r="AB193" s="9"/>
      <c r="AC193" s="9"/>
    </row>
    <row r="194" ht="15.75" customHeight="1">
      <c r="A194" s="223"/>
      <c r="B194" s="223"/>
      <c r="C194" s="223"/>
      <c r="D194" s="9"/>
      <c r="E194" s="223"/>
      <c r="F194" s="971"/>
      <c r="G194" s="9"/>
      <c r="H194" s="9"/>
      <c r="I194" s="9"/>
      <c r="J194" s="9"/>
      <c r="K194" s="9"/>
      <c r="L194" s="223"/>
      <c r="M194" s="223"/>
      <c r="N194" s="9"/>
      <c r="O194" s="9"/>
      <c r="P194" s="9"/>
      <c r="Q194" s="223"/>
      <c r="R194" s="9"/>
      <c r="S194" s="223"/>
      <c r="T194" s="9"/>
      <c r="U194" s="9"/>
      <c r="V194" s="9"/>
      <c r="W194" s="9"/>
      <c r="X194" s="9"/>
      <c r="Y194" s="204"/>
      <c r="Z194" s="9"/>
      <c r="AA194" s="9"/>
      <c r="AB194" s="9"/>
      <c r="AC194" s="9"/>
    </row>
    <row r="195" ht="15.75" customHeight="1">
      <c r="A195" s="223"/>
      <c r="B195" s="223"/>
      <c r="C195" s="223"/>
      <c r="D195" s="9"/>
      <c r="E195" s="223"/>
      <c r="F195" s="971"/>
      <c r="G195" s="9"/>
      <c r="H195" s="9"/>
      <c r="I195" s="9"/>
      <c r="J195" s="9"/>
      <c r="K195" s="9"/>
      <c r="L195" s="223"/>
      <c r="M195" s="223"/>
      <c r="N195" s="9"/>
      <c r="O195" s="9"/>
      <c r="P195" s="9"/>
      <c r="Q195" s="223"/>
      <c r="R195" s="9"/>
      <c r="S195" s="223"/>
      <c r="T195" s="9"/>
      <c r="U195" s="9"/>
      <c r="V195" s="9"/>
      <c r="W195" s="9"/>
      <c r="X195" s="9"/>
      <c r="Y195" s="204"/>
      <c r="Z195" s="9"/>
      <c r="AA195" s="9"/>
      <c r="AB195" s="9"/>
      <c r="AC195" s="9"/>
    </row>
    <row r="196" ht="15.75" customHeight="1">
      <c r="A196" s="223"/>
      <c r="B196" s="223"/>
      <c r="C196" s="223"/>
      <c r="D196" s="9"/>
      <c r="E196" s="223"/>
      <c r="F196" s="971"/>
      <c r="G196" s="9"/>
      <c r="H196" s="9"/>
      <c r="I196" s="9"/>
      <c r="J196" s="9"/>
      <c r="K196" s="9"/>
      <c r="L196" s="223"/>
      <c r="M196" s="223"/>
      <c r="N196" s="9"/>
      <c r="O196" s="9"/>
      <c r="P196" s="9"/>
      <c r="Q196" s="223"/>
      <c r="R196" s="9"/>
      <c r="S196" s="223"/>
      <c r="T196" s="9"/>
      <c r="U196" s="9"/>
      <c r="V196" s="9"/>
      <c r="W196" s="9"/>
      <c r="X196" s="9"/>
      <c r="Y196" s="204"/>
      <c r="Z196" s="9"/>
      <c r="AA196" s="9"/>
      <c r="AB196" s="9"/>
      <c r="AC196" s="9"/>
    </row>
    <row r="197" ht="15.75" customHeight="1">
      <c r="A197" s="223"/>
      <c r="B197" s="223"/>
      <c r="C197" s="223"/>
      <c r="D197" s="9"/>
      <c r="E197" s="223"/>
      <c r="F197" s="971"/>
      <c r="G197" s="9"/>
      <c r="H197" s="9"/>
      <c r="I197" s="9"/>
      <c r="J197" s="9"/>
      <c r="K197" s="9"/>
      <c r="L197" s="223"/>
      <c r="M197" s="223"/>
      <c r="N197" s="9"/>
      <c r="O197" s="9"/>
      <c r="P197" s="9"/>
      <c r="Q197" s="223"/>
      <c r="R197" s="9"/>
      <c r="S197" s="223"/>
      <c r="T197" s="9"/>
      <c r="U197" s="9"/>
      <c r="V197" s="9"/>
      <c r="W197" s="9"/>
      <c r="X197" s="9"/>
      <c r="Y197" s="204"/>
      <c r="Z197" s="9"/>
      <c r="AA197" s="9"/>
      <c r="AB197" s="9"/>
      <c r="AC197" s="9"/>
    </row>
    <row r="198" ht="15.75" customHeight="1">
      <c r="A198" s="223"/>
      <c r="B198" s="223"/>
      <c r="C198" s="223"/>
      <c r="D198" s="9"/>
      <c r="E198" s="223"/>
      <c r="F198" s="971"/>
      <c r="G198" s="9"/>
      <c r="H198" s="9"/>
      <c r="I198" s="9"/>
      <c r="J198" s="9"/>
      <c r="K198" s="9"/>
      <c r="L198" s="223"/>
      <c r="M198" s="223"/>
      <c r="N198" s="9"/>
      <c r="O198" s="9"/>
      <c r="P198" s="9"/>
      <c r="Q198" s="223"/>
      <c r="R198" s="9"/>
      <c r="S198" s="223"/>
      <c r="T198" s="9"/>
      <c r="U198" s="9"/>
      <c r="V198" s="9"/>
      <c r="W198" s="9"/>
      <c r="X198" s="9"/>
      <c r="Y198" s="204"/>
      <c r="Z198" s="9"/>
      <c r="AA198" s="9"/>
      <c r="AB198" s="9"/>
      <c r="AC198" s="9"/>
    </row>
    <row r="199" ht="15.75" customHeight="1">
      <c r="A199" s="223"/>
      <c r="B199" s="223"/>
      <c r="C199" s="223"/>
      <c r="D199" s="9"/>
      <c r="E199" s="223"/>
      <c r="F199" s="971"/>
      <c r="G199" s="9"/>
      <c r="H199" s="9"/>
      <c r="I199" s="9"/>
      <c r="J199" s="9"/>
      <c r="K199" s="9"/>
      <c r="L199" s="223"/>
      <c r="M199" s="223"/>
      <c r="N199" s="9"/>
      <c r="O199" s="9"/>
      <c r="P199" s="9"/>
      <c r="Q199" s="223"/>
      <c r="R199" s="9"/>
      <c r="S199" s="223"/>
      <c r="T199" s="9"/>
      <c r="U199" s="9"/>
      <c r="V199" s="9"/>
      <c r="W199" s="9"/>
      <c r="X199" s="9"/>
      <c r="Y199" s="204"/>
      <c r="Z199" s="9"/>
      <c r="AA199" s="9"/>
      <c r="AB199" s="9"/>
      <c r="AC199" s="9"/>
    </row>
    <row r="200" ht="15.75" customHeight="1">
      <c r="A200" s="223"/>
      <c r="B200" s="223"/>
      <c r="C200" s="223"/>
      <c r="D200" s="9"/>
      <c r="E200" s="223"/>
      <c r="F200" s="971"/>
      <c r="G200" s="9"/>
      <c r="H200" s="9"/>
      <c r="I200" s="9"/>
      <c r="J200" s="9"/>
      <c r="K200" s="9"/>
      <c r="L200" s="223"/>
      <c r="M200" s="223"/>
      <c r="N200" s="9"/>
      <c r="O200" s="9"/>
      <c r="P200" s="9"/>
      <c r="Q200" s="223"/>
      <c r="R200" s="9"/>
      <c r="S200" s="223"/>
      <c r="T200" s="9"/>
      <c r="U200" s="9"/>
      <c r="V200" s="9"/>
      <c r="W200" s="9"/>
      <c r="X200" s="9"/>
      <c r="Y200" s="204"/>
      <c r="Z200" s="9"/>
      <c r="AA200" s="9"/>
      <c r="AB200" s="9"/>
      <c r="AC200" s="9"/>
    </row>
    <row r="201" ht="15.75" customHeight="1">
      <c r="A201" s="223"/>
      <c r="B201" s="223"/>
      <c r="C201" s="223"/>
      <c r="D201" s="9"/>
      <c r="E201" s="223"/>
      <c r="F201" s="971"/>
      <c r="G201" s="9"/>
      <c r="H201" s="9"/>
      <c r="I201" s="9"/>
      <c r="J201" s="9"/>
      <c r="K201" s="9"/>
      <c r="L201" s="223"/>
      <c r="M201" s="223"/>
      <c r="N201" s="9"/>
      <c r="O201" s="9"/>
      <c r="P201" s="9"/>
      <c r="Q201" s="223"/>
      <c r="R201" s="9"/>
      <c r="S201" s="223"/>
      <c r="T201" s="9"/>
      <c r="U201" s="9"/>
      <c r="V201" s="9"/>
      <c r="W201" s="9"/>
      <c r="X201" s="9"/>
      <c r="Y201" s="204"/>
      <c r="Z201" s="9"/>
      <c r="AA201" s="9"/>
      <c r="AB201" s="9"/>
      <c r="AC201" s="9"/>
    </row>
    <row r="202" ht="15.75" customHeight="1">
      <c r="A202" s="223"/>
      <c r="B202" s="223"/>
      <c r="C202" s="223"/>
      <c r="D202" s="9"/>
      <c r="E202" s="223"/>
      <c r="F202" s="971"/>
      <c r="G202" s="9"/>
      <c r="H202" s="9"/>
      <c r="I202" s="9"/>
      <c r="J202" s="9"/>
      <c r="K202" s="9"/>
      <c r="L202" s="223"/>
      <c r="M202" s="223"/>
      <c r="N202" s="9"/>
      <c r="O202" s="9"/>
      <c r="P202" s="9"/>
      <c r="Q202" s="223"/>
      <c r="R202" s="9"/>
      <c r="S202" s="223"/>
      <c r="T202" s="9"/>
      <c r="U202" s="9"/>
      <c r="V202" s="9"/>
      <c r="W202" s="9"/>
      <c r="X202" s="9"/>
      <c r="Y202" s="204"/>
      <c r="Z202" s="9"/>
      <c r="AA202" s="9"/>
      <c r="AB202" s="9"/>
      <c r="AC202" s="9"/>
    </row>
    <row r="203" ht="15.75" customHeight="1">
      <c r="A203" s="223"/>
      <c r="B203" s="223"/>
      <c r="C203" s="223"/>
      <c r="D203" s="9"/>
      <c r="E203" s="223"/>
      <c r="F203" s="971"/>
      <c r="G203" s="9"/>
      <c r="H203" s="9"/>
      <c r="I203" s="9"/>
      <c r="J203" s="9"/>
      <c r="K203" s="9"/>
      <c r="L203" s="223"/>
      <c r="M203" s="223"/>
      <c r="N203" s="9"/>
      <c r="O203" s="9"/>
      <c r="P203" s="9"/>
      <c r="Q203" s="223"/>
      <c r="R203" s="9"/>
      <c r="S203" s="223"/>
      <c r="T203" s="9"/>
      <c r="U203" s="9"/>
      <c r="V203" s="9"/>
      <c r="W203" s="9"/>
      <c r="X203" s="9"/>
      <c r="Y203" s="204"/>
      <c r="Z203" s="9"/>
      <c r="AA203" s="9"/>
      <c r="AB203" s="9"/>
      <c r="AC203" s="9"/>
    </row>
    <row r="204" ht="15.75" customHeight="1">
      <c r="A204" s="223"/>
      <c r="B204" s="223"/>
      <c r="C204" s="223"/>
      <c r="D204" s="9"/>
      <c r="E204" s="223"/>
      <c r="F204" s="971"/>
      <c r="G204" s="9"/>
      <c r="H204" s="9"/>
      <c r="I204" s="9"/>
      <c r="J204" s="9"/>
      <c r="K204" s="9"/>
      <c r="L204" s="223"/>
      <c r="M204" s="223"/>
      <c r="N204" s="9"/>
      <c r="O204" s="9"/>
      <c r="P204" s="9"/>
      <c r="Q204" s="223"/>
      <c r="R204" s="9"/>
      <c r="S204" s="223"/>
      <c r="T204" s="9"/>
      <c r="U204" s="9"/>
      <c r="V204" s="9"/>
      <c r="W204" s="9"/>
      <c r="X204" s="9"/>
      <c r="Y204" s="204"/>
      <c r="Z204" s="9"/>
      <c r="AA204" s="9"/>
      <c r="AB204" s="9"/>
      <c r="AC204" s="9"/>
    </row>
    <row r="205" ht="15.75" customHeight="1">
      <c r="A205" s="223"/>
      <c r="B205" s="223"/>
      <c r="C205" s="223"/>
      <c r="D205" s="9"/>
      <c r="E205" s="223"/>
      <c r="F205" s="971"/>
      <c r="G205" s="9"/>
      <c r="H205" s="9"/>
      <c r="I205" s="9"/>
      <c r="J205" s="9"/>
      <c r="K205" s="9"/>
      <c r="L205" s="223"/>
      <c r="M205" s="223"/>
      <c r="N205" s="9"/>
      <c r="O205" s="9"/>
      <c r="P205" s="9"/>
      <c r="Q205" s="223"/>
      <c r="R205" s="9"/>
      <c r="S205" s="223"/>
      <c r="T205" s="9"/>
      <c r="U205" s="9"/>
      <c r="V205" s="9"/>
      <c r="W205" s="9"/>
      <c r="X205" s="9"/>
      <c r="Y205" s="204"/>
      <c r="Z205" s="9"/>
      <c r="AA205" s="9"/>
      <c r="AB205" s="9"/>
      <c r="AC205" s="9"/>
    </row>
    <row r="206" ht="15.75" customHeight="1">
      <c r="A206" s="223"/>
      <c r="B206" s="223"/>
      <c r="C206" s="223"/>
      <c r="D206" s="9"/>
      <c r="E206" s="223"/>
      <c r="F206" s="971"/>
      <c r="G206" s="9"/>
      <c r="H206" s="9"/>
      <c r="I206" s="9"/>
      <c r="J206" s="9"/>
      <c r="K206" s="9"/>
      <c r="L206" s="223"/>
      <c r="M206" s="223"/>
      <c r="N206" s="9"/>
      <c r="O206" s="9"/>
      <c r="P206" s="9"/>
      <c r="Q206" s="223"/>
      <c r="R206" s="9"/>
      <c r="S206" s="223"/>
      <c r="T206" s="9"/>
      <c r="U206" s="9"/>
      <c r="V206" s="9"/>
      <c r="W206" s="9"/>
      <c r="X206" s="9"/>
      <c r="Y206" s="204"/>
      <c r="Z206" s="9"/>
      <c r="AA206" s="9"/>
      <c r="AB206" s="9"/>
      <c r="AC206" s="9"/>
    </row>
    <row r="207" ht="15.75" customHeight="1">
      <c r="A207" s="223"/>
      <c r="B207" s="223"/>
      <c r="C207" s="223"/>
      <c r="D207" s="9"/>
      <c r="E207" s="223"/>
      <c r="F207" s="971"/>
      <c r="G207" s="9"/>
      <c r="H207" s="9"/>
      <c r="I207" s="9"/>
      <c r="J207" s="9"/>
      <c r="K207" s="9"/>
      <c r="L207" s="223"/>
      <c r="M207" s="223"/>
      <c r="N207" s="9"/>
      <c r="O207" s="9"/>
      <c r="P207" s="9"/>
      <c r="Q207" s="223"/>
      <c r="R207" s="9"/>
      <c r="S207" s="223"/>
      <c r="T207" s="9"/>
      <c r="U207" s="9"/>
      <c r="V207" s="9"/>
      <c r="W207" s="9"/>
      <c r="X207" s="9"/>
      <c r="Y207" s="204"/>
      <c r="Z207" s="9"/>
      <c r="AA207" s="9"/>
      <c r="AB207" s="9"/>
      <c r="AC207" s="9"/>
    </row>
    <row r="208" ht="15.75" customHeight="1">
      <c r="A208" s="223"/>
      <c r="B208" s="223"/>
      <c r="C208" s="223"/>
      <c r="D208" s="9"/>
      <c r="E208" s="223"/>
      <c r="F208" s="971"/>
      <c r="G208" s="9"/>
      <c r="H208" s="9"/>
      <c r="I208" s="9"/>
      <c r="J208" s="9"/>
      <c r="K208" s="9"/>
      <c r="L208" s="223"/>
      <c r="M208" s="223"/>
      <c r="N208" s="9"/>
      <c r="O208" s="9"/>
      <c r="P208" s="9"/>
      <c r="Q208" s="223"/>
      <c r="R208" s="9"/>
      <c r="S208" s="223"/>
      <c r="T208" s="9"/>
      <c r="U208" s="9"/>
      <c r="V208" s="9"/>
      <c r="W208" s="9"/>
      <c r="X208" s="9"/>
      <c r="Y208" s="204"/>
      <c r="Z208" s="9"/>
      <c r="AA208" s="9"/>
      <c r="AB208" s="9"/>
      <c r="AC208" s="9"/>
    </row>
    <row r="209" ht="15.75" customHeight="1">
      <c r="A209" s="223"/>
      <c r="B209" s="223"/>
      <c r="C209" s="223"/>
      <c r="D209" s="9"/>
      <c r="E209" s="223"/>
      <c r="F209" s="971"/>
      <c r="G209" s="9"/>
      <c r="H209" s="9"/>
      <c r="I209" s="9"/>
      <c r="J209" s="9"/>
      <c r="K209" s="9"/>
      <c r="L209" s="223"/>
      <c r="M209" s="223"/>
      <c r="N209" s="9"/>
      <c r="O209" s="9"/>
      <c r="P209" s="9"/>
      <c r="Q209" s="223"/>
      <c r="R209" s="9"/>
      <c r="S209" s="223"/>
      <c r="T209" s="9"/>
      <c r="U209" s="9"/>
      <c r="V209" s="9"/>
      <c r="W209" s="9"/>
      <c r="X209" s="9"/>
      <c r="Y209" s="204"/>
      <c r="Z209" s="9"/>
      <c r="AA209" s="9"/>
      <c r="AB209" s="9"/>
      <c r="AC209" s="9"/>
    </row>
    <row r="210" ht="15.75" customHeight="1">
      <c r="A210" s="223"/>
      <c r="B210" s="223"/>
      <c r="C210" s="223"/>
      <c r="D210" s="9"/>
      <c r="E210" s="223"/>
      <c r="F210" s="971"/>
      <c r="G210" s="9"/>
      <c r="H210" s="9"/>
      <c r="I210" s="9"/>
      <c r="J210" s="9"/>
      <c r="K210" s="9"/>
      <c r="L210" s="223"/>
      <c r="M210" s="223"/>
      <c r="N210" s="9"/>
      <c r="O210" s="9"/>
      <c r="P210" s="9"/>
      <c r="Q210" s="223"/>
      <c r="R210" s="9"/>
      <c r="S210" s="223"/>
      <c r="T210" s="9"/>
      <c r="U210" s="9"/>
      <c r="V210" s="9"/>
      <c r="W210" s="9"/>
      <c r="X210" s="9"/>
      <c r="Y210" s="204"/>
      <c r="Z210" s="9"/>
      <c r="AA210" s="9"/>
      <c r="AB210" s="9"/>
      <c r="AC210" s="9"/>
    </row>
    <row r="211" ht="15.75" customHeight="1">
      <c r="A211" s="223"/>
      <c r="B211" s="223"/>
      <c r="C211" s="223"/>
      <c r="D211" s="9"/>
      <c r="E211" s="223"/>
      <c r="F211" s="971"/>
      <c r="G211" s="9"/>
      <c r="H211" s="9"/>
      <c r="I211" s="9"/>
      <c r="J211" s="9"/>
      <c r="K211" s="9"/>
      <c r="L211" s="223"/>
      <c r="M211" s="223"/>
      <c r="N211" s="9"/>
      <c r="O211" s="9"/>
      <c r="P211" s="9"/>
      <c r="Q211" s="223"/>
      <c r="R211" s="9"/>
      <c r="S211" s="223"/>
      <c r="T211" s="9"/>
      <c r="U211" s="9"/>
      <c r="V211" s="9"/>
      <c r="W211" s="9"/>
      <c r="X211" s="9"/>
      <c r="Y211" s="204"/>
      <c r="Z211" s="9"/>
      <c r="AA211" s="9"/>
      <c r="AB211" s="9"/>
      <c r="AC211" s="9"/>
    </row>
    <row r="212" ht="15.75" customHeight="1">
      <c r="A212" s="223"/>
      <c r="B212" s="223"/>
      <c r="C212" s="223"/>
      <c r="D212" s="9"/>
      <c r="E212" s="223"/>
      <c r="F212" s="971"/>
      <c r="G212" s="9"/>
      <c r="H212" s="9"/>
      <c r="I212" s="9"/>
      <c r="J212" s="9"/>
      <c r="K212" s="9"/>
      <c r="L212" s="223"/>
      <c r="M212" s="223"/>
      <c r="N212" s="9"/>
      <c r="O212" s="9"/>
      <c r="P212" s="9"/>
      <c r="Q212" s="223"/>
      <c r="R212" s="9"/>
      <c r="S212" s="223"/>
      <c r="T212" s="9"/>
      <c r="U212" s="9"/>
      <c r="V212" s="9"/>
      <c r="W212" s="9"/>
      <c r="X212" s="9"/>
      <c r="Y212" s="204"/>
      <c r="Z212" s="9"/>
      <c r="AA212" s="9"/>
      <c r="AB212" s="9"/>
      <c r="AC212" s="9"/>
    </row>
    <row r="213" ht="15.75" customHeight="1">
      <c r="A213" s="223"/>
      <c r="B213" s="223"/>
      <c r="C213" s="223"/>
      <c r="D213" s="9"/>
      <c r="E213" s="223"/>
      <c r="F213" s="971"/>
      <c r="G213" s="9"/>
      <c r="H213" s="9"/>
      <c r="I213" s="9"/>
      <c r="J213" s="9"/>
      <c r="K213" s="9"/>
      <c r="L213" s="223"/>
      <c r="M213" s="223"/>
      <c r="N213" s="9"/>
      <c r="O213" s="9"/>
      <c r="P213" s="9"/>
      <c r="Q213" s="223"/>
      <c r="R213" s="9"/>
      <c r="S213" s="223"/>
      <c r="T213" s="9"/>
      <c r="U213" s="9"/>
      <c r="V213" s="9"/>
      <c r="W213" s="9"/>
      <c r="X213" s="9"/>
      <c r="Y213" s="204"/>
      <c r="Z213" s="9"/>
      <c r="AA213" s="9"/>
      <c r="AB213" s="9"/>
      <c r="AC213" s="9"/>
    </row>
    <row r="214" ht="15.75" customHeight="1">
      <c r="A214" s="223"/>
      <c r="B214" s="223"/>
      <c r="C214" s="223"/>
      <c r="D214" s="9"/>
      <c r="E214" s="223"/>
      <c r="F214" s="971"/>
      <c r="G214" s="9"/>
      <c r="H214" s="9"/>
      <c r="I214" s="9"/>
      <c r="J214" s="9"/>
      <c r="K214" s="9"/>
      <c r="L214" s="223"/>
      <c r="M214" s="223"/>
      <c r="N214" s="9"/>
      <c r="O214" s="9"/>
      <c r="P214" s="9"/>
      <c r="Q214" s="223"/>
      <c r="R214" s="9"/>
      <c r="S214" s="223"/>
      <c r="T214" s="9"/>
      <c r="U214" s="9"/>
      <c r="V214" s="9"/>
      <c r="W214" s="9"/>
      <c r="X214" s="9"/>
      <c r="Y214" s="204"/>
      <c r="Z214" s="9"/>
      <c r="AA214" s="9"/>
      <c r="AB214" s="9"/>
      <c r="AC214" s="9"/>
    </row>
    <row r="215" ht="15.75" customHeight="1">
      <c r="A215" s="223"/>
      <c r="B215" s="223"/>
      <c r="C215" s="223"/>
      <c r="D215" s="9"/>
      <c r="E215" s="223"/>
      <c r="F215" s="971"/>
      <c r="G215" s="9"/>
      <c r="H215" s="9"/>
      <c r="I215" s="9"/>
      <c r="J215" s="9"/>
      <c r="K215" s="9"/>
      <c r="L215" s="223"/>
      <c r="M215" s="223"/>
      <c r="N215" s="9"/>
      <c r="O215" s="9"/>
      <c r="P215" s="9"/>
      <c r="Q215" s="223"/>
      <c r="R215" s="9"/>
      <c r="S215" s="223"/>
      <c r="T215" s="9"/>
      <c r="U215" s="9"/>
      <c r="V215" s="9"/>
      <c r="W215" s="9"/>
      <c r="X215" s="9"/>
      <c r="Y215" s="204"/>
      <c r="Z215" s="9"/>
      <c r="AA215" s="9"/>
      <c r="AB215" s="9"/>
      <c r="AC215" s="9"/>
    </row>
    <row r="216" ht="15.75" customHeight="1">
      <c r="A216" s="223"/>
      <c r="B216" s="223"/>
      <c r="C216" s="223"/>
      <c r="D216" s="9"/>
      <c r="E216" s="223"/>
      <c r="F216" s="971"/>
      <c r="G216" s="9"/>
      <c r="H216" s="9"/>
      <c r="I216" s="9"/>
      <c r="J216" s="9"/>
      <c r="K216" s="9"/>
      <c r="L216" s="223"/>
      <c r="M216" s="223"/>
      <c r="N216" s="9"/>
      <c r="O216" s="9"/>
      <c r="P216" s="9"/>
      <c r="Q216" s="223"/>
      <c r="R216" s="9"/>
      <c r="S216" s="223"/>
      <c r="T216" s="9"/>
      <c r="U216" s="9"/>
      <c r="V216" s="9"/>
      <c r="W216" s="9"/>
      <c r="X216" s="9"/>
      <c r="Y216" s="204"/>
      <c r="Z216" s="9"/>
      <c r="AA216" s="9"/>
      <c r="AB216" s="9"/>
      <c r="AC216" s="9"/>
    </row>
    <row r="217" ht="15.75" customHeight="1">
      <c r="A217" s="223"/>
      <c r="B217" s="223"/>
      <c r="C217" s="223"/>
      <c r="D217" s="9"/>
      <c r="E217" s="223"/>
      <c r="F217" s="971"/>
      <c r="G217" s="9"/>
      <c r="H217" s="9"/>
      <c r="I217" s="9"/>
      <c r="J217" s="9"/>
      <c r="K217" s="9"/>
      <c r="L217" s="223"/>
      <c r="M217" s="223"/>
      <c r="N217" s="9"/>
      <c r="O217" s="9"/>
      <c r="P217" s="9"/>
      <c r="Q217" s="223"/>
      <c r="R217" s="9"/>
      <c r="S217" s="223"/>
      <c r="T217" s="9"/>
      <c r="U217" s="9"/>
      <c r="V217" s="9"/>
      <c r="W217" s="9"/>
      <c r="X217" s="9"/>
      <c r="Y217" s="204"/>
      <c r="Z217" s="9"/>
      <c r="AA217" s="9"/>
      <c r="AB217" s="9"/>
      <c r="AC217" s="9"/>
    </row>
    <row r="218" ht="15.75" customHeight="1">
      <c r="A218" s="223"/>
      <c r="B218" s="223"/>
      <c r="C218" s="223"/>
      <c r="D218" s="9"/>
      <c r="E218" s="223"/>
      <c r="F218" s="971"/>
      <c r="G218" s="9"/>
      <c r="H218" s="9"/>
      <c r="I218" s="9"/>
      <c r="J218" s="9"/>
      <c r="K218" s="9"/>
      <c r="L218" s="223"/>
      <c r="M218" s="223"/>
      <c r="N218" s="9"/>
      <c r="O218" s="9"/>
      <c r="P218" s="9"/>
      <c r="Q218" s="223"/>
      <c r="R218" s="9"/>
      <c r="S218" s="223"/>
      <c r="T218" s="9"/>
      <c r="U218" s="9"/>
      <c r="V218" s="9"/>
      <c r="W218" s="9"/>
      <c r="X218" s="9"/>
      <c r="Y218" s="204"/>
      <c r="Z218" s="9"/>
      <c r="AA218" s="9"/>
      <c r="AB218" s="9"/>
      <c r="AC218" s="9"/>
    </row>
    <row r="219" ht="15.75" customHeight="1">
      <c r="A219" s="223"/>
      <c r="B219" s="223"/>
      <c r="C219" s="223"/>
      <c r="D219" s="9"/>
      <c r="E219" s="223"/>
      <c r="F219" s="971"/>
      <c r="G219" s="9"/>
      <c r="H219" s="9"/>
      <c r="I219" s="9"/>
      <c r="J219" s="9"/>
      <c r="K219" s="9"/>
      <c r="L219" s="223"/>
      <c r="M219" s="223"/>
      <c r="N219" s="9"/>
      <c r="O219" s="9"/>
      <c r="P219" s="9"/>
      <c r="Q219" s="223"/>
      <c r="R219" s="9"/>
      <c r="S219" s="223"/>
      <c r="T219" s="9"/>
      <c r="U219" s="9"/>
      <c r="V219" s="9"/>
      <c r="W219" s="9"/>
      <c r="X219" s="9"/>
      <c r="Y219" s="204"/>
      <c r="Z219" s="9"/>
      <c r="AA219" s="9"/>
      <c r="AB219" s="9"/>
      <c r="AC219" s="9"/>
    </row>
    <row r="220" ht="15.75" customHeight="1">
      <c r="A220" s="223"/>
      <c r="B220" s="223"/>
      <c r="C220" s="223"/>
      <c r="D220" s="9"/>
      <c r="E220" s="223"/>
      <c r="F220" s="971"/>
      <c r="G220" s="9"/>
      <c r="H220" s="9"/>
      <c r="I220" s="9"/>
      <c r="J220" s="9"/>
      <c r="K220" s="9"/>
      <c r="L220" s="223"/>
      <c r="M220" s="223"/>
      <c r="N220" s="9"/>
      <c r="O220" s="9"/>
      <c r="P220" s="9"/>
      <c r="Q220" s="223"/>
      <c r="R220" s="9"/>
      <c r="S220" s="223"/>
      <c r="T220" s="9"/>
      <c r="U220" s="9"/>
      <c r="V220" s="9"/>
      <c r="W220" s="9"/>
      <c r="X220" s="9"/>
      <c r="Y220" s="204"/>
      <c r="Z220" s="9"/>
      <c r="AA220" s="9"/>
      <c r="AB220" s="9"/>
      <c r="AC220" s="9"/>
    </row>
    <row r="221" ht="15.75" customHeight="1">
      <c r="A221" s="223"/>
      <c r="B221" s="223"/>
      <c r="C221" s="223"/>
      <c r="D221" s="9"/>
      <c r="E221" s="223"/>
      <c r="F221" s="971"/>
      <c r="G221" s="9"/>
      <c r="H221" s="9"/>
      <c r="I221" s="9"/>
      <c r="J221" s="9"/>
      <c r="K221" s="9"/>
      <c r="L221" s="223"/>
      <c r="M221" s="223"/>
      <c r="N221" s="9"/>
      <c r="O221" s="9"/>
      <c r="P221" s="9"/>
      <c r="Q221" s="223"/>
      <c r="R221" s="9"/>
      <c r="S221" s="223"/>
      <c r="T221" s="9"/>
      <c r="U221" s="9"/>
      <c r="V221" s="9"/>
      <c r="W221" s="9"/>
      <c r="X221" s="9"/>
      <c r="Y221" s="204"/>
      <c r="Z221" s="9"/>
      <c r="AA221" s="9"/>
      <c r="AB221" s="9"/>
      <c r="AC221" s="9"/>
    </row>
    <row r="222" ht="15.75" customHeight="1">
      <c r="A222" s="223"/>
      <c r="B222" s="223"/>
      <c r="C222" s="223"/>
      <c r="D222" s="9"/>
      <c r="E222" s="223"/>
      <c r="F222" s="971"/>
      <c r="G222" s="9"/>
      <c r="H222" s="9"/>
      <c r="I222" s="9"/>
      <c r="J222" s="9"/>
      <c r="K222" s="9"/>
      <c r="L222" s="223"/>
      <c r="M222" s="223"/>
      <c r="N222" s="9"/>
      <c r="O222" s="9"/>
      <c r="P222" s="9"/>
      <c r="Q222" s="223"/>
      <c r="R222" s="9"/>
      <c r="S222" s="223"/>
      <c r="T222" s="9"/>
      <c r="U222" s="9"/>
      <c r="V222" s="9"/>
      <c r="W222" s="9"/>
      <c r="X222" s="9"/>
      <c r="Y222" s="204"/>
      <c r="Z222" s="9"/>
      <c r="AA222" s="9"/>
      <c r="AB222" s="9"/>
      <c r="AC222" s="9"/>
    </row>
    <row r="223" ht="15.75" customHeight="1">
      <c r="A223" s="223"/>
      <c r="B223" s="223"/>
      <c r="C223" s="223"/>
      <c r="D223" s="9"/>
      <c r="E223" s="223"/>
      <c r="F223" s="971"/>
      <c r="G223" s="9"/>
      <c r="H223" s="9"/>
      <c r="I223" s="9"/>
      <c r="J223" s="9"/>
      <c r="K223" s="9"/>
      <c r="L223" s="223"/>
      <c r="M223" s="223"/>
      <c r="N223" s="9"/>
      <c r="O223" s="9"/>
      <c r="P223" s="9"/>
      <c r="Q223" s="223"/>
      <c r="R223" s="9"/>
      <c r="S223" s="223"/>
      <c r="T223" s="9"/>
      <c r="U223" s="9"/>
      <c r="V223" s="9"/>
      <c r="W223" s="9"/>
      <c r="X223" s="9"/>
      <c r="Y223" s="204"/>
      <c r="Z223" s="9"/>
      <c r="AA223" s="9"/>
      <c r="AB223" s="9"/>
      <c r="AC223" s="9"/>
    </row>
    <row r="224" ht="15.75" customHeight="1">
      <c r="A224" s="223"/>
      <c r="B224" s="223"/>
      <c r="C224" s="223"/>
      <c r="D224" s="9"/>
      <c r="E224" s="223"/>
      <c r="F224" s="971"/>
      <c r="G224" s="9"/>
      <c r="H224" s="9"/>
      <c r="I224" s="9"/>
      <c r="J224" s="9"/>
      <c r="K224" s="9"/>
      <c r="L224" s="223"/>
      <c r="M224" s="223"/>
      <c r="N224" s="9"/>
      <c r="O224" s="9"/>
      <c r="P224" s="9"/>
      <c r="Q224" s="223"/>
      <c r="R224" s="9"/>
      <c r="S224" s="223"/>
      <c r="T224" s="9"/>
      <c r="U224" s="9"/>
      <c r="V224" s="9"/>
      <c r="W224" s="9"/>
      <c r="X224" s="9"/>
      <c r="Y224" s="204"/>
      <c r="Z224" s="9"/>
      <c r="AA224" s="9"/>
      <c r="AB224" s="9"/>
      <c r="AC224" s="9"/>
    </row>
    <row r="225" ht="15.75" customHeight="1">
      <c r="A225" s="223"/>
      <c r="B225" s="223"/>
      <c r="C225" s="223"/>
      <c r="D225" s="9"/>
      <c r="E225" s="223"/>
      <c r="F225" s="971"/>
      <c r="G225" s="9"/>
      <c r="H225" s="9"/>
      <c r="I225" s="9"/>
      <c r="J225" s="9"/>
      <c r="K225" s="9"/>
      <c r="L225" s="223"/>
      <c r="M225" s="223"/>
      <c r="N225" s="9"/>
      <c r="O225" s="9"/>
      <c r="P225" s="9"/>
      <c r="Q225" s="223"/>
      <c r="R225" s="9"/>
      <c r="S225" s="223"/>
      <c r="T225" s="9"/>
      <c r="U225" s="9"/>
      <c r="V225" s="9"/>
      <c r="W225" s="9"/>
      <c r="X225" s="9"/>
      <c r="Y225" s="204"/>
      <c r="Z225" s="9"/>
      <c r="AA225" s="9"/>
      <c r="AB225" s="9"/>
      <c r="AC225" s="9"/>
    </row>
    <row r="226" ht="15.75" customHeight="1">
      <c r="A226" s="223"/>
      <c r="B226" s="223"/>
      <c r="C226" s="223"/>
      <c r="D226" s="9"/>
      <c r="E226" s="223"/>
      <c r="F226" s="971"/>
      <c r="G226" s="9"/>
      <c r="H226" s="9"/>
      <c r="I226" s="9"/>
      <c r="J226" s="9"/>
      <c r="K226" s="9"/>
      <c r="L226" s="223"/>
      <c r="M226" s="223"/>
      <c r="N226" s="9"/>
      <c r="O226" s="9"/>
      <c r="P226" s="9"/>
      <c r="Q226" s="223"/>
      <c r="R226" s="9"/>
      <c r="S226" s="223"/>
      <c r="T226" s="9"/>
      <c r="U226" s="9"/>
      <c r="V226" s="9"/>
      <c r="W226" s="9"/>
      <c r="X226" s="9"/>
      <c r="Y226" s="204"/>
      <c r="Z226" s="9"/>
      <c r="AA226" s="9"/>
      <c r="AB226" s="9"/>
      <c r="AC226" s="9"/>
    </row>
    <row r="227" ht="15.75" customHeight="1">
      <c r="A227" s="223"/>
      <c r="B227" s="223"/>
      <c r="C227" s="223"/>
      <c r="D227" s="9"/>
      <c r="E227" s="223"/>
      <c r="F227" s="971"/>
      <c r="G227" s="9"/>
      <c r="H227" s="9"/>
      <c r="I227" s="9"/>
      <c r="J227" s="9"/>
      <c r="K227" s="9"/>
      <c r="L227" s="223"/>
      <c r="M227" s="223"/>
      <c r="N227" s="9"/>
      <c r="O227" s="9"/>
      <c r="P227" s="9"/>
      <c r="Q227" s="223"/>
      <c r="R227" s="9"/>
      <c r="S227" s="223"/>
      <c r="T227" s="9"/>
      <c r="U227" s="9"/>
      <c r="V227" s="9"/>
      <c r="W227" s="9"/>
      <c r="X227" s="9"/>
      <c r="Y227" s="204"/>
      <c r="Z227" s="9"/>
      <c r="AA227" s="9"/>
      <c r="AB227" s="9"/>
      <c r="AC227" s="9"/>
    </row>
    <row r="228" ht="15.75" customHeight="1">
      <c r="A228" s="223"/>
      <c r="B228" s="223"/>
      <c r="C228" s="223"/>
      <c r="D228" s="9"/>
      <c r="E228" s="223"/>
      <c r="F228" s="971"/>
      <c r="G228" s="9"/>
      <c r="H228" s="9"/>
      <c r="I228" s="9"/>
      <c r="J228" s="9"/>
      <c r="K228" s="9"/>
      <c r="L228" s="223"/>
      <c r="M228" s="223"/>
      <c r="N228" s="9"/>
      <c r="O228" s="9"/>
      <c r="P228" s="9"/>
      <c r="Q228" s="223"/>
      <c r="R228" s="9"/>
      <c r="S228" s="223"/>
      <c r="T228" s="9"/>
      <c r="U228" s="9"/>
      <c r="V228" s="9"/>
      <c r="W228" s="9"/>
      <c r="X228" s="9"/>
      <c r="Y228" s="204"/>
      <c r="Z228" s="9"/>
      <c r="AA228" s="9"/>
      <c r="AB228" s="9"/>
      <c r="AC228" s="9"/>
    </row>
    <row r="229" ht="15.75" customHeight="1">
      <c r="A229" s="223"/>
      <c r="B229" s="223"/>
      <c r="C229" s="223"/>
      <c r="D229" s="9"/>
      <c r="E229" s="223"/>
      <c r="F229" s="971"/>
      <c r="G229" s="9"/>
      <c r="H229" s="9"/>
      <c r="I229" s="9"/>
      <c r="J229" s="9"/>
      <c r="K229" s="9"/>
      <c r="L229" s="223"/>
      <c r="M229" s="223"/>
      <c r="N229" s="9"/>
      <c r="O229" s="9"/>
      <c r="P229" s="9"/>
      <c r="Q229" s="223"/>
      <c r="R229" s="9"/>
      <c r="S229" s="223"/>
      <c r="T229" s="9"/>
      <c r="U229" s="9"/>
      <c r="V229" s="9"/>
      <c r="W229" s="9"/>
      <c r="X229" s="9"/>
      <c r="Y229" s="204"/>
      <c r="Z229" s="9"/>
      <c r="AA229" s="9"/>
      <c r="AB229" s="9"/>
      <c r="AC229" s="9"/>
    </row>
    <row r="230" ht="15.75" customHeight="1">
      <c r="A230" s="223"/>
      <c r="B230" s="223"/>
      <c r="C230" s="223"/>
      <c r="D230" s="9"/>
      <c r="E230" s="223"/>
      <c r="F230" s="971"/>
      <c r="G230" s="9"/>
      <c r="H230" s="9"/>
      <c r="I230" s="9"/>
      <c r="J230" s="9"/>
      <c r="K230" s="9"/>
      <c r="L230" s="223"/>
      <c r="M230" s="223"/>
      <c r="N230" s="9"/>
      <c r="O230" s="9"/>
      <c r="P230" s="9"/>
      <c r="Q230" s="223"/>
      <c r="R230" s="9"/>
      <c r="S230" s="223"/>
      <c r="T230" s="9"/>
      <c r="U230" s="9"/>
      <c r="V230" s="9"/>
      <c r="W230" s="9"/>
      <c r="X230" s="9"/>
      <c r="Y230" s="204"/>
      <c r="Z230" s="9"/>
      <c r="AA230" s="9"/>
      <c r="AB230" s="9"/>
      <c r="AC230" s="9"/>
    </row>
    <row r="231" ht="15.75" customHeight="1">
      <c r="A231" s="223"/>
      <c r="B231" s="223"/>
      <c r="C231" s="223"/>
      <c r="D231" s="9"/>
      <c r="E231" s="223"/>
      <c r="F231" s="971"/>
      <c r="G231" s="9"/>
      <c r="H231" s="9"/>
      <c r="I231" s="9"/>
      <c r="J231" s="9"/>
      <c r="K231" s="9"/>
      <c r="L231" s="223"/>
      <c r="M231" s="223"/>
      <c r="N231" s="9"/>
      <c r="O231" s="9"/>
      <c r="P231" s="9"/>
      <c r="Q231" s="223"/>
      <c r="R231" s="9"/>
      <c r="S231" s="223"/>
      <c r="T231" s="9"/>
      <c r="U231" s="9"/>
      <c r="V231" s="9"/>
      <c r="W231" s="9"/>
      <c r="X231" s="9"/>
      <c r="Y231" s="204"/>
      <c r="Z231" s="9"/>
      <c r="AA231" s="9"/>
      <c r="AB231" s="9"/>
      <c r="AC231" s="9"/>
    </row>
    <row r="232" ht="15.75" customHeight="1">
      <c r="A232" s="223"/>
      <c r="B232" s="223"/>
      <c r="C232" s="223"/>
      <c r="D232" s="9"/>
      <c r="E232" s="223"/>
      <c r="F232" s="971"/>
      <c r="G232" s="9"/>
      <c r="H232" s="9"/>
      <c r="I232" s="9"/>
      <c r="J232" s="9"/>
      <c r="K232" s="9"/>
      <c r="L232" s="223"/>
      <c r="M232" s="223"/>
      <c r="N232" s="9"/>
      <c r="O232" s="9"/>
      <c r="P232" s="9"/>
      <c r="Q232" s="223"/>
      <c r="R232" s="9"/>
      <c r="S232" s="223"/>
      <c r="T232" s="9"/>
      <c r="U232" s="9"/>
      <c r="V232" s="9"/>
      <c r="W232" s="9"/>
      <c r="X232" s="9"/>
      <c r="Y232" s="204"/>
      <c r="Z232" s="9"/>
      <c r="AA232" s="9"/>
      <c r="AB232" s="9"/>
      <c r="AC232" s="9"/>
    </row>
    <row r="233" ht="15.75" customHeight="1">
      <c r="A233" s="223"/>
      <c r="B233" s="223"/>
      <c r="C233" s="223"/>
      <c r="D233" s="9"/>
      <c r="E233" s="223"/>
      <c r="F233" s="971"/>
      <c r="G233" s="9"/>
      <c r="H233" s="9"/>
      <c r="I233" s="9"/>
      <c r="J233" s="9"/>
      <c r="K233" s="9"/>
      <c r="L233" s="223"/>
      <c r="M233" s="223"/>
      <c r="N233" s="9"/>
      <c r="O233" s="9"/>
      <c r="P233" s="9"/>
      <c r="Q233" s="223"/>
      <c r="R233" s="9"/>
      <c r="S233" s="223"/>
      <c r="T233" s="9"/>
      <c r="U233" s="9"/>
      <c r="V233" s="9"/>
      <c r="W233" s="9"/>
      <c r="X233" s="9"/>
      <c r="Y233" s="204"/>
      <c r="Z233" s="9"/>
      <c r="AA233" s="9"/>
      <c r="AB233" s="9"/>
      <c r="AC233" s="9"/>
    </row>
    <row r="234" ht="15.75" customHeight="1">
      <c r="A234" s="223"/>
      <c r="B234" s="223"/>
      <c r="C234" s="223"/>
      <c r="D234" s="9"/>
      <c r="E234" s="223"/>
      <c r="F234" s="971"/>
      <c r="G234" s="9"/>
      <c r="H234" s="9"/>
      <c r="I234" s="9"/>
      <c r="J234" s="9"/>
      <c r="K234" s="9"/>
      <c r="L234" s="223"/>
      <c r="M234" s="223"/>
      <c r="N234" s="9"/>
      <c r="O234" s="9"/>
      <c r="P234" s="9"/>
      <c r="Q234" s="223"/>
      <c r="R234" s="9"/>
      <c r="S234" s="223"/>
      <c r="T234" s="9"/>
      <c r="U234" s="9"/>
      <c r="V234" s="9"/>
      <c r="W234" s="9"/>
      <c r="X234" s="9"/>
      <c r="Y234" s="204"/>
      <c r="Z234" s="9"/>
      <c r="AA234" s="9"/>
      <c r="AB234" s="9"/>
      <c r="AC234" s="9"/>
    </row>
    <row r="235" ht="15.75" customHeight="1">
      <c r="A235" s="223"/>
      <c r="B235" s="223"/>
      <c r="C235" s="223"/>
      <c r="D235" s="9"/>
      <c r="E235" s="223"/>
      <c r="F235" s="971"/>
      <c r="G235" s="9"/>
      <c r="H235" s="9"/>
      <c r="I235" s="9"/>
      <c r="J235" s="9"/>
      <c r="K235" s="9"/>
      <c r="L235" s="223"/>
      <c r="M235" s="223"/>
      <c r="N235" s="9"/>
      <c r="O235" s="9"/>
      <c r="P235" s="9"/>
      <c r="Q235" s="223"/>
      <c r="R235" s="9"/>
      <c r="S235" s="223"/>
      <c r="T235" s="9"/>
      <c r="U235" s="9"/>
      <c r="V235" s="9"/>
      <c r="W235" s="9"/>
      <c r="X235" s="9"/>
      <c r="Y235" s="204"/>
      <c r="Z235" s="9"/>
      <c r="AA235" s="9"/>
      <c r="AB235" s="9"/>
      <c r="AC235" s="9"/>
    </row>
    <row r="236" ht="15.75" customHeight="1">
      <c r="A236" s="223"/>
      <c r="B236" s="223"/>
      <c r="C236" s="223"/>
      <c r="D236" s="9"/>
      <c r="E236" s="223"/>
      <c r="F236" s="971"/>
      <c r="G236" s="9"/>
      <c r="H236" s="9"/>
      <c r="I236" s="9"/>
      <c r="J236" s="9"/>
      <c r="K236" s="9"/>
      <c r="L236" s="223"/>
      <c r="M236" s="223"/>
      <c r="N236" s="9"/>
      <c r="O236" s="9"/>
      <c r="P236" s="9"/>
      <c r="Q236" s="223"/>
      <c r="R236" s="9"/>
      <c r="S236" s="223"/>
      <c r="T236" s="9"/>
      <c r="U236" s="9"/>
      <c r="V236" s="9"/>
      <c r="W236" s="9"/>
      <c r="X236" s="9"/>
      <c r="Y236" s="204"/>
      <c r="Z236" s="9"/>
      <c r="AA236" s="9"/>
      <c r="AB236" s="9"/>
      <c r="AC236" s="9"/>
    </row>
    <row r="237" ht="15.75" customHeight="1">
      <c r="A237" s="223"/>
      <c r="B237" s="223"/>
      <c r="C237" s="223"/>
      <c r="D237" s="9"/>
      <c r="E237" s="223"/>
      <c r="F237" s="971"/>
      <c r="G237" s="9"/>
      <c r="H237" s="9"/>
      <c r="I237" s="9"/>
      <c r="J237" s="9"/>
      <c r="K237" s="9"/>
      <c r="L237" s="223"/>
      <c r="M237" s="223"/>
      <c r="N237" s="9"/>
      <c r="O237" s="9"/>
      <c r="P237" s="9"/>
      <c r="Q237" s="223"/>
      <c r="R237" s="9"/>
      <c r="S237" s="223"/>
      <c r="T237" s="9"/>
      <c r="U237" s="9"/>
      <c r="V237" s="9"/>
      <c r="W237" s="9"/>
      <c r="X237" s="9"/>
      <c r="Y237" s="204"/>
      <c r="Z237" s="9"/>
      <c r="AA237" s="9"/>
      <c r="AB237" s="9"/>
      <c r="AC237" s="9"/>
    </row>
    <row r="238" ht="15.75" customHeight="1">
      <c r="A238" s="223"/>
      <c r="B238" s="223"/>
      <c r="C238" s="223"/>
      <c r="D238" s="9"/>
      <c r="E238" s="223"/>
      <c r="F238" s="971"/>
      <c r="G238" s="9"/>
      <c r="H238" s="9"/>
      <c r="I238" s="9"/>
      <c r="J238" s="9"/>
      <c r="K238" s="9"/>
      <c r="L238" s="223"/>
      <c r="M238" s="223"/>
      <c r="N238" s="9"/>
      <c r="O238" s="9"/>
      <c r="P238" s="9"/>
      <c r="Q238" s="223"/>
      <c r="R238" s="9"/>
      <c r="S238" s="223"/>
      <c r="T238" s="9"/>
      <c r="U238" s="9"/>
      <c r="V238" s="9"/>
      <c r="W238" s="9"/>
      <c r="X238" s="9"/>
      <c r="Y238" s="204"/>
      <c r="Z238" s="9"/>
      <c r="AA238" s="9"/>
      <c r="AB238" s="9"/>
      <c r="AC238" s="9"/>
    </row>
    <row r="239" ht="15.75" customHeight="1">
      <c r="A239" s="223"/>
      <c r="B239" s="223"/>
      <c r="C239" s="223"/>
      <c r="D239" s="9"/>
      <c r="E239" s="223"/>
      <c r="F239" s="971"/>
      <c r="G239" s="9"/>
      <c r="H239" s="9"/>
      <c r="I239" s="9"/>
      <c r="J239" s="9"/>
      <c r="K239" s="9"/>
      <c r="L239" s="223"/>
      <c r="M239" s="223"/>
      <c r="N239" s="9"/>
      <c r="O239" s="9"/>
      <c r="P239" s="9"/>
      <c r="Q239" s="223"/>
      <c r="R239" s="9"/>
      <c r="S239" s="223"/>
      <c r="T239" s="9"/>
      <c r="U239" s="9"/>
      <c r="V239" s="9"/>
      <c r="W239" s="9"/>
      <c r="X239" s="9"/>
      <c r="Y239" s="204"/>
      <c r="Z239" s="9"/>
      <c r="AA239" s="9"/>
      <c r="AB239" s="9"/>
      <c r="AC239" s="9"/>
    </row>
    <row r="240" ht="15.75" customHeight="1">
      <c r="A240" s="223"/>
      <c r="B240" s="223"/>
      <c r="C240" s="223"/>
      <c r="D240" s="9"/>
      <c r="E240" s="223"/>
      <c r="F240" s="971"/>
      <c r="G240" s="9"/>
      <c r="H240" s="9"/>
      <c r="I240" s="9"/>
      <c r="J240" s="9"/>
      <c r="K240" s="9"/>
      <c r="L240" s="223"/>
      <c r="M240" s="223"/>
      <c r="N240" s="9"/>
      <c r="O240" s="9"/>
      <c r="P240" s="9"/>
      <c r="Q240" s="223"/>
      <c r="R240" s="9"/>
      <c r="S240" s="223"/>
      <c r="T240" s="9"/>
      <c r="U240" s="9"/>
      <c r="V240" s="9"/>
      <c r="W240" s="9"/>
      <c r="X240" s="9"/>
      <c r="Y240" s="204"/>
      <c r="Z240" s="9"/>
      <c r="AA240" s="9"/>
      <c r="AB240" s="9"/>
      <c r="AC240" s="9"/>
    </row>
    <row r="241" ht="15.75" customHeight="1">
      <c r="A241" s="223"/>
      <c r="B241" s="223"/>
      <c r="C241" s="223"/>
      <c r="D241" s="9"/>
      <c r="E241" s="223"/>
      <c r="F241" s="971"/>
      <c r="G241" s="9"/>
      <c r="H241" s="9"/>
      <c r="I241" s="9"/>
      <c r="J241" s="9"/>
      <c r="K241" s="9"/>
      <c r="L241" s="223"/>
      <c r="M241" s="223"/>
      <c r="N241" s="9"/>
      <c r="O241" s="9"/>
      <c r="P241" s="9"/>
      <c r="Q241" s="223"/>
      <c r="R241" s="9"/>
      <c r="S241" s="223"/>
      <c r="T241" s="9"/>
      <c r="U241" s="9"/>
      <c r="V241" s="9"/>
      <c r="W241" s="9"/>
      <c r="X241" s="9"/>
      <c r="Y241" s="204"/>
      <c r="Z241" s="9"/>
      <c r="AA241" s="9"/>
      <c r="AB241" s="9"/>
      <c r="AC241" s="9"/>
    </row>
    <row r="242" ht="15.75" customHeight="1">
      <c r="A242" s="223"/>
      <c r="B242" s="223"/>
      <c r="C242" s="223"/>
      <c r="D242" s="9"/>
      <c r="E242" s="223"/>
      <c r="F242" s="971"/>
      <c r="G242" s="9"/>
      <c r="H242" s="9"/>
      <c r="I242" s="9"/>
      <c r="J242" s="9"/>
      <c r="K242" s="9"/>
      <c r="L242" s="223"/>
      <c r="M242" s="223"/>
      <c r="N242" s="9"/>
      <c r="O242" s="9"/>
      <c r="P242" s="9"/>
      <c r="Q242" s="223"/>
      <c r="R242" s="9"/>
      <c r="S242" s="223"/>
      <c r="T242" s="9"/>
      <c r="U242" s="9"/>
      <c r="V242" s="9"/>
      <c r="W242" s="9"/>
      <c r="X242" s="9"/>
      <c r="Y242" s="204"/>
      <c r="Z242" s="9"/>
      <c r="AA242" s="9"/>
      <c r="AB242" s="9"/>
      <c r="AC242" s="9"/>
    </row>
    <row r="243" ht="15.75" customHeight="1">
      <c r="A243" s="223"/>
      <c r="B243" s="223"/>
      <c r="C243" s="223"/>
      <c r="D243" s="9"/>
      <c r="E243" s="223"/>
      <c r="F243" s="971"/>
      <c r="G243" s="9"/>
      <c r="H243" s="9"/>
      <c r="I243" s="9"/>
      <c r="J243" s="9"/>
      <c r="K243" s="9"/>
      <c r="L243" s="223"/>
      <c r="M243" s="223"/>
      <c r="N243" s="9"/>
      <c r="O243" s="9"/>
      <c r="P243" s="9"/>
      <c r="Q243" s="223"/>
      <c r="R243" s="9"/>
      <c r="S243" s="223"/>
      <c r="T243" s="9"/>
      <c r="U243" s="9"/>
      <c r="V243" s="9"/>
      <c r="W243" s="9"/>
      <c r="X243" s="9"/>
      <c r="Y243" s="204"/>
      <c r="Z243" s="9"/>
      <c r="AA243" s="9"/>
      <c r="AB243" s="9"/>
      <c r="AC243" s="9"/>
    </row>
    <row r="244" ht="15.75" customHeight="1">
      <c r="A244" s="223"/>
      <c r="B244" s="223"/>
      <c r="C244" s="223"/>
      <c r="D244" s="9"/>
      <c r="E244" s="223"/>
      <c r="F244" s="971"/>
      <c r="G244" s="9"/>
      <c r="H244" s="9"/>
      <c r="I244" s="9"/>
      <c r="J244" s="9"/>
      <c r="K244" s="9"/>
      <c r="L244" s="223"/>
      <c r="M244" s="223"/>
      <c r="N244" s="9"/>
      <c r="O244" s="9"/>
      <c r="P244" s="9"/>
      <c r="Q244" s="223"/>
      <c r="R244" s="9"/>
      <c r="S244" s="223"/>
      <c r="T244" s="9"/>
      <c r="U244" s="9"/>
      <c r="V244" s="9"/>
      <c r="W244" s="9"/>
      <c r="X244" s="9"/>
      <c r="Y244" s="204"/>
      <c r="Z244" s="9"/>
      <c r="AA244" s="9"/>
      <c r="AB244" s="9"/>
      <c r="AC244" s="9"/>
    </row>
    <row r="245" ht="15.75" customHeight="1">
      <c r="A245" s="223"/>
      <c r="B245" s="223"/>
      <c r="C245" s="223"/>
      <c r="D245" s="9"/>
      <c r="E245" s="223"/>
      <c r="F245" s="971"/>
      <c r="G245" s="9"/>
      <c r="H245" s="9"/>
      <c r="I245" s="9"/>
      <c r="J245" s="9"/>
      <c r="K245" s="9"/>
      <c r="L245" s="223"/>
      <c r="M245" s="223"/>
      <c r="N245" s="9"/>
      <c r="O245" s="9"/>
      <c r="P245" s="9"/>
      <c r="Q245" s="223"/>
      <c r="R245" s="9"/>
      <c r="S245" s="223"/>
      <c r="T245" s="9"/>
      <c r="U245" s="9"/>
      <c r="V245" s="9"/>
      <c r="W245" s="9"/>
      <c r="X245" s="9"/>
      <c r="Y245" s="204"/>
      <c r="Z245" s="9"/>
      <c r="AA245" s="9"/>
      <c r="AB245" s="9"/>
      <c r="AC245" s="9"/>
    </row>
    <row r="246" ht="15.75" customHeight="1">
      <c r="A246" s="223"/>
      <c r="B246" s="223"/>
      <c r="C246" s="223"/>
      <c r="D246" s="9"/>
      <c r="E246" s="223"/>
      <c r="F246" s="971"/>
      <c r="G246" s="9"/>
      <c r="H246" s="9"/>
      <c r="I246" s="9"/>
      <c r="J246" s="9"/>
      <c r="K246" s="9"/>
      <c r="L246" s="223"/>
      <c r="M246" s="223"/>
      <c r="N246" s="9"/>
      <c r="O246" s="9"/>
      <c r="P246" s="9"/>
      <c r="Q246" s="223"/>
      <c r="R246" s="9"/>
      <c r="S246" s="223"/>
      <c r="T246" s="9"/>
      <c r="U246" s="9"/>
      <c r="V246" s="9"/>
      <c r="W246" s="9"/>
      <c r="X246" s="9"/>
      <c r="Y246" s="204"/>
      <c r="Z246" s="9"/>
      <c r="AA246" s="9"/>
      <c r="AB246" s="9"/>
      <c r="AC246" s="9"/>
    </row>
    <row r="247" ht="15.75" customHeight="1">
      <c r="A247" s="223"/>
      <c r="B247" s="223"/>
      <c r="C247" s="223"/>
      <c r="D247" s="9"/>
      <c r="E247" s="223"/>
      <c r="F247" s="971"/>
      <c r="G247" s="9"/>
      <c r="H247" s="9"/>
      <c r="I247" s="9"/>
      <c r="J247" s="9"/>
      <c r="K247" s="9"/>
      <c r="L247" s="223"/>
      <c r="M247" s="223"/>
      <c r="N247" s="9"/>
      <c r="O247" s="9"/>
      <c r="P247" s="9"/>
      <c r="Q247" s="223"/>
      <c r="R247" s="9"/>
      <c r="S247" s="223"/>
      <c r="T247" s="9"/>
      <c r="U247" s="9"/>
      <c r="V247" s="9"/>
      <c r="W247" s="9"/>
      <c r="X247" s="9"/>
      <c r="Y247" s="204"/>
      <c r="Z247" s="9"/>
      <c r="AA247" s="9"/>
      <c r="AB247" s="9"/>
      <c r="AC247" s="9"/>
    </row>
    <row r="248" ht="15.75" customHeight="1">
      <c r="A248" s="223"/>
      <c r="B248" s="223"/>
      <c r="C248" s="223"/>
      <c r="D248" s="9"/>
      <c r="E248" s="223"/>
      <c r="F248" s="971"/>
      <c r="G248" s="9"/>
      <c r="H248" s="9"/>
      <c r="I248" s="9"/>
      <c r="J248" s="9"/>
      <c r="K248" s="9"/>
      <c r="L248" s="223"/>
      <c r="M248" s="223"/>
      <c r="N248" s="9"/>
      <c r="O248" s="9"/>
      <c r="P248" s="9"/>
      <c r="Q248" s="223"/>
      <c r="R248" s="9"/>
      <c r="S248" s="223"/>
      <c r="T248" s="9"/>
      <c r="U248" s="9"/>
      <c r="V248" s="9"/>
      <c r="W248" s="9"/>
      <c r="X248" s="9"/>
      <c r="Y248" s="204"/>
      <c r="Z248" s="9"/>
      <c r="AA248" s="9"/>
      <c r="AB248" s="9"/>
      <c r="AC248" s="9"/>
    </row>
    <row r="249" ht="15.75" customHeight="1">
      <c r="A249" s="223"/>
      <c r="B249" s="223"/>
      <c r="C249" s="223"/>
      <c r="D249" s="9"/>
      <c r="E249" s="223"/>
      <c r="F249" s="971"/>
      <c r="G249" s="9"/>
      <c r="H249" s="9"/>
      <c r="I249" s="9"/>
      <c r="J249" s="9"/>
      <c r="K249" s="9"/>
      <c r="L249" s="223"/>
      <c r="M249" s="223"/>
      <c r="N249" s="9"/>
      <c r="O249" s="9"/>
      <c r="P249" s="9"/>
      <c r="Q249" s="223"/>
      <c r="R249" s="9"/>
      <c r="S249" s="223"/>
      <c r="T249" s="9"/>
      <c r="U249" s="9"/>
      <c r="V249" s="9"/>
      <c r="W249" s="9"/>
      <c r="X249" s="9"/>
      <c r="Y249" s="204"/>
      <c r="Z249" s="9"/>
      <c r="AA249" s="9"/>
      <c r="AB249" s="9"/>
      <c r="AC249" s="9"/>
    </row>
    <row r="250" ht="15.75" customHeight="1">
      <c r="A250" s="223"/>
      <c r="B250" s="223"/>
      <c r="C250" s="223"/>
      <c r="D250" s="9"/>
      <c r="E250" s="223"/>
      <c r="F250" s="971"/>
      <c r="G250" s="9"/>
      <c r="H250" s="9"/>
      <c r="I250" s="9"/>
      <c r="J250" s="9"/>
      <c r="K250" s="9"/>
      <c r="L250" s="223"/>
      <c r="M250" s="223"/>
      <c r="N250" s="9"/>
      <c r="O250" s="9"/>
      <c r="P250" s="9"/>
      <c r="Q250" s="223"/>
      <c r="R250" s="9"/>
      <c r="S250" s="223"/>
      <c r="T250" s="9"/>
      <c r="U250" s="9"/>
      <c r="V250" s="9"/>
      <c r="W250" s="9"/>
      <c r="X250" s="9"/>
      <c r="Y250" s="204"/>
      <c r="Z250" s="9"/>
      <c r="AA250" s="9"/>
      <c r="AB250" s="9"/>
      <c r="AC250" s="9"/>
    </row>
    <row r="251" ht="15.75" customHeight="1">
      <c r="A251" s="223"/>
      <c r="B251" s="223"/>
      <c r="C251" s="223"/>
      <c r="D251" s="9"/>
      <c r="E251" s="223"/>
      <c r="F251" s="971"/>
      <c r="G251" s="9"/>
      <c r="H251" s="9"/>
      <c r="I251" s="9"/>
      <c r="J251" s="9"/>
      <c r="K251" s="9"/>
      <c r="L251" s="223"/>
      <c r="M251" s="223"/>
      <c r="N251" s="9"/>
      <c r="O251" s="9"/>
      <c r="P251" s="9"/>
      <c r="Q251" s="223"/>
      <c r="R251" s="9"/>
      <c r="S251" s="223"/>
      <c r="T251" s="9"/>
      <c r="U251" s="9"/>
      <c r="V251" s="9"/>
      <c r="W251" s="9"/>
      <c r="X251" s="9"/>
      <c r="Y251" s="204"/>
      <c r="Z251" s="9"/>
      <c r="AA251" s="9"/>
      <c r="AB251" s="9"/>
      <c r="AC251" s="9"/>
    </row>
    <row r="252" ht="15.75" customHeight="1">
      <c r="A252" s="223"/>
      <c r="B252" s="223"/>
      <c r="C252" s="223"/>
      <c r="D252" s="9"/>
      <c r="E252" s="223"/>
      <c r="F252" s="971"/>
      <c r="G252" s="9"/>
      <c r="H252" s="9"/>
      <c r="I252" s="9"/>
      <c r="J252" s="9"/>
      <c r="K252" s="9"/>
      <c r="L252" s="223"/>
      <c r="M252" s="223"/>
      <c r="N252" s="9"/>
      <c r="O252" s="9"/>
      <c r="P252" s="9"/>
      <c r="Q252" s="223"/>
      <c r="R252" s="9"/>
      <c r="S252" s="223"/>
      <c r="T252" s="9"/>
      <c r="U252" s="9"/>
      <c r="V252" s="9"/>
      <c r="W252" s="9"/>
      <c r="X252" s="9"/>
      <c r="Y252" s="204"/>
      <c r="Z252" s="9"/>
      <c r="AA252" s="9"/>
      <c r="AB252" s="9"/>
      <c r="AC252" s="9"/>
    </row>
    <row r="253" ht="15.75" customHeight="1">
      <c r="A253" s="223"/>
      <c r="B253" s="223"/>
      <c r="C253" s="223"/>
      <c r="D253" s="9"/>
      <c r="E253" s="223"/>
      <c r="F253" s="971"/>
      <c r="G253" s="9"/>
      <c r="H253" s="9"/>
      <c r="I253" s="9"/>
      <c r="J253" s="9"/>
      <c r="K253" s="9"/>
      <c r="L253" s="223"/>
      <c r="M253" s="223"/>
      <c r="N253" s="9"/>
      <c r="O253" s="9"/>
      <c r="P253" s="9"/>
      <c r="Q253" s="223"/>
      <c r="R253" s="9"/>
      <c r="S253" s="223"/>
      <c r="T253" s="9"/>
      <c r="U253" s="9"/>
      <c r="V253" s="9"/>
      <c r="W253" s="9"/>
      <c r="X253" s="9"/>
      <c r="Y253" s="204"/>
      <c r="Z253" s="9"/>
      <c r="AA253" s="9"/>
      <c r="AB253" s="9"/>
      <c r="AC253" s="9"/>
    </row>
    <row r="254" ht="15.75" customHeight="1">
      <c r="A254" s="223"/>
      <c r="B254" s="223"/>
      <c r="C254" s="223"/>
      <c r="D254" s="9"/>
      <c r="E254" s="223"/>
      <c r="F254" s="971"/>
      <c r="G254" s="9"/>
      <c r="H254" s="9"/>
      <c r="I254" s="9"/>
      <c r="J254" s="9"/>
      <c r="K254" s="9"/>
      <c r="L254" s="223"/>
      <c r="M254" s="223"/>
      <c r="N254" s="9"/>
      <c r="O254" s="9"/>
      <c r="P254" s="9"/>
      <c r="Q254" s="223"/>
      <c r="R254" s="9"/>
      <c r="S254" s="223"/>
      <c r="T254" s="9"/>
      <c r="U254" s="9"/>
      <c r="V254" s="9"/>
      <c r="W254" s="9"/>
      <c r="X254" s="9"/>
      <c r="Y254" s="204"/>
      <c r="Z254" s="9"/>
      <c r="AA254" s="9"/>
      <c r="AB254" s="9"/>
      <c r="AC254" s="9"/>
    </row>
    <row r="255" ht="15.75" customHeight="1">
      <c r="A255" s="223"/>
      <c r="B255" s="223"/>
      <c r="C255" s="223"/>
      <c r="D255" s="9"/>
      <c r="E255" s="223"/>
      <c r="F255" s="971"/>
      <c r="G255" s="9"/>
      <c r="H255" s="9"/>
      <c r="I255" s="9"/>
      <c r="J255" s="9"/>
      <c r="K255" s="9"/>
      <c r="L255" s="223"/>
      <c r="M255" s="223"/>
      <c r="N255" s="9"/>
      <c r="O255" s="9"/>
      <c r="P255" s="9"/>
      <c r="Q255" s="223"/>
      <c r="R255" s="9"/>
      <c r="S255" s="223"/>
      <c r="T255" s="9"/>
      <c r="U255" s="9"/>
      <c r="V255" s="9"/>
      <c r="W255" s="9"/>
      <c r="X255" s="9"/>
      <c r="Y255" s="204"/>
      <c r="Z255" s="9"/>
      <c r="AA255" s="9"/>
      <c r="AB255" s="9"/>
      <c r="AC255" s="9"/>
    </row>
    <row r="256" ht="15.75" customHeight="1">
      <c r="A256" s="223"/>
      <c r="B256" s="223"/>
      <c r="C256" s="223"/>
      <c r="D256" s="9"/>
      <c r="E256" s="223"/>
      <c r="F256" s="971"/>
      <c r="G256" s="9"/>
      <c r="H256" s="9"/>
      <c r="I256" s="9"/>
      <c r="J256" s="9"/>
      <c r="K256" s="9"/>
      <c r="L256" s="223"/>
      <c r="M256" s="223"/>
      <c r="N256" s="9"/>
      <c r="O256" s="9"/>
      <c r="P256" s="9"/>
      <c r="Q256" s="223"/>
      <c r="R256" s="9"/>
      <c r="S256" s="223"/>
      <c r="T256" s="9"/>
      <c r="U256" s="9"/>
      <c r="V256" s="9"/>
      <c r="W256" s="9"/>
      <c r="X256" s="9"/>
      <c r="Y256" s="204"/>
      <c r="Z256" s="9"/>
      <c r="AA256" s="9"/>
      <c r="AB256" s="9"/>
      <c r="AC256" s="9"/>
    </row>
    <row r="257" ht="15.75" customHeight="1">
      <c r="A257" s="223"/>
      <c r="B257" s="223"/>
      <c r="C257" s="223"/>
      <c r="D257" s="9"/>
      <c r="E257" s="223"/>
      <c r="F257" s="971"/>
      <c r="G257" s="9"/>
      <c r="H257" s="9"/>
      <c r="I257" s="9"/>
      <c r="J257" s="9"/>
      <c r="K257" s="9"/>
      <c r="L257" s="223"/>
      <c r="M257" s="223"/>
      <c r="N257" s="9"/>
      <c r="O257" s="9"/>
      <c r="P257" s="9"/>
      <c r="Q257" s="223"/>
      <c r="R257" s="9"/>
      <c r="S257" s="223"/>
      <c r="T257" s="9"/>
      <c r="U257" s="9"/>
      <c r="V257" s="9"/>
      <c r="W257" s="9"/>
      <c r="X257" s="9"/>
      <c r="Y257" s="204"/>
      <c r="Z257" s="9"/>
      <c r="AA257" s="9"/>
      <c r="AB257" s="9"/>
      <c r="AC257" s="9"/>
    </row>
    <row r="258" ht="15.75" customHeight="1">
      <c r="A258" s="223"/>
      <c r="B258" s="223"/>
      <c r="C258" s="223"/>
      <c r="D258" s="9"/>
      <c r="E258" s="223"/>
      <c r="F258" s="971"/>
      <c r="G258" s="9"/>
      <c r="H258" s="9"/>
      <c r="I258" s="9"/>
      <c r="J258" s="9"/>
      <c r="K258" s="9"/>
      <c r="L258" s="223"/>
      <c r="M258" s="223"/>
      <c r="N258" s="9"/>
      <c r="O258" s="9"/>
      <c r="P258" s="9"/>
      <c r="Q258" s="223"/>
      <c r="R258" s="9"/>
      <c r="S258" s="223"/>
      <c r="T258" s="9"/>
      <c r="U258" s="9"/>
      <c r="V258" s="9"/>
      <c r="W258" s="9"/>
      <c r="X258" s="9"/>
      <c r="Y258" s="204"/>
      <c r="Z258" s="9"/>
      <c r="AA258" s="9"/>
      <c r="AB258" s="9"/>
      <c r="AC258" s="9"/>
    </row>
    <row r="259" ht="15.75" customHeight="1">
      <c r="A259" s="223"/>
      <c r="B259" s="223"/>
      <c r="C259" s="223"/>
      <c r="D259" s="9"/>
      <c r="E259" s="223"/>
      <c r="F259" s="971"/>
      <c r="G259" s="9"/>
      <c r="H259" s="9"/>
      <c r="I259" s="9"/>
      <c r="J259" s="9"/>
      <c r="K259" s="9"/>
      <c r="L259" s="223"/>
      <c r="M259" s="223"/>
      <c r="N259" s="9"/>
      <c r="O259" s="9"/>
      <c r="P259" s="9"/>
      <c r="Q259" s="223"/>
      <c r="R259" s="9"/>
      <c r="S259" s="223"/>
      <c r="T259" s="9"/>
      <c r="U259" s="9"/>
      <c r="V259" s="9"/>
      <c r="W259" s="9"/>
      <c r="X259" s="9"/>
      <c r="Y259" s="204"/>
      <c r="Z259" s="9"/>
      <c r="AA259" s="9"/>
      <c r="AB259" s="9"/>
      <c r="AC259" s="9"/>
    </row>
    <row r="260" ht="15.75" customHeight="1">
      <c r="A260" s="223"/>
      <c r="B260" s="223"/>
      <c r="C260" s="223"/>
      <c r="D260" s="9"/>
      <c r="E260" s="223"/>
      <c r="F260" s="971"/>
      <c r="G260" s="9"/>
      <c r="H260" s="9"/>
      <c r="I260" s="9"/>
      <c r="J260" s="9"/>
      <c r="K260" s="9"/>
      <c r="L260" s="223"/>
      <c r="M260" s="223"/>
      <c r="N260" s="9"/>
      <c r="O260" s="9"/>
      <c r="P260" s="9"/>
      <c r="Q260" s="223"/>
      <c r="R260" s="9"/>
      <c r="S260" s="223"/>
      <c r="T260" s="9"/>
      <c r="U260" s="9"/>
      <c r="V260" s="9"/>
      <c r="W260" s="9"/>
      <c r="X260" s="9"/>
      <c r="Y260" s="204"/>
      <c r="Z260" s="9"/>
      <c r="AA260" s="9"/>
      <c r="AB260" s="9"/>
      <c r="AC260" s="9"/>
    </row>
    <row r="261" ht="15.75" customHeight="1">
      <c r="A261" s="223"/>
      <c r="B261" s="223"/>
      <c r="C261" s="223"/>
      <c r="D261" s="9"/>
      <c r="E261" s="223"/>
      <c r="F261" s="971"/>
      <c r="G261" s="9"/>
      <c r="H261" s="9"/>
      <c r="I261" s="9"/>
      <c r="J261" s="9"/>
      <c r="K261" s="9"/>
      <c r="L261" s="223"/>
      <c r="M261" s="223"/>
      <c r="N261" s="9"/>
      <c r="O261" s="9"/>
      <c r="P261" s="9"/>
      <c r="Q261" s="223"/>
      <c r="R261" s="9"/>
      <c r="S261" s="223"/>
      <c r="T261" s="9"/>
      <c r="U261" s="9"/>
      <c r="V261" s="9"/>
      <c r="W261" s="9"/>
      <c r="X261" s="9"/>
      <c r="Y261" s="204"/>
      <c r="Z261" s="9"/>
      <c r="AA261" s="9"/>
      <c r="AB261" s="9"/>
      <c r="AC261" s="9"/>
    </row>
    <row r="262" ht="15.75" customHeight="1">
      <c r="A262" s="223"/>
      <c r="B262" s="223"/>
      <c r="C262" s="223"/>
      <c r="D262" s="9"/>
      <c r="E262" s="223"/>
      <c r="F262" s="971"/>
      <c r="G262" s="9"/>
      <c r="H262" s="9"/>
      <c r="I262" s="9"/>
      <c r="J262" s="9"/>
      <c r="K262" s="9"/>
      <c r="L262" s="223"/>
      <c r="M262" s="223"/>
      <c r="N262" s="9"/>
      <c r="O262" s="9"/>
      <c r="P262" s="9"/>
      <c r="Q262" s="223"/>
      <c r="R262" s="9"/>
      <c r="S262" s="223"/>
      <c r="T262" s="9"/>
      <c r="U262" s="9"/>
      <c r="V262" s="9"/>
      <c r="W262" s="9"/>
      <c r="X262" s="9"/>
      <c r="Y262" s="204"/>
      <c r="Z262" s="9"/>
      <c r="AA262" s="9"/>
      <c r="AB262" s="9"/>
      <c r="AC262" s="9"/>
    </row>
    <row r="263" ht="15.75" customHeight="1">
      <c r="A263" s="223"/>
      <c r="B263" s="223"/>
      <c r="C263" s="223"/>
      <c r="D263" s="9"/>
      <c r="E263" s="223"/>
      <c r="F263" s="971"/>
      <c r="G263" s="9"/>
      <c r="H263" s="9"/>
      <c r="I263" s="9"/>
      <c r="J263" s="9"/>
      <c r="K263" s="9"/>
      <c r="L263" s="223"/>
      <c r="M263" s="223"/>
      <c r="N263" s="9"/>
      <c r="O263" s="9"/>
      <c r="P263" s="9"/>
      <c r="Q263" s="223"/>
      <c r="R263" s="9"/>
      <c r="S263" s="223"/>
      <c r="T263" s="9"/>
      <c r="U263" s="9"/>
      <c r="V263" s="9"/>
      <c r="W263" s="9"/>
      <c r="X263" s="9"/>
      <c r="Y263" s="204"/>
      <c r="Z263" s="9"/>
      <c r="AA263" s="9"/>
      <c r="AB263" s="9"/>
      <c r="AC263" s="9"/>
    </row>
    <row r="264" ht="15.75" customHeight="1">
      <c r="A264" s="223"/>
      <c r="B264" s="223"/>
      <c r="C264" s="223"/>
      <c r="D264" s="9"/>
      <c r="E264" s="223"/>
      <c r="F264" s="971"/>
      <c r="G264" s="9"/>
      <c r="H264" s="9"/>
      <c r="I264" s="9"/>
      <c r="J264" s="9"/>
      <c r="K264" s="9"/>
      <c r="L264" s="223"/>
      <c r="M264" s="223"/>
      <c r="N264" s="9"/>
      <c r="O264" s="9"/>
      <c r="P264" s="9"/>
      <c r="Q264" s="223"/>
      <c r="R264" s="9"/>
      <c r="S264" s="223"/>
      <c r="T264" s="9"/>
      <c r="U264" s="9"/>
      <c r="V264" s="9"/>
      <c r="W264" s="9"/>
      <c r="X264" s="9"/>
      <c r="Y264" s="204"/>
      <c r="Z264" s="9"/>
      <c r="AA264" s="9"/>
      <c r="AB264" s="9"/>
      <c r="AC264" s="9"/>
    </row>
    <row r="265" ht="15.75" customHeight="1">
      <c r="A265" s="223"/>
      <c r="B265" s="223"/>
      <c r="C265" s="223"/>
      <c r="D265" s="9"/>
      <c r="E265" s="223"/>
      <c r="F265" s="971"/>
      <c r="G265" s="9"/>
      <c r="H265" s="9"/>
      <c r="I265" s="9"/>
      <c r="J265" s="9"/>
      <c r="K265" s="9"/>
      <c r="L265" s="223"/>
      <c r="M265" s="223"/>
      <c r="N265" s="9"/>
      <c r="O265" s="9"/>
      <c r="P265" s="9"/>
      <c r="Q265" s="223"/>
      <c r="R265" s="9"/>
      <c r="S265" s="223"/>
      <c r="T265" s="9"/>
      <c r="U265" s="9"/>
      <c r="V265" s="9"/>
      <c r="W265" s="9"/>
      <c r="X265" s="9"/>
      <c r="Y265" s="204"/>
      <c r="Z265" s="9"/>
      <c r="AA265" s="9"/>
      <c r="AB265" s="9"/>
      <c r="AC265" s="9"/>
    </row>
    <row r="266" ht="15.75" customHeight="1">
      <c r="A266" s="223"/>
      <c r="B266" s="223"/>
      <c r="C266" s="223"/>
      <c r="D266" s="9"/>
      <c r="E266" s="223"/>
      <c r="F266" s="971"/>
      <c r="G266" s="9"/>
      <c r="H266" s="9"/>
      <c r="I266" s="9"/>
      <c r="J266" s="9"/>
      <c r="K266" s="9"/>
      <c r="L266" s="223"/>
      <c r="M266" s="223"/>
      <c r="N266" s="9"/>
      <c r="O266" s="9"/>
      <c r="P266" s="9"/>
      <c r="Q266" s="223"/>
      <c r="R266" s="9"/>
      <c r="S266" s="223"/>
      <c r="T266" s="9"/>
      <c r="U266" s="9"/>
      <c r="V266" s="9"/>
      <c r="W266" s="9"/>
      <c r="X266" s="9"/>
      <c r="Y266" s="204"/>
      <c r="Z266" s="9"/>
      <c r="AA266" s="9"/>
      <c r="AB266" s="9"/>
      <c r="AC266" s="9"/>
    </row>
    <row r="267" ht="15.75" customHeight="1">
      <c r="A267" s="223"/>
      <c r="B267" s="223"/>
      <c r="C267" s="223"/>
      <c r="D267" s="9"/>
      <c r="E267" s="223"/>
      <c r="F267" s="971"/>
      <c r="G267" s="9"/>
      <c r="H267" s="9"/>
      <c r="I267" s="9"/>
      <c r="J267" s="9"/>
      <c r="K267" s="9"/>
      <c r="L267" s="223"/>
      <c r="M267" s="223"/>
      <c r="N267" s="9"/>
      <c r="O267" s="9"/>
      <c r="P267" s="9"/>
      <c r="Q267" s="223"/>
      <c r="R267" s="9"/>
      <c r="S267" s="223"/>
      <c r="T267" s="9"/>
      <c r="U267" s="9"/>
      <c r="V267" s="9"/>
      <c r="W267" s="9"/>
      <c r="X267" s="9"/>
      <c r="Y267" s="204"/>
      <c r="Z267" s="9"/>
      <c r="AA267" s="9"/>
      <c r="AB267" s="9"/>
      <c r="AC267" s="9"/>
    </row>
    <row r="268" ht="15.75" customHeight="1">
      <c r="A268" s="223"/>
      <c r="B268" s="223"/>
      <c r="C268" s="223"/>
      <c r="D268" s="9"/>
      <c r="E268" s="223"/>
      <c r="F268" s="971"/>
      <c r="G268" s="9"/>
      <c r="H268" s="9"/>
      <c r="I268" s="9"/>
      <c r="J268" s="9"/>
      <c r="K268" s="9"/>
      <c r="L268" s="223"/>
      <c r="M268" s="223"/>
      <c r="N268" s="9"/>
      <c r="O268" s="9"/>
      <c r="P268" s="9"/>
      <c r="Q268" s="223"/>
      <c r="R268" s="9"/>
      <c r="S268" s="223"/>
      <c r="T268" s="9"/>
      <c r="U268" s="9"/>
      <c r="V268" s="9"/>
      <c r="W268" s="9"/>
      <c r="X268" s="9"/>
      <c r="Y268" s="204"/>
      <c r="Z268" s="9"/>
      <c r="AA268" s="9"/>
      <c r="AB268" s="9"/>
      <c r="AC268" s="9"/>
    </row>
    <row r="269" ht="15.75" customHeight="1">
      <c r="A269" s="223"/>
      <c r="B269" s="223"/>
      <c r="C269" s="223"/>
      <c r="D269" s="9"/>
      <c r="E269" s="223"/>
      <c r="F269" s="971"/>
      <c r="G269" s="9"/>
      <c r="H269" s="9"/>
      <c r="I269" s="9"/>
      <c r="J269" s="9"/>
      <c r="K269" s="9"/>
      <c r="L269" s="223"/>
      <c r="M269" s="223"/>
      <c r="N269" s="9"/>
      <c r="O269" s="9"/>
      <c r="P269" s="9"/>
      <c r="Q269" s="223"/>
      <c r="R269" s="9"/>
      <c r="S269" s="223"/>
      <c r="T269" s="9"/>
      <c r="U269" s="9"/>
      <c r="V269" s="9"/>
      <c r="W269" s="9"/>
      <c r="X269" s="9"/>
      <c r="Y269" s="204"/>
      <c r="Z269" s="9"/>
      <c r="AA269" s="9"/>
      <c r="AB269" s="9"/>
      <c r="AC269" s="9"/>
    </row>
    <row r="270" ht="15.75" customHeight="1">
      <c r="A270" s="223"/>
      <c r="B270" s="223"/>
      <c r="C270" s="223"/>
      <c r="D270" s="9"/>
      <c r="E270" s="223"/>
      <c r="F270" s="971"/>
      <c r="G270" s="9"/>
      <c r="H270" s="9"/>
      <c r="I270" s="9"/>
      <c r="J270" s="9"/>
      <c r="K270" s="9"/>
      <c r="L270" s="223"/>
      <c r="M270" s="223"/>
      <c r="N270" s="9"/>
      <c r="O270" s="9"/>
      <c r="P270" s="9"/>
      <c r="Q270" s="223"/>
      <c r="R270" s="9"/>
      <c r="S270" s="223"/>
      <c r="T270" s="9"/>
      <c r="U270" s="9"/>
      <c r="V270" s="9"/>
      <c r="W270" s="9"/>
      <c r="X270" s="9"/>
      <c r="Y270" s="204"/>
      <c r="Z270" s="9"/>
      <c r="AA270" s="9"/>
      <c r="AB270" s="9"/>
      <c r="AC270" s="9"/>
    </row>
    <row r="271" ht="15.75" customHeight="1">
      <c r="A271" s="223"/>
      <c r="B271" s="223"/>
      <c r="C271" s="223"/>
      <c r="D271" s="9"/>
      <c r="E271" s="223"/>
      <c r="F271" s="971"/>
      <c r="G271" s="9"/>
      <c r="H271" s="9"/>
      <c r="I271" s="9"/>
      <c r="J271" s="9"/>
      <c r="K271" s="9"/>
      <c r="L271" s="223"/>
      <c r="M271" s="223"/>
      <c r="N271" s="9"/>
      <c r="O271" s="9"/>
      <c r="P271" s="9"/>
      <c r="Q271" s="223"/>
      <c r="R271" s="9"/>
      <c r="S271" s="223"/>
      <c r="T271" s="9"/>
      <c r="U271" s="9"/>
      <c r="V271" s="9"/>
      <c r="W271" s="9"/>
      <c r="X271" s="9"/>
      <c r="Y271" s="204"/>
      <c r="Z271" s="9"/>
      <c r="AA271" s="9"/>
      <c r="AB271" s="9"/>
      <c r="AC271" s="9"/>
    </row>
    <row r="272" ht="15.75" customHeight="1">
      <c r="A272" s="223"/>
      <c r="B272" s="223"/>
      <c r="C272" s="223"/>
      <c r="D272" s="9"/>
      <c r="E272" s="223"/>
      <c r="F272" s="971"/>
      <c r="G272" s="9"/>
      <c r="H272" s="9"/>
      <c r="I272" s="9"/>
      <c r="J272" s="9"/>
      <c r="K272" s="9"/>
      <c r="L272" s="223"/>
      <c r="M272" s="223"/>
      <c r="N272" s="9"/>
      <c r="O272" s="9"/>
      <c r="P272" s="9"/>
      <c r="Q272" s="223"/>
      <c r="R272" s="9"/>
      <c r="S272" s="223"/>
      <c r="T272" s="9"/>
      <c r="U272" s="9"/>
      <c r="V272" s="9"/>
      <c r="W272" s="9"/>
      <c r="X272" s="9"/>
      <c r="Y272" s="204"/>
      <c r="Z272" s="9"/>
      <c r="AA272" s="9"/>
      <c r="AB272" s="9"/>
      <c r="AC272" s="9"/>
    </row>
    <row r="273" ht="15.75" customHeight="1">
      <c r="A273" s="223"/>
      <c r="B273" s="223"/>
      <c r="C273" s="223"/>
      <c r="D273" s="9"/>
      <c r="E273" s="223"/>
      <c r="F273" s="971"/>
      <c r="G273" s="9"/>
      <c r="H273" s="9"/>
      <c r="I273" s="9"/>
      <c r="J273" s="9"/>
      <c r="K273" s="9"/>
      <c r="L273" s="223"/>
      <c r="M273" s="223"/>
      <c r="N273" s="9"/>
      <c r="O273" s="9"/>
      <c r="P273" s="9"/>
      <c r="Q273" s="223"/>
      <c r="R273" s="9"/>
      <c r="S273" s="223"/>
      <c r="T273" s="9"/>
      <c r="U273" s="9"/>
      <c r="V273" s="9"/>
      <c r="W273" s="9"/>
      <c r="X273" s="9"/>
      <c r="Y273" s="204"/>
      <c r="Z273" s="9"/>
      <c r="AA273" s="9"/>
      <c r="AB273" s="9"/>
      <c r="AC273" s="9"/>
    </row>
    <row r="274" ht="15.75" customHeight="1">
      <c r="A274" s="223"/>
      <c r="B274" s="223"/>
      <c r="C274" s="223"/>
      <c r="D274" s="9"/>
      <c r="E274" s="223"/>
      <c r="F274" s="971"/>
      <c r="G274" s="9"/>
      <c r="H274" s="9"/>
      <c r="I274" s="9"/>
      <c r="J274" s="9"/>
      <c r="K274" s="9"/>
      <c r="L274" s="223"/>
      <c r="M274" s="223"/>
      <c r="N274" s="9"/>
      <c r="O274" s="9"/>
      <c r="P274" s="9"/>
      <c r="Q274" s="223"/>
      <c r="R274" s="9"/>
      <c r="S274" s="223"/>
      <c r="T274" s="9"/>
      <c r="U274" s="9"/>
      <c r="V274" s="9"/>
      <c r="W274" s="9"/>
      <c r="X274" s="9"/>
      <c r="Y274" s="204"/>
      <c r="Z274" s="9"/>
      <c r="AA274" s="9"/>
      <c r="AB274" s="9"/>
      <c r="AC274" s="9"/>
    </row>
    <row r="275" ht="15.75" customHeight="1">
      <c r="A275" s="223"/>
      <c r="B275" s="223"/>
      <c r="C275" s="223"/>
      <c r="D275" s="9"/>
      <c r="E275" s="223"/>
      <c r="F275" s="971"/>
      <c r="G275" s="9"/>
      <c r="H275" s="9"/>
      <c r="I275" s="9"/>
      <c r="J275" s="9"/>
      <c r="K275" s="9"/>
      <c r="L275" s="223"/>
      <c r="M275" s="223"/>
      <c r="N275" s="9"/>
      <c r="O275" s="9"/>
      <c r="P275" s="9"/>
      <c r="Q275" s="223"/>
      <c r="R275" s="9"/>
      <c r="S275" s="223"/>
      <c r="T275" s="9"/>
      <c r="U275" s="9"/>
      <c r="V275" s="9"/>
      <c r="W275" s="9"/>
      <c r="X275" s="9"/>
      <c r="Y275" s="204"/>
      <c r="Z275" s="9"/>
      <c r="AA275" s="9"/>
      <c r="AB275" s="9"/>
      <c r="AC275" s="9"/>
    </row>
    <row r="276" ht="15.75" customHeight="1">
      <c r="A276" s="223"/>
      <c r="B276" s="223"/>
      <c r="C276" s="223"/>
      <c r="D276" s="9"/>
      <c r="E276" s="223"/>
      <c r="F276" s="971"/>
      <c r="G276" s="9"/>
      <c r="H276" s="9"/>
      <c r="I276" s="9"/>
      <c r="J276" s="9"/>
      <c r="K276" s="9"/>
      <c r="L276" s="223"/>
      <c r="M276" s="223"/>
      <c r="N276" s="9"/>
      <c r="O276" s="9"/>
      <c r="P276" s="9"/>
      <c r="Q276" s="223"/>
      <c r="R276" s="9"/>
      <c r="S276" s="223"/>
      <c r="T276" s="9"/>
      <c r="U276" s="9"/>
      <c r="V276" s="9"/>
      <c r="W276" s="9"/>
      <c r="X276" s="9"/>
      <c r="Y276" s="204"/>
      <c r="Z276" s="9"/>
      <c r="AA276" s="9"/>
      <c r="AB276" s="9"/>
      <c r="AC276" s="9"/>
    </row>
    <row r="277" ht="15.75" customHeight="1">
      <c r="A277" s="223"/>
      <c r="B277" s="223"/>
      <c r="C277" s="223"/>
      <c r="D277" s="9"/>
      <c r="E277" s="223"/>
      <c r="F277" s="971"/>
      <c r="G277" s="9"/>
      <c r="H277" s="9"/>
      <c r="I277" s="9"/>
      <c r="J277" s="9"/>
      <c r="K277" s="9"/>
      <c r="L277" s="223"/>
      <c r="M277" s="223"/>
      <c r="N277" s="9"/>
      <c r="O277" s="9"/>
      <c r="P277" s="9"/>
      <c r="Q277" s="223"/>
      <c r="R277" s="9"/>
      <c r="S277" s="223"/>
      <c r="T277" s="9"/>
      <c r="U277" s="9"/>
      <c r="V277" s="9"/>
      <c r="W277" s="9"/>
      <c r="X277" s="9"/>
      <c r="Y277" s="204"/>
      <c r="Z277" s="9"/>
      <c r="AA277" s="9"/>
      <c r="AB277" s="9"/>
      <c r="AC277" s="9"/>
    </row>
    <row r="278" ht="15.75" customHeight="1">
      <c r="A278" s="223"/>
      <c r="B278" s="223"/>
      <c r="C278" s="223"/>
      <c r="D278" s="9"/>
      <c r="E278" s="223"/>
      <c r="F278" s="971"/>
      <c r="G278" s="9"/>
      <c r="H278" s="9"/>
      <c r="I278" s="9"/>
      <c r="J278" s="9"/>
      <c r="K278" s="9"/>
      <c r="L278" s="223"/>
      <c r="M278" s="223"/>
      <c r="N278" s="9"/>
      <c r="O278" s="9"/>
      <c r="P278" s="9"/>
      <c r="Q278" s="223"/>
      <c r="R278" s="9"/>
      <c r="S278" s="223"/>
      <c r="T278" s="9"/>
      <c r="U278" s="9"/>
      <c r="V278" s="9"/>
      <c r="W278" s="9"/>
      <c r="X278" s="9"/>
      <c r="Y278" s="204"/>
      <c r="Z278" s="9"/>
      <c r="AA278" s="9"/>
      <c r="AB278" s="9"/>
      <c r="AC278" s="9"/>
    </row>
    <row r="279" ht="15.75" customHeight="1">
      <c r="A279" s="223"/>
      <c r="B279" s="223"/>
      <c r="C279" s="223"/>
      <c r="D279" s="9"/>
      <c r="E279" s="223"/>
      <c r="F279" s="971"/>
      <c r="G279" s="9"/>
      <c r="H279" s="9"/>
      <c r="I279" s="9"/>
      <c r="J279" s="9"/>
      <c r="K279" s="9"/>
      <c r="L279" s="223"/>
      <c r="M279" s="223"/>
      <c r="N279" s="9"/>
      <c r="O279" s="9"/>
      <c r="P279" s="9"/>
      <c r="Q279" s="223"/>
      <c r="R279" s="9"/>
      <c r="S279" s="223"/>
      <c r="T279" s="9"/>
      <c r="U279" s="9"/>
      <c r="V279" s="9"/>
      <c r="W279" s="9"/>
      <c r="X279" s="9"/>
      <c r="Y279" s="204"/>
      <c r="Z279" s="9"/>
      <c r="AA279" s="9"/>
      <c r="AB279" s="9"/>
      <c r="AC279" s="9"/>
    </row>
    <row r="280" ht="15.75" customHeight="1">
      <c r="A280" s="223"/>
      <c r="B280" s="223"/>
      <c r="C280" s="223"/>
      <c r="D280" s="9"/>
      <c r="E280" s="223"/>
      <c r="F280" s="971"/>
      <c r="G280" s="9"/>
      <c r="H280" s="9"/>
      <c r="I280" s="9"/>
      <c r="J280" s="9"/>
      <c r="K280" s="9"/>
      <c r="L280" s="223"/>
      <c r="M280" s="223"/>
      <c r="N280" s="9"/>
      <c r="O280" s="9"/>
      <c r="P280" s="9"/>
      <c r="Q280" s="223"/>
      <c r="R280" s="9"/>
      <c r="S280" s="223"/>
      <c r="T280" s="9"/>
      <c r="U280" s="9"/>
      <c r="V280" s="9"/>
      <c r="W280" s="9"/>
      <c r="X280" s="9"/>
      <c r="Y280" s="204"/>
      <c r="Z280" s="9"/>
      <c r="AA280" s="9"/>
      <c r="AB280" s="9"/>
      <c r="AC280" s="9"/>
    </row>
    <row r="281" ht="15.75" customHeight="1">
      <c r="A281" s="223"/>
      <c r="B281" s="223"/>
      <c r="C281" s="223"/>
      <c r="D281" s="9"/>
      <c r="E281" s="223"/>
      <c r="F281" s="971"/>
      <c r="G281" s="9"/>
      <c r="H281" s="9"/>
      <c r="I281" s="9"/>
      <c r="J281" s="9"/>
      <c r="K281" s="9"/>
      <c r="L281" s="223"/>
      <c r="M281" s="223"/>
      <c r="N281" s="9"/>
      <c r="O281" s="9"/>
      <c r="P281" s="9"/>
      <c r="Q281" s="223"/>
      <c r="R281" s="9"/>
      <c r="S281" s="223"/>
      <c r="T281" s="9"/>
      <c r="U281" s="9"/>
      <c r="V281" s="9"/>
      <c r="W281" s="9"/>
      <c r="X281" s="9"/>
      <c r="Y281" s="204"/>
      <c r="Z281" s="9"/>
      <c r="AA281" s="9"/>
      <c r="AB281" s="9"/>
      <c r="AC281" s="9"/>
    </row>
    <row r="282" ht="15.75" customHeight="1">
      <c r="A282" s="223"/>
      <c r="B282" s="223"/>
      <c r="C282" s="223"/>
      <c r="D282" s="9"/>
      <c r="E282" s="223"/>
      <c r="F282" s="971"/>
      <c r="G282" s="9"/>
      <c r="H282" s="9"/>
      <c r="I282" s="9"/>
      <c r="J282" s="9"/>
      <c r="K282" s="9"/>
      <c r="L282" s="223"/>
      <c r="M282" s="223"/>
      <c r="N282" s="9"/>
      <c r="O282" s="9"/>
      <c r="P282" s="9"/>
      <c r="Q282" s="223"/>
      <c r="R282" s="9"/>
      <c r="S282" s="223"/>
      <c r="T282" s="9"/>
      <c r="U282" s="9"/>
      <c r="V282" s="9"/>
      <c r="W282" s="9"/>
      <c r="X282" s="9"/>
      <c r="Y282" s="204"/>
      <c r="Z282" s="9"/>
      <c r="AA282" s="9"/>
      <c r="AB282" s="9"/>
      <c r="AC282" s="9"/>
    </row>
    <row r="283" ht="15.75" customHeight="1">
      <c r="A283" s="223"/>
      <c r="B283" s="223"/>
      <c r="C283" s="223"/>
      <c r="D283" s="9"/>
      <c r="E283" s="223"/>
      <c r="F283" s="971"/>
      <c r="G283" s="9"/>
      <c r="H283" s="9"/>
      <c r="I283" s="9"/>
      <c r="J283" s="9"/>
      <c r="K283" s="9"/>
      <c r="L283" s="223"/>
      <c r="M283" s="223"/>
      <c r="N283" s="9"/>
      <c r="O283" s="9"/>
      <c r="P283" s="9"/>
      <c r="Q283" s="223"/>
      <c r="R283" s="9"/>
      <c r="S283" s="223"/>
      <c r="T283" s="9"/>
      <c r="U283" s="9"/>
      <c r="V283" s="9"/>
      <c r="W283" s="9"/>
      <c r="X283" s="9"/>
      <c r="Y283" s="204"/>
      <c r="Z283" s="9"/>
      <c r="AA283" s="9"/>
      <c r="AB283" s="9"/>
      <c r="AC283" s="9"/>
    </row>
    <row r="284" ht="15.75" customHeight="1">
      <c r="A284" s="223"/>
      <c r="B284" s="223"/>
      <c r="C284" s="223"/>
      <c r="D284" s="9"/>
      <c r="E284" s="223"/>
      <c r="F284" s="971"/>
      <c r="G284" s="9"/>
      <c r="H284" s="9"/>
      <c r="I284" s="9"/>
      <c r="J284" s="9"/>
      <c r="K284" s="9"/>
      <c r="L284" s="223"/>
      <c r="M284" s="223"/>
      <c r="N284" s="9"/>
      <c r="O284" s="9"/>
      <c r="P284" s="9"/>
      <c r="Q284" s="223"/>
      <c r="R284" s="9"/>
      <c r="S284" s="223"/>
      <c r="T284" s="9"/>
      <c r="U284" s="9"/>
      <c r="V284" s="9"/>
      <c r="W284" s="9"/>
      <c r="X284" s="9"/>
      <c r="Y284" s="204"/>
      <c r="Z284" s="9"/>
      <c r="AA284" s="9"/>
      <c r="AB284" s="9"/>
      <c r="AC284" s="9"/>
    </row>
    <row r="285" ht="15.75" customHeight="1">
      <c r="A285" s="223"/>
      <c r="B285" s="223"/>
      <c r="C285" s="223"/>
      <c r="D285" s="9"/>
      <c r="E285" s="223"/>
      <c r="F285" s="971"/>
      <c r="G285" s="9"/>
      <c r="H285" s="9"/>
      <c r="I285" s="9"/>
      <c r="J285" s="9"/>
      <c r="K285" s="9"/>
      <c r="L285" s="223"/>
      <c r="M285" s="223"/>
      <c r="N285" s="9"/>
      <c r="O285" s="9"/>
      <c r="P285" s="9"/>
      <c r="Q285" s="223"/>
      <c r="R285" s="9"/>
      <c r="S285" s="223"/>
      <c r="T285" s="9"/>
      <c r="U285" s="9"/>
      <c r="V285" s="9"/>
      <c r="W285" s="9"/>
      <c r="X285" s="9"/>
      <c r="Y285" s="204"/>
      <c r="Z285" s="9"/>
      <c r="AA285" s="9"/>
      <c r="AB285" s="9"/>
      <c r="AC285" s="9"/>
    </row>
    <row r="286" ht="15.75" customHeight="1">
      <c r="A286" s="223"/>
      <c r="B286" s="223"/>
      <c r="C286" s="223"/>
      <c r="D286" s="9"/>
      <c r="E286" s="223"/>
      <c r="F286" s="971"/>
      <c r="G286" s="9"/>
      <c r="H286" s="9"/>
      <c r="I286" s="9"/>
      <c r="J286" s="9"/>
      <c r="K286" s="9"/>
      <c r="L286" s="223"/>
      <c r="M286" s="223"/>
      <c r="N286" s="9"/>
      <c r="O286" s="9"/>
      <c r="P286" s="9"/>
      <c r="Q286" s="223"/>
      <c r="R286" s="9"/>
      <c r="S286" s="223"/>
      <c r="T286" s="9"/>
      <c r="U286" s="9"/>
      <c r="V286" s="9"/>
      <c r="W286" s="9"/>
      <c r="X286" s="9"/>
      <c r="Y286" s="204"/>
      <c r="Z286" s="9"/>
      <c r="AA286" s="9"/>
      <c r="AB286" s="9"/>
      <c r="AC286" s="9"/>
    </row>
    <row r="287" ht="15.75" customHeight="1">
      <c r="A287" s="223"/>
      <c r="B287" s="223"/>
      <c r="C287" s="223"/>
      <c r="D287" s="9"/>
      <c r="E287" s="223"/>
      <c r="F287" s="971"/>
      <c r="G287" s="9"/>
      <c r="H287" s="9"/>
      <c r="I287" s="9"/>
      <c r="J287" s="9"/>
      <c r="K287" s="9"/>
      <c r="L287" s="223"/>
      <c r="M287" s="223"/>
      <c r="N287" s="9"/>
      <c r="O287" s="9"/>
      <c r="P287" s="9"/>
      <c r="Q287" s="223"/>
      <c r="R287" s="9"/>
      <c r="S287" s="223"/>
      <c r="T287" s="9"/>
      <c r="U287" s="9"/>
      <c r="V287" s="9"/>
      <c r="W287" s="9"/>
      <c r="X287" s="9"/>
      <c r="Y287" s="204"/>
      <c r="Z287" s="9"/>
      <c r="AA287" s="9"/>
      <c r="AB287" s="9"/>
      <c r="AC287" s="9"/>
    </row>
    <row r="288" ht="15.75" customHeight="1">
      <c r="A288" s="223"/>
      <c r="B288" s="223"/>
      <c r="C288" s="223"/>
      <c r="D288" s="9"/>
      <c r="E288" s="223"/>
      <c r="F288" s="971"/>
      <c r="G288" s="9"/>
      <c r="H288" s="9"/>
      <c r="I288" s="9"/>
      <c r="J288" s="9"/>
      <c r="K288" s="9"/>
      <c r="L288" s="223"/>
      <c r="M288" s="223"/>
      <c r="N288" s="9"/>
      <c r="O288" s="9"/>
      <c r="P288" s="9"/>
      <c r="Q288" s="223"/>
      <c r="R288" s="9"/>
      <c r="S288" s="223"/>
      <c r="T288" s="9"/>
      <c r="U288" s="9"/>
      <c r="V288" s="9"/>
      <c r="W288" s="9"/>
      <c r="X288" s="9"/>
      <c r="Y288" s="204"/>
      <c r="Z288" s="9"/>
      <c r="AA288" s="9"/>
      <c r="AB288" s="9"/>
      <c r="AC288" s="9"/>
    </row>
    <row r="289" ht="15.75" customHeight="1">
      <c r="A289" s="223"/>
      <c r="B289" s="223"/>
      <c r="C289" s="223"/>
      <c r="D289" s="9"/>
      <c r="E289" s="223"/>
      <c r="F289" s="971"/>
      <c r="G289" s="9"/>
      <c r="H289" s="9"/>
      <c r="I289" s="9"/>
      <c r="J289" s="9"/>
      <c r="K289" s="9"/>
      <c r="L289" s="223"/>
      <c r="M289" s="223"/>
      <c r="N289" s="9"/>
      <c r="O289" s="9"/>
      <c r="P289" s="9"/>
      <c r="Q289" s="223"/>
      <c r="R289" s="9"/>
      <c r="S289" s="223"/>
      <c r="T289" s="9"/>
      <c r="U289" s="9"/>
      <c r="V289" s="9"/>
      <c r="W289" s="9"/>
      <c r="X289" s="9"/>
      <c r="Y289" s="204"/>
      <c r="Z289" s="9"/>
      <c r="AA289" s="9"/>
      <c r="AB289" s="9"/>
      <c r="AC289" s="9"/>
    </row>
    <row r="290" ht="15.75" customHeight="1">
      <c r="A290" s="223"/>
      <c r="B290" s="223"/>
      <c r="C290" s="223"/>
      <c r="D290" s="9"/>
      <c r="E290" s="223"/>
      <c r="F290" s="971"/>
      <c r="G290" s="9"/>
      <c r="H290" s="9"/>
      <c r="I290" s="9"/>
      <c r="J290" s="9"/>
      <c r="K290" s="9"/>
      <c r="L290" s="223"/>
      <c r="M290" s="223"/>
      <c r="N290" s="9"/>
      <c r="O290" s="9"/>
      <c r="P290" s="9"/>
      <c r="Q290" s="223"/>
      <c r="R290" s="9"/>
      <c r="S290" s="223"/>
      <c r="T290" s="9"/>
      <c r="U290" s="9"/>
      <c r="V290" s="9"/>
      <c r="W290" s="9"/>
      <c r="X290" s="9"/>
      <c r="Y290" s="204"/>
      <c r="Z290" s="9"/>
      <c r="AA290" s="9"/>
      <c r="AB290" s="9"/>
      <c r="AC290" s="9"/>
    </row>
    <row r="291" ht="15.75" customHeight="1">
      <c r="A291" s="223"/>
      <c r="B291" s="223"/>
      <c r="C291" s="223"/>
      <c r="D291" s="9"/>
      <c r="E291" s="223"/>
      <c r="F291" s="971"/>
      <c r="G291" s="9"/>
      <c r="H291" s="9"/>
      <c r="I291" s="9"/>
      <c r="J291" s="9"/>
      <c r="K291" s="9"/>
      <c r="L291" s="223"/>
      <c r="M291" s="223"/>
      <c r="N291" s="9"/>
      <c r="O291" s="9"/>
      <c r="P291" s="9"/>
      <c r="Q291" s="223"/>
      <c r="R291" s="9"/>
      <c r="S291" s="223"/>
      <c r="T291" s="9"/>
      <c r="U291" s="9"/>
      <c r="V291" s="9"/>
      <c r="W291" s="9"/>
      <c r="X291" s="9"/>
      <c r="Y291" s="204"/>
      <c r="Z291" s="9"/>
      <c r="AA291" s="9"/>
      <c r="AB291" s="9"/>
      <c r="AC291" s="9"/>
    </row>
    <row r="292" ht="15.75" customHeight="1">
      <c r="A292" s="223"/>
      <c r="B292" s="223"/>
      <c r="C292" s="223"/>
      <c r="D292" s="9"/>
      <c r="E292" s="223"/>
      <c r="F292" s="971"/>
      <c r="G292" s="9"/>
      <c r="H292" s="9"/>
      <c r="I292" s="9"/>
      <c r="J292" s="9"/>
      <c r="K292" s="9"/>
      <c r="L292" s="223"/>
      <c r="M292" s="223"/>
      <c r="N292" s="9"/>
      <c r="O292" s="9"/>
      <c r="P292" s="9"/>
      <c r="Q292" s="223"/>
      <c r="R292" s="9"/>
      <c r="S292" s="223"/>
      <c r="T292" s="9"/>
      <c r="U292" s="9"/>
      <c r="V292" s="9"/>
      <c r="W292" s="9"/>
      <c r="X292" s="9"/>
      <c r="Y292" s="204"/>
      <c r="Z292" s="9"/>
      <c r="AA292" s="9"/>
      <c r="AB292" s="9"/>
      <c r="AC292" s="9"/>
    </row>
    <row r="293" ht="15.75" customHeight="1">
      <c r="A293" s="223"/>
      <c r="B293" s="223"/>
      <c r="C293" s="223"/>
      <c r="D293" s="9"/>
      <c r="E293" s="223"/>
      <c r="F293" s="971"/>
      <c r="G293" s="9"/>
      <c r="H293" s="9"/>
      <c r="I293" s="9"/>
      <c r="J293" s="9"/>
      <c r="K293" s="9"/>
      <c r="L293" s="223"/>
      <c r="M293" s="223"/>
      <c r="N293" s="9"/>
      <c r="O293" s="9"/>
      <c r="P293" s="9"/>
      <c r="Q293" s="223"/>
      <c r="R293" s="9"/>
      <c r="S293" s="223"/>
      <c r="T293" s="9"/>
      <c r="U293" s="9"/>
      <c r="V293" s="9"/>
      <c r="W293" s="9"/>
      <c r="X293" s="9"/>
      <c r="Y293" s="204"/>
      <c r="Z293" s="9"/>
      <c r="AA293" s="9"/>
      <c r="AB293" s="9"/>
      <c r="AC293" s="9"/>
    </row>
    <row r="294" ht="15.75" customHeight="1">
      <c r="A294" s="223"/>
      <c r="B294" s="223"/>
      <c r="C294" s="223"/>
      <c r="D294" s="9"/>
      <c r="E294" s="223"/>
      <c r="F294" s="971"/>
      <c r="G294" s="9"/>
      <c r="H294" s="9"/>
      <c r="I294" s="9"/>
      <c r="J294" s="9"/>
      <c r="K294" s="9"/>
      <c r="L294" s="223"/>
      <c r="M294" s="223"/>
      <c r="N294" s="9"/>
      <c r="O294" s="9"/>
      <c r="P294" s="9"/>
      <c r="Q294" s="223"/>
      <c r="R294" s="9"/>
      <c r="S294" s="223"/>
      <c r="T294" s="9"/>
      <c r="U294" s="9"/>
      <c r="V294" s="9"/>
      <c r="W294" s="9"/>
      <c r="X294" s="9"/>
      <c r="Y294" s="204"/>
      <c r="Z294" s="9"/>
      <c r="AA294" s="9"/>
      <c r="AB294" s="9"/>
      <c r="AC294" s="9"/>
    </row>
    <row r="295" ht="15.75" customHeight="1">
      <c r="A295" s="223"/>
      <c r="B295" s="223"/>
      <c r="C295" s="223"/>
      <c r="D295" s="9"/>
      <c r="E295" s="223"/>
      <c r="F295" s="971"/>
      <c r="G295" s="9"/>
      <c r="H295" s="9"/>
      <c r="I295" s="9"/>
      <c r="J295" s="9"/>
      <c r="K295" s="9"/>
      <c r="L295" s="223"/>
      <c r="M295" s="223"/>
      <c r="N295" s="9"/>
      <c r="O295" s="9"/>
      <c r="P295" s="9"/>
      <c r="Q295" s="223"/>
      <c r="R295" s="9"/>
      <c r="S295" s="223"/>
      <c r="T295" s="9"/>
      <c r="U295" s="9"/>
      <c r="V295" s="9"/>
      <c r="W295" s="9"/>
      <c r="X295" s="9"/>
      <c r="Y295" s="204"/>
      <c r="Z295" s="9"/>
      <c r="AA295" s="9"/>
      <c r="AB295" s="9"/>
      <c r="AC295" s="9"/>
    </row>
    <row r="296" ht="15.75" customHeight="1">
      <c r="A296" s="223"/>
      <c r="B296" s="223"/>
      <c r="C296" s="223"/>
      <c r="D296" s="9"/>
      <c r="E296" s="223"/>
      <c r="F296" s="971"/>
      <c r="G296" s="9"/>
      <c r="H296" s="9"/>
      <c r="I296" s="9"/>
      <c r="J296" s="9"/>
      <c r="K296" s="9"/>
      <c r="L296" s="223"/>
      <c r="M296" s="223"/>
      <c r="N296" s="9"/>
      <c r="O296" s="9"/>
      <c r="P296" s="9"/>
      <c r="Q296" s="223"/>
      <c r="R296" s="9"/>
      <c r="S296" s="223"/>
      <c r="T296" s="9"/>
      <c r="U296" s="9"/>
      <c r="V296" s="9"/>
      <c r="W296" s="9"/>
      <c r="X296" s="9"/>
      <c r="Y296" s="204"/>
      <c r="Z296" s="9"/>
      <c r="AA296" s="9"/>
      <c r="AB296" s="9"/>
      <c r="AC296" s="9"/>
    </row>
    <row r="297" ht="15.75" customHeight="1">
      <c r="A297" s="223"/>
      <c r="B297" s="223"/>
      <c r="C297" s="223"/>
      <c r="D297" s="9"/>
      <c r="E297" s="223"/>
      <c r="F297" s="971"/>
      <c r="G297" s="9"/>
      <c r="H297" s="9"/>
      <c r="I297" s="9"/>
      <c r="J297" s="9"/>
      <c r="K297" s="9"/>
      <c r="L297" s="223"/>
      <c r="M297" s="223"/>
      <c r="N297" s="9"/>
      <c r="O297" s="9"/>
      <c r="P297" s="9"/>
      <c r="Q297" s="223"/>
      <c r="R297" s="9"/>
      <c r="S297" s="223"/>
      <c r="T297" s="9"/>
      <c r="U297" s="9"/>
      <c r="V297" s="9"/>
      <c r="W297" s="9"/>
      <c r="X297" s="9"/>
      <c r="Y297" s="204"/>
      <c r="Z297" s="9"/>
      <c r="AA297" s="9"/>
      <c r="AB297" s="9"/>
      <c r="AC297" s="9"/>
    </row>
    <row r="298" ht="15.75" customHeight="1">
      <c r="A298" s="223"/>
      <c r="B298" s="223"/>
      <c r="C298" s="223"/>
      <c r="D298" s="9"/>
      <c r="E298" s="223"/>
      <c r="F298" s="971"/>
      <c r="G298" s="9"/>
      <c r="H298" s="9"/>
      <c r="I298" s="9"/>
      <c r="J298" s="9"/>
      <c r="K298" s="9"/>
      <c r="L298" s="223"/>
      <c r="M298" s="223"/>
      <c r="N298" s="9"/>
      <c r="O298" s="9"/>
      <c r="P298" s="9"/>
      <c r="Q298" s="223"/>
      <c r="R298" s="9"/>
      <c r="S298" s="223"/>
      <c r="T298" s="9"/>
      <c r="U298" s="9"/>
      <c r="V298" s="9"/>
      <c r="W298" s="9"/>
      <c r="X298" s="9"/>
      <c r="Y298" s="204"/>
      <c r="Z298" s="9"/>
      <c r="AA298" s="9"/>
      <c r="AB298" s="9"/>
      <c r="AC298" s="9"/>
    </row>
    <row r="299" ht="15.75" customHeight="1">
      <c r="A299" s="223"/>
      <c r="B299" s="223"/>
      <c r="C299" s="223"/>
      <c r="D299" s="9"/>
      <c r="E299" s="223"/>
      <c r="F299" s="971"/>
      <c r="G299" s="9"/>
      <c r="H299" s="9"/>
      <c r="I299" s="9"/>
      <c r="J299" s="9"/>
      <c r="K299" s="9"/>
      <c r="L299" s="223"/>
      <c r="M299" s="223"/>
      <c r="N299" s="9"/>
      <c r="O299" s="9"/>
      <c r="P299" s="9"/>
      <c r="Q299" s="223"/>
      <c r="R299" s="9"/>
      <c r="S299" s="223"/>
      <c r="T299" s="9"/>
      <c r="U299" s="9"/>
      <c r="V299" s="9"/>
      <c r="W299" s="9"/>
      <c r="X299" s="9"/>
      <c r="Y299" s="204"/>
      <c r="Z299" s="9"/>
      <c r="AA299" s="9"/>
      <c r="AB299" s="9"/>
      <c r="AC299" s="9"/>
    </row>
    <row r="300" ht="15.75" customHeight="1">
      <c r="A300" s="223"/>
      <c r="B300" s="223"/>
      <c r="C300" s="223"/>
      <c r="D300" s="9"/>
      <c r="E300" s="223"/>
      <c r="F300" s="971"/>
      <c r="G300" s="9"/>
      <c r="H300" s="9"/>
      <c r="I300" s="9"/>
      <c r="J300" s="9"/>
      <c r="K300" s="9"/>
      <c r="L300" s="223"/>
      <c r="M300" s="223"/>
      <c r="N300" s="9"/>
      <c r="O300" s="9"/>
      <c r="P300" s="9"/>
      <c r="Q300" s="223"/>
      <c r="R300" s="9"/>
      <c r="S300" s="223"/>
      <c r="T300" s="9"/>
      <c r="U300" s="9"/>
      <c r="V300" s="9"/>
      <c r="W300" s="9"/>
      <c r="X300" s="9"/>
      <c r="Y300" s="204"/>
      <c r="Z300" s="9"/>
      <c r="AA300" s="9"/>
      <c r="AB300" s="9"/>
      <c r="AC300" s="9"/>
    </row>
    <row r="301" ht="15.75" customHeight="1">
      <c r="A301" s="223"/>
      <c r="B301" s="223"/>
      <c r="C301" s="223"/>
      <c r="D301" s="9"/>
      <c r="E301" s="223"/>
      <c r="F301" s="971"/>
      <c r="G301" s="9"/>
      <c r="H301" s="9"/>
      <c r="I301" s="9"/>
      <c r="J301" s="9"/>
      <c r="K301" s="9"/>
      <c r="L301" s="223"/>
      <c r="M301" s="223"/>
      <c r="N301" s="9"/>
      <c r="O301" s="9"/>
      <c r="P301" s="9"/>
      <c r="Q301" s="223"/>
      <c r="R301" s="9"/>
      <c r="S301" s="223"/>
      <c r="T301" s="9"/>
      <c r="U301" s="9"/>
      <c r="V301" s="9"/>
      <c r="W301" s="9"/>
      <c r="X301" s="9"/>
      <c r="Y301" s="204"/>
      <c r="Z301" s="9"/>
      <c r="AA301" s="9"/>
      <c r="AB301" s="9"/>
      <c r="AC301" s="9"/>
    </row>
    <row r="302" ht="15.75" customHeight="1">
      <c r="A302" s="223"/>
      <c r="B302" s="223"/>
      <c r="C302" s="223"/>
      <c r="D302" s="9"/>
      <c r="E302" s="223"/>
      <c r="F302" s="971"/>
      <c r="G302" s="9"/>
      <c r="H302" s="9"/>
      <c r="I302" s="9"/>
      <c r="J302" s="9"/>
      <c r="K302" s="9"/>
      <c r="L302" s="223"/>
      <c r="M302" s="223"/>
      <c r="N302" s="9"/>
      <c r="O302" s="9"/>
      <c r="P302" s="9"/>
      <c r="Q302" s="223"/>
      <c r="R302" s="9"/>
      <c r="S302" s="223"/>
      <c r="T302" s="9"/>
      <c r="U302" s="9"/>
      <c r="V302" s="9"/>
      <c r="W302" s="9"/>
      <c r="X302" s="9"/>
      <c r="Y302" s="204"/>
      <c r="Z302" s="9"/>
      <c r="AA302" s="9"/>
      <c r="AB302" s="9"/>
      <c r="AC302" s="9"/>
    </row>
    <row r="303" ht="15.75" customHeight="1">
      <c r="A303" s="223"/>
      <c r="B303" s="223"/>
      <c r="C303" s="223"/>
      <c r="D303" s="9"/>
      <c r="E303" s="223"/>
      <c r="F303" s="971"/>
      <c r="G303" s="9"/>
      <c r="H303" s="9"/>
      <c r="I303" s="9"/>
      <c r="J303" s="9"/>
      <c r="K303" s="9"/>
      <c r="L303" s="223"/>
      <c r="M303" s="223"/>
      <c r="N303" s="9"/>
      <c r="O303" s="9"/>
      <c r="P303" s="9"/>
      <c r="Q303" s="223"/>
      <c r="R303" s="9"/>
      <c r="S303" s="223"/>
      <c r="T303" s="9"/>
      <c r="U303" s="9"/>
      <c r="V303" s="9"/>
      <c r="W303" s="9"/>
      <c r="X303" s="9"/>
      <c r="Y303" s="204"/>
      <c r="Z303" s="9"/>
      <c r="AA303" s="9"/>
      <c r="AB303" s="9"/>
      <c r="AC303" s="9"/>
    </row>
    <row r="304" ht="15.75" customHeight="1">
      <c r="A304" s="223"/>
      <c r="B304" s="223"/>
      <c r="C304" s="223"/>
      <c r="D304" s="9"/>
      <c r="E304" s="223"/>
      <c r="F304" s="971"/>
      <c r="G304" s="9"/>
      <c r="H304" s="9"/>
      <c r="I304" s="9"/>
      <c r="J304" s="9"/>
      <c r="K304" s="9"/>
      <c r="L304" s="223"/>
      <c r="M304" s="223"/>
      <c r="N304" s="9"/>
      <c r="O304" s="9"/>
      <c r="P304" s="9"/>
      <c r="Q304" s="223"/>
      <c r="R304" s="9"/>
      <c r="S304" s="223"/>
      <c r="T304" s="9"/>
      <c r="U304" s="9"/>
      <c r="V304" s="9"/>
      <c r="W304" s="9"/>
      <c r="X304" s="9"/>
      <c r="Y304" s="204"/>
      <c r="Z304" s="9"/>
      <c r="AA304" s="9"/>
      <c r="AB304" s="9"/>
      <c r="AC304" s="9"/>
    </row>
    <row r="305" ht="15.75" customHeight="1">
      <c r="A305" s="223"/>
      <c r="B305" s="223"/>
      <c r="C305" s="223"/>
      <c r="D305" s="9"/>
      <c r="E305" s="223"/>
      <c r="F305" s="971"/>
      <c r="G305" s="9"/>
      <c r="H305" s="9"/>
      <c r="I305" s="9"/>
      <c r="J305" s="9"/>
      <c r="K305" s="9"/>
      <c r="L305" s="223"/>
      <c r="M305" s="223"/>
      <c r="N305" s="9"/>
      <c r="O305" s="9"/>
      <c r="P305" s="9"/>
      <c r="Q305" s="223"/>
      <c r="R305" s="9"/>
      <c r="S305" s="223"/>
      <c r="T305" s="9"/>
      <c r="U305" s="9"/>
      <c r="V305" s="9"/>
      <c r="W305" s="9"/>
      <c r="X305" s="9"/>
      <c r="Y305" s="204"/>
      <c r="Z305" s="9"/>
      <c r="AA305" s="9"/>
      <c r="AB305" s="9"/>
      <c r="AC305" s="9"/>
    </row>
    <row r="306" ht="15.75" customHeight="1">
      <c r="A306" s="223"/>
      <c r="B306" s="223"/>
      <c r="C306" s="223"/>
      <c r="D306" s="9"/>
      <c r="E306" s="223"/>
      <c r="F306" s="971"/>
      <c r="G306" s="9"/>
      <c r="H306" s="9"/>
      <c r="I306" s="9"/>
      <c r="J306" s="9"/>
      <c r="K306" s="9"/>
      <c r="L306" s="223"/>
      <c r="M306" s="223"/>
      <c r="N306" s="9"/>
      <c r="O306" s="9"/>
      <c r="P306" s="9"/>
      <c r="Q306" s="223"/>
      <c r="R306" s="9"/>
      <c r="S306" s="223"/>
      <c r="T306" s="9"/>
      <c r="U306" s="9"/>
      <c r="V306" s="9"/>
      <c r="W306" s="9"/>
      <c r="X306" s="9"/>
      <c r="Y306" s="204"/>
      <c r="Z306" s="9"/>
      <c r="AA306" s="9"/>
      <c r="AB306" s="9"/>
      <c r="AC306" s="9"/>
    </row>
    <row r="307" ht="15.75" customHeight="1">
      <c r="A307" s="223"/>
      <c r="B307" s="223"/>
      <c r="C307" s="223"/>
      <c r="D307" s="9"/>
      <c r="E307" s="223"/>
      <c r="F307" s="971"/>
      <c r="G307" s="9"/>
      <c r="H307" s="9"/>
      <c r="I307" s="9"/>
      <c r="J307" s="9"/>
      <c r="K307" s="9"/>
      <c r="L307" s="223"/>
      <c r="M307" s="223"/>
      <c r="N307" s="9"/>
      <c r="O307" s="9"/>
      <c r="P307" s="9"/>
      <c r="Q307" s="223"/>
      <c r="R307" s="9"/>
      <c r="S307" s="223"/>
      <c r="T307" s="9"/>
      <c r="U307" s="9"/>
      <c r="V307" s="9"/>
      <c r="W307" s="9"/>
      <c r="X307" s="9"/>
      <c r="Y307" s="204"/>
      <c r="Z307" s="9"/>
      <c r="AA307" s="9"/>
      <c r="AB307" s="9"/>
      <c r="AC307" s="9"/>
    </row>
    <row r="308" ht="15.75" customHeight="1">
      <c r="A308" s="223"/>
      <c r="B308" s="223"/>
      <c r="C308" s="223"/>
      <c r="D308" s="9"/>
      <c r="E308" s="223"/>
      <c r="F308" s="971"/>
      <c r="G308" s="9"/>
      <c r="H308" s="9"/>
      <c r="I308" s="9"/>
      <c r="J308" s="9"/>
      <c r="K308" s="9"/>
      <c r="L308" s="223"/>
      <c r="M308" s="223"/>
      <c r="N308" s="9"/>
      <c r="O308" s="9"/>
      <c r="P308" s="9"/>
      <c r="Q308" s="223"/>
      <c r="R308" s="9"/>
      <c r="S308" s="223"/>
      <c r="T308" s="9"/>
      <c r="U308" s="9"/>
      <c r="V308" s="9"/>
      <c r="W308" s="9"/>
      <c r="X308" s="9"/>
      <c r="Y308" s="204"/>
      <c r="Z308" s="9"/>
      <c r="AA308" s="9"/>
      <c r="AB308" s="9"/>
      <c r="AC308" s="9"/>
    </row>
    <row r="309" ht="15.75" customHeight="1">
      <c r="A309" s="223"/>
      <c r="B309" s="223"/>
      <c r="C309" s="223"/>
      <c r="D309" s="9"/>
      <c r="E309" s="223"/>
      <c r="F309" s="971"/>
      <c r="G309" s="9"/>
      <c r="H309" s="9"/>
      <c r="I309" s="9"/>
      <c r="J309" s="9"/>
      <c r="K309" s="9"/>
      <c r="L309" s="223"/>
      <c r="M309" s="223"/>
      <c r="N309" s="9"/>
      <c r="O309" s="9"/>
      <c r="P309" s="9"/>
      <c r="Q309" s="223"/>
      <c r="R309" s="9"/>
      <c r="S309" s="223"/>
      <c r="T309" s="9"/>
      <c r="U309" s="9"/>
      <c r="V309" s="9"/>
      <c r="W309" s="9"/>
      <c r="X309" s="9"/>
      <c r="Y309" s="204"/>
      <c r="Z309" s="9"/>
      <c r="AA309" s="9"/>
      <c r="AB309" s="9"/>
      <c r="AC309" s="9"/>
    </row>
    <row r="310" ht="15.75" customHeight="1">
      <c r="A310" s="223"/>
      <c r="B310" s="223"/>
      <c r="C310" s="223"/>
      <c r="D310" s="9"/>
      <c r="E310" s="223"/>
      <c r="F310" s="971"/>
      <c r="G310" s="9"/>
      <c r="H310" s="9"/>
      <c r="I310" s="9"/>
      <c r="J310" s="9"/>
      <c r="K310" s="9"/>
      <c r="L310" s="223"/>
      <c r="M310" s="223"/>
      <c r="N310" s="9"/>
      <c r="O310" s="9"/>
      <c r="P310" s="9"/>
      <c r="Q310" s="223"/>
      <c r="R310" s="9"/>
      <c r="S310" s="223"/>
      <c r="T310" s="9"/>
      <c r="U310" s="9"/>
      <c r="V310" s="9"/>
      <c r="W310" s="9"/>
      <c r="X310" s="9"/>
      <c r="Y310" s="204"/>
      <c r="Z310" s="9"/>
      <c r="AA310" s="9"/>
      <c r="AB310" s="9"/>
      <c r="AC310" s="9"/>
    </row>
    <row r="311" ht="15.75" customHeight="1">
      <c r="A311" s="223"/>
      <c r="B311" s="223"/>
      <c r="C311" s="223"/>
      <c r="D311" s="9"/>
      <c r="E311" s="223"/>
      <c r="F311" s="971"/>
      <c r="G311" s="9"/>
      <c r="H311" s="9"/>
      <c r="I311" s="9"/>
      <c r="J311" s="9"/>
      <c r="K311" s="9"/>
      <c r="L311" s="223"/>
      <c r="M311" s="223"/>
      <c r="N311" s="9"/>
      <c r="O311" s="9"/>
      <c r="P311" s="9"/>
      <c r="Q311" s="223"/>
      <c r="R311" s="9"/>
      <c r="S311" s="223"/>
      <c r="T311" s="9"/>
      <c r="U311" s="9"/>
      <c r="V311" s="9"/>
      <c r="W311" s="9"/>
      <c r="X311" s="9"/>
      <c r="Y311" s="204"/>
      <c r="Z311" s="9"/>
      <c r="AA311" s="9"/>
      <c r="AB311" s="9"/>
      <c r="AC311" s="9"/>
    </row>
    <row r="312" ht="15.75" customHeight="1">
      <c r="A312" s="223"/>
      <c r="B312" s="223"/>
      <c r="C312" s="223"/>
      <c r="D312" s="9"/>
      <c r="E312" s="223"/>
      <c r="F312" s="971"/>
      <c r="G312" s="9"/>
      <c r="H312" s="9"/>
      <c r="I312" s="9"/>
      <c r="J312" s="9"/>
      <c r="K312" s="9"/>
      <c r="L312" s="223"/>
      <c r="M312" s="223"/>
      <c r="N312" s="9"/>
      <c r="O312" s="9"/>
      <c r="P312" s="9"/>
      <c r="Q312" s="223"/>
      <c r="R312" s="9"/>
      <c r="S312" s="223"/>
      <c r="T312" s="9"/>
      <c r="U312" s="9"/>
      <c r="V312" s="9"/>
      <c r="W312" s="9"/>
      <c r="X312" s="9"/>
      <c r="Y312" s="204"/>
      <c r="Z312" s="9"/>
      <c r="AA312" s="9"/>
      <c r="AB312" s="9"/>
      <c r="AC312" s="9"/>
    </row>
    <row r="313" ht="15.75" customHeight="1">
      <c r="A313" s="223"/>
      <c r="B313" s="223"/>
      <c r="C313" s="223"/>
      <c r="D313" s="9"/>
      <c r="E313" s="223"/>
      <c r="F313" s="971"/>
      <c r="G313" s="9"/>
      <c r="H313" s="9"/>
      <c r="I313" s="9"/>
      <c r="J313" s="9"/>
      <c r="K313" s="9"/>
      <c r="L313" s="223"/>
      <c r="M313" s="223"/>
      <c r="N313" s="9"/>
      <c r="O313" s="9"/>
      <c r="P313" s="9"/>
      <c r="Q313" s="223"/>
      <c r="R313" s="9"/>
      <c r="S313" s="223"/>
      <c r="T313" s="9"/>
      <c r="U313" s="9"/>
      <c r="V313" s="9"/>
      <c r="W313" s="9"/>
      <c r="X313" s="9"/>
      <c r="Y313" s="204"/>
      <c r="Z313" s="9"/>
      <c r="AA313" s="9"/>
      <c r="AB313" s="9"/>
      <c r="AC313" s="9"/>
    </row>
    <row r="314" ht="15.75" customHeight="1">
      <c r="A314" s="223"/>
      <c r="B314" s="223"/>
      <c r="C314" s="223"/>
      <c r="D314" s="9"/>
      <c r="E314" s="223"/>
      <c r="F314" s="971"/>
      <c r="G314" s="9"/>
      <c r="H314" s="9"/>
      <c r="I314" s="9"/>
      <c r="J314" s="9"/>
      <c r="K314" s="9"/>
      <c r="L314" s="223"/>
      <c r="M314" s="223"/>
      <c r="N314" s="9"/>
      <c r="O314" s="9"/>
      <c r="P314" s="9"/>
      <c r="Q314" s="223"/>
      <c r="R314" s="9"/>
      <c r="S314" s="223"/>
      <c r="T314" s="9"/>
      <c r="U314" s="9"/>
      <c r="V314" s="9"/>
      <c r="W314" s="9"/>
      <c r="X314" s="9"/>
      <c r="Y314" s="204"/>
      <c r="Z314" s="9"/>
      <c r="AA314" s="9"/>
      <c r="AB314" s="9"/>
      <c r="AC314" s="9"/>
    </row>
    <row r="315" ht="15.75" customHeight="1">
      <c r="A315" s="223"/>
      <c r="B315" s="223"/>
      <c r="C315" s="223"/>
      <c r="D315" s="9"/>
      <c r="E315" s="223"/>
      <c r="F315" s="971"/>
      <c r="G315" s="9"/>
      <c r="H315" s="9"/>
      <c r="I315" s="9"/>
      <c r="J315" s="9"/>
      <c r="K315" s="9"/>
      <c r="L315" s="223"/>
      <c r="M315" s="223"/>
      <c r="N315" s="9"/>
      <c r="O315" s="9"/>
      <c r="P315" s="9"/>
      <c r="Q315" s="223"/>
      <c r="R315" s="9"/>
      <c r="S315" s="223"/>
      <c r="T315" s="9"/>
      <c r="U315" s="9"/>
      <c r="V315" s="9"/>
      <c r="W315" s="9"/>
      <c r="X315" s="9"/>
      <c r="Y315" s="204"/>
      <c r="Z315" s="9"/>
      <c r="AA315" s="9"/>
      <c r="AB315" s="9"/>
      <c r="AC315" s="9"/>
    </row>
    <row r="316" ht="15.75" customHeight="1">
      <c r="A316" s="223"/>
      <c r="B316" s="223"/>
      <c r="C316" s="223"/>
      <c r="D316" s="9"/>
      <c r="E316" s="223"/>
      <c r="F316" s="971"/>
      <c r="G316" s="9"/>
      <c r="H316" s="9"/>
      <c r="I316" s="9"/>
      <c r="J316" s="9"/>
      <c r="K316" s="9"/>
      <c r="L316" s="223"/>
      <c r="M316" s="223"/>
      <c r="N316" s="9"/>
      <c r="O316" s="9"/>
      <c r="P316" s="9"/>
      <c r="Q316" s="223"/>
      <c r="R316" s="9"/>
      <c r="S316" s="223"/>
      <c r="T316" s="9"/>
      <c r="U316" s="9"/>
      <c r="V316" s="9"/>
      <c r="W316" s="9"/>
      <c r="X316" s="9"/>
      <c r="Y316" s="204"/>
      <c r="Z316" s="9"/>
      <c r="AA316" s="9"/>
      <c r="AB316" s="9"/>
      <c r="AC316" s="9"/>
    </row>
    <row r="317" ht="15.75" customHeight="1">
      <c r="A317" s="223"/>
      <c r="B317" s="223"/>
      <c r="C317" s="223"/>
      <c r="D317" s="9"/>
      <c r="E317" s="223"/>
      <c r="F317" s="971"/>
      <c r="G317" s="9"/>
      <c r="H317" s="9"/>
      <c r="I317" s="9"/>
      <c r="J317" s="9"/>
      <c r="K317" s="9"/>
      <c r="L317" s="223"/>
      <c r="M317" s="223"/>
      <c r="N317" s="9"/>
      <c r="O317" s="9"/>
      <c r="P317" s="9"/>
      <c r="Q317" s="223"/>
      <c r="R317" s="9"/>
      <c r="S317" s="223"/>
      <c r="T317" s="9"/>
      <c r="U317" s="9"/>
      <c r="V317" s="9"/>
      <c r="W317" s="9"/>
      <c r="X317" s="9"/>
      <c r="Y317" s="204"/>
      <c r="Z317" s="9"/>
      <c r="AA317" s="9"/>
      <c r="AB317" s="9"/>
      <c r="AC317" s="9"/>
    </row>
    <row r="318" ht="15.75" customHeight="1">
      <c r="A318" s="223"/>
      <c r="B318" s="223"/>
      <c r="C318" s="223"/>
      <c r="D318" s="9"/>
      <c r="E318" s="223"/>
      <c r="F318" s="971"/>
      <c r="G318" s="9"/>
      <c r="H318" s="9"/>
      <c r="I318" s="9"/>
      <c r="J318" s="9"/>
      <c r="K318" s="9"/>
      <c r="L318" s="223"/>
      <c r="M318" s="223"/>
      <c r="N318" s="9"/>
      <c r="O318" s="9"/>
      <c r="P318" s="9"/>
      <c r="Q318" s="223"/>
      <c r="R318" s="9"/>
      <c r="S318" s="223"/>
      <c r="T318" s="9"/>
      <c r="U318" s="9"/>
      <c r="V318" s="9"/>
      <c r="W318" s="9"/>
      <c r="X318" s="9"/>
      <c r="Y318" s="204"/>
      <c r="Z318" s="9"/>
      <c r="AA318" s="9"/>
      <c r="AB318" s="9"/>
      <c r="AC318" s="9"/>
    </row>
    <row r="319" ht="15.75" customHeight="1">
      <c r="A319" s="223"/>
      <c r="B319" s="223"/>
      <c r="C319" s="223"/>
      <c r="D319" s="9"/>
      <c r="E319" s="223"/>
      <c r="F319" s="971"/>
      <c r="G319" s="9"/>
      <c r="H319" s="9"/>
      <c r="I319" s="9"/>
      <c r="J319" s="9"/>
      <c r="K319" s="9"/>
      <c r="L319" s="223"/>
      <c r="M319" s="223"/>
      <c r="N319" s="9"/>
      <c r="O319" s="9"/>
      <c r="P319" s="9"/>
      <c r="Q319" s="223"/>
      <c r="R319" s="9"/>
      <c r="S319" s="223"/>
      <c r="T319" s="9"/>
      <c r="U319" s="9"/>
      <c r="V319" s="9"/>
      <c r="W319" s="9"/>
      <c r="X319" s="9"/>
      <c r="Y319" s="204"/>
      <c r="Z319" s="9"/>
      <c r="AA319" s="9"/>
      <c r="AB319" s="9"/>
      <c r="AC319" s="9"/>
    </row>
    <row r="320" ht="15.75" customHeight="1">
      <c r="A320" s="223"/>
      <c r="B320" s="223"/>
      <c r="C320" s="223"/>
      <c r="D320" s="9"/>
      <c r="E320" s="223"/>
      <c r="F320" s="971"/>
      <c r="G320" s="9"/>
      <c r="H320" s="9"/>
      <c r="I320" s="9"/>
      <c r="J320" s="9"/>
      <c r="K320" s="9"/>
      <c r="L320" s="223"/>
      <c r="M320" s="223"/>
      <c r="N320" s="9"/>
      <c r="O320" s="9"/>
      <c r="P320" s="9"/>
      <c r="Q320" s="223"/>
      <c r="R320" s="9"/>
      <c r="S320" s="223"/>
      <c r="T320" s="9"/>
      <c r="U320" s="9"/>
      <c r="V320" s="9"/>
      <c r="W320" s="9"/>
      <c r="X320" s="9"/>
      <c r="Y320" s="204"/>
      <c r="Z320" s="9"/>
      <c r="AA320" s="9"/>
      <c r="AB320" s="9"/>
      <c r="AC320" s="9"/>
    </row>
    <row r="321" ht="15.75" customHeight="1">
      <c r="A321" s="223"/>
      <c r="B321" s="223"/>
      <c r="C321" s="223"/>
      <c r="D321" s="9"/>
      <c r="E321" s="223"/>
      <c r="F321" s="971"/>
      <c r="G321" s="9"/>
      <c r="H321" s="9"/>
      <c r="I321" s="9"/>
      <c r="J321" s="9"/>
      <c r="K321" s="9"/>
      <c r="L321" s="223"/>
      <c r="M321" s="223"/>
      <c r="N321" s="9"/>
      <c r="O321" s="9"/>
      <c r="P321" s="9"/>
      <c r="Q321" s="223"/>
      <c r="R321" s="9"/>
      <c r="S321" s="223"/>
      <c r="T321" s="9"/>
      <c r="U321" s="9"/>
      <c r="V321" s="9"/>
      <c r="W321" s="9"/>
      <c r="X321" s="9"/>
      <c r="Y321" s="204"/>
      <c r="Z321" s="9"/>
      <c r="AA321" s="9"/>
      <c r="AB321" s="9"/>
      <c r="AC321" s="9"/>
    </row>
    <row r="322" ht="15.75" customHeight="1">
      <c r="A322" s="223"/>
      <c r="B322" s="223"/>
      <c r="C322" s="223"/>
      <c r="D322" s="9"/>
      <c r="E322" s="223"/>
      <c r="F322" s="971"/>
      <c r="G322" s="9"/>
      <c r="H322" s="9"/>
      <c r="I322" s="9"/>
      <c r="J322" s="9"/>
      <c r="K322" s="9"/>
      <c r="L322" s="223"/>
      <c r="M322" s="223"/>
      <c r="N322" s="9"/>
      <c r="O322" s="9"/>
      <c r="P322" s="9"/>
      <c r="Q322" s="223"/>
      <c r="R322" s="9"/>
      <c r="S322" s="223"/>
      <c r="T322" s="9"/>
      <c r="U322" s="9"/>
      <c r="V322" s="9"/>
      <c r="W322" s="9"/>
      <c r="X322" s="9"/>
      <c r="Y322" s="204"/>
      <c r="Z322" s="9"/>
      <c r="AA322" s="9"/>
      <c r="AB322" s="9"/>
      <c r="AC322" s="9"/>
    </row>
    <row r="323" ht="15.75" customHeight="1">
      <c r="A323" s="223"/>
      <c r="B323" s="223"/>
      <c r="C323" s="223"/>
      <c r="D323" s="9"/>
      <c r="E323" s="223"/>
      <c r="F323" s="971"/>
      <c r="G323" s="9"/>
      <c r="H323" s="9"/>
      <c r="I323" s="9"/>
      <c r="J323" s="9"/>
      <c r="K323" s="9"/>
      <c r="L323" s="223"/>
      <c r="M323" s="223"/>
      <c r="N323" s="9"/>
      <c r="O323" s="9"/>
      <c r="P323" s="9"/>
      <c r="Q323" s="223"/>
      <c r="R323" s="9"/>
      <c r="S323" s="223"/>
      <c r="T323" s="9"/>
      <c r="U323" s="9"/>
      <c r="V323" s="9"/>
      <c r="W323" s="9"/>
      <c r="X323" s="9"/>
      <c r="Y323" s="204"/>
      <c r="Z323" s="9"/>
      <c r="AA323" s="9"/>
      <c r="AB323" s="9"/>
      <c r="AC323" s="9"/>
    </row>
    <row r="324" ht="15.75" customHeight="1">
      <c r="A324" s="223"/>
      <c r="B324" s="223"/>
      <c r="C324" s="223"/>
      <c r="D324" s="9"/>
      <c r="E324" s="223"/>
      <c r="F324" s="971"/>
      <c r="G324" s="9"/>
      <c r="H324" s="9"/>
      <c r="I324" s="9"/>
      <c r="J324" s="9"/>
      <c r="K324" s="9"/>
      <c r="L324" s="223"/>
      <c r="M324" s="223"/>
      <c r="N324" s="9"/>
      <c r="O324" s="9"/>
      <c r="P324" s="9"/>
      <c r="Q324" s="223"/>
      <c r="R324" s="9"/>
      <c r="S324" s="223"/>
      <c r="T324" s="9"/>
      <c r="U324" s="9"/>
      <c r="V324" s="9"/>
      <c r="W324" s="9"/>
      <c r="X324" s="9"/>
      <c r="Y324" s="204"/>
      <c r="Z324" s="9"/>
      <c r="AA324" s="9"/>
      <c r="AB324" s="9"/>
      <c r="AC324" s="9"/>
    </row>
    <row r="325" ht="15.75" customHeight="1">
      <c r="A325" s="223"/>
      <c r="B325" s="223"/>
      <c r="C325" s="223"/>
      <c r="D325" s="9"/>
      <c r="E325" s="223"/>
      <c r="F325" s="971"/>
      <c r="G325" s="9"/>
      <c r="H325" s="9"/>
      <c r="I325" s="9"/>
      <c r="J325" s="9"/>
      <c r="K325" s="9"/>
      <c r="L325" s="223"/>
      <c r="M325" s="223"/>
      <c r="N325" s="9"/>
      <c r="O325" s="9"/>
      <c r="P325" s="9"/>
      <c r="Q325" s="223"/>
      <c r="R325" s="9"/>
      <c r="S325" s="223"/>
      <c r="T325" s="9"/>
      <c r="U325" s="9"/>
      <c r="V325" s="9"/>
      <c r="W325" s="9"/>
      <c r="X325" s="9"/>
      <c r="Y325" s="204"/>
      <c r="Z325" s="9"/>
      <c r="AA325" s="9"/>
      <c r="AB325" s="9"/>
      <c r="AC325" s="9"/>
    </row>
    <row r="326" ht="15.75" customHeight="1">
      <c r="A326" s="223"/>
      <c r="B326" s="223"/>
      <c r="C326" s="223"/>
      <c r="D326" s="9"/>
      <c r="E326" s="223"/>
      <c r="F326" s="971"/>
      <c r="G326" s="9"/>
      <c r="H326" s="9"/>
      <c r="I326" s="9"/>
      <c r="J326" s="9"/>
      <c r="K326" s="9"/>
      <c r="L326" s="223"/>
      <c r="M326" s="223"/>
      <c r="N326" s="9"/>
      <c r="O326" s="9"/>
      <c r="P326" s="9"/>
      <c r="Q326" s="223"/>
      <c r="R326" s="9"/>
      <c r="S326" s="223"/>
      <c r="T326" s="9"/>
      <c r="U326" s="9"/>
      <c r="V326" s="9"/>
      <c r="W326" s="9"/>
      <c r="X326" s="9"/>
      <c r="Y326" s="204"/>
      <c r="Z326" s="9"/>
      <c r="AA326" s="9"/>
      <c r="AB326" s="9"/>
      <c r="AC326" s="9"/>
    </row>
    <row r="327" ht="15.75" customHeight="1">
      <c r="A327" s="223"/>
      <c r="B327" s="223"/>
      <c r="C327" s="223"/>
      <c r="D327" s="9"/>
      <c r="E327" s="223"/>
      <c r="F327" s="971"/>
      <c r="G327" s="9"/>
      <c r="H327" s="9"/>
      <c r="I327" s="9"/>
      <c r="J327" s="9"/>
      <c r="K327" s="9"/>
      <c r="L327" s="223"/>
      <c r="M327" s="223"/>
      <c r="N327" s="9"/>
      <c r="O327" s="9"/>
      <c r="P327" s="9"/>
      <c r="Q327" s="223"/>
      <c r="R327" s="9"/>
      <c r="S327" s="223"/>
      <c r="T327" s="9"/>
      <c r="U327" s="9"/>
      <c r="V327" s="9"/>
      <c r="W327" s="9"/>
      <c r="X327" s="9"/>
      <c r="Y327" s="204"/>
      <c r="Z327" s="9"/>
      <c r="AA327" s="9"/>
      <c r="AB327" s="9"/>
      <c r="AC327" s="9"/>
    </row>
    <row r="328" ht="15.75" customHeight="1">
      <c r="A328" s="223"/>
      <c r="B328" s="223"/>
      <c r="C328" s="223"/>
      <c r="D328" s="9"/>
      <c r="E328" s="223"/>
      <c r="F328" s="971"/>
      <c r="G328" s="9"/>
      <c r="H328" s="9"/>
      <c r="I328" s="9"/>
      <c r="J328" s="9"/>
      <c r="K328" s="9"/>
      <c r="L328" s="223"/>
      <c r="M328" s="223"/>
      <c r="N328" s="9"/>
      <c r="O328" s="9"/>
      <c r="P328" s="9"/>
      <c r="Q328" s="223"/>
      <c r="R328" s="9"/>
      <c r="S328" s="223"/>
      <c r="T328" s="9"/>
      <c r="U328" s="9"/>
      <c r="V328" s="9"/>
      <c r="W328" s="9"/>
      <c r="X328" s="9"/>
      <c r="Y328" s="204"/>
      <c r="Z328" s="9"/>
      <c r="AA328" s="9"/>
      <c r="AB328" s="9"/>
      <c r="AC328" s="9"/>
    </row>
    <row r="329" ht="15.75" customHeight="1">
      <c r="A329" s="223"/>
      <c r="B329" s="223"/>
      <c r="C329" s="223"/>
      <c r="D329" s="9"/>
      <c r="E329" s="223"/>
      <c r="F329" s="971"/>
      <c r="G329" s="9"/>
      <c r="H329" s="9"/>
      <c r="I329" s="9"/>
      <c r="J329" s="9"/>
      <c r="K329" s="9"/>
      <c r="L329" s="223"/>
      <c r="M329" s="223"/>
      <c r="N329" s="9"/>
      <c r="O329" s="9"/>
      <c r="P329" s="9"/>
      <c r="Q329" s="223"/>
      <c r="R329" s="9"/>
      <c r="S329" s="223"/>
      <c r="T329" s="9"/>
      <c r="U329" s="9"/>
      <c r="V329" s="9"/>
      <c r="W329" s="9"/>
      <c r="X329" s="9"/>
      <c r="Y329" s="204"/>
      <c r="Z329" s="9"/>
      <c r="AA329" s="9"/>
      <c r="AB329" s="9"/>
      <c r="AC329" s="9"/>
    </row>
    <row r="330" ht="15.75" customHeight="1">
      <c r="A330" s="223"/>
      <c r="B330" s="223"/>
      <c r="C330" s="223"/>
      <c r="D330" s="9"/>
      <c r="E330" s="223"/>
      <c r="F330" s="971"/>
      <c r="G330" s="9"/>
      <c r="H330" s="9"/>
      <c r="I330" s="9"/>
      <c r="J330" s="9"/>
      <c r="K330" s="9"/>
      <c r="L330" s="223"/>
      <c r="M330" s="223"/>
      <c r="N330" s="9"/>
      <c r="O330" s="9"/>
      <c r="P330" s="9"/>
      <c r="Q330" s="223"/>
      <c r="R330" s="9"/>
      <c r="S330" s="223"/>
      <c r="T330" s="9"/>
      <c r="U330" s="9"/>
      <c r="V330" s="9"/>
      <c r="W330" s="9"/>
      <c r="X330" s="9"/>
      <c r="Y330" s="204"/>
      <c r="Z330" s="9"/>
      <c r="AA330" s="9"/>
      <c r="AB330" s="9"/>
      <c r="AC330" s="9"/>
    </row>
    <row r="331" ht="15.75" customHeight="1">
      <c r="A331" s="223"/>
      <c r="B331" s="223"/>
      <c r="C331" s="223"/>
      <c r="D331" s="9"/>
      <c r="E331" s="223"/>
      <c r="F331" s="971"/>
      <c r="G331" s="9"/>
      <c r="H331" s="9"/>
      <c r="I331" s="9"/>
      <c r="J331" s="9"/>
      <c r="K331" s="9"/>
      <c r="L331" s="223"/>
      <c r="M331" s="223"/>
      <c r="N331" s="9"/>
      <c r="O331" s="9"/>
      <c r="P331" s="9"/>
      <c r="Q331" s="223"/>
      <c r="R331" s="9"/>
      <c r="S331" s="223"/>
      <c r="T331" s="9"/>
      <c r="U331" s="9"/>
      <c r="V331" s="9"/>
      <c r="W331" s="9"/>
      <c r="X331" s="9"/>
      <c r="Y331" s="204"/>
      <c r="Z331" s="9"/>
      <c r="AA331" s="9"/>
      <c r="AB331" s="9"/>
      <c r="AC331" s="9"/>
    </row>
    <row r="332" ht="15.75" customHeight="1">
      <c r="A332" s="223"/>
      <c r="B332" s="223"/>
      <c r="C332" s="223"/>
      <c r="D332" s="9"/>
      <c r="E332" s="223"/>
      <c r="F332" s="971"/>
      <c r="G332" s="9"/>
      <c r="H332" s="9"/>
      <c r="I332" s="9"/>
      <c r="J332" s="9"/>
      <c r="K332" s="9"/>
      <c r="L332" s="223"/>
      <c r="M332" s="223"/>
      <c r="N332" s="9"/>
      <c r="O332" s="9"/>
      <c r="P332" s="9"/>
      <c r="Q332" s="223"/>
      <c r="R332" s="9"/>
      <c r="S332" s="223"/>
      <c r="T332" s="9"/>
      <c r="U332" s="9"/>
      <c r="V332" s="9"/>
      <c r="W332" s="9"/>
      <c r="X332" s="9"/>
      <c r="Y332" s="204"/>
      <c r="Z332" s="9"/>
      <c r="AA332" s="9"/>
      <c r="AB332" s="9"/>
      <c r="AC332" s="9"/>
    </row>
    <row r="333" ht="15.75" customHeight="1">
      <c r="A333" s="223"/>
      <c r="B333" s="223"/>
      <c r="C333" s="223"/>
      <c r="D333" s="9"/>
      <c r="E333" s="223"/>
      <c r="F333" s="971"/>
      <c r="G333" s="9"/>
      <c r="H333" s="9"/>
      <c r="I333" s="9"/>
      <c r="J333" s="9"/>
      <c r="K333" s="9"/>
      <c r="L333" s="223"/>
      <c r="M333" s="223"/>
      <c r="N333" s="9"/>
      <c r="O333" s="9"/>
      <c r="P333" s="9"/>
      <c r="Q333" s="223"/>
      <c r="R333" s="9"/>
      <c r="S333" s="223"/>
      <c r="T333" s="9"/>
      <c r="U333" s="9"/>
      <c r="V333" s="9"/>
      <c r="W333" s="9"/>
      <c r="X333" s="9"/>
      <c r="Y333" s="204"/>
      <c r="Z333" s="9"/>
      <c r="AA333" s="9"/>
      <c r="AB333" s="9"/>
      <c r="AC333" s="9"/>
    </row>
    <row r="334" ht="15.75" customHeight="1">
      <c r="A334" s="223"/>
      <c r="B334" s="223"/>
      <c r="C334" s="223"/>
      <c r="D334" s="9"/>
      <c r="E334" s="223"/>
      <c r="F334" s="971"/>
      <c r="G334" s="9"/>
      <c r="H334" s="9"/>
      <c r="I334" s="9"/>
      <c r="J334" s="9"/>
      <c r="K334" s="9"/>
      <c r="L334" s="223"/>
      <c r="M334" s="223"/>
      <c r="N334" s="9"/>
      <c r="O334" s="9"/>
      <c r="P334" s="9"/>
      <c r="Q334" s="223"/>
      <c r="R334" s="9"/>
      <c r="S334" s="223"/>
      <c r="T334" s="9"/>
      <c r="U334" s="9"/>
      <c r="V334" s="9"/>
      <c r="W334" s="9"/>
      <c r="X334" s="9"/>
      <c r="Y334" s="204"/>
      <c r="Z334" s="9"/>
      <c r="AA334" s="9"/>
      <c r="AB334" s="9"/>
      <c r="AC334" s="9"/>
    </row>
    <row r="335" ht="15.75" customHeight="1">
      <c r="A335" s="223"/>
      <c r="B335" s="223"/>
      <c r="C335" s="223"/>
      <c r="D335" s="9"/>
      <c r="E335" s="223"/>
      <c r="F335" s="971"/>
      <c r="G335" s="9"/>
      <c r="H335" s="9"/>
      <c r="I335" s="9"/>
      <c r="J335" s="9"/>
      <c r="K335" s="9"/>
      <c r="L335" s="223"/>
      <c r="M335" s="223"/>
      <c r="N335" s="9"/>
      <c r="O335" s="9"/>
      <c r="P335" s="9"/>
      <c r="Q335" s="223"/>
      <c r="R335" s="9"/>
      <c r="S335" s="223"/>
      <c r="T335" s="9"/>
      <c r="U335" s="9"/>
      <c r="V335" s="9"/>
      <c r="W335" s="9"/>
      <c r="X335" s="9"/>
      <c r="Y335" s="204"/>
      <c r="Z335" s="9"/>
      <c r="AA335" s="9"/>
      <c r="AB335" s="9"/>
      <c r="AC335" s="9"/>
    </row>
    <row r="336" ht="15.75" customHeight="1">
      <c r="A336" s="223"/>
      <c r="B336" s="223"/>
      <c r="C336" s="223"/>
      <c r="D336" s="9"/>
      <c r="E336" s="223"/>
      <c r="F336" s="971"/>
      <c r="G336" s="9"/>
      <c r="H336" s="9"/>
      <c r="I336" s="9"/>
      <c r="J336" s="9"/>
      <c r="K336" s="9"/>
      <c r="L336" s="223"/>
      <c r="M336" s="223"/>
      <c r="N336" s="9"/>
      <c r="O336" s="9"/>
      <c r="P336" s="9"/>
      <c r="Q336" s="223"/>
      <c r="R336" s="9"/>
      <c r="S336" s="223"/>
      <c r="T336" s="9"/>
      <c r="U336" s="9"/>
      <c r="V336" s="9"/>
      <c r="W336" s="9"/>
      <c r="X336" s="9"/>
      <c r="Y336" s="204"/>
      <c r="Z336" s="9"/>
      <c r="AA336" s="9"/>
      <c r="AB336" s="9"/>
      <c r="AC336" s="9"/>
    </row>
    <row r="337" ht="15.75" customHeight="1">
      <c r="A337" s="223"/>
      <c r="B337" s="223"/>
      <c r="C337" s="223"/>
      <c r="D337" s="9"/>
      <c r="E337" s="223"/>
      <c r="F337" s="971"/>
      <c r="G337" s="9"/>
      <c r="H337" s="9"/>
      <c r="I337" s="9"/>
      <c r="J337" s="9"/>
      <c r="K337" s="9"/>
      <c r="L337" s="223"/>
      <c r="M337" s="223"/>
      <c r="N337" s="9"/>
      <c r="O337" s="9"/>
      <c r="P337" s="9"/>
      <c r="Q337" s="223"/>
      <c r="R337" s="9"/>
      <c r="S337" s="223"/>
      <c r="T337" s="9"/>
      <c r="U337" s="9"/>
      <c r="V337" s="9"/>
      <c r="W337" s="9"/>
      <c r="X337" s="9"/>
      <c r="Y337" s="204"/>
      <c r="Z337" s="9"/>
      <c r="AA337" s="9"/>
      <c r="AB337" s="9"/>
      <c r="AC337" s="9"/>
    </row>
    <row r="338" ht="15.75" customHeight="1">
      <c r="A338" s="223"/>
      <c r="B338" s="223"/>
      <c r="C338" s="223"/>
      <c r="D338" s="9"/>
      <c r="E338" s="223"/>
      <c r="F338" s="971"/>
      <c r="G338" s="9"/>
      <c r="H338" s="9"/>
      <c r="I338" s="9"/>
      <c r="J338" s="9"/>
      <c r="K338" s="9"/>
      <c r="L338" s="223"/>
      <c r="M338" s="223"/>
      <c r="N338" s="9"/>
      <c r="O338" s="9"/>
      <c r="P338" s="9"/>
      <c r="Q338" s="223"/>
      <c r="R338" s="9"/>
      <c r="S338" s="223"/>
      <c r="T338" s="9"/>
      <c r="U338" s="9"/>
      <c r="V338" s="9"/>
      <c r="W338" s="9"/>
      <c r="X338" s="9"/>
      <c r="Y338" s="204"/>
      <c r="Z338" s="9"/>
      <c r="AA338" s="9"/>
      <c r="AB338" s="9"/>
      <c r="AC338" s="9"/>
    </row>
    <row r="339" ht="15.75" customHeight="1">
      <c r="A339" s="223"/>
      <c r="B339" s="223"/>
      <c r="C339" s="223"/>
      <c r="D339" s="9"/>
      <c r="E339" s="223"/>
      <c r="F339" s="971"/>
      <c r="G339" s="9"/>
      <c r="H339" s="9"/>
      <c r="I339" s="9"/>
      <c r="J339" s="9"/>
      <c r="K339" s="9"/>
      <c r="L339" s="223"/>
      <c r="M339" s="223"/>
      <c r="N339" s="9"/>
      <c r="O339" s="9"/>
      <c r="P339" s="9"/>
      <c r="Q339" s="223"/>
      <c r="R339" s="9"/>
      <c r="S339" s="223"/>
      <c r="T339" s="9"/>
      <c r="U339" s="9"/>
      <c r="V339" s="9"/>
      <c r="W339" s="9"/>
      <c r="X339" s="9"/>
      <c r="Y339" s="204"/>
      <c r="Z339" s="9"/>
      <c r="AA339" s="9"/>
      <c r="AB339" s="9"/>
      <c r="AC339" s="9"/>
    </row>
    <row r="340" ht="15.75" customHeight="1">
      <c r="A340" s="223"/>
      <c r="B340" s="223"/>
      <c r="C340" s="223"/>
      <c r="D340" s="9"/>
      <c r="E340" s="223"/>
      <c r="F340" s="971"/>
      <c r="G340" s="9"/>
      <c r="H340" s="9"/>
      <c r="I340" s="9"/>
      <c r="J340" s="9"/>
      <c r="K340" s="9"/>
      <c r="L340" s="223"/>
      <c r="M340" s="223"/>
      <c r="N340" s="9"/>
      <c r="O340" s="9"/>
      <c r="P340" s="9"/>
      <c r="Q340" s="223"/>
      <c r="R340" s="9"/>
      <c r="S340" s="223"/>
      <c r="T340" s="9"/>
      <c r="U340" s="9"/>
      <c r="V340" s="9"/>
      <c r="W340" s="9"/>
      <c r="X340" s="9"/>
      <c r="Y340" s="204"/>
      <c r="Z340" s="9"/>
      <c r="AA340" s="9"/>
      <c r="AB340" s="9"/>
      <c r="AC340" s="9"/>
    </row>
    <row r="341" ht="15.75" customHeight="1">
      <c r="A341" s="223"/>
      <c r="B341" s="223"/>
      <c r="C341" s="223"/>
      <c r="D341" s="9"/>
      <c r="E341" s="223"/>
      <c r="F341" s="971"/>
      <c r="G341" s="9"/>
      <c r="H341" s="9"/>
      <c r="I341" s="9"/>
      <c r="J341" s="9"/>
      <c r="K341" s="9"/>
      <c r="L341" s="223"/>
      <c r="M341" s="223"/>
      <c r="N341" s="9"/>
      <c r="O341" s="9"/>
      <c r="P341" s="9"/>
      <c r="Q341" s="223"/>
      <c r="R341" s="9"/>
      <c r="S341" s="223"/>
      <c r="T341" s="9"/>
      <c r="U341" s="9"/>
      <c r="V341" s="9"/>
      <c r="W341" s="9"/>
      <c r="X341" s="9"/>
      <c r="Y341" s="204"/>
      <c r="Z341" s="9"/>
      <c r="AA341" s="9"/>
      <c r="AB341" s="9"/>
      <c r="AC341" s="9"/>
    </row>
    <row r="342" ht="15.75" customHeight="1">
      <c r="A342" s="223"/>
      <c r="B342" s="223"/>
      <c r="C342" s="223"/>
      <c r="D342" s="9"/>
      <c r="E342" s="223"/>
      <c r="F342" s="971"/>
      <c r="G342" s="9"/>
      <c r="H342" s="9"/>
      <c r="I342" s="9"/>
      <c r="J342" s="9"/>
      <c r="K342" s="9"/>
      <c r="L342" s="223"/>
      <c r="M342" s="223"/>
      <c r="N342" s="9"/>
      <c r="O342" s="9"/>
      <c r="P342" s="9"/>
      <c r="Q342" s="223"/>
      <c r="R342" s="9"/>
      <c r="S342" s="223"/>
      <c r="T342" s="9"/>
      <c r="U342" s="9"/>
      <c r="V342" s="9"/>
      <c r="W342" s="9"/>
      <c r="X342" s="9"/>
      <c r="Y342" s="204"/>
      <c r="Z342" s="9"/>
      <c r="AA342" s="9"/>
      <c r="AB342" s="9"/>
      <c r="AC342" s="9"/>
    </row>
    <row r="343" ht="15.75" customHeight="1">
      <c r="A343" s="223"/>
      <c r="B343" s="223"/>
      <c r="C343" s="223"/>
      <c r="D343" s="9"/>
      <c r="E343" s="223"/>
      <c r="F343" s="971"/>
      <c r="G343" s="9"/>
      <c r="H343" s="9"/>
      <c r="I343" s="9"/>
      <c r="J343" s="9"/>
      <c r="K343" s="9"/>
      <c r="L343" s="223"/>
      <c r="M343" s="223"/>
      <c r="N343" s="9"/>
      <c r="O343" s="9"/>
      <c r="P343" s="9"/>
      <c r="Q343" s="223"/>
      <c r="R343" s="9"/>
      <c r="S343" s="223"/>
      <c r="T343" s="9"/>
      <c r="U343" s="9"/>
      <c r="V343" s="9"/>
      <c r="W343" s="9"/>
      <c r="X343" s="9"/>
      <c r="Y343" s="204"/>
      <c r="Z343" s="9"/>
      <c r="AA343" s="9"/>
      <c r="AB343" s="9"/>
      <c r="AC343" s="9"/>
    </row>
    <row r="344" ht="15.75" customHeight="1">
      <c r="A344" s="223"/>
      <c r="B344" s="223"/>
      <c r="C344" s="223"/>
      <c r="D344" s="9"/>
      <c r="E344" s="223"/>
      <c r="F344" s="971"/>
      <c r="G344" s="9"/>
      <c r="H344" s="9"/>
      <c r="I344" s="9"/>
      <c r="J344" s="9"/>
      <c r="K344" s="9"/>
      <c r="L344" s="223"/>
      <c r="M344" s="223"/>
      <c r="N344" s="9"/>
      <c r="O344" s="9"/>
      <c r="P344" s="9"/>
      <c r="Q344" s="223"/>
      <c r="R344" s="9"/>
      <c r="S344" s="223"/>
      <c r="T344" s="9"/>
      <c r="U344" s="9"/>
      <c r="V344" s="9"/>
      <c r="W344" s="9"/>
      <c r="X344" s="9"/>
      <c r="Y344" s="204"/>
      <c r="Z344" s="9"/>
      <c r="AA344" s="9"/>
      <c r="AB344" s="9"/>
      <c r="AC344" s="9"/>
    </row>
    <row r="345" ht="15.75" customHeight="1">
      <c r="A345" s="223"/>
      <c r="B345" s="223"/>
      <c r="C345" s="223"/>
      <c r="D345" s="9"/>
      <c r="E345" s="223"/>
      <c r="F345" s="971"/>
      <c r="G345" s="9"/>
      <c r="H345" s="9"/>
      <c r="I345" s="9"/>
      <c r="J345" s="9"/>
      <c r="K345" s="9"/>
      <c r="L345" s="223"/>
      <c r="M345" s="223"/>
      <c r="N345" s="9"/>
      <c r="O345" s="9"/>
      <c r="P345" s="9"/>
      <c r="Q345" s="223"/>
      <c r="R345" s="9"/>
      <c r="S345" s="223"/>
      <c r="T345" s="9"/>
      <c r="U345" s="9"/>
      <c r="V345" s="9"/>
      <c r="W345" s="9"/>
      <c r="X345" s="9"/>
      <c r="Y345" s="204"/>
      <c r="Z345" s="9"/>
      <c r="AA345" s="9"/>
      <c r="AB345" s="9"/>
      <c r="AC345" s="9"/>
    </row>
    <row r="346" ht="15.75" customHeight="1">
      <c r="A346" s="223"/>
      <c r="B346" s="223"/>
      <c r="C346" s="223"/>
      <c r="D346" s="9"/>
      <c r="E346" s="223"/>
      <c r="F346" s="971"/>
      <c r="G346" s="9"/>
      <c r="H346" s="9"/>
      <c r="I346" s="9"/>
      <c r="J346" s="9"/>
      <c r="K346" s="9"/>
      <c r="L346" s="223"/>
      <c r="M346" s="223"/>
      <c r="N346" s="9"/>
      <c r="O346" s="9"/>
      <c r="P346" s="9"/>
      <c r="Q346" s="223"/>
      <c r="R346" s="9"/>
      <c r="S346" s="223"/>
      <c r="T346" s="9"/>
      <c r="U346" s="9"/>
      <c r="V346" s="9"/>
      <c r="W346" s="9"/>
      <c r="X346" s="9"/>
      <c r="Y346" s="204"/>
      <c r="Z346" s="9"/>
      <c r="AA346" s="9"/>
      <c r="AB346" s="9"/>
      <c r="AC346" s="9"/>
    </row>
    <row r="347" ht="15.75" customHeight="1">
      <c r="A347" s="223"/>
      <c r="B347" s="223"/>
      <c r="C347" s="223"/>
      <c r="D347" s="9"/>
      <c r="E347" s="223"/>
      <c r="F347" s="971"/>
      <c r="G347" s="9"/>
      <c r="H347" s="9"/>
      <c r="I347" s="9"/>
      <c r="J347" s="9"/>
      <c r="K347" s="9"/>
      <c r="L347" s="223"/>
      <c r="M347" s="223"/>
      <c r="N347" s="9"/>
      <c r="O347" s="9"/>
      <c r="P347" s="9"/>
      <c r="Q347" s="223"/>
      <c r="R347" s="9"/>
      <c r="S347" s="223"/>
      <c r="T347" s="9"/>
      <c r="U347" s="9"/>
      <c r="V347" s="9"/>
      <c r="W347" s="9"/>
      <c r="X347" s="9"/>
      <c r="Y347" s="204"/>
      <c r="Z347" s="9"/>
      <c r="AA347" s="9"/>
      <c r="AB347" s="9"/>
      <c r="AC347" s="9"/>
    </row>
    <row r="348" ht="15.75" customHeight="1">
      <c r="A348" s="223"/>
      <c r="B348" s="223"/>
      <c r="C348" s="223"/>
      <c r="D348" s="9"/>
      <c r="E348" s="223"/>
      <c r="F348" s="971"/>
      <c r="G348" s="9"/>
      <c r="H348" s="9"/>
      <c r="I348" s="9"/>
      <c r="J348" s="9"/>
      <c r="K348" s="9"/>
      <c r="L348" s="223"/>
      <c r="M348" s="223"/>
      <c r="N348" s="9"/>
      <c r="O348" s="9"/>
      <c r="P348" s="9"/>
      <c r="Q348" s="223"/>
      <c r="R348" s="9"/>
      <c r="S348" s="223"/>
      <c r="T348" s="9"/>
      <c r="U348" s="9"/>
      <c r="V348" s="9"/>
      <c r="W348" s="9"/>
      <c r="X348" s="9"/>
      <c r="Y348" s="204"/>
      <c r="Z348" s="9"/>
      <c r="AA348" s="9"/>
      <c r="AB348" s="9"/>
      <c r="AC348" s="9"/>
    </row>
    <row r="349" ht="15.75" customHeight="1">
      <c r="A349" s="223"/>
      <c r="B349" s="223"/>
      <c r="C349" s="223"/>
      <c r="D349" s="9"/>
      <c r="E349" s="223"/>
      <c r="F349" s="971"/>
      <c r="G349" s="9"/>
      <c r="H349" s="9"/>
      <c r="I349" s="9"/>
      <c r="J349" s="9"/>
      <c r="K349" s="9"/>
      <c r="L349" s="223"/>
      <c r="M349" s="223"/>
      <c r="N349" s="9"/>
      <c r="O349" s="9"/>
      <c r="P349" s="9"/>
      <c r="Q349" s="223"/>
      <c r="R349" s="9"/>
      <c r="S349" s="223"/>
      <c r="T349" s="9"/>
      <c r="U349" s="9"/>
      <c r="V349" s="9"/>
      <c r="W349" s="9"/>
      <c r="X349" s="9"/>
      <c r="Y349" s="204"/>
      <c r="Z349" s="9"/>
      <c r="AA349" s="9"/>
      <c r="AB349" s="9"/>
      <c r="AC349" s="9"/>
    </row>
    <row r="350" ht="15.75" customHeight="1">
      <c r="A350" s="223"/>
      <c r="B350" s="223"/>
      <c r="C350" s="223"/>
      <c r="D350" s="9"/>
      <c r="E350" s="223"/>
      <c r="F350" s="971"/>
      <c r="G350" s="9"/>
      <c r="H350" s="9"/>
      <c r="I350" s="9"/>
      <c r="J350" s="9"/>
      <c r="K350" s="9"/>
      <c r="L350" s="223"/>
      <c r="M350" s="223"/>
      <c r="N350" s="9"/>
      <c r="O350" s="9"/>
      <c r="P350" s="9"/>
      <c r="Q350" s="223"/>
      <c r="R350" s="9"/>
      <c r="S350" s="223"/>
      <c r="T350" s="9"/>
      <c r="U350" s="9"/>
      <c r="V350" s="9"/>
      <c r="W350" s="9"/>
      <c r="X350" s="9"/>
      <c r="Y350" s="204"/>
      <c r="Z350" s="9"/>
      <c r="AA350" s="9"/>
      <c r="AB350" s="9"/>
      <c r="AC350" s="9"/>
    </row>
    <row r="351" ht="15.75" customHeight="1">
      <c r="A351" s="223"/>
      <c r="B351" s="223"/>
      <c r="C351" s="223"/>
      <c r="D351" s="9"/>
      <c r="E351" s="223"/>
      <c r="F351" s="971"/>
      <c r="G351" s="9"/>
      <c r="H351" s="9"/>
      <c r="I351" s="9"/>
      <c r="J351" s="9"/>
      <c r="K351" s="9"/>
      <c r="L351" s="223"/>
      <c r="M351" s="223"/>
      <c r="N351" s="9"/>
      <c r="O351" s="9"/>
      <c r="P351" s="9"/>
      <c r="Q351" s="223"/>
      <c r="R351" s="9"/>
      <c r="S351" s="223"/>
      <c r="T351" s="9"/>
      <c r="U351" s="9"/>
      <c r="V351" s="9"/>
      <c r="W351" s="9"/>
      <c r="X351" s="9"/>
      <c r="Y351" s="204"/>
      <c r="Z351" s="9"/>
      <c r="AA351" s="9"/>
      <c r="AB351" s="9"/>
      <c r="AC351" s="9"/>
    </row>
    <row r="352" ht="15.75" customHeight="1">
      <c r="A352" s="223"/>
      <c r="B352" s="223"/>
      <c r="C352" s="223"/>
      <c r="D352" s="9"/>
      <c r="E352" s="223"/>
      <c r="F352" s="971"/>
      <c r="G352" s="9"/>
      <c r="H352" s="9"/>
      <c r="I352" s="9"/>
      <c r="J352" s="9"/>
      <c r="K352" s="9"/>
      <c r="L352" s="223"/>
      <c r="M352" s="223"/>
      <c r="N352" s="9"/>
      <c r="O352" s="9"/>
      <c r="P352" s="9"/>
      <c r="Q352" s="223"/>
      <c r="R352" s="9"/>
      <c r="S352" s="223"/>
      <c r="T352" s="9"/>
      <c r="U352" s="9"/>
      <c r="V352" s="9"/>
      <c r="W352" s="9"/>
      <c r="X352" s="9"/>
      <c r="Y352" s="204"/>
      <c r="Z352" s="9"/>
      <c r="AA352" s="9"/>
      <c r="AB352" s="9"/>
      <c r="AC352" s="9"/>
    </row>
    <row r="353" ht="15.75" customHeight="1">
      <c r="A353" s="223"/>
      <c r="B353" s="223"/>
      <c r="C353" s="223"/>
      <c r="D353" s="9"/>
      <c r="E353" s="223"/>
      <c r="F353" s="971"/>
      <c r="G353" s="9"/>
      <c r="H353" s="9"/>
      <c r="I353" s="9"/>
      <c r="J353" s="9"/>
      <c r="K353" s="9"/>
      <c r="L353" s="223"/>
      <c r="M353" s="223"/>
      <c r="N353" s="9"/>
      <c r="O353" s="9"/>
      <c r="P353" s="9"/>
      <c r="Q353" s="223"/>
      <c r="R353" s="9"/>
      <c r="S353" s="223"/>
      <c r="T353" s="9"/>
      <c r="U353" s="9"/>
      <c r="V353" s="9"/>
      <c r="W353" s="9"/>
      <c r="X353" s="9"/>
      <c r="Y353" s="204"/>
      <c r="Z353" s="9"/>
      <c r="AA353" s="9"/>
      <c r="AB353" s="9"/>
      <c r="AC353" s="9"/>
    </row>
    <row r="354" ht="15.75" customHeight="1">
      <c r="A354" s="223"/>
      <c r="B354" s="223"/>
      <c r="C354" s="223"/>
      <c r="D354" s="9"/>
      <c r="E354" s="223"/>
      <c r="F354" s="971"/>
      <c r="G354" s="9"/>
      <c r="H354" s="9"/>
      <c r="I354" s="9"/>
      <c r="J354" s="9"/>
      <c r="K354" s="9"/>
      <c r="L354" s="223"/>
      <c r="M354" s="223"/>
      <c r="N354" s="9"/>
      <c r="O354" s="9"/>
      <c r="P354" s="9"/>
      <c r="Q354" s="223"/>
      <c r="R354" s="9"/>
      <c r="S354" s="223"/>
      <c r="T354" s="9"/>
      <c r="U354" s="9"/>
      <c r="V354" s="9"/>
      <c r="W354" s="9"/>
      <c r="X354" s="9"/>
      <c r="Y354" s="204"/>
      <c r="Z354" s="9"/>
      <c r="AA354" s="9"/>
      <c r="AB354" s="9"/>
      <c r="AC354" s="9"/>
    </row>
    <row r="355" ht="15.75" customHeight="1">
      <c r="A355" s="223"/>
      <c r="B355" s="223"/>
      <c r="C355" s="223"/>
      <c r="D355" s="9"/>
      <c r="E355" s="223"/>
      <c r="F355" s="971"/>
      <c r="G355" s="9"/>
      <c r="H355" s="9"/>
      <c r="I355" s="9"/>
      <c r="J355" s="9"/>
      <c r="K355" s="9"/>
      <c r="L355" s="223"/>
      <c r="M355" s="223"/>
      <c r="N355" s="9"/>
      <c r="O355" s="9"/>
      <c r="P355" s="9"/>
      <c r="Q355" s="223"/>
      <c r="R355" s="9"/>
      <c r="S355" s="223"/>
      <c r="T355" s="9"/>
      <c r="U355" s="9"/>
      <c r="V355" s="9"/>
      <c r="W355" s="9"/>
      <c r="X355" s="9"/>
      <c r="Y355" s="204"/>
      <c r="Z355" s="9"/>
      <c r="AA355" s="9"/>
      <c r="AB355" s="9"/>
      <c r="AC355" s="9"/>
    </row>
    <row r="356" ht="15.75" customHeight="1">
      <c r="A356" s="223"/>
      <c r="B356" s="223"/>
      <c r="C356" s="223"/>
      <c r="D356" s="9"/>
      <c r="E356" s="223"/>
      <c r="F356" s="971"/>
      <c r="G356" s="9"/>
      <c r="H356" s="9"/>
      <c r="I356" s="9"/>
      <c r="J356" s="9"/>
      <c r="K356" s="9"/>
      <c r="L356" s="223"/>
      <c r="M356" s="223"/>
      <c r="N356" s="9"/>
      <c r="O356" s="9"/>
      <c r="P356" s="9"/>
      <c r="Q356" s="223"/>
      <c r="R356" s="9"/>
      <c r="S356" s="223"/>
      <c r="T356" s="9"/>
      <c r="U356" s="9"/>
      <c r="V356" s="9"/>
      <c r="W356" s="9"/>
      <c r="X356" s="9"/>
      <c r="Y356" s="204"/>
      <c r="Z356" s="9"/>
      <c r="AA356" s="9"/>
      <c r="AB356" s="9"/>
      <c r="AC356" s="9"/>
    </row>
    <row r="357" ht="15.75" customHeight="1">
      <c r="A357" s="223"/>
      <c r="B357" s="223"/>
      <c r="C357" s="223"/>
      <c r="D357" s="9"/>
      <c r="E357" s="223"/>
      <c r="F357" s="971"/>
      <c r="G357" s="9"/>
      <c r="H357" s="9"/>
      <c r="I357" s="9"/>
      <c r="J357" s="9"/>
      <c r="K357" s="9"/>
      <c r="L357" s="223"/>
      <c r="M357" s="223"/>
      <c r="N357" s="9"/>
      <c r="O357" s="9"/>
      <c r="P357" s="9"/>
      <c r="Q357" s="223"/>
      <c r="R357" s="9"/>
      <c r="S357" s="223"/>
      <c r="T357" s="9"/>
      <c r="U357" s="9"/>
      <c r="V357" s="9"/>
      <c r="W357" s="9"/>
      <c r="X357" s="9"/>
      <c r="Y357" s="204"/>
      <c r="Z357" s="9"/>
      <c r="AA357" s="9"/>
      <c r="AB357" s="9"/>
      <c r="AC357" s="9"/>
    </row>
    <row r="358" ht="15.75" customHeight="1">
      <c r="A358" s="223"/>
      <c r="B358" s="223"/>
      <c r="C358" s="223"/>
      <c r="D358" s="9"/>
      <c r="E358" s="223"/>
      <c r="F358" s="971"/>
      <c r="G358" s="9"/>
      <c r="H358" s="9"/>
      <c r="I358" s="9"/>
      <c r="J358" s="9"/>
      <c r="K358" s="9"/>
      <c r="L358" s="223"/>
      <c r="M358" s="223"/>
      <c r="N358" s="9"/>
      <c r="O358" s="9"/>
      <c r="P358" s="9"/>
      <c r="Q358" s="223"/>
      <c r="R358" s="9"/>
      <c r="S358" s="223"/>
      <c r="T358" s="9"/>
      <c r="U358" s="9"/>
      <c r="V358" s="9"/>
      <c r="W358" s="9"/>
      <c r="X358" s="9"/>
      <c r="Y358" s="204"/>
      <c r="Z358" s="9"/>
      <c r="AA358" s="9"/>
      <c r="AB358" s="9"/>
      <c r="AC358" s="9"/>
    </row>
    <row r="359" ht="15.75" customHeight="1">
      <c r="A359" s="223"/>
      <c r="B359" s="223"/>
      <c r="C359" s="223"/>
      <c r="D359" s="9"/>
      <c r="E359" s="223"/>
      <c r="F359" s="971"/>
      <c r="G359" s="9"/>
      <c r="H359" s="9"/>
      <c r="I359" s="9"/>
      <c r="J359" s="9"/>
      <c r="K359" s="9"/>
      <c r="L359" s="223"/>
      <c r="M359" s="223"/>
      <c r="N359" s="9"/>
      <c r="O359" s="9"/>
      <c r="P359" s="9"/>
      <c r="Q359" s="223"/>
      <c r="R359" s="9"/>
      <c r="S359" s="223"/>
      <c r="T359" s="9"/>
      <c r="U359" s="9"/>
      <c r="V359" s="9"/>
      <c r="W359" s="9"/>
      <c r="X359" s="9"/>
      <c r="Y359" s="204"/>
      <c r="Z359" s="9"/>
      <c r="AA359" s="9"/>
      <c r="AB359" s="9"/>
      <c r="AC359" s="9"/>
    </row>
    <row r="360" ht="15.75" customHeight="1">
      <c r="A360" s="223"/>
      <c r="B360" s="223"/>
      <c r="C360" s="223"/>
      <c r="D360" s="9"/>
      <c r="E360" s="223"/>
      <c r="F360" s="971"/>
      <c r="G360" s="9"/>
      <c r="H360" s="9"/>
      <c r="I360" s="9"/>
      <c r="J360" s="9"/>
      <c r="K360" s="9"/>
      <c r="L360" s="223"/>
      <c r="M360" s="223"/>
      <c r="N360" s="9"/>
      <c r="O360" s="9"/>
      <c r="P360" s="9"/>
      <c r="Q360" s="223"/>
      <c r="R360" s="9"/>
      <c r="S360" s="223"/>
      <c r="T360" s="9"/>
      <c r="U360" s="9"/>
      <c r="V360" s="9"/>
      <c r="W360" s="9"/>
      <c r="X360" s="9"/>
      <c r="Y360" s="204"/>
      <c r="Z360" s="9"/>
      <c r="AA360" s="9"/>
      <c r="AB360" s="9"/>
      <c r="AC360" s="9"/>
    </row>
    <row r="361" ht="15.75" customHeight="1">
      <c r="A361" s="223"/>
      <c r="B361" s="223"/>
      <c r="C361" s="223"/>
      <c r="D361" s="9"/>
      <c r="E361" s="223"/>
      <c r="F361" s="971"/>
      <c r="G361" s="9"/>
      <c r="H361" s="9"/>
      <c r="I361" s="9"/>
      <c r="J361" s="9"/>
      <c r="K361" s="9"/>
      <c r="L361" s="223"/>
      <c r="M361" s="223"/>
      <c r="N361" s="9"/>
      <c r="O361" s="9"/>
      <c r="P361" s="9"/>
      <c r="Q361" s="223"/>
      <c r="R361" s="9"/>
      <c r="S361" s="223"/>
      <c r="T361" s="9"/>
      <c r="U361" s="9"/>
      <c r="V361" s="9"/>
      <c r="W361" s="9"/>
      <c r="X361" s="9"/>
      <c r="Y361" s="204"/>
      <c r="Z361" s="9"/>
      <c r="AA361" s="9"/>
      <c r="AB361" s="9"/>
      <c r="AC361" s="9"/>
    </row>
    <row r="362" ht="15.75" customHeight="1">
      <c r="A362" s="223"/>
      <c r="B362" s="223"/>
      <c r="C362" s="223"/>
      <c r="D362" s="9"/>
      <c r="E362" s="223"/>
      <c r="F362" s="971"/>
      <c r="G362" s="9"/>
      <c r="H362" s="9"/>
      <c r="I362" s="9"/>
      <c r="J362" s="9"/>
      <c r="K362" s="9"/>
      <c r="L362" s="223"/>
      <c r="M362" s="223"/>
      <c r="N362" s="9"/>
      <c r="O362" s="9"/>
      <c r="P362" s="9"/>
      <c r="Q362" s="223"/>
      <c r="R362" s="9"/>
      <c r="S362" s="223"/>
      <c r="T362" s="9"/>
      <c r="U362" s="9"/>
      <c r="V362" s="9"/>
      <c r="W362" s="9"/>
      <c r="X362" s="9"/>
      <c r="Y362" s="204"/>
      <c r="Z362" s="9"/>
      <c r="AA362" s="9"/>
      <c r="AB362" s="9"/>
      <c r="AC362" s="9"/>
    </row>
    <row r="363" ht="15.75" customHeight="1">
      <c r="A363" s="223"/>
      <c r="B363" s="223"/>
      <c r="C363" s="223"/>
      <c r="D363" s="9"/>
      <c r="E363" s="223"/>
      <c r="F363" s="971"/>
      <c r="G363" s="9"/>
      <c r="H363" s="9"/>
      <c r="I363" s="9"/>
      <c r="J363" s="9"/>
      <c r="K363" s="9"/>
      <c r="L363" s="223"/>
      <c r="M363" s="223"/>
      <c r="N363" s="9"/>
      <c r="O363" s="9"/>
      <c r="P363" s="9"/>
      <c r="Q363" s="223"/>
      <c r="R363" s="9"/>
      <c r="S363" s="223"/>
      <c r="T363" s="9"/>
      <c r="U363" s="9"/>
      <c r="V363" s="9"/>
      <c r="W363" s="9"/>
      <c r="X363" s="9"/>
      <c r="Y363" s="204"/>
      <c r="Z363" s="9"/>
      <c r="AA363" s="9"/>
      <c r="AB363" s="9"/>
      <c r="AC363" s="9"/>
    </row>
    <row r="364" ht="15.75" customHeight="1">
      <c r="A364" s="223"/>
      <c r="B364" s="223"/>
      <c r="C364" s="223"/>
      <c r="D364" s="9"/>
      <c r="E364" s="223"/>
      <c r="F364" s="971"/>
      <c r="G364" s="9"/>
      <c r="H364" s="9"/>
      <c r="I364" s="9"/>
      <c r="J364" s="9"/>
      <c r="K364" s="9"/>
      <c r="L364" s="223"/>
      <c r="M364" s="223"/>
      <c r="N364" s="9"/>
      <c r="O364" s="9"/>
      <c r="P364" s="9"/>
      <c r="Q364" s="223"/>
      <c r="R364" s="9"/>
      <c r="S364" s="223"/>
      <c r="T364" s="9"/>
      <c r="U364" s="9"/>
      <c r="V364" s="9"/>
      <c r="W364" s="9"/>
      <c r="X364" s="9"/>
      <c r="Y364" s="204"/>
      <c r="Z364" s="9"/>
      <c r="AA364" s="9"/>
      <c r="AB364" s="9"/>
      <c r="AC364" s="9"/>
    </row>
    <row r="365" ht="15.75" customHeight="1">
      <c r="A365" s="223"/>
      <c r="B365" s="223"/>
      <c r="C365" s="223"/>
      <c r="D365" s="9"/>
      <c r="E365" s="223"/>
      <c r="F365" s="971"/>
      <c r="G365" s="9"/>
      <c r="H365" s="9"/>
      <c r="I365" s="9"/>
      <c r="J365" s="9"/>
      <c r="K365" s="9"/>
      <c r="L365" s="223"/>
      <c r="M365" s="223"/>
      <c r="N365" s="9"/>
      <c r="O365" s="9"/>
      <c r="P365" s="9"/>
      <c r="Q365" s="223"/>
      <c r="R365" s="9"/>
      <c r="S365" s="223"/>
      <c r="T365" s="9"/>
      <c r="U365" s="9"/>
      <c r="V365" s="9"/>
      <c r="W365" s="9"/>
      <c r="X365" s="9"/>
      <c r="Y365" s="204"/>
      <c r="Z365" s="9"/>
      <c r="AA365" s="9"/>
      <c r="AB365" s="9"/>
      <c r="AC365" s="9"/>
    </row>
    <row r="366" ht="15.75" customHeight="1">
      <c r="A366" s="223"/>
      <c r="B366" s="223"/>
      <c r="C366" s="223"/>
      <c r="D366" s="9"/>
      <c r="E366" s="223"/>
      <c r="F366" s="971"/>
      <c r="G366" s="9"/>
      <c r="H366" s="9"/>
      <c r="I366" s="9"/>
      <c r="J366" s="9"/>
      <c r="K366" s="9"/>
      <c r="L366" s="223"/>
      <c r="M366" s="223"/>
      <c r="N366" s="9"/>
      <c r="O366" s="9"/>
      <c r="P366" s="9"/>
      <c r="Q366" s="223"/>
      <c r="R366" s="9"/>
      <c r="S366" s="223"/>
      <c r="T366" s="9"/>
      <c r="U366" s="9"/>
      <c r="V366" s="9"/>
      <c r="W366" s="9"/>
      <c r="X366" s="9"/>
      <c r="Y366" s="204"/>
      <c r="Z366" s="9"/>
      <c r="AA366" s="9"/>
      <c r="AB366" s="9"/>
      <c r="AC366" s="9"/>
    </row>
    <row r="367" ht="15.75" customHeight="1">
      <c r="A367" s="223"/>
      <c r="B367" s="223"/>
      <c r="C367" s="223"/>
      <c r="D367" s="9"/>
      <c r="E367" s="223"/>
      <c r="F367" s="971"/>
      <c r="G367" s="9"/>
      <c r="H367" s="9"/>
      <c r="I367" s="9"/>
      <c r="J367" s="9"/>
      <c r="K367" s="9"/>
      <c r="L367" s="223"/>
      <c r="M367" s="223"/>
      <c r="N367" s="9"/>
      <c r="O367" s="9"/>
      <c r="P367" s="9"/>
      <c r="Q367" s="223"/>
      <c r="R367" s="9"/>
      <c r="S367" s="223"/>
      <c r="T367" s="9"/>
      <c r="U367" s="9"/>
      <c r="V367" s="9"/>
      <c r="W367" s="9"/>
      <c r="X367" s="9"/>
      <c r="Y367" s="204"/>
      <c r="Z367" s="9"/>
      <c r="AA367" s="9"/>
      <c r="AB367" s="9"/>
      <c r="AC367" s="9"/>
    </row>
    <row r="368" ht="15.75" customHeight="1">
      <c r="A368" s="223"/>
      <c r="B368" s="223"/>
      <c r="C368" s="223"/>
      <c r="D368" s="9"/>
      <c r="E368" s="223"/>
      <c r="F368" s="971"/>
      <c r="G368" s="9"/>
      <c r="H368" s="9"/>
      <c r="I368" s="9"/>
      <c r="J368" s="9"/>
      <c r="K368" s="9"/>
      <c r="L368" s="223"/>
      <c r="M368" s="223"/>
      <c r="N368" s="9"/>
      <c r="O368" s="9"/>
      <c r="P368" s="9"/>
      <c r="Q368" s="223"/>
      <c r="R368" s="9"/>
      <c r="S368" s="223"/>
      <c r="T368" s="9"/>
      <c r="U368" s="9"/>
      <c r="V368" s="9"/>
      <c r="W368" s="9"/>
      <c r="X368" s="9"/>
      <c r="Y368" s="204"/>
      <c r="Z368" s="9"/>
      <c r="AA368" s="9"/>
      <c r="AB368" s="9"/>
      <c r="AC368" s="9"/>
    </row>
    <row r="369" ht="15.75" customHeight="1">
      <c r="A369" s="223"/>
      <c r="B369" s="223"/>
      <c r="C369" s="223"/>
      <c r="D369" s="9"/>
      <c r="E369" s="223"/>
      <c r="F369" s="971"/>
      <c r="G369" s="9"/>
      <c r="H369" s="9"/>
      <c r="I369" s="9"/>
      <c r="J369" s="9"/>
      <c r="K369" s="9"/>
      <c r="L369" s="223"/>
      <c r="M369" s="223"/>
      <c r="N369" s="9"/>
      <c r="O369" s="9"/>
      <c r="P369" s="9"/>
      <c r="Q369" s="223"/>
      <c r="R369" s="9"/>
      <c r="S369" s="223"/>
      <c r="T369" s="9"/>
      <c r="U369" s="9"/>
      <c r="V369" s="9"/>
      <c r="W369" s="9"/>
      <c r="X369" s="9"/>
      <c r="Y369" s="204"/>
      <c r="Z369" s="9"/>
      <c r="AA369" s="9"/>
      <c r="AB369" s="9"/>
      <c r="AC369" s="9"/>
    </row>
    <row r="370" ht="15.75" customHeight="1">
      <c r="A370" s="223"/>
      <c r="B370" s="223"/>
      <c r="C370" s="223"/>
      <c r="D370" s="9"/>
      <c r="E370" s="223"/>
      <c r="F370" s="971"/>
      <c r="G370" s="9"/>
      <c r="H370" s="9"/>
      <c r="I370" s="9"/>
      <c r="J370" s="9"/>
      <c r="K370" s="9"/>
      <c r="L370" s="223"/>
      <c r="M370" s="223"/>
      <c r="N370" s="9"/>
      <c r="O370" s="9"/>
      <c r="P370" s="9"/>
      <c r="Q370" s="223"/>
      <c r="R370" s="9"/>
      <c r="S370" s="223"/>
      <c r="T370" s="9"/>
      <c r="U370" s="9"/>
      <c r="V370" s="9"/>
      <c r="W370" s="9"/>
      <c r="X370" s="9"/>
      <c r="Y370" s="204"/>
      <c r="Z370" s="9"/>
      <c r="AA370" s="9"/>
      <c r="AB370" s="9"/>
      <c r="AC370" s="9"/>
    </row>
    <row r="371" ht="15.75" customHeight="1">
      <c r="A371" s="223"/>
      <c r="B371" s="223"/>
      <c r="C371" s="223"/>
      <c r="D371" s="9"/>
      <c r="E371" s="223"/>
      <c r="F371" s="971"/>
      <c r="G371" s="9"/>
      <c r="H371" s="9"/>
      <c r="I371" s="9"/>
      <c r="J371" s="9"/>
      <c r="K371" s="9"/>
      <c r="L371" s="223"/>
      <c r="M371" s="223"/>
      <c r="N371" s="9"/>
      <c r="O371" s="9"/>
      <c r="P371" s="9"/>
      <c r="Q371" s="223"/>
      <c r="R371" s="9"/>
      <c r="S371" s="223"/>
      <c r="T371" s="9"/>
      <c r="U371" s="9"/>
      <c r="V371" s="9"/>
      <c r="W371" s="9"/>
      <c r="X371" s="9"/>
      <c r="Y371" s="204"/>
      <c r="Z371" s="9"/>
      <c r="AA371" s="9"/>
      <c r="AB371" s="9"/>
      <c r="AC371" s="9"/>
    </row>
    <row r="372" ht="15.75" customHeight="1">
      <c r="A372" s="223"/>
      <c r="B372" s="223"/>
      <c r="C372" s="223"/>
      <c r="D372" s="9"/>
      <c r="E372" s="223"/>
      <c r="F372" s="971"/>
      <c r="G372" s="9"/>
      <c r="H372" s="9"/>
      <c r="I372" s="9"/>
      <c r="J372" s="9"/>
      <c r="K372" s="9"/>
      <c r="L372" s="223"/>
      <c r="M372" s="223"/>
      <c r="N372" s="9"/>
      <c r="O372" s="9"/>
      <c r="P372" s="9"/>
      <c r="Q372" s="223"/>
      <c r="R372" s="9"/>
      <c r="S372" s="223"/>
      <c r="T372" s="9"/>
      <c r="U372" s="9"/>
      <c r="V372" s="9"/>
      <c r="W372" s="9"/>
      <c r="X372" s="9"/>
      <c r="Y372" s="204"/>
      <c r="Z372" s="9"/>
      <c r="AA372" s="9"/>
      <c r="AB372" s="9"/>
      <c r="AC372" s="9"/>
    </row>
    <row r="373" ht="15.75" customHeight="1">
      <c r="A373" s="223"/>
      <c r="B373" s="223"/>
      <c r="C373" s="223"/>
      <c r="D373" s="9"/>
      <c r="E373" s="223"/>
      <c r="F373" s="971"/>
      <c r="G373" s="9"/>
      <c r="H373" s="9"/>
      <c r="I373" s="9"/>
      <c r="J373" s="9"/>
      <c r="K373" s="9"/>
      <c r="L373" s="223"/>
      <c r="M373" s="223"/>
      <c r="N373" s="9"/>
      <c r="O373" s="9"/>
      <c r="P373" s="9"/>
      <c r="Q373" s="223"/>
      <c r="R373" s="9"/>
      <c r="S373" s="223"/>
      <c r="T373" s="9"/>
      <c r="U373" s="9"/>
      <c r="V373" s="9"/>
      <c r="W373" s="9"/>
      <c r="X373" s="9"/>
      <c r="Y373" s="204"/>
      <c r="Z373" s="9"/>
      <c r="AA373" s="9"/>
      <c r="AB373" s="9"/>
      <c r="AC373" s="9"/>
    </row>
    <row r="374" ht="15.75" customHeight="1">
      <c r="A374" s="223"/>
      <c r="B374" s="223"/>
      <c r="C374" s="223"/>
      <c r="D374" s="9"/>
      <c r="E374" s="223"/>
      <c r="F374" s="971"/>
      <c r="G374" s="9"/>
      <c r="H374" s="9"/>
      <c r="I374" s="9"/>
      <c r="J374" s="9"/>
      <c r="K374" s="9"/>
      <c r="L374" s="223"/>
      <c r="M374" s="223"/>
      <c r="N374" s="9"/>
      <c r="O374" s="9"/>
      <c r="P374" s="9"/>
      <c r="Q374" s="223"/>
      <c r="R374" s="9"/>
      <c r="S374" s="223"/>
      <c r="T374" s="9"/>
      <c r="U374" s="9"/>
      <c r="V374" s="9"/>
      <c r="W374" s="9"/>
      <c r="X374" s="9"/>
      <c r="Y374" s="204"/>
      <c r="Z374" s="9"/>
      <c r="AA374" s="9"/>
      <c r="AB374" s="9"/>
      <c r="AC374" s="9"/>
    </row>
    <row r="375" ht="15.75" customHeight="1">
      <c r="A375" s="223"/>
      <c r="B375" s="223"/>
      <c r="C375" s="223"/>
      <c r="D375" s="9"/>
      <c r="E375" s="223"/>
      <c r="F375" s="971"/>
      <c r="G375" s="9"/>
      <c r="H375" s="9"/>
      <c r="I375" s="9"/>
      <c r="J375" s="9"/>
      <c r="K375" s="9"/>
      <c r="L375" s="223"/>
      <c r="M375" s="223"/>
      <c r="N375" s="9"/>
      <c r="O375" s="9"/>
      <c r="P375" s="9"/>
      <c r="Q375" s="223"/>
      <c r="R375" s="9"/>
      <c r="S375" s="223"/>
      <c r="T375" s="9"/>
      <c r="U375" s="9"/>
      <c r="V375" s="9"/>
      <c r="W375" s="9"/>
      <c r="X375" s="9"/>
      <c r="Y375" s="204"/>
      <c r="Z375" s="9"/>
      <c r="AA375" s="9"/>
      <c r="AB375" s="9"/>
      <c r="AC375" s="9"/>
    </row>
    <row r="376" ht="15.75" customHeight="1">
      <c r="A376" s="223"/>
      <c r="B376" s="223"/>
      <c r="C376" s="223"/>
      <c r="D376" s="9"/>
      <c r="E376" s="223"/>
      <c r="F376" s="971"/>
      <c r="G376" s="9"/>
      <c r="H376" s="9"/>
      <c r="I376" s="9"/>
      <c r="J376" s="9"/>
      <c r="K376" s="9"/>
      <c r="L376" s="223"/>
      <c r="M376" s="223"/>
      <c r="N376" s="9"/>
      <c r="O376" s="9"/>
      <c r="P376" s="9"/>
      <c r="Q376" s="223"/>
      <c r="R376" s="9"/>
      <c r="S376" s="223"/>
      <c r="T376" s="9"/>
      <c r="U376" s="9"/>
      <c r="V376" s="9"/>
      <c r="W376" s="9"/>
      <c r="X376" s="9"/>
      <c r="Y376" s="204"/>
      <c r="Z376" s="9"/>
      <c r="AA376" s="9"/>
      <c r="AB376" s="9"/>
      <c r="AC376" s="9"/>
    </row>
    <row r="377" ht="15.75" customHeight="1">
      <c r="A377" s="223"/>
      <c r="B377" s="223"/>
      <c r="C377" s="223"/>
      <c r="D377" s="9"/>
      <c r="E377" s="223"/>
      <c r="F377" s="971"/>
      <c r="G377" s="9"/>
      <c r="H377" s="9"/>
      <c r="I377" s="9"/>
      <c r="J377" s="9"/>
      <c r="K377" s="9"/>
      <c r="L377" s="223"/>
      <c r="M377" s="223"/>
      <c r="N377" s="9"/>
      <c r="O377" s="9"/>
      <c r="P377" s="9"/>
      <c r="Q377" s="223"/>
      <c r="R377" s="9"/>
      <c r="S377" s="223"/>
      <c r="T377" s="9"/>
      <c r="U377" s="9"/>
      <c r="V377" s="9"/>
      <c r="W377" s="9"/>
      <c r="X377" s="9"/>
      <c r="Y377" s="204"/>
      <c r="Z377" s="9"/>
      <c r="AA377" s="9"/>
      <c r="AB377" s="9"/>
      <c r="AC377" s="9"/>
    </row>
    <row r="378" ht="15.75" customHeight="1">
      <c r="A378" s="223"/>
      <c r="B378" s="223"/>
      <c r="C378" s="223"/>
      <c r="D378" s="9"/>
      <c r="E378" s="223"/>
      <c r="F378" s="971"/>
      <c r="G378" s="9"/>
      <c r="H378" s="9"/>
      <c r="I378" s="9"/>
      <c r="J378" s="9"/>
      <c r="K378" s="9"/>
      <c r="L378" s="223"/>
      <c r="M378" s="223"/>
      <c r="N378" s="9"/>
      <c r="O378" s="9"/>
      <c r="P378" s="9"/>
      <c r="Q378" s="223"/>
      <c r="R378" s="9"/>
      <c r="S378" s="223"/>
      <c r="T378" s="9"/>
      <c r="U378" s="9"/>
      <c r="V378" s="9"/>
      <c r="W378" s="9"/>
      <c r="X378" s="9"/>
      <c r="Y378" s="204"/>
      <c r="Z378" s="9"/>
      <c r="AA378" s="9"/>
      <c r="AB378" s="9"/>
      <c r="AC378" s="9"/>
    </row>
    <row r="379" ht="15.75" customHeight="1">
      <c r="A379" s="223"/>
      <c r="B379" s="223"/>
      <c r="C379" s="223"/>
      <c r="D379" s="9"/>
      <c r="E379" s="223"/>
      <c r="F379" s="971"/>
      <c r="G379" s="9"/>
      <c r="H379" s="9"/>
      <c r="I379" s="9"/>
      <c r="J379" s="9"/>
      <c r="K379" s="9"/>
      <c r="L379" s="223"/>
      <c r="M379" s="223"/>
      <c r="N379" s="9"/>
      <c r="O379" s="9"/>
      <c r="P379" s="9"/>
      <c r="Q379" s="223"/>
      <c r="R379" s="9"/>
      <c r="S379" s="223"/>
      <c r="T379" s="9"/>
      <c r="U379" s="9"/>
      <c r="V379" s="9"/>
      <c r="W379" s="9"/>
      <c r="X379" s="9"/>
      <c r="Y379" s="204"/>
      <c r="Z379" s="9"/>
      <c r="AA379" s="9"/>
      <c r="AB379" s="9"/>
      <c r="AC379" s="9"/>
    </row>
    <row r="380" ht="15.75" customHeight="1">
      <c r="A380" s="223"/>
      <c r="B380" s="223"/>
      <c r="C380" s="223"/>
      <c r="D380" s="9"/>
      <c r="E380" s="223"/>
      <c r="F380" s="971"/>
      <c r="G380" s="9"/>
      <c r="H380" s="9"/>
      <c r="I380" s="9"/>
      <c r="J380" s="9"/>
      <c r="K380" s="9"/>
      <c r="L380" s="223"/>
      <c r="M380" s="223"/>
      <c r="N380" s="9"/>
      <c r="O380" s="9"/>
      <c r="P380" s="9"/>
      <c r="Q380" s="223"/>
      <c r="R380" s="9"/>
      <c r="S380" s="223"/>
      <c r="T380" s="9"/>
      <c r="U380" s="9"/>
      <c r="V380" s="9"/>
      <c r="W380" s="9"/>
      <c r="X380" s="9"/>
      <c r="Y380" s="204"/>
      <c r="Z380" s="9"/>
      <c r="AA380" s="9"/>
      <c r="AB380" s="9"/>
      <c r="AC380" s="9"/>
    </row>
    <row r="381" ht="15.75" customHeight="1">
      <c r="A381" s="223"/>
      <c r="B381" s="223"/>
      <c r="C381" s="223"/>
      <c r="D381" s="9"/>
      <c r="E381" s="223"/>
      <c r="F381" s="971"/>
      <c r="G381" s="9"/>
      <c r="H381" s="9"/>
      <c r="I381" s="9"/>
      <c r="J381" s="9"/>
      <c r="K381" s="9"/>
      <c r="L381" s="223"/>
      <c r="M381" s="223"/>
      <c r="N381" s="9"/>
      <c r="O381" s="9"/>
      <c r="P381" s="9"/>
      <c r="Q381" s="223"/>
      <c r="R381" s="9"/>
      <c r="S381" s="223"/>
      <c r="T381" s="9"/>
      <c r="U381" s="9"/>
      <c r="V381" s="9"/>
      <c r="W381" s="9"/>
      <c r="X381" s="9"/>
      <c r="Y381" s="204"/>
      <c r="Z381" s="9"/>
      <c r="AA381" s="9"/>
      <c r="AB381" s="9"/>
      <c r="AC381" s="9"/>
    </row>
    <row r="382" ht="15.75" customHeight="1">
      <c r="A382" s="223"/>
      <c r="B382" s="223"/>
      <c r="C382" s="223"/>
      <c r="D382" s="9"/>
      <c r="E382" s="223"/>
      <c r="F382" s="971"/>
      <c r="G382" s="9"/>
      <c r="H382" s="9"/>
      <c r="I382" s="9"/>
      <c r="J382" s="9"/>
      <c r="K382" s="9"/>
      <c r="L382" s="223"/>
      <c r="M382" s="223"/>
      <c r="N382" s="9"/>
      <c r="O382" s="9"/>
      <c r="P382" s="9"/>
      <c r="Q382" s="223"/>
      <c r="R382" s="9"/>
      <c r="S382" s="223"/>
      <c r="T382" s="9"/>
      <c r="U382" s="9"/>
      <c r="V382" s="9"/>
      <c r="W382" s="9"/>
      <c r="X382" s="9"/>
      <c r="Y382" s="204"/>
      <c r="Z382" s="9"/>
      <c r="AA382" s="9"/>
      <c r="AB382" s="9"/>
      <c r="AC382" s="9"/>
    </row>
    <row r="383" ht="15.75" customHeight="1">
      <c r="A383" s="223"/>
      <c r="B383" s="223"/>
      <c r="C383" s="223"/>
      <c r="D383" s="9"/>
      <c r="E383" s="223"/>
      <c r="F383" s="971"/>
      <c r="G383" s="9"/>
      <c r="H383" s="9"/>
      <c r="I383" s="9"/>
      <c r="J383" s="9"/>
      <c r="K383" s="9"/>
      <c r="L383" s="223"/>
      <c r="M383" s="223"/>
      <c r="N383" s="9"/>
      <c r="O383" s="9"/>
      <c r="P383" s="9"/>
      <c r="Q383" s="223"/>
      <c r="R383" s="9"/>
      <c r="S383" s="223"/>
      <c r="T383" s="9"/>
      <c r="U383" s="9"/>
      <c r="V383" s="9"/>
      <c r="W383" s="9"/>
      <c r="X383" s="9"/>
      <c r="Y383" s="204"/>
      <c r="Z383" s="9"/>
      <c r="AA383" s="9"/>
      <c r="AB383" s="9"/>
      <c r="AC383" s="9"/>
    </row>
    <row r="384" ht="15.75" customHeight="1">
      <c r="A384" s="223"/>
      <c r="B384" s="223"/>
      <c r="C384" s="223"/>
      <c r="D384" s="9"/>
      <c r="E384" s="223"/>
      <c r="F384" s="971"/>
      <c r="G384" s="9"/>
      <c r="H384" s="9"/>
      <c r="I384" s="9"/>
      <c r="J384" s="9"/>
      <c r="K384" s="9"/>
      <c r="L384" s="223"/>
      <c r="M384" s="223"/>
      <c r="N384" s="9"/>
      <c r="O384" s="9"/>
      <c r="P384" s="9"/>
      <c r="Q384" s="223"/>
      <c r="R384" s="9"/>
      <c r="S384" s="223"/>
      <c r="T384" s="9"/>
      <c r="U384" s="9"/>
      <c r="V384" s="9"/>
      <c r="W384" s="9"/>
      <c r="X384" s="9"/>
      <c r="Y384" s="204"/>
      <c r="Z384" s="9"/>
      <c r="AA384" s="9"/>
      <c r="AB384" s="9"/>
      <c r="AC384" s="9"/>
    </row>
    <row r="385" ht="15.75" customHeight="1">
      <c r="A385" s="223"/>
      <c r="B385" s="223"/>
      <c r="C385" s="223"/>
      <c r="D385" s="9"/>
      <c r="E385" s="223"/>
      <c r="F385" s="971"/>
      <c r="G385" s="9"/>
      <c r="H385" s="9"/>
      <c r="I385" s="9"/>
      <c r="J385" s="9"/>
      <c r="K385" s="9"/>
      <c r="L385" s="223"/>
      <c r="M385" s="223"/>
      <c r="N385" s="9"/>
      <c r="O385" s="9"/>
      <c r="P385" s="9"/>
      <c r="Q385" s="223"/>
      <c r="R385" s="9"/>
      <c r="S385" s="223"/>
      <c r="T385" s="9"/>
      <c r="U385" s="9"/>
      <c r="V385" s="9"/>
      <c r="W385" s="9"/>
      <c r="X385" s="9"/>
      <c r="Y385" s="204"/>
      <c r="Z385" s="9"/>
      <c r="AA385" s="9"/>
      <c r="AB385" s="9"/>
      <c r="AC385" s="9"/>
    </row>
    <row r="386" ht="15.75" customHeight="1">
      <c r="A386" s="223"/>
      <c r="B386" s="223"/>
      <c r="C386" s="223"/>
      <c r="D386" s="9"/>
      <c r="E386" s="223"/>
      <c r="F386" s="971"/>
      <c r="G386" s="9"/>
      <c r="H386" s="9"/>
      <c r="I386" s="9"/>
      <c r="J386" s="9"/>
      <c r="K386" s="9"/>
      <c r="L386" s="223"/>
      <c r="M386" s="223"/>
      <c r="N386" s="9"/>
      <c r="O386" s="9"/>
      <c r="P386" s="9"/>
      <c r="Q386" s="223"/>
      <c r="R386" s="9"/>
      <c r="S386" s="223"/>
      <c r="T386" s="9"/>
      <c r="U386" s="9"/>
      <c r="V386" s="9"/>
      <c r="W386" s="9"/>
      <c r="X386" s="9"/>
      <c r="Y386" s="204"/>
      <c r="Z386" s="9"/>
      <c r="AA386" s="9"/>
      <c r="AB386" s="9"/>
      <c r="AC386" s="9"/>
    </row>
    <row r="387" ht="15.75" customHeight="1">
      <c r="A387" s="223"/>
      <c r="B387" s="223"/>
      <c r="C387" s="223"/>
      <c r="D387" s="9"/>
      <c r="E387" s="223"/>
      <c r="F387" s="971"/>
      <c r="G387" s="9"/>
      <c r="H387" s="9"/>
      <c r="I387" s="9"/>
      <c r="J387" s="9"/>
      <c r="K387" s="9"/>
      <c r="L387" s="223"/>
      <c r="M387" s="223"/>
      <c r="N387" s="9"/>
      <c r="O387" s="9"/>
      <c r="P387" s="9"/>
      <c r="Q387" s="223"/>
      <c r="R387" s="9"/>
      <c r="S387" s="223"/>
      <c r="T387" s="9"/>
      <c r="U387" s="9"/>
      <c r="V387" s="9"/>
      <c r="W387" s="9"/>
      <c r="X387" s="9"/>
      <c r="Y387" s="204"/>
      <c r="Z387" s="9"/>
      <c r="AA387" s="9"/>
      <c r="AB387" s="9"/>
      <c r="AC387" s="9"/>
    </row>
    <row r="388" ht="15.75" customHeight="1">
      <c r="A388" s="223"/>
      <c r="B388" s="223"/>
      <c r="C388" s="223"/>
      <c r="D388" s="9"/>
      <c r="E388" s="223"/>
      <c r="F388" s="971"/>
      <c r="G388" s="9"/>
      <c r="H388" s="9"/>
      <c r="I388" s="9"/>
      <c r="J388" s="9"/>
      <c r="K388" s="9"/>
      <c r="L388" s="223"/>
      <c r="M388" s="223"/>
      <c r="N388" s="9"/>
      <c r="O388" s="9"/>
      <c r="P388" s="9"/>
      <c r="Q388" s="223"/>
      <c r="R388" s="9"/>
      <c r="S388" s="223"/>
      <c r="T388" s="9"/>
      <c r="U388" s="9"/>
      <c r="V388" s="9"/>
      <c r="W388" s="9"/>
      <c r="X388" s="9"/>
      <c r="Y388" s="204"/>
      <c r="Z388" s="9"/>
      <c r="AA388" s="9"/>
      <c r="AB388" s="9"/>
      <c r="AC388" s="9"/>
    </row>
    <row r="389" ht="15.75" customHeight="1">
      <c r="A389" s="223"/>
      <c r="B389" s="223"/>
      <c r="C389" s="223"/>
      <c r="D389" s="9"/>
      <c r="E389" s="223"/>
      <c r="F389" s="971"/>
      <c r="G389" s="9"/>
      <c r="H389" s="9"/>
      <c r="I389" s="9"/>
      <c r="J389" s="9"/>
      <c r="K389" s="9"/>
      <c r="L389" s="223"/>
      <c r="M389" s="223"/>
      <c r="N389" s="9"/>
      <c r="O389" s="9"/>
      <c r="P389" s="9"/>
      <c r="Q389" s="223"/>
      <c r="R389" s="9"/>
      <c r="S389" s="223"/>
      <c r="T389" s="9"/>
      <c r="U389" s="9"/>
      <c r="V389" s="9"/>
      <c r="W389" s="9"/>
      <c r="X389" s="9"/>
      <c r="Y389" s="204"/>
      <c r="Z389" s="9"/>
      <c r="AA389" s="9"/>
      <c r="AB389" s="9"/>
      <c r="AC389" s="9"/>
    </row>
    <row r="390" ht="15.75" customHeight="1">
      <c r="A390" s="223"/>
      <c r="B390" s="223"/>
      <c r="C390" s="223"/>
      <c r="D390" s="9"/>
      <c r="E390" s="223"/>
      <c r="F390" s="971"/>
      <c r="G390" s="9"/>
      <c r="H390" s="9"/>
      <c r="I390" s="9"/>
      <c r="J390" s="9"/>
      <c r="K390" s="9"/>
      <c r="L390" s="223"/>
      <c r="M390" s="223"/>
      <c r="N390" s="9"/>
      <c r="O390" s="9"/>
      <c r="P390" s="9"/>
      <c r="Q390" s="223"/>
      <c r="R390" s="9"/>
      <c r="S390" s="223"/>
      <c r="T390" s="9"/>
      <c r="U390" s="9"/>
      <c r="V390" s="9"/>
      <c r="W390" s="9"/>
      <c r="X390" s="9"/>
      <c r="Y390" s="204"/>
      <c r="Z390" s="9"/>
      <c r="AA390" s="9"/>
      <c r="AB390" s="9"/>
      <c r="AC390" s="9"/>
    </row>
    <row r="391" ht="15.75" customHeight="1">
      <c r="A391" s="223"/>
      <c r="B391" s="223"/>
      <c r="C391" s="223"/>
      <c r="D391" s="9"/>
      <c r="E391" s="223"/>
      <c r="F391" s="971"/>
      <c r="G391" s="9"/>
      <c r="H391" s="9"/>
      <c r="I391" s="9"/>
      <c r="J391" s="9"/>
      <c r="K391" s="9"/>
      <c r="L391" s="223"/>
      <c r="M391" s="223"/>
      <c r="N391" s="9"/>
      <c r="O391" s="9"/>
      <c r="P391" s="9"/>
      <c r="Q391" s="223"/>
      <c r="R391" s="9"/>
      <c r="S391" s="223"/>
      <c r="T391" s="9"/>
      <c r="U391" s="9"/>
      <c r="V391" s="9"/>
      <c r="W391" s="9"/>
      <c r="X391" s="9"/>
      <c r="Y391" s="204"/>
      <c r="Z391" s="9"/>
      <c r="AA391" s="9"/>
      <c r="AB391" s="9"/>
      <c r="AC391" s="9"/>
    </row>
    <row r="392" ht="15.75" customHeight="1">
      <c r="A392" s="223"/>
      <c r="B392" s="223"/>
      <c r="C392" s="223"/>
      <c r="D392" s="9"/>
      <c r="E392" s="223"/>
      <c r="F392" s="971"/>
      <c r="G392" s="9"/>
      <c r="H392" s="9"/>
      <c r="I392" s="9"/>
      <c r="J392" s="9"/>
      <c r="K392" s="9"/>
      <c r="L392" s="223"/>
      <c r="M392" s="223"/>
      <c r="N392" s="9"/>
      <c r="O392" s="9"/>
      <c r="P392" s="9"/>
      <c r="Q392" s="223"/>
      <c r="R392" s="9"/>
      <c r="S392" s="223"/>
      <c r="T392" s="9"/>
      <c r="U392" s="9"/>
      <c r="V392" s="9"/>
      <c r="W392" s="9"/>
      <c r="X392" s="9"/>
      <c r="Y392" s="204"/>
      <c r="Z392" s="9"/>
      <c r="AA392" s="9"/>
      <c r="AB392" s="9"/>
      <c r="AC392" s="9"/>
    </row>
    <row r="393" ht="15.75" customHeight="1">
      <c r="A393" s="223"/>
      <c r="B393" s="223"/>
      <c r="C393" s="223"/>
      <c r="D393" s="9"/>
      <c r="E393" s="223"/>
      <c r="F393" s="971"/>
      <c r="G393" s="9"/>
      <c r="H393" s="9"/>
      <c r="I393" s="9"/>
      <c r="J393" s="9"/>
      <c r="K393" s="9"/>
      <c r="L393" s="223"/>
      <c r="M393" s="223"/>
      <c r="N393" s="9"/>
      <c r="O393" s="9"/>
      <c r="P393" s="9"/>
      <c r="Q393" s="223"/>
      <c r="R393" s="9"/>
      <c r="S393" s="223"/>
      <c r="T393" s="9"/>
      <c r="U393" s="9"/>
      <c r="V393" s="9"/>
      <c r="W393" s="9"/>
      <c r="X393" s="9"/>
      <c r="Y393" s="204"/>
      <c r="Z393" s="9"/>
      <c r="AA393" s="9"/>
      <c r="AB393" s="9"/>
      <c r="AC393" s="9"/>
    </row>
    <row r="394" ht="15.75" customHeight="1">
      <c r="A394" s="223"/>
      <c r="B394" s="223"/>
      <c r="C394" s="223"/>
      <c r="D394" s="9"/>
      <c r="E394" s="223"/>
      <c r="F394" s="971"/>
      <c r="G394" s="9"/>
      <c r="H394" s="9"/>
      <c r="I394" s="9"/>
      <c r="J394" s="9"/>
      <c r="K394" s="9"/>
      <c r="L394" s="223"/>
      <c r="M394" s="223"/>
      <c r="N394" s="9"/>
      <c r="O394" s="9"/>
      <c r="P394" s="9"/>
      <c r="Q394" s="223"/>
      <c r="R394" s="9"/>
      <c r="S394" s="223"/>
      <c r="T394" s="9"/>
      <c r="U394" s="9"/>
      <c r="V394" s="9"/>
      <c r="W394" s="9"/>
      <c r="X394" s="9"/>
      <c r="Y394" s="204"/>
      <c r="Z394" s="9"/>
      <c r="AA394" s="9"/>
      <c r="AB394" s="9"/>
      <c r="AC394" s="9"/>
    </row>
    <row r="395" ht="15.75" customHeight="1">
      <c r="A395" s="223"/>
      <c r="B395" s="223"/>
      <c r="C395" s="223"/>
      <c r="D395" s="9"/>
      <c r="E395" s="223"/>
      <c r="F395" s="971"/>
      <c r="G395" s="9"/>
      <c r="H395" s="9"/>
      <c r="I395" s="9"/>
      <c r="J395" s="9"/>
      <c r="K395" s="9"/>
      <c r="L395" s="223"/>
      <c r="M395" s="223"/>
      <c r="N395" s="9"/>
      <c r="O395" s="9"/>
      <c r="P395" s="9"/>
      <c r="Q395" s="223"/>
      <c r="R395" s="9"/>
      <c r="S395" s="223"/>
      <c r="T395" s="9"/>
      <c r="U395" s="9"/>
      <c r="V395" s="9"/>
      <c r="W395" s="9"/>
      <c r="X395" s="9"/>
      <c r="Y395" s="204"/>
      <c r="Z395" s="9"/>
      <c r="AA395" s="9"/>
      <c r="AB395" s="9"/>
      <c r="AC395" s="9"/>
    </row>
    <row r="396" ht="15.75" customHeight="1">
      <c r="A396" s="223"/>
      <c r="B396" s="223"/>
      <c r="C396" s="223"/>
      <c r="D396" s="9"/>
      <c r="E396" s="223"/>
      <c r="F396" s="971"/>
      <c r="G396" s="9"/>
      <c r="H396" s="9"/>
      <c r="I396" s="9"/>
      <c r="J396" s="9"/>
      <c r="K396" s="9"/>
      <c r="L396" s="223"/>
      <c r="M396" s="223"/>
      <c r="N396" s="9"/>
      <c r="O396" s="9"/>
      <c r="P396" s="9"/>
      <c r="Q396" s="223"/>
      <c r="R396" s="9"/>
      <c r="S396" s="223"/>
      <c r="T396" s="9"/>
      <c r="U396" s="9"/>
      <c r="V396" s="9"/>
      <c r="W396" s="9"/>
      <c r="X396" s="9"/>
      <c r="Y396" s="204"/>
      <c r="Z396" s="9"/>
      <c r="AA396" s="9"/>
      <c r="AB396" s="9"/>
      <c r="AC396" s="9"/>
    </row>
    <row r="397" ht="15.75" customHeight="1">
      <c r="A397" s="223"/>
      <c r="B397" s="223"/>
      <c r="C397" s="223"/>
      <c r="D397" s="9"/>
      <c r="E397" s="223"/>
      <c r="F397" s="971"/>
      <c r="G397" s="9"/>
      <c r="H397" s="9"/>
      <c r="I397" s="9"/>
      <c r="J397" s="9"/>
      <c r="K397" s="9"/>
      <c r="L397" s="223"/>
      <c r="M397" s="223"/>
      <c r="N397" s="9"/>
      <c r="O397" s="9"/>
      <c r="P397" s="9"/>
      <c r="Q397" s="223"/>
      <c r="R397" s="9"/>
      <c r="S397" s="223"/>
      <c r="T397" s="9"/>
      <c r="U397" s="9"/>
      <c r="V397" s="9"/>
      <c r="W397" s="9"/>
      <c r="X397" s="9"/>
      <c r="Y397" s="204"/>
      <c r="Z397" s="9"/>
      <c r="AA397" s="9"/>
      <c r="AB397" s="9"/>
      <c r="AC397" s="9"/>
    </row>
    <row r="398" ht="15.75" customHeight="1">
      <c r="A398" s="223"/>
      <c r="B398" s="223"/>
      <c r="C398" s="223"/>
      <c r="D398" s="9"/>
      <c r="E398" s="223"/>
      <c r="F398" s="971"/>
      <c r="G398" s="9"/>
      <c r="H398" s="9"/>
      <c r="I398" s="9"/>
      <c r="J398" s="9"/>
      <c r="K398" s="9"/>
      <c r="L398" s="223"/>
      <c r="M398" s="223"/>
      <c r="N398" s="9"/>
      <c r="O398" s="9"/>
      <c r="P398" s="9"/>
      <c r="Q398" s="223"/>
      <c r="R398" s="9"/>
      <c r="S398" s="223"/>
      <c r="T398" s="9"/>
      <c r="U398" s="9"/>
      <c r="V398" s="9"/>
      <c r="W398" s="9"/>
      <c r="X398" s="9"/>
      <c r="Y398" s="204"/>
      <c r="Z398" s="9"/>
      <c r="AA398" s="9"/>
      <c r="AB398" s="9"/>
      <c r="AC398" s="9"/>
    </row>
    <row r="399" ht="15.75" customHeight="1">
      <c r="A399" s="223"/>
      <c r="B399" s="223"/>
      <c r="C399" s="223"/>
      <c r="D399" s="9"/>
      <c r="E399" s="223"/>
      <c r="F399" s="971"/>
      <c r="G399" s="9"/>
      <c r="H399" s="9"/>
      <c r="I399" s="9"/>
      <c r="J399" s="9"/>
      <c r="K399" s="9"/>
      <c r="L399" s="223"/>
      <c r="M399" s="223"/>
      <c r="N399" s="9"/>
      <c r="O399" s="9"/>
      <c r="P399" s="9"/>
      <c r="Q399" s="223"/>
      <c r="R399" s="9"/>
      <c r="S399" s="223"/>
      <c r="T399" s="9"/>
      <c r="U399" s="9"/>
      <c r="V399" s="9"/>
      <c r="W399" s="9"/>
      <c r="X399" s="9"/>
      <c r="Y399" s="204"/>
      <c r="Z399" s="9"/>
      <c r="AA399" s="9"/>
      <c r="AB399" s="9"/>
      <c r="AC399" s="9"/>
    </row>
    <row r="400" ht="15.75" customHeight="1">
      <c r="A400" s="223"/>
      <c r="B400" s="223"/>
      <c r="C400" s="223"/>
      <c r="D400" s="9"/>
      <c r="E400" s="223"/>
      <c r="F400" s="971"/>
      <c r="G400" s="9"/>
      <c r="H400" s="9"/>
      <c r="I400" s="9"/>
      <c r="J400" s="9"/>
      <c r="K400" s="9"/>
      <c r="L400" s="223"/>
      <c r="M400" s="223"/>
      <c r="N400" s="9"/>
      <c r="O400" s="9"/>
      <c r="P400" s="9"/>
      <c r="Q400" s="223"/>
      <c r="R400" s="9"/>
      <c r="S400" s="223"/>
      <c r="T400" s="9"/>
      <c r="U400" s="9"/>
      <c r="V400" s="9"/>
      <c r="W400" s="9"/>
      <c r="X400" s="9"/>
      <c r="Y400" s="204"/>
      <c r="Z400" s="9"/>
      <c r="AA400" s="9"/>
      <c r="AB400" s="9"/>
      <c r="AC400" s="9"/>
    </row>
    <row r="401" ht="15.75" customHeight="1">
      <c r="A401" s="223"/>
      <c r="B401" s="223"/>
      <c r="C401" s="223"/>
      <c r="D401" s="9"/>
      <c r="E401" s="223"/>
      <c r="F401" s="971"/>
      <c r="G401" s="9"/>
      <c r="H401" s="9"/>
      <c r="I401" s="9"/>
      <c r="J401" s="9"/>
      <c r="K401" s="9"/>
      <c r="L401" s="223"/>
      <c r="M401" s="223"/>
      <c r="N401" s="9"/>
      <c r="O401" s="9"/>
      <c r="P401" s="9"/>
      <c r="Q401" s="223"/>
      <c r="R401" s="9"/>
      <c r="S401" s="223"/>
      <c r="T401" s="9"/>
      <c r="U401" s="9"/>
      <c r="V401" s="9"/>
      <c r="W401" s="9"/>
      <c r="X401" s="9"/>
      <c r="Y401" s="204"/>
      <c r="Z401" s="9"/>
      <c r="AA401" s="9"/>
      <c r="AB401" s="9"/>
      <c r="AC401" s="9"/>
    </row>
    <row r="402" ht="15.75" customHeight="1">
      <c r="A402" s="223"/>
      <c r="B402" s="223"/>
      <c r="C402" s="223"/>
      <c r="D402" s="9"/>
      <c r="E402" s="223"/>
      <c r="F402" s="971"/>
      <c r="G402" s="9"/>
      <c r="H402" s="9"/>
      <c r="I402" s="9"/>
      <c r="J402" s="9"/>
      <c r="K402" s="9"/>
      <c r="L402" s="223"/>
      <c r="M402" s="223"/>
      <c r="N402" s="9"/>
      <c r="O402" s="9"/>
      <c r="P402" s="9"/>
      <c r="Q402" s="223"/>
      <c r="R402" s="9"/>
      <c r="S402" s="223"/>
      <c r="T402" s="9"/>
      <c r="U402" s="9"/>
      <c r="V402" s="9"/>
      <c r="W402" s="9"/>
      <c r="X402" s="9"/>
      <c r="Y402" s="204"/>
      <c r="Z402" s="9"/>
      <c r="AA402" s="9"/>
      <c r="AB402" s="9"/>
      <c r="AC402" s="9"/>
    </row>
    <row r="403" ht="15.75" customHeight="1">
      <c r="A403" s="223"/>
      <c r="B403" s="223"/>
      <c r="C403" s="223"/>
      <c r="D403" s="9"/>
      <c r="E403" s="223"/>
      <c r="F403" s="971"/>
      <c r="G403" s="9"/>
      <c r="H403" s="9"/>
      <c r="I403" s="9"/>
      <c r="J403" s="9"/>
      <c r="K403" s="9"/>
      <c r="L403" s="223"/>
      <c r="M403" s="223"/>
      <c r="N403" s="9"/>
      <c r="O403" s="9"/>
      <c r="P403" s="9"/>
      <c r="Q403" s="223"/>
      <c r="R403" s="9"/>
      <c r="S403" s="223"/>
      <c r="T403" s="9"/>
      <c r="U403" s="9"/>
      <c r="V403" s="9"/>
      <c r="W403" s="9"/>
      <c r="X403" s="9"/>
      <c r="Y403" s="204"/>
      <c r="Z403" s="9"/>
      <c r="AA403" s="9"/>
      <c r="AB403" s="9"/>
      <c r="AC403" s="9"/>
    </row>
    <row r="404" ht="15.75" customHeight="1">
      <c r="A404" s="223"/>
      <c r="B404" s="223"/>
      <c r="C404" s="223"/>
      <c r="D404" s="9"/>
      <c r="E404" s="223"/>
      <c r="F404" s="971"/>
      <c r="G404" s="9"/>
      <c r="H404" s="9"/>
      <c r="I404" s="9"/>
      <c r="J404" s="9"/>
      <c r="K404" s="9"/>
      <c r="L404" s="223"/>
      <c r="M404" s="223"/>
      <c r="N404" s="9"/>
      <c r="O404" s="9"/>
      <c r="P404" s="9"/>
      <c r="Q404" s="223"/>
      <c r="R404" s="9"/>
      <c r="S404" s="223"/>
      <c r="T404" s="9"/>
      <c r="U404" s="9"/>
      <c r="V404" s="9"/>
      <c r="W404" s="9"/>
      <c r="X404" s="9"/>
      <c r="Y404" s="204"/>
      <c r="Z404" s="9"/>
      <c r="AA404" s="9"/>
      <c r="AB404" s="9"/>
      <c r="AC404" s="9"/>
    </row>
    <row r="405" ht="15.75" customHeight="1">
      <c r="A405" s="223"/>
      <c r="B405" s="223"/>
      <c r="C405" s="223"/>
      <c r="D405" s="9"/>
      <c r="E405" s="223"/>
      <c r="F405" s="971"/>
      <c r="G405" s="9"/>
      <c r="H405" s="9"/>
      <c r="I405" s="9"/>
      <c r="J405" s="9"/>
      <c r="K405" s="9"/>
      <c r="L405" s="223"/>
      <c r="M405" s="223"/>
      <c r="N405" s="9"/>
      <c r="O405" s="9"/>
      <c r="P405" s="9"/>
      <c r="Q405" s="223"/>
      <c r="R405" s="9"/>
      <c r="S405" s="223"/>
      <c r="T405" s="9"/>
      <c r="U405" s="9"/>
      <c r="V405" s="9"/>
      <c r="W405" s="9"/>
      <c r="X405" s="9"/>
      <c r="Y405" s="204"/>
      <c r="Z405" s="9"/>
      <c r="AA405" s="9"/>
      <c r="AB405" s="9"/>
      <c r="AC405" s="9"/>
    </row>
    <row r="406" ht="15.75" customHeight="1">
      <c r="A406" s="223"/>
      <c r="B406" s="223"/>
      <c r="C406" s="223"/>
      <c r="D406" s="9"/>
      <c r="E406" s="223"/>
      <c r="F406" s="971"/>
      <c r="G406" s="9"/>
      <c r="H406" s="9"/>
      <c r="I406" s="9"/>
      <c r="J406" s="9"/>
      <c r="K406" s="9"/>
      <c r="L406" s="223"/>
      <c r="M406" s="223"/>
      <c r="N406" s="9"/>
      <c r="O406" s="9"/>
      <c r="P406" s="9"/>
      <c r="Q406" s="223"/>
      <c r="R406" s="9"/>
      <c r="S406" s="223"/>
      <c r="T406" s="9"/>
      <c r="U406" s="9"/>
      <c r="V406" s="9"/>
      <c r="W406" s="9"/>
      <c r="X406" s="9"/>
      <c r="Y406" s="204"/>
      <c r="Z406" s="9"/>
      <c r="AA406" s="9"/>
      <c r="AB406" s="9"/>
      <c r="AC406" s="9"/>
    </row>
    <row r="407" ht="15.75" customHeight="1">
      <c r="A407" s="223"/>
      <c r="B407" s="223"/>
      <c r="C407" s="223"/>
      <c r="D407" s="9"/>
      <c r="E407" s="223"/>
      <c r="F407" s="971"/>
      <c r="G407" s="9"/>
      <c r="H407" s="9"/>
      <c r="I407" s="9"/>
      <c r="J407" s="9"/>
      <c r="K407" s="9"/>
      <c r="L407" s="223"/>
      <c r="M407" s="223"/>
      <c r="N407" s="9"/>
      <c r="O407" s="9"/>
      <c r="P407" s="9"/>
      <c r="Q407" s="223"/>
      <c r="R407" s="9"/>
      <c r="S407" s="223"/>
      <c r="T407" s="9"/>
      <c r="U407" s="9"/>
      <c r="V407" s="9"/>
      <c r="W407" s="9"/>
      <c r="X407" s="9"/>
      <c r="Y407" s="204"/>
      <c r="Z407" s="9"/>
      <c r="AA407" s="9"/>
      <c r="AB407" s="9"/>
      <c r="AC407" s="9"/>
    </row>
    <row r="408" ht="15.75" customHeight="1">
      <c r="A408" s="223"/>
      <c r="B408" s="223"/>
      <c r="C408" s="223"/>
      <c r="D408" s="9"/>
      <c r="E408" s="223"/>
      <c r="F408" s="971"/>
      <c r="G408" s="9"/>
      <c r="H408" s="9"/>
      <c r="I408" s="9"/>
      <c r="J408" s="9"/>
      <c r="K408" s="9"/>
      <c r="L408" s="223"/>
      <c r="M408" s="223"/>
      <c r="N408" s="9"/>
      <c r="O408" s="9"/>
      <c r="P408" s="9"/>
      <c r="Q408" s="223"/>
      <c r="R408" s="9"/>
      <c r="S408" s="223"/>
      <c r="T408" s="9"/>
      <c r="U408" s="9"/>
      <c r="V408" s="9"/>
      <c r="W408" s="9"/>
      <c r="X408" s="9"/>
      <c r="Y408" s="204"/>
      <c r="Z408" s="9"/>
      <c r="AA408" s="9"/>
      <c r="AB408" s="9"/>
      <c r="AC408" s="9"/>
    </row>
    <row r="409" ht="15.75" customHeight="1">
      <c r="A409" s="223"/>
      <c r="B409" s="223"/>
      <c r="C409" s="223"/>
      <c r="D409" s="9"/>
      <c r="E409" s="223"/>
      <c r="F409" s="971"/>
      <c r="G409" s="9"/>
      <c r="H409" s="9"/>
      <c r="I409" s="9"/>
      <c r="J409" s="9"/>
      <c r="K409" s="9"/>
      <c r="L409" s="223"/>
      <c r="M409" s="223"/>
      <c r="N409" s="9"/>
      <c r="O409" s="9"/>
      <c r="P409" s="9"/>
      <c r="Q409" s="223"/>
      <c r="R409" s="9"/>
      <c r="S409" s="223"/>
      <c r="T409" s="9"/>
      <c r="U409" s="9"/>
      <c r="V409" s="9"/>
      <c r="W409" s="9"/>
      <c r="X409" s="9"/>
      <c r="Y409" s="204"/>
      <c r="Z409" s="9"/>
      <c r="AA409" s="9"/>
      <c r="AB409" s="9"/>
      <c r="AC409" s="9"/>
    </row>
    <row r="410" ht="15.75" customHeight="1">
      <c r="A410" s="223"/>
      <c r="B410" s="223"/>
      <c r="C410" s="223"/>
      <c r="D410" s="9"/>
      <c r="E410" s="223"/>
      <c r="F410" s="971"/>
      <c r="G410" s="9"/>
      <c r="H410" s="9"/>
      <c r="I410" s="9"/>
      <c r="J410" s="9"/>
      <c r="K410" s="9"/>
      <c r="L410" s="223"/>
      <c r="M410" s="223"/>
      <c r="N410" s="9"/>
      <c r="O410" s="9"/>
      <c r="P410" s="9"/>
      <c r="Q410" s="223"/>
      <c r="R410" s="9"/>
      <c r="S410" s="223"/>
      <c r="T410" s="9"/>
      <c r="U410" s="9"/>
      <c r="V410" s="9"/>
      <c r="W410" s="9"/>
      <c r="X410" s="9"/>
      <c r="Y410" s="204"/>
      <c r="Z410" s="9"/>
      <c r="AA410" s="9"/>
      <c r="AB410" s="9"/>
      <c r="AC410" s="9"/>
    </row>
    <row r="411" ht="15.75" customHeight="1">
      <c r="A411" s="223"/>
      <c r="B411" s="223"/>
      <c r="C411" s="223"/>
      <c r="D411" s="9"/>
      <c r="E411" s="223"/>
      <c r="F411" s="971"/>
      <c r="G411" s="9"/>
      <c r="H411" s="9"/>
      <c r="I411" s="9"/>
      <c r="J411" s="9"/>
      <c r="K411" s="9"/>
      <c r="L411" s="223"/>
      <c r="M411" s="223"/>
      <c r="N411" s="9"/>
      <c r="O411" s="9"/>
      <c r="P411" s="9"/>
      <c r="Q411" s="223"/>
      <c r="R411" s="9"/>
      <c r="S411" s="223"/>
      <c r="T411" s="9"/>
      <c r="U411" s="9"/>
      <c r="V411" s="9"/>
      <c r="W411" s="9"/>
      <c r="X411" s="9"/>
      <c r="Y411" s="204"/>
      <c r="Z411" s="9"/>
      <c r="AA411" s="9"/>
      <c r="AB411" s="9"/>
      <c r="AC411" s="9"/>
    </row>
    <row r="412" ht="15.75" customHeight="1">
      <c r="A412" s="223"/>
      <c r="B412" s="223"/>
      <c r="C412" s="223"/>
      <c r="D412" s="9"/>
      <c r="E412" s="223"/>
      <c r="F412" s="971"/>
      <c r="G412" s="9"/>
      <c r="H412" s="9"/>
      <c r="I412" s="9"/>
      <c r="J412" s="9"/>
      <c r="K412" s="9"/>
      <c r="L412" s="223"/>
      <c r="M412" s="223"/>
      <c r="N412" s="9"/>
      <c r="O412" s="9"/>
      <c r="P412" s="9"/>
      <c r="Q412" s="223"/>
      <c r="R412" s="9"/>
      <c r="S412" s="223"/>
      <c r="T412" s="9"/>
      <c r="U412" s="9"/>
      <c r="V412" s="9"/>
      <c r="W412" s="9"/>
      <c r="X412" s="9"/>
      <c r="Y412" s="204"/>
      <c r="Z412" s="9"/>
      <c r="AA412" s="9"/>
      <c r="AB412" s="9"/>
      <c r="AC412" s="9"/>
    </row>
    <row r="413" ht="15.75" customHeight="1">
      <c r="A413" s="223"/>
      <c r="B413" s="223"/>
      <c r="C413" s="223"/>
      <c r="D413" s="9"/>
      <c r="E413" s="223"/>
      <c r="F413" s="971"/>
      <c r="G413" s="9"/>
      <c r="H413" s="9"/>
      <c r="I413" s="9"/>
      <c r="J413" s="9"/>
      <c r="K413" s="9"/>
      <c r="L413" s="223"/>
      <c r="M413" s="223"/>
      <c r="N413" s="9"/>
      <c r="O413" s="9"/>
      <c r="P413" s="9"/>
      <c r="Q413" s="223"/>
      <c r="R413" s="9"/>
      <c r="S413" s="223"/>
      <c r="T413" s="9"/>
      <c r="U413" s="9"/>
      <c r="V413" s="9"/>
      <c r="W413" s="9"/>
      <c r="X413" s="9"/>
      <c r="Y413" s="204"/>
      <c r="Z413" s="9"/>
      <c r="AA413" s="9"/>
      <c r="AB413" s="9"/>
      <c r="AC413" s="9"/>
    </row>
    <row r="414" ht="15.75" customHeight="1">
      <c r="A414" s="223"/>
      <c r="B414" s="223"/>
      <c r="C414" s="223"/>
      <c r="D414" s="9"/>
      <c r="E414" s="223"/>
      <c r="F414" s="971"/>
      <c r="G414" s="9"/>
      <c r="H414" s="9"/>
      <c r="I414" s="9"/>
      <c r="J414" s="9"/>
      <c r="K414" s="9"/>
      <c r="L414" s="223"/>
      <c r="M414" s="223"/>
      <c r="N414" s="9"/>
      <c r="O414" s="9"/>
      <c r="P414" s="9"/>
      <c r="Q414" s="223"/>
      <c r="R414" s="9"/>
      <c r="S414" s="223"/>
      <c r="T414" s="9"/>
      <c r="U414" s="9"/>
      <c r="V414" s="9"/>
      <c r="W414" s="9"/>
      <c r="X414" s="9"/>
      <c r="Y414" s="204"/>
      <c r="Z414" s="9"/>
      <c r="AA414" s="9"/>
      <c r="AB414" s="9"/>
      <c r="AC414" s="9"/>
    </row>
    <row r="415" ht="15.75" customHeight="1">
      <c r="A415" s="223"/>
      <c r="B415" s="223"/>
      <c r="C415" s="223"/>
      <c r="D415" s="9"/>
      <c r="E415" s="223"/>
      <c r="F415" s="971"/>
      <c r="G415" s="9"/>
      <c r="H415" s="9"/>
      <c r="I415" s="9"/>
      <c r="J415" s="9"/>
      <c r="K415" s="9"/>
      <c r="L415" s="223"/>
      <c r="M415" s="223"/>
      <c r="N415" s="9"/>
      <c r="O415" s="9"/>
      <c r="P415" s="9"/>
      <c r="Q415" s="223"/>
      <c r="R415" s="9"/>
      <c r="S415" s="223"/>
      <c r="T415" s="9"/>
      <c r="U415" s="9"/>
      <c r="V415" s="9"/>
      <c r="W415" s="9"/>
      <c r="X415" s="9"/>
      <c r="Y415" s="204"/>
      <c r="Z415" s="9"/>
      <c r="AA415" s="9"/>
      <c r="AB415" s="9"/>
      <c r="AC415" s="9"/>
    </row>
    <row r="416" ht="15.75" customHeight="1">
      <c r="A416" s="223"/>
      <c r="B416" s="223"/>
      <c r="C416" s="223"/>
      <c r="D416" s="9"/>
      <c r="E416" s="223"/>
      <c r="F416" s="971"/>
      <c r="G416" s="9"/>
      <c r="H416" s="9"/>
      <c r="I416" s="9"/>
      <c r="J416" s="9"/>
      <c r="K416" s="9"/>
      <c r="L416" s="223"/>
      <c r="M416" s="223"/>
      <c r="N416" s="9"/>
      <c r="O416" s="9"/>
      <c r="P416" s="9"/>
      <c r="Q416" s="223"/>
      <c r="R416" s="9"/>
      <c r="S416" s="223"/>
      <c r="T416" s="9"/>
      <c r="U416" s="9"/>
      <c r="V416" s="9"/>
      <c r="W416" s="9"/>
      <c r="X416" s="9"/>
      <c r="Y416" s="204"/>
      <c r="Z416" s="9"/>
      <c r="AA416" s="9"/>
      <c r="AB416" s="9"/>
      <c r="AC416" s="9"/>
    </row>
    <row r="417" ht="15.75" customHeight="1">
      <c r="A417" s="223"/>
      <c r="B417" s="223"/>
      <c r="C417" s="223"/>
      <c r="D417" s="9"/>
      <c r="E417" s="223"/>
      <c r="F417" s="971"/>
      <c r="G417" s="9"/>
      <c r="H417" s="9"/>
      <c r="I417" s="9"/>
      <c r="J417" s="9"/>
      <c r="K417" s="9"/>
      <c r="L417" s="223"/>
      <c r="M417" s="223"/>
      <c r="N417" s="9"/>
      <c r="O417" s="9"/>
      <c r="P417" s="9"/>
      <c r="Q417" s="223"/>
      <c r="R417" s="9"/>
      <c r="S417" s="223"/>
      <c r="T417" s="9"/>
      <c r="U417" s="9"/>
      <c r="V417" s="9"/>
      <c r="W417" s="9"/>
      <c r="X417" s="9"/>
      <c r="Y417" s="204"/>
      <c r="Z417" s="9"/>
      <c r="AA417" s="9"/>
      <c r="AB417" s="9"/>
      <c r="AC417" s="9"/>
    </row>
    <row r="418" ht="15.75" customHeight="1">
      <c r="A418" s="223"/>
      <c r="B418" s="223"/>
      <c r="C418" s="223"/>
      <c r="D418" s="9"/>
      <c r="E418" s="223"/>
      <c r="F418" s="971"/>
      <c r="G418" s="9"/>
      <c r="H418" s="9"/>
      <c r="I418" s="9"/>
      <c r="J418" s="9"/>
      <c r="K418" s="9"/>
      <c r="L418" s="223"/>
      <c r="M418" s="223"/>
      <c r="N418" s="9"/>
      <c r="O418" s="9"/>
      <c r="P418" s="9"/>
      <c r="Q418" s="223"/>
      <c r="R418" s="9"/>
      <c r="S418" s="223"/>
      <c r="T418" s="9"/>
      <c r="U418" s="9"/>
      <c r="V418" s="9"/>
      <c r="W418" s="9"/>
      <c r="X418" s="9"/>
      <c r="Y418" s="204"/>
      <c r="Z418" s="9"/>
      <c r="AA418" s="9"/>
      <c r="AB418" s="9"/>
      <c r="AC418" s="9"/>
    </row>
    <row r="419" ht="15.75" customHeight="1">
      <c r="A419" s="223"/>
      <c r="B419" s="223"/>
      <c r="C419" s="223"/>
      <c r="D419" s="9"/>
      <c r="E419" s="223"/>
      <c r="F419" s="971"/>
      <c r="G419" s="9"/>
      <c r="H419" s="9"/>
      <c r="I419" s="9"/>
      <c r="J419" s="9"/>
      <c r="K419" s="9"/>
      <c r="L419" s="223"/>
      <c r="M419" s="223"/>
      <c r="N419" s="9"/>
      <c r="O419" s="9"/>
      <c r="P419" s="9"/>
      <c r="Q419" s="223"/>
      <c r="R419" s="9"/>
      <c r="S419" s="223"/>
      <c r="T419" s="9"/>
      <c r="U419" s="9"/>
      <c r="V419" s="9"/>
      <c r="W419" s="9"/>
      <c r="X419" s="9"/>
      <c r="Y419" s="204"/>
      <c r="Z419" s="9"/>
      <c r="AA419" s="9"/>
      <c r="AB419" s="9"/>
      <c r="AC419" s="9"/>
    </row>
    <row r="420" ht="15.75" customHeight="1">
      <c r="A420" s="223"/>
      <c r="B420" s="223"/>
      <c r="C420" s="223"/>
      <c r="D420" s="9"/>
      <c r="E420" s="223"/>
      <c r="F420" s="971"/>
      <c r="G420" s="9"/>
      <c r="H420" s="9"/>
      <c r="I420" s="9"/>
      <c r="J420" s="9"/>
      <c r="K420" s="9"/>
      <c r="L420" s="223"/>
      <c r="M420" s="223"/>
      <c r="N420" s="9"/>
      <c r="O420" s="9"/>
      <c r="P420" s="9"/>
      <c r="Q420" s="223"/>
      <c r="R420" s="9"/>
      <c r="S420" s="223"/>
      <c r="T420" s="9"/>
      <c r="U420" s="9"/>
      <c r="V420" s="9"/>
      <c r="W420" s="9"/>
      <c r="X420" s="9"/>
      <c r="Y420" s="204"/>
      <c r="Z420" s="9"/>
      <c r="AA420" s="9"/>
      <c r="AB420" s="9"/>
      <c r="AC420" s="9"/>
    </row>
    <row r="421" ht="15.75" customHeight="1">
      <c r="A421" s="223"/>
      <c r="B421" s="223"/>
      <c r="C421" s="223"/>
      <c r="D421" s="9"/>
      <c r="E421" s="223"/>
      <c r="F421" s="971"/>
      <c r="G421" s="9"/>
      <c r="H421" s="9"/>
      <c r="I421" s="9"/>
      <c r="J421" s="9"/>
      <c r="K421" s="9"/>
      <c r="L421" s="223"/>
      <c r="M421" s="223"/>
      <c r="N421" s="9"/>
      <c r="O421" s="9"/>
      <c r="P421" s="9"/>
      <c r="Q421" s="223"/>
      <c r="R421" s="9"/>
      <c r="S421" s="223"/>
      <c r="T421" s="9"/>
      <c r="U421" s="9"/>
      <c r="V421" s="9"/>
      <c r="W421" s="9"/>
      <c r="X421" s="9"/>
      <c r="Y421" s="204"/>
      <c r="Z421" s="9"/>
      <c r="AA421" s="9"/>
      <c r="AB421" s="9"/>
      <c r="AC421" s="9"/>
    </row>
    <row r="422" ht="15.75" customHeight="1">
      <c r="A422" s="223"/>
      <c r="B422" s="223"/>
      <c r="C422" s="223"/>
      <c r="D422" s="9"/>
      <c r="E422" s="223"/>
      <c r="F422" s="971"/>
      <c r="G422" s="9"/>
      <c r="H422" s="9"/>
      <c r="I422" s="9"/>
      <c r="J422" s="9"/>
      <c r="K422" s="9"/>
      <c r="L422" s="223"/>
      <c r="M422" s="223"/>
      <c r="N422" s="9"/>
      <c r="O422" s="9"/>
      <c r="P422" s="9"/>
      <c r="Q422" s="223"/>
      <c r="R422" s="9"/>
      <c r="S422" s="223"/>
      <c r="T422" s="9"/>
      <c r="U422" s="9"/>
      <c r="V422" s="9"/>
      <c r="W422" s="9"/>
      <c r="X422" s="9"/>
      <c r="Y422" s="204"/>
      <c r="Z422" s="9"/>
      <c r="AA422" s="9"/>
      <c r="AB422" s="9"/>
      <c r="AC422" s="9"/>
    </row>
    <row r="423" ht="15.75" customHeight="1">
      <c r="A423" s="223"/>
      <c r="B423" s="223"/>
      <c r="C423" s="223"/>
      <c r="D423" s="9"/>
      <c r="E423" s="223"/>
      <c r="F423" s="971"/>
      <c r="G423" s="9"/>
      <c r="H423" s="9"/>
      <c r="I423" s="9"/>
      <c r="J423" s="9"/>
      <c r="K423" s="9"/>
      <c r="L423" s="223"/>
      <c r="M423" s="223"/>
      <c r="N423" s="9"/>
      <c r="O423" s="9"/>
      <c r="P423" s="9"/>
      <c r="Q423" s="223"/>
      <c r="R423" s="9"/>
      <c r="S423" s="223"/>
      <c r="T423" s="9"/>
      <c r="U423" s="9"/>
      <c r="V423" s="9"/>
      <c r="W423" s="9"/>
      <c r="X423" s="9"/>
      <c r="Y423" s="204"/>
      <c r="Z423" s="9"/>
      <c r="AA423" s="9"/>
      <c r="AB423" s="9"/>
      <c r="AC423" s="9"/>
    </row>
    <row r="424" ht="15.75" customHeight="1">
      <c r="A424" s="223"/>
      <c r="B424" s="223"/>
      <c r="C424" s="223"/>
      <c r="D424" s="9"/>
      <c r="E424" s="223"/>
      <c r="F424" s="971"/>
      <c r="G424" s="9"/>
      <c r="H424" s="9"/>
      <c r="I424" s="9"/>
      <c r="J424" s="9"/>
      <c r="K424" s="9"/>
      <c r="L424" s="223"/>
      <c r="M424" s="223"/>
      <c r="N424" s="9"/>
      <c r="O424" s="9"/>
      <c r="P424" s="9"/>
      <c r="Q424" s="223"/>
      <c r="R424" s="9"/>
      <c r="S424" s="223"/>
      <c r="T424" s="9"/>
      <c r="U424" s="9"/>
      <c r="V424" s="9"/>
      <c r="W424" s="9"/>
      <c r="X424" s="9"/>
      <c r="Y424" s="204"/>
      <c r="Z424" s="9"/>
      <c r="AA424" s="9"/>
      <c r="AB424" s="9"/>
      <c r="AC424" s="9"/>
    </row>
    <row r="425" ht="15.75" customHeight="1">
      <c r="A425" s="223"/>
      <c r="B425" s="223"/>
      <c r="C425" s="223"/>
      <c r="D425" s="9"/>
      <c r="E425" s="223"/>
      <c r="F425" s="971"/>
      <c r="G425" s="9"/>
      <c r="H425" s="9"/>
      <c r="I425" s="9"/>
      <c r="J425" s="9"/>
      <c r="K425" s="9"/>
      <c r="L425" s="223"/>
      <c r="M425" s="223"/>
      <c r="N425" s="9"/>
      <c r="O425" s="9"/>
      <c r="P425" s="9"/>
      <c r="Q425" s="223"/>
      <c r="R425" s="9"/>
      <c r="S425" s="223"/>
      <c r="T425" s="9"/>
      <c r="U425" s="9"/>
      <c r="V425" s="9"/>
      <c r="W425" s="9"/>
      <c r="X425" s="9"/>
      <c r="Y425" s="204"/>
      <c r="Z425" s="9"/>
      <c r="AA425" s="9"/>
      <c r="AB425" s="9"/>
      <c r="AC425" s="9"/>
    </row>
    <row r="426" ht="15.75" customHeight="1">
      <c r="A426" s="223"/>
      <c r="B426" s="223"/>
      <c r="C426" s="223"/>
      <c r="D426" s="9"/>
      <c r="E426" s="223"/>
      <c r="F426" s="971"/>
      <c r="G426" s="9"/>
      <c r="H426" s="9"/>
      <c r="I426" s="9"/>
      <c r="J426" s="9"/>
      <c r="K426" s="9"/>
      <c r="L426" s="223"/>
      <c r="M426" s="223"/>
      <c r="N426" s="9"/>
      <c r="O426" s="9"/>
      <c r="P426" s="9"/>
      <c r="Q426" s="223"/>
      <c r="R426" s="9"/>
      <c r="S426" s="223"/>
      <c r="T426" s="9"/>
      <c r="U426" s="9"/>
      <c r="V426" s="9"/>
      <c r="W426" s="9"/>
      <c r="X426" s="9"/>
      <c r="Y426" s="204"/>
      <c r="Z426" s="9"/>
      <c r="AA426" s="9"/>
      <c r="AB426" s="9"/>
      <c r="AC426" s="9"/>
    </row>
    <row r="427" ht="15.75" customHeight="1">
      <c r="A427" s="223"/>
      <c r="B427" s="223"/>
      <c r="C427" s="223"/>
      <c r="D427" s="9"/>
      <c r="E427" s="223"/>
      <c r="F427" s="971"/>
      <c r="G427" s="9"/>
      <c r="H427" s="9"/>
      <c r="I427" s="9"/>
      <c r="J427" s="9"/>
      <c r="K427" s="9"/>
      <c r="L427" s="223"/>
      <c r="M427" s="223"/>
      <c r="N427" s="9"/>
      <c r="O427" s="9"/>
      <c r="P427" s="9"/>
      <c r="Q427" s="223"/>
      <c r="R427" s="9"/>
      <c r="S427" s="223"/>
      <c r="T427" s="9"/>
      <c r="U427" s="9"/>
      <c r="V427" s="9"/>
      <c r="W427" s="9"/>
      <c r="X427" s="9"/>
      <c r="Y427" s="204"/>
      <c r="Z427" s="9"/>
      <c r="AA427" s="9"/>
      <c r="AB427" s="9"/>
      <c r="AC427" s="9"/>
    </row>
    <row r="428" ht="15.75" customHeight="1">
      <c r="A428" s="223"/>
      <c r="B428" s="223"/>
      <c r="C428" s="223"/>
      <c r="D428" s="9"/>
      <c r="E428" s="223"/>
      <c r="F428" s="971"/>
      <c r="G428" s="9"/>
      <c r="H428" s="9"/>
      <c r="I428" s="9"/>
      <c r="J428" s="9"/>
      <c r="K428" s="9"/>
      <c r="L428" s="223"/>
      <c r="M428" s="223"/>
      <c r="N428" s="9"/>
      <c r="O428" s="9"/>
      <c r="P428" s="9"/>
      <c r="Q428" s="223"/>
      <c r="R428" s="9"/>
      <c r="S428" s="223"/>
      <c r="T428" s="9"/>
      <c r="U428" s="9"/>
      <c r="V428" s="9"/>
      <c r="W428" s="9"/>
      <c r="X428" s="9"/>
      <c r="Y428" s="204"/>
      <c r="Z428" s="9"/>
      <c r="AA428" s="9"/>
      <c r="AB428" s="9"/>
      <c r="AC428" s="9"/>
    </row>
    <row r="429" ht="15.75" customHeight="1">
      <c r="A429" s="223"/>
      <c r="B429" s="223"/>
      <c r="C429" s="223"/>
      <c r="D429" s="9"/>
      <c r="E429" s="223"/>
      <c r="F429" s="971"/>
      <c r="G429" s="9"/>
      <c r="H429" s="9"/>
      <c r="I429" s="9"/>
      <c r="J429" s="9"/>
      <c r="K429" s="9"/>
      <c r="L429" s="223"/>
      <c r="M429" s="223"/>
      <c r="N429" s="9"/>
      <c r="O429" s="9"/>
      <c r="P429" s="9"/>
      <c r="Q429" s="223"/>
      <c r="R429" s="9"/>
      <c r="S429" s="223"/>
      <c r="T429" s="9"/>
      <c r="U429" s="9"/>
      <c r="V429" s="9"/>
      <c r="W429" s="9"/>
      <c r="X429" s="9"/>
      <c r="Y429" s="204"/>
      <c r="Z429" s="9"/>
      <c r="AA429" s="9"/>
      <c r="AB429" s="9"/>
      <c r="AC429" s="9"/>
    </row>
    <row r="430" ht="15.75" customHeight="1">
      <c r="A430" s="223"/>
      <c r="B430" s="223"/>
      <c r="C430" s="223"/>
      <c r="D430" s="9"/>
      <c r="E430" s="223"/>
      <c r="F430" s="971"/>
      <c r="G430" s="9"/>
      <c r="H430" s="9"/>
      <c r="I430" s="9"/>
      <c r="J430" s="9"/>
      <c r="K430" s="9"/>
      <c r="L430" s="223"/>
      <c r="M430" s="223"/>
      <c r="N430" s="9"/>
      <c r="O430" s="9"/>
      <c r="P430" s="9"/>
      <c r="Q430" s="223"/>
      <c r="R430" s="9"/>
      <c r="S430" s="223"/>
      <c r="T430" s="9"/>
      <c r="U430" s="9"/>
      <c r="V430" s="9"/>
      <c r="W430" s="9"/>
      <c r="X430" s="9"/>
      <c r="Y430" s="204"/>
      <c r="Z430" s="9"/>
      <c r="AA430" s="9"/>
      <c r="AB430" s="9"/>
      <c r="AC430" s="9"/>
    </row>
    <row r="431" ht="15.75" customHeight="1">
      <c r="A431" s="223"/>
      <c r="B431" s="223"/>
      <c r="C431" s="223"/>
      <c r="D431" s="9"/>
      <c r="E431" s="223"/>
      <c r="F431" s="971"/>
      <c r="G431" s="9"/>
      <c r="H431" s="9"/>
      <c r="I431" s="9"/>
      <c r="J431" s="9"/>
      <c r="K431" s="9"/>
      <c r="L431" s="223"/>
      <c r="M431" s="223"/>
      <c r="N431" s="9"/>
      <c r="O431" s="9"/>
      <c r="P431" s="9"/>
      <c r="Q431" s="223"/>
      <c r="R431" s="9"/>
      <c r="S431" s="223"/>
      <c r="T431" s="9"/>
      <c r="U431" s="9"/>
      <c r="V431" s="9"/>
      <c r="W431" s="9"/>
      <c r="X431" s="9"/>
      <c r="Y431" s="204"/>
      <c r="Z431" s="9"/>
      <c r="AA431" s="9"/>
      <c r="AB431" s="9"/>
      <c r="AC431" s="9"/>
    </row>
    <row r="432" ht="15.75" customHeight="1">
      <c r="A432" s="223"/>
      <c r="B432" s="223"/>
      <c r="C432" s="223"/>
      <c r="D432" s="9"/>
      <c r="E432" s="223"/>
      <c r="F432" s="971"/>
      <c r="G432" s="9"/>
      <c r="H432" s="9"/>
      <c r="I432" s="9"/>
      <c r="J432" s="9"/>
      <c r="K432" s="9"/>
      <c r="L432" s="223"/>
      <c r="M432" s="223"/>
      <c r="N432" s="9"/>
      <c r="O432" s="9"/>
      <c r="P432" s="9"/>
      <c r="Q432" s="223"/>
      <c r="R432" s="9"/>
      <c r="S432" s="223"/>
      <c r="T432" s="9"/>
      <c r="U432" s="9"/>
      <c r="V432" s="9"/>
      <c r="W432" s="9"/>
      <c r="X432" s="9"/>
      <c r="Y432" s="204"/>
      <c r="Z432" s="9"/>
      <c r="AA432" s="9"/>
      <c r="AB432" s="9"/>
      <c r="AC432" s="9"/>
    </row>
    <row r="433" ht="15.75" customHeight="1">
      <c r="A433" s="223"/>
      <c r="B433" s="223"/>
      <c r="C433" s="223"/>
      <c r="D433" s="9"/>
      <c r="E433" s="223"/>
      <c r="F433" s="971"/>
      <c r="G433" s="9"/>
      <c r="H433" s="9"/>
      <c r="I433" s="9"/>
      <c r="J433" s="9"/>
      <c r="K433" s="9"/>
      <c r="L433" s="223"/>
      <c r="M433" s="223"/>
      <c r="N433" s="9"/>
      <c r="O433" s="9"/>
      <c r="P433" s="9"/>
      <c r="Q433" s="223"/>
      <c r="R433" s="9"/>
      <c r="S433" s="223"/>
      <c r="T433" s="9"/>
      <c r="U433" s="9"/>
      <c r="V433" s="9"/>
      <c r="W433" s="9"/>
      <c r="X433" s="9"/>
      <c r="Y433" s="204"/>
      <c r="Z433" s="9"/>
      <c r="AA433" s="9"/>
      <c r="AB433" s="9"/>
      <c r="AC433" s="9"/>
    </row>
    <row r="434" ht="15.75" customHeight="1">
      <c r="A434" s="223"/>
      <c r="B434" s="223"/>
      <c r="C434" s="223"/>
      <c r="D434" s="9"/>
      <c r="E434" s="223"/>
      <c r="F434" s="971"/>
      <c r="G434" s="9"/>
      <c r="H434" s="9"/>
      <c r="I434" s="9"/>
      <c r="J434" s="9"/>
      <c r="K434" s="9"/>
      <c r="L434" s="223"/>
      <c r="M434" s="223"/>
      <c r="N434" s="9"/>
      <c r="O434" s="9"/>
      <c r="P434" s="9"/>
      <c r="Q434" s="223"/>
      <c r="R434" s="9"/>
      <c r="S434" s="223"/>
      <c r="T434" s="9"/>
      <c r="U434" s="9"/>
      <c r="V434" s="9"/>
      <c r="W434" s="9"/>
      <c r="X434" s="9"/>
      <c r="Y434" s="204"/>
      <c r="Z434" s="9"/>
      <c r="AA434" s="9"/>
      <c r="AB434" s="9"/>
      <c r="AC434" s="9"/>
    </row>
    <row r="435" ht="15.75" customHeight="1">
      <c r="A435" s="223"/>
      <c r="B435" s="223"/>
      <c r="C435" s="223"/>
      <c r="D435" s="9"/>
      <c r="E435" s="223"/>
      <c r="F435" s="971"/>
      <c r="G435" s="9"/>
      <c r="H435" s="9"/>
      <c r="I435" s="9"/>
      <c r="J435" s="9"/>
      <c r="K435" s="9"/>
      <c r="L435" s="223"/>
      <c r="M435" s="223"/>
      <c r="N435" s="9"/>
      <c r="O435" s="9"/>
      <c r="P435" s="9"/>
      <c r="Q435" s="223"/>
      <c r="R435" s="9"/>
      <c r="S435" s="223"/>
      <c r="T435" s="9"/>
      <c r="U435" s="9"/>
      <c r="V435" s="9"/>
      <c r="W435" s="9"/>
      <c r="X435" s="9"/>
      <c r="Y435" s="204"/>
      <c r="Z435" s="9"/>
      <c r="AA435" s="9"/>
      <c r="AB435" s="9"/>
      <c r="AC435" s="9"/>
    </row>
    <row r="436" ht="15.75" customHeight="1">
      <c r="A436" s="223"/>
      <c r="B436" s="223"/>
      <c r="C436" s="223"/>
      <c r="D436" s="9"/>
      <c r="E436" s="223"/>
      <c r="F436" s="971"/>
      <c r="G436" s="9"/>
      <c r="H436" s="9"/>
      <c r="I436" s="9"/>
      <c r="J436" s="9"/>
      <c r="K436" s="9"/>
      <c r="L436" s="223"/>
      <c r="M436" s="223"/>
      <c r="N436" s="9"/>
      <c r="O436" s="9"/>
      <c r="P436" s="9"/>
      <c r="Q436" s="223"/>
      <c r="R436" s="9"/>
      <c r="S436" s="223"/>
      <c r="T436" s="9"/>
      <c r="U436" s="9"/>
      <c r="V436" s="9"/>
      <c r="W436" s="9"/>
      <c r="X436" s="9"/>
      <c r="Y436" s="204"/>
      <c r="Z436" s="9"/>
      <c r="AA436" s="9"/>
      <c r="AB436" s="9"/>
      <c r="AC436" s="9"/>
    </row>
    <row r="437" ht="15.75" customHeight="1">
      <c r="A437" s="223"/>
      <c r="B437" s="223"/>
      <c r="C437" s="223"/>
      <c r="D437" s="9"/>
      <c r="E437" s="223"/>
      <c r="F437" s="971"/>
      <c r="G437" s="9"/>
      <c r="H437" s="9"/>
      <c r="I437" s="9"/>
      <c r="J437" s="9"/>
      <c r="K437" s="9"/>
      <c r="L437" s="223"/>
      <c r="M437" s="223"/>
      <c r="N437" s="9"/>
      <c r="O437" s="9"/>
      <c r="P437" s="9"/>
      <c r="Q437" s="223"/>
      <c r="R437" s="9"/>
      <c r="S437" s="223"/>
      <c r="T437" s="9"/>
      <c r="U437" s="9"/>
      <c r="V437" s="9"/>
      <c r="W437" s="9"/>
      <c r="X437" s="9"/>
      <c r="Y437" s="204"/>
      <c r="Z437" s="9"/>
      <c r="AA437" s="9"/>
      <c r="AB437" s="9"/>
      <c r="AC437" s="9"/>
    </row>
    <row r="438" ht="15.75" customHeight="1">
      <c r="A438" s="223"/>
      <c r="B438" s="223"/>
      <c r="C438" s="223"/>
      <c r="D438" s="9"/>
      <c r="E438" s="223"/>
      <c r="F438" s="971"/>
      <c r="G438" s="9"/>
      <c r="H438" s="9"/>
      <c r="I438" s="9"/>
      <c r="J438" s="9"/>
      <c r="K438" s="9"/>
      <c r="L438" s="223"/>
      <c r="M438" s="223"/>
      <c r="N438" s="9"/>
      <c r="O438" s="9"/>
      <c r="P438" s="9"/>
      <c r="Q438" s="223"/>
      <c r="R438" s="9"/>
      <c r="S438" s="223"/>
      <c r="T438" s="9"/>
      <c r="U438" s="9"/>
      <c r="V438" s="9"/>
      <c r="W438" s="9"/>
      <c r="X438" s="9"/>
      <c r="Y438" s="204"/>
      <c r="Z438" s="9"/>
      <c r="AA438" s="9"/>
      <c r="AB438" s="9"/>
      <c r="AC438" s="9"/>
    </row>
    <row r="439" ht="15.75" customHeight="1">
      <c r="A439" s="223"/>
      <c r="B439" s="223"/>
      <c r="C439" s="223"/>
      <c r="D439" s="9"/>
      <c r="E439" s="223"/>
      <c r="F439" s="971"/>
      <c r="G439" s="9"/>
      <c r="H439" s="9"/>
      <c r="I439" s="9"/>
      <c r="J439" s="9"/>
      <c r="K439" s="9"/>
      <c r="L439" s="223"/>
      <c r="M439" s="223"/>
      <c r="N439" s="9"/>
      <c r="O439" s="9"/>
      <c r="P439" s="9"/>
      <c r="Q439" s="223"/>
      <c r="R439" s="9"/>
      <c r="S439" s="223"/>
      <c r="T439" s="9"/>
      <c r="U439" s="9"/>
      <c r="V439" s="9"/>
      <c r="W439" s="9"/>
      <c r="X439" s="9"/>
      <c r="Y439" s="204"/>
      <c r="Z439" s="9"/>
      <c r="AA439" s="9"/>
      <c r="AB439" s="9"/>
      <c r="AC439" s="9"/>
    </row>
    <row r="440" ht="15.75" customHeight="1">
      <c r="A440" s="223"/>
      <c r="B440" s="223"/>
      <c r="C440" s="223"/>
      <c r="D440" s="9"/>
      <c r="E440" s="223"/>
      <c r="F440" s="971"/>
      <c r="G440" s="9"/>
      <c r="H440" s="9"/>
      <c r="I440" s="9"/>
      <c r="J440" s="9"/>
      <c r="K440" s="9"/>
      <c r="L440" s="223"/>
      <c r="M440" s="223"/>
      <c r="N440" s="9"/>
      <c r="O440" s="9"/>
      <c r="P440" s="9"/>
      <c r="Q440" s="223"/>
      <c r="R440" s="9"/>
      <c r="S440" s="223"/>
      <c r="T440" s="9"/>
      <c r="U440" s="9"/>
      <c r="V440" s="9"/>
      <c r="W440" s="9"/>
      <c r="X440" s="9"/>
      <c r="Y440" s="204"/>
      <c r="Z440" s="9"/>
      <c r="AA440" s="9"/>
      <c r="AB440" s="9"/>
      <c r="AC440" s="9"/>
    </row>
    <row r="441" ht="15.75" customHeight="1">
      <c r="A441" s="223"/>
      <c r="B441" s="223"/>
      <c r="C441" s="223"/>
      <c r="D441" s="9"/>
      <c r="E441" s="223"/>
      <c r="F441" s="971"/>
      <c r="G441" s="9"/>
      <c r="H441" s="9"/>
      <c r="I441" s="9"/>
      <c r="J441" s="9"/>
      <c r="K441" s="9"/>
      <c r="L441" s="223"/>
      <c r="M441" s="223"/>
      <c r="N441" s="9"/>
      <c r="O441" s="9"/>
      <c r="P441" s="9"/>
      <c r="Q441" s="223"/>
      <c r="R441" s="9"/>
      <c r="S441" s="223"/>
      <c r="T441" s="9"/>
      <c r="U441" s="9"/>
      <c r="V441" s="9"/>
      <c r="W441" s="9"/>
      <c r="X441" s="9"/>
      <c r="Y441" s="204"/>
      <c r="Z441" s="9"/>
      <c r="AA441" s="9"/>
      <c r="AB441" s="9"/>
      <c r="AC441" s="9"/>
    </row>
    <row r="442" ht="15.75" customHeight="1">
      <c r="A442" s="223"/>
      <c r="B442" s="223"/>
      <c r="C442" s="223"/>
      <c r="D442" s="9"/>
      <c r="E442" s="223"/>
      <c r="F442" s="971"/>
      <c r="G442" s="9"/>
      <c r="H442" s="9"/>
      <c r="I442" s="9"/>
      <c r="J442" s="9"/>
      <c r="K442" s="9"/>
      <c r="L442" s="223"/>
      <c r="M442" s="223"/>
      <c r="N442" s="9"/>
      <c r="O442" s="9"/>
      <c r="P442" s="9"/>
      <c r="Q442" s="223"/>
      <c r="R442" s="9"/>
      <c r="S442" s="223"/>
      <c r="T442" s="9"/>
      <c r="U442" s="9"/>
      <c r="V442" s="9"/>
      <c r="W442" s="9"/>
      <c r="X442" s="9"/>
      <c r="Y442" s="204"/>
      <c r="Z442" s="9"/>
      <c r="AA442" s="9"/>
      <c r="AB442" s="9"/>
      <c r="AC442" s="9"/>
    </row>
    <row r="443" ht="15.75" customHeight="1">
      <c r="A443" s="223"/>
      <c r="B443" s="223"/>
      <c r="C443" s="223"/>
      <c r="D443" s="9"/>
      <c r="E443" s="223"/>
      <c r="F443" s="971"/>
      <c r="G443" s="9"/>
      <c r="H443" s="9"/>
      <c r="I443" s="9"/>
      <c r="J443" s="9"/>
      <c r="K443" s="9"/>
      <c r="L443" s="223"/>
      <c r="M443" s="223"/>
      <c r="N443" s="9"/>
      <c r="O443" s="9"/>
      <c r="P443" s="9"/>
      <c r="Q443" s="223"/>
      <c r="R443" s="9"/>
      <c r="S443" s="223"/>
      <c r="T443" s="9"/>
      <c r="U443" s="9"/>
      <c r="V443" s="9"/>
      <c r="W443" s="9"/>
      <c r="X443" s="9"/>
      <c r="Y443" s="204"/>
      <c r="Z443" s="9"/>
      <c r="AA443" s="9"/>
      <c r="AB443" s="9"/>
      <c r="AC443" s="9"/>
    </row>
    <row r="444" ht="15.75" customHeight="1">
      <c r="A444" s="223"/>
      <c r="B444" s="223"/>
      <c r="C444" s="223"/>
      <c r="D444" s="9"/>
      <c r="E444" s="223"/>
      <c r="F444" s="971"/>
      <c r="G444" s="9"/>
      <c r="H444" s="9"/>
      <c r="I444" s="9"/>
      <c r="J444" s="9"/>
      <c r="K444" s="9"/>
      <c r="L444" s="223"/>
      <c r="M444" s="223"/>
      <c r="N444" s="9"/>
      <c r="O444" s="9"/>
      <c r="P444" s="9"/>
      <c r="Q444" s="223"/>
      <c r="R444" s="9"/>
      <c r="S444" s="223"/>
      <c r="T444" s="9"/>
      <c r="U444" s="9"/>
      <c r="V444" s="9"/>
      <c r="W444" s="9"/>
      <c r="X444" s="9"/>
      <c r="Y444" s="204"/>
      <c r="Z444" s="9"/>
      <c r="AA444" s="9"/>
      <c r="AB444" s="9"/>
      <c r="AC444" s="9"/>
    </row>
    <row r="445" ht="15.75" customHeight="1">
      <c r="A445" s="223"/>
      <c r="B445" s="223"/>
      <c r="C445" s="223"/>
      <c r="D445" s="9"/>
      <c r="E445" s="223"/>
      <c r="F445" s="971"/>
      <c r="G445" s="9"/>
      <c r="H445" s="9"/>
      <c r="I445" s="9"/>
      <c r="J445" s="9"/>
      <c r="K445" s="9"/>
      <c r="L445" s="223"/>
      <c r="M445" s="223"/>
      <c r="N445" s="9"/>
      <c r="O445" s="9"/>
      <c r="P445" s="9"/>
      <c r="Q445" s="223"/>
      <c r="R445" s="9"/>
      <c r="S445" s="223"/>
      <c r="T445" s="9"/>
      <c r="U445" s="9"/>
      <c r="V445" s="9"/>
      <c r="W445" s="9"/>
      <c r="X445" s="9"/>
      <c r="Y445" s="204"/>
      <c r="Z445" s="9"/>
      <c r="AA445" s="9"/>
      <c r="AB445" s="9"/>
      <c r="AC445" s="9"/>
    </row>
    <row r="446" ht="15.75" customHeight="1">
      <c r="A446" s="223"/>
      <c r="B446" s="223"/>
      <c r="C446" s="223"/>
      <c r="D446" s="9"/>
      <c r="E446" s="223"/>
      <c r="F446" s="971"/>
      <c r="G446" s="9"/>
      <c r="H446" s="9"/>
      <c r="I446" s="9"/>
      <c r="J446" s="9"/>
      <c r="K446" s="9"/>
      <c r="L446" s="223"/>
      <c r="M446" s="223"/>
      <c r="N446" s="9"/>
      <c r="O446" s="9"/>
      <c r="P446" s="9"/>
      <c r="Q446" s="223"/>
      <c r="R446" s="9"/>
      <c r="S446" s="223"/>
      <c r="T446" s="9"/>
      <c r="U446" s="9"/>
      <c r="V446" s="9"/>
      <c r="W446" s="9"/>
      <c r="X446" s="9"/>
      <c r="Y446" s="204"/>
      <c r="Z446" s="9"/>
      <c r="AA446" s="9"/>
      <c r="AB446" s="9"/>
      <c r="AC446" s="9"/>
    </row>
    <row r="447" ht="15.75" customHeight="1">
      <c r="A447" s="223"/>
      <c r="B447" s="223"/>
      <c r="C447" s="223"/>
      <c r="D447" s="9"/>
      <c r="E447" s="223"/>
      <c r="F447" s="971"/>
      <c r="G447" s="9"/>
      <c r="H447" s="9"/>
      <c r="I447" s="9"/>
      <c r="J447" s="9"/>
      <c r="K447" s="9"/>
      <c r="L447" s="223"/>
      <c r="M447" s="223"/>
      <c r="N447" s="9"/>
      <c r="O447" s="9"/>
      <c r="P447" s="9"/>
      <c r="Q447" s="223"/>
      <c r="R447" s="9"/>
      <c r="S447" s="223"/>
      <c r="T447" s="9"/>
      <c r="U447" s="9"/>
      <c r="V447" s="9"/>
      <c r="W447" s="9"/>
      <c r="X447" s="9"/>
      <c r="Y447" s="204"/>
      <c r="Z447" s="9"/>
      <c r="AA447" s="9"/>
      <c r="AB447" s="9"/>
      <c r="AC447" s="9"/>
    </row>
    <row r="448" ht="15.75" customHeight="1">
      <c r="A448" s="223"/>
      <c r="B448" s="223"/>
      <c r="C448" s="223"/>
      <c r="D448" s="9"/>
      <c r="E448" s="223"/>
      <c r="F448" s="971"/>
      <c r="G448" s="9"/>
      <c r="H448" s="9"/>
      <c r="I448" s="9"/>
      <c r="J448" s="9"/>
      <c r="K448" s="9"/>
      <c r="L448" s="223"/>
      <c r="M448" s="223"/>
      <c r="N448" s="9"/>
      <c r="O448" s="9"/>
      <c r="P448" s="9"/>
      <c r="Q448" s="223"/>
      <c r="R448" s="9"/>
      <c r="S448" s="223"/>
      <c r="T448" s="9"/>
      <c r="U448" s="9"/>
      <c r="V448" s="9"/>
      <c r="W448" s="9"/>
      <c r="X448" s="9"/>
      <c r="Y448" s="204"/>
      <c r="Z448" s="9"/>
      <c r="AA448" s="9"/>
      <c r="AB448" s="9"/>
      <c r="AC448" s="9"/>
    </row>
    <row r="449" ht="15.75" customHeight="1">
      <c r="A449" s="223"/>
      <c r="B449" s="223"/>
      <c r="C449" s="223"/>
      <c r="D449" s="9"/>
      <c r="E449" s="223"/>
      <c r="F449" s="971"/>
      <c r="G449" s="9"/>
      <c r="H449" s="9"/>
      <c r="I449" s="9"/>
      <c r="J449" s="9"/>
      <c r="K449" s="9"/>
      <c r="L449" s="223"/>
      <c r="M449" s="223"/>
      <c r="N449" s="9"/>
      <c r="O449" s="9"/>
      <c r="P449" s="9"/>
      <c r="Q449" s="223"/>
      <c r="R449" s="9"/>
      <c r="S449" s="223"/>
      <c r="T449" s="9"/>
      <c r="U449" s="9"/>
      <c r="V449" s="9"/>
      <c r="W449" s="9"/>
      <c r="X449" s="9"/>
      <c r="Y449" s="204"/>
      <c r="Z449" s="9"/>
      <c r="AA449" s="9"/>
      <c r="AB449" s="9"/>
      <c r="AC449" s="9"/>
    </row>
    <row r="450" ht="15.75" customHeight="1">
      <c r="A450" s="223"/>
      <c r="B450" s="223"/>
      <c r="C450" s="223"/>
      <c r="D450" s="9"/>
      <c r="E450" s="223"/>
      <c r="F450" s="971"/>
      <c r="G450" s="9"/>
      <c r="H450" s="9"/>
      <c r="I450" s="9"/>
      <c r="J450" s="9"/>
      <c r="K450" s="9"/>
      <c r="L450" s="223"/>
      <c r="M450" s="223"/>
      <c r="N450" s="9"/>
      <c r="O450" s="9"/>
      <c r="P450" s="9"/>
      <c r="Q450" s="223"/>
      <c r="R450" s="9"/>
      <c r="S450" s="223"/>
      <c r="T450" s="9"/>
      <c r="U450" s="9"/>
      <c r="V450" s="9"/>
      <c r="W450" s="9"/>
      <c r="X450" s="9"/>
      <c r="Y450" s="204"/>
      <c r="Z450" s="9"/>
      <c r="AA450" s="9"/>
      <c r="AB450" s="9"/>
      <c r="AC450" s="9"/>
    </row>
    <row r="451" ht="15.75" customHeight="1">
      <c r="A451" s="223"/>
      <c r="B451" s="223"/>
      <c r="C451" s="223"/>
      <c r="D451" s="9"/>
      <c r="E451" s="223"/>
      <c r="F451" s="971"/>
      <c r="G451" s="9"/>
      <c r="H451" s="9"/>
      <c r="I451" s="9"/>
      <c r="J451" s="9"/>
      <c r="K451" s="9"/>
      <c r="L451" s="223"/>
      <c r="M451" s="223"/>
      <c r="N451" s="9"/>
      <c r="O451" s="9"/>
      <c r="P451" s="9"/>
      <c r="Q451" s="223"/>
      <c r="R451" s="9"/>
      <c r="S451" s="223"/>
      <c r="T451" s="9"/>
      <c r="U451" s="9"/>
      <c r="V451" s="9"/>
      <c r="W451" s="9"/>
      <c r="X451" s="9"/>
      <c r="Y451" s="204"/>
      <c r="Z451" s="9"/>
      <c r="AA451" s="9"/>
      <c r="AB451" s="9"/>
      <c r="AC451" s="9"/>
    </row>
    <row r="452" ht="15.75" customHeight="1">
      <c r="A452" s="223"/>
      <c r="B452" s="223"/>
      <c r="C452" s="223"/>
      <c r="D452" s="9"/>
      <c r="E452" s="223"/>
      <c r="F452" s="971"/>
      <c r="G452" s="9"/>
      <c r="H452" s="9"/>
      <c r="I452" s="9"/>
      <c r="J452" s="9"/>
      <c r="K452" s="9"/>
      <c r="L452" s="223"/>
      <c r="M452" s="223"/>
      <c r="N452" s="9"/>
      <c r="O452" s="9"/>
      <c r="P452" s="9"/>
      <c r="Q452" s="223"/>
      <c r="R452" s="9"/>
      <c r="S452" s="223"/>
      <c r="T452" s="9"/>
      <c r="U452" s="9"/>
      <c r="V452" s="9"/>
      <c r="W452" s="9"/>
      <c r="X452" s="9"/>
      <c r="Y452" s="204"/>
      <c r="Z452" s="9"/>
      <c r="AA452" s="9"/>
      <c r="AB452" s="9"/>
      <c r="AC452" s="9"/>
    </row>
    <row r="453" ht="15.75" customHeight="1">
      <c r="A453" s="223"/>
      <c r="B453" s="223"/>
      <c r="C453" s="223"/>
      <c r="D453" s="9"/>
      <c r="E453" s="223"/>
      <c r="F453" s="971"/>
      <c r="G453" s="9"/>
      <c r="H453" s="9"/>
      <c r="I453" s="9"/>
      <c r="J453" s="9"/>
      <c r="K453" s="9"/>
      <c r="L453" s="223"/>
      <c r="M453" s="223"/>
      <c r="N453" s="9"/>
      <c r="O453" s="9"/>
      <c r="P453" s="9"/>
      <c r="Q453" s="223"/>
      <c r="R453" s="9"/>
      <c r="S453" s="223"/>
      <c r="T453" s="9"/>
      <c r="U453" s="9"/>
      <c r="V453" s="9"/>
      <c r="W453" s="9"/>
      <c r="X453" s="9"/>
      <c r="Y453" s="204"/>
      <c r="Z453" s="9"/>
      <c r="AA453" s="9"/>
      <c r="AB453" s="9"/>
      <c r="AC453" s="9"/>
    </row>
    <row r="454" ht="15.75" customHeight="1">
      <c r="A454" s="223"/>
      <c r="B454" s="223"/>
      <c r="C454" s="223"/>
      <c r="D454" s="9"/>
      <c r="E454" s="223"/>
      <c r="F454" s="971"/>
      <c r="G454" s="9"/>
      <c r="H454" s="9"/>
      <c r="I454" s="9"/>
      <c r="J454" s="9"/>
      <c r="K454" s="9"/>
      <c r="L454" s="223"/>
      <c r="M454" s="223"/>
      <c r="N454" s="9"/>
      <c r="O454" s="9"/>
      <c r="P454" s="9"/>
      <c r="Q454" s="223"/>
      <c r="R454" s="9"/>
      <c r="S454" s="223"/>
      <c r="T454" s="9"/>
      <c r="U454" s="9"/>
      <c r="V454" s="9"/>
      <c r="W454" s="9"/>
      <c r="X454" s="9"/>
      <c r="Y454" s="204"/>
      <c r="Z454" s="9"/>
      <c r="AA454" s="9"/>
      <c r="AB454" s="9"/>
      <c r="AC454" s="9"/>
    </row>
    <row r="455" ht="15.75" customHeight="1">
      <c r="A455" s="223"/>
      <c r="B455" s="223"/>
      <c r="C455" s="223"/>
      <c r="D455" s="9"/>
      <c r="E455" s="223"/>
      <c r="F455" s="971"/>
      <c r="G455" s="9"/>
      <c r="H455" s="9"/>
      <c r="I455" s="9"/>
      <c r="J455" s="9"/>
      <c r="K455" s="9"/>
      <c r="L455" s="223"/>
      <c r="M455" s="223"/>
      <c r="N455" s="9"/>
      <c r="O455" s="9"/>
      <c r="P455" s="9"/>
      <c r="Q455" s="223"/>
      <c r="R455" s="9"/>
      <c r="S455" s="223"/>
      <c r="T455" s="9"/>
      <c r="U455" s="9"/>
      <c r="V455" s="9"/>
      <c r="W455" s="9"/>
      <c r="X455" s="9"/>
      <c r="Y455" s="204"/>
      <c r="Z455" s="9"/>
      <c r="AA455" s="9"/>
      <c r="AB455" s="9"/>
      <c r="AC455" s="9"/>
    </row>
    <row r="456" ht="15.75" customHeight="1">
      <c r="A456" s="223"/>
      <c r="B456" s="223"/>
      <c r="C456" s="223"/>
      <c r="D456" s="9"/>
      <c r="E456" s="223"/>
      <c r="F456" s="971"/>
      <c r="G456" s="9"/>
      <c r="H456" s="9"/>
      <c r="I456" s="9"/>
      <c r="J456" s="9"/>
      <c r="K456" s="9"/>
      <c r="L456" s="223"/>
      <c r="M456" s="223"/>
      <c r="N456" s="9"/>
      <c r="O456" s="9"/>
      <c r="P456" s="9"/>
      <c r="Q456" s="223"/>
      <c r="R456" s="9"/>
      <c r="S456" s="223"/>
      <c r="T456" s="9"/>
      <c r="U456" s="9"/>
      <c r="V456" s="9"/>
      <c r="W456" s="9"/>
      <c r="X456" s="9"/>
      <c r="Y456" s="204"/>
      <c r="Z456" s="9"/>
      <c r="AA456" s="9"/>
      <c r="AB456" s="9"/>
      <c r="AC456" s="9"/>
    </row>
    <row r="457" ht="15.75" customHeight="1">
      <c r="A457" s="223"/>
      <c r="B457" s="223"/>
      <c r="C457" s="223"/>
      <c r="D457" s="9"/>
      <c r="E457" s="223"/>
      <c r="F457" s="971"/>
      <c r="G457" s="9"/>
      <c r="H457" s="9"/>
      <c r="I457" s="9"/>
      <c r="J457" s="9"/>
      <c r="K457" s="9"/>
      <c r="L457" s="223"/>
      <c r="M457" s="223"/>
      <c r="N457" s="9"/>
      <c r="O457" s="9"/>
      <c r="P457" s="9"/>
      <c r="Q457" s="223"/>
      <c r="R457" s="9"/>
      <c r="S457" s="223"/>
      <c r="T457" s="9"/>
      <c r="U457" s="9"/>
      <c r="V457" s="9"/>
      <c r="W457" s="9"/>
      <c r="X457" s="9"/>
      <c r="Y457" s="204"/>
      <c r="Z457" s="9"/>
      <c r="AA457" s="9"/>
      <c r="AB457" s="9"/>
      <c r="AC457" s="9"/>
    </row>
    <row r="458" ht="15.75" customHeight="1">
      <c r="A458" s="223"/>
      <c r="B458" s="223"/>
      <c r="C458" s="223"/>
      <c r="D458" s="9"/>
      <c r="E458" s="223"/>
      <c r="F458" s="971"/>
      <c r="G458" s="9"/>
      <c r="H458" s="9"/>
      <c r="I458" s="9"/>
      <c r="J458" s="9"/>
      <c r="K458" s="9"/>
      <c r="L458" s="223"/>
      <c r="M458" s="223"/>
      <c r="N458" s="9"/>
      <c r="O458" s="9"/>
      <c r="P458" s="9"/>
      <c r="Q458" s="223"/>
      <c r="R458" s="9"/>
      <c r="S458" s="223"/>
      <c r="T458" s="9"/>
      <c r="U458" s="9"/>
      <c r="V458" s="9"/>
      <c r="W458" s="9"/>
      <c r="X458" s="9"/>
      <c r="Y458" s="204"/>
      <c r="Z458" s="9"/>
      <c r="AA458" s="9"/>
      <c r="AB458" s="9"/>
      <c r="AC458" s="9"/>
    </row>
    <row r="459" ht="15.75" customHeight="1">
      <c r="A459" s="223"/>
      <c r="B459" s="223"/>
      <c r="C459" s="223"/>
      <c r="D459" s="9"/>
      <c r="E459" s="223"/>
      <c r="F459" s="971"/>
      <c r="G459" s="9"/>
      <c r="H459" s="9"/>
      <c r="I459" s="9"/>
      <c r="J459" s="9"/>
      <c r="K459" s="9"/>
      <c r="L459" s="223"/>
      <c r="M459" s="223"/>
      <c r="N459" s="9"/>
      <c r="O459" s="9"/>
      <c r="P459" s="9"/>
      <c r="Q459" s="223"/>
      <c r="R459" s="9"/>
      <c r="S459" s="223"/>
      <c r="T459" s="9"/>
      <c r="U459" s="9"/>
      <c r="V459" s="9"/>
      <c r="W459" s="9"/>
      <c r="X459" s="9"/>
      <c r="Y459" s="204"/>
      <c r="Z459" s="9"/>
      <c r="AA459" s="9"/>
      <c r="AB459" s="9"/>
      <c r="AC459" s="9"/>
    </row>
    <row r="460" ht="15.75" customHeight="1">
      <c r="A460" s="223"/>
      <c r="B460" s="223"/>
      <c r="C460" s="223"/>
      <c r="D460" s="9"/>
      <c r="E460" s="223"/>
      <c r="F460" s="971"/>
      <c r="G460" s="9"/>
      <c r="H460" s="9"/>
      <c r="I460" s="9"/>
      <c r="J460" s="9"/>
      <c r="K460" s="9"/>
      <c r="L460" s="223"/>
      <c r="M460" s="223"/>
      <c r="N460" s="9"/>
      <c r="O460" s="9"/>
      <c r="P460" s="9"/>
      <c r="Q460" s="223"/>
      <c r="R460" s="9"/>
      <c r="S460" s="223"/>
      <c r="T460" s="9"/>
      <c r="U460" s="9"/>
      <c r="V460" s="9"/>
      <c r="W460" s="9"/>
      <c r="X460" s="9"/>
      <c r="Y460" s="204"/>
      <c r="Z460" s="9"/>
      <c r="AA460" s="9"/>
      <c r="AB460" s="9"/>
      <c r="AC460" s="9"/>
    </row>
    <row r="461" ht="15.75" customHeight="1">
      <c r="A461" s="223"/>
      <c r="B461" s="223"/>
      <c r="C461" s="223"/>
      <c r="D461" s="9"/>
      <c r="E461" s="223"/>
      <c r="F461" s="971"/>
      <c r="G461" s="9"/>
      <c r="H461" s="9"/>
      <c r="I461" s="9"/>
      <c r="J461" s="9"/>
      <c r="K461" s="9"/>
      <c r="L461" s="223"/>
      <c r="M461" s="223"/>
      <c r="N461" s="9"/>
      <c r="O461" s="9"/>
      <c r="P461" s="9"/>
      <c r="Q461" s="223"/>
      <c r="R461" s="9"/>
      <c r="S461" s="223"/>
      <c r="T461" s="9"/>
      <c r="U461" s="9"/>
      <c r="V461" s="9"/>
      <c r="W461" s="9"/>
      <c r="X461" s="9"/>
      <c r="Y461" s="204"/>
      <c r="Z461" s="9"/>
      <c r="AA461" s="9"/>
      <c r="AB461" s="9"/>
      <c r="AC461" s="9"/>
    </row>
    <row r="462" ht="15.75" customHeight="1">
      <c r="A462" s="223"/>
      <c r="B462" s="223"/>
      <c r="C462" s="223"/>
      <c r="D462" s="9"/>
      <c r="E462" s="223"/>
      <c r="F462" s="971"/>
      <c r="G462" s="9"/>
      <c r="H462" s="9"/>
      <c r="I462" s="9"/>
      <c r="J462" s="9"/>
      <c r="K462" s="9"/>
      <c r="L462" s="223"/>
      <c r="M462" s="223"/>
      <c r="N462" s="9"/>
      <c r="O462" s="9"/>
      <c r="P462" s="9"/>
      <c r="Q462" s="223"/>
      <c r="R462" s="9"/>
      <c r="S462" s="223"/>
      <c r="T462" s="9"/>
      <c r="U462" s="9"/>
      <c r="V462" s="9"/>
      <c r="W462" s="9"/>
      <c r="X462" s="9"/>
      <c r="Y462" s="204"/>
      <c r="Z462" s="9"/>
      <c r="AA462" s="9"/>
      <c r="AB462" s="9"/>
      <c r="AC462" s="9"/>
    </row>
    <row r="463" ht="15.75" customHeight="1">
      <c r="A463" s="223"/>
      <c r="B463" s="223"/>
      <c r="C463" s="223"/>
      <c r="D463" s="9"/>
      <c r="E463" s="223"/>
      <c r="F463" s="971"/>
      <c r="G463" s="9"/>
      <c r="H463" s="9"/>
      <c r="I463" s="9"/>
      <c r="J463" s="9"/>
      <c r="K463" s="9"/>
      <c r="L463" s="223"/>
      <c r="M463" s="223"/>
      <c r="N463" s="9"/>
      <c r="O463" s="9"/>
      <c r="P463" s="9"/>
      <c r="Q463" s="223"/>
      <c r="R463" s="9"/>
      <c r="S463" s="223"/>
      <c r="T463" s="9"/>
      <c r="U463" s="9"/>
      <c r="V463" s="9"/>
      <c r="W463" s="9"/>
      <c r="X463" s="9"/>
      <c r="Y463" s="204"/>
      <c r="Z463" s="9"/>
      <c r="AA463" s="9"/>
      <c r="AB463" s="9"/>
      <c r="AC463" s="9"/>
    </row>
    <row r="464" ht="15.75" customHeight="1">
      <c r="A464" s="223"/>
      <c r="B464" s="223"/>
      <c r="C464" s="223"/>
      <c r="D464" s="9"/>
      <c r="E464" s="223"/>
      <c r="F464" s="971"/>
      <c r="G464" s="9"/>
      <c r="H464" s="9"/>
      <c r="I464" s="9"/>
      <c r="J464" s="9"/>
      <c r="K464" s="9"/>
      <c r="L464" s="223"/>
      <c r="M464" s="223"/>
      <c r="N464" s="9"/>
      <c r="O464" s="9"/>
      <c r="P464" s="9"/>
      <c r="Q464" s="223"/>
      <c r="R464" s="9"/>
      <c r="S464" s="223"/>
      <c r="T464" s="9"/>
      <c r="U464" s="9"/>
      <c r="V464" s="9"/>
      <c r="W464" s="9"/>
      <c r="X464" s="9"/>
      <c r="Y464" s="204"/>
      <c r="Z464" s="9"/>
      <c r="AA464" s="9"/>
      <c r="AB464" s="9"/>
      <c r="AC464" s="9"/>
    </row>
    <row r="465" ht="15.75" customHeight="1">
      <c r="A465" s="223"/>
      <c r="B465" s="223"/>
      <c r="C465" s="223"/>
      <c r="D465" s="9"/>
      <c r="E465" s="223"/>
      <c r="F465" s="971"/>
      <c r="G465" s="9"/>
      <c r="H465" s="9"/>
      <c r="I465" s="9"/>
      <c r="J465" s="9"/>
      <c r="K465" s="9"/>
      <c r="L465" s="223"/>
      <c r="M465" s="223"/>
      <c r="N465" s="9"/>
      <c r="O465" s="9"/>
      <c r="P465" s="9"/>
      <c r="Q465" s="223"/>
      <c r="R465" s="9"/>
      <c r="S465" s="223"/>
      <c r="T465" s="9"/>
      <c r="U465" s="9"/>
      <c r="V465" s="9"/>
      <c r="W465" s="9"/>
      <c r="X465" s="9"/>
      <c r="Y465" s="204"/>
      <c r="Z465" s="9"/>
      <c r="AA465" s="9"/>
      <c r="AB465" s="9"/>
      <c r="AC465" s="9"/>
    </row>
    <row r="466" ht="15.75" customHeight="1">
      <c r="A466" s="223"/>
      <c r="B466" s="223"/>
      <c r="C466" s="223"/>
      <c r="D466" s="9"/>
      <c r="E466" s="223"/>
      <c r="F466" s="971"/>
      <c r="G466" s="9"/>
      <c r="H466" s="9"/>
      <c r="I466" s="9"/>
      <c r="J466" s="9"/>
      <c r="K466" s="9"/>
      <c r="L466" s="223"/>
      <c r="M466" s="223"/>
      <c r="N466" s="9"/>
      <c r="O466" s="9"/>
      <c r="P466" s="9"/>
      <c r="Q466" s="223"/>
      <c r="R466" s="9"/>
      <c r="S466" s="223"/>
      <c r="T466" s="9"/>
      <c r="U466" s="9"/>
      <c r="V466" s="9"/>
      <c r="W466" s="9"/>
      <c r="X466" s="9"/>
      <c r="Y466" s="204"/>
      <c r="Z466" s="9"/>
      <c r="AA466" s="9"/>
      <c r="AB466" s="9"/>
      <c r="AC466" s="9"/>
    </row>
    <row r="467" ht="15.75" customHeight="1">
      <c r="A467" s="223"/>
      <c r="B467" s="223"/>
      <c r="C467" s="223"/>
      <c r="D467" s="9"/>
      <c r="E467" s="223"/>
      <c r="F467" s="971"/>
      <c r="G467" s="9"/>
      <c r="H467" s="9"/>
      <c r="I467" s="9"/>
      <c r="J467" s="9"/>
      <c r="K467" s="9"/>
      <c r="L467" s="223"/>
      <c r="M467" s="223"/>
      <c r="N467" s="9"/>
      <c r="O467" s="9"/>
      <c r="P467" s="9"/>
      <c r="Q467" s="223"/>
      <c r="R467" s="9"/>
      <c r="S467" s="223"/>
      <c r="T467" s="9"/>
      <c r="U467" s="9"/>
      <c r="V467" s="9"/>
      <c r="W467" s="9"/>
      <c r="X467" s="9"/>
      <c r="Y467" s="204"/>
      <c r="Z467" s="9"/>
      <c r="AA467" s="9"/>
      <c r="AB467" s="9"/>
      <c r="AC467" s="9"/>
    </row>
    <row r="468" ht="15.75" customHeight="1">
      <c r="A468" s="223"/>
      <c r="B468" s="223"/>
      <c r="C468" s="223"/>
      <c r="D468" s="9"/>
      <c r="E468" s="223"/>
      <c r="F468" s="971"/>
      <c r="G468" s="9"/>
      <c r="H468" s="9"/>
      <c r="I468" s="9"/>
      <c r="J468" s="9"/>
      <c r="K468" s="9"/>
      <c r="L468" s="223"/>
      <c r="M468" s="223"/>
      <c r="N468" s="9"/>
      <c r="O468" s="9"/>
      <c r="P468" s="9"/>
      <c r="Q468" s="223"/>
      <c r="R468" s="9"/>
      <c r="S468" s="223"/>
      <c r="T468" s="9"/>
      <c r="U468" s="9"/>
      <c r="V468" s="9"/>
      <c r="W468" s="9"/>
      <c r="X468" s="9"/>
      <c r="Y468" s="204"/>
      <c r="Z468" s="9"/>
      <c r="AA468" s="9"/>
      <c r="AB468" s="9"/>
      <c r="AC468" s="9"/>
    </row>
    <row r="469" ht="15.75" customHeight="1">
      <c r="A469" s="223"/>
      <c r="B469" s="223"/>
      <c r="C469" s="223"/>
      <c r="D469" s="9"/>
      <c r="E469" s="223"/>
      <c r="F469" s="971"/>
      <c r="G469" s="9"/>
      <c r="H469" s="9"/>
      <c r="I469" s="9"/>
      <c r="J469" s="9"/>
      <c r="K469" s="9"/>
      <c r="L469" s="223"/>
      <c r="M469" s="223"/>
      <c r="N469" s="9"/>
      <c r="O469" s="9"/>
      <c r="P469" s="9"/>
      <c r="Q469" s="223"/>
      <c r="R469" s="9"/>
      <c r="S469" s="223"/>
      <c r="T469" s="9"/>
      <c r="U469" s="9"/>
      <c r="V469" s="9"/>
      <c r="W469" s="9"/>
      <c r="X469" s="9"/>
      <c r="Y469" s="204"/>
      <c r="Z469" s="9"/>
      <c r="AA469" s="9"/>
      <c r="AB469" s="9"/>
      <c r="AC469" s="9"/>
    </row>
    <row r="470" ht="15.75" customHeight="1">
      <c r="A470" s="223"/>
      <c r="B470" s="223"/>
      <c r="C470" s="223"/>
      <c r="D470" s="9"/>
      <c r="E470" s="223"/>
      <c r="F470" s="971"/>
      <c r="G470" s="9"/>
      <c r="H470" s="9"/>
      <c r="I470" s="9"/>
      <c r="J470" s="9"/>
      <c r="K470" s="9"/>
      <c r="L470" s="223"/>
      <c r="M470" s="223"/>
      <c r="N470" s="9"/>
      <c r="O470" s="9"/>
      <c r="P470" s="9"/>
      <c r="Q470" s="223"/>
      <c r="R470" s="9"/>
      <c r="S470" s="223"/>
      <c r="T470" s="9"/>
      <c r="U470" s="9"/>
      <c r="V470" s="9"/>
      <c r="W470" s="9"/>
      <c r="X470" s="9"/>
      <c r="Y470" s="204"/>
      <c r="Z470" s="9"/>
      <c r="AA470" s="9"/>
      <c r="AB470" s="9"/>
      <c r="AC470" s="9"/>
    </row>
    <row r="471" ht="15.75" customHeight="1">
      <c r="A471" s="223"/>
      <c r="B471" s="223"/>
      <c r="C471" s="223"/>
      <c r="D471" s="9"/>
      <c r="E471" s="223"/>
      <c r="F471" s="971"/>
      <c r="G471" s="9"/>
      <c r="H471" s="9"/>
      <c r="I471" s="9"/>
      <c r="J471" s="9"/>
      <c r="K471" s="9"/>
      <c r="L471" s="223"/>
      <c r="M471" s="223"/>
      <c r="N471" s="9"/>
      <c r="O471" s="9"/>
      <c r="P471" s="9"/>
      <c r="Q471" s="223"/>
      <c r="R471" s="9"/>
      <c r="S471" s="223"/>
      <c r="T471" s="9"/>
      <c r="U471" s="9"/>
      <c r="V471" s="9"/>
      <c r="W471" s="9"/>
      <c r="X471" s="9"/>
      <c r="Y471" s="204"/>
      <c r="Z471" s="9"/>
      <c r="AA471" s="9"/>
      <c r="AB471" s="9"/>
      <c r="AC471" s="9"/>
    </row>
    <row r="472" ht="15.75" customHeight="1">
      <c r="A472" s="223"/>
      <c r="B472" s="223"/>
      <c r="C472" s="223"/>
      <c r="D472" s="9"/>
      <c r="E472" s="223"/>
      <c r="F472" s="971"/>
      <c r="G472" s="9"/>
      <c r="H472" s="9"/>
      <c r="I472" s="9"/>
      <c r="J472" s="9"/>
      <c r="K472" s="9"/>
      <c r="L472" s="223"/>
      <c r="M472" s="223"/>
      <c r="N472" s="9"/>
      <c r="O472" s="9"/>
      <c r="P472" s="9"/>
      <c r="Q472" s="223"/>
      <c r="R472" s="9"/>
      <c r="S472" s="223"/>
      <c r="T472" s="9"/>
      <c r="U472" s="9"/>
      <c r="V472" s="9"/>
      <c r="W472" s="9"/>
      <c r="X472" s="9"/>
      <c r="Y472" s="204"/>
      <c r="Z472" s="9"/>
      <c r="AA472" s="9"/>
      <c r="AB472" s="9"/>
      <c r="AC472" s="9"/>
    </row>
    <row r="473" ht="15.75" customHeight="1">
      <c r="A473" s="223"/>
      <c r="B473" s="223"/>
      <c r="C473" s="223"/>
      <c r="D473" s="9"/>
      <c r="E473" s="223"/>
      <c r="F473" s="971"/>
      <c r="G473" s="9"/>
      <c r="H473" s="9"/>
      <c r="I473" s="9"/>
      <c r="J473" s="9"/>
      <c r="K473" s="9"/>
      <c r="L473" s="223"/>
      <c r="M473" s="223"/>
      <c r="N473" s="9"/>
      <c r="O473" s="9"/>
      <c r="P473" s="9"/>
      <c r="Q473" s="223"/>
      <c r="R473" s="9"/>
      <c r="S473" s="223"/>
      <c r="T473" s="9"/>
      <c r="U473" s="9"/>
      <c r="V473" s="9"/>
      <c r="W473" s="9"/>
      <c r="X473" s="9"/>
      <c r="Y473" s="204"/>
      <c r="Z473" s="9"/>
      <c r="AA473" s="9"/>
      <c r="AB473" s="9"/>
      <c r="AC473" s="9"/>
    </row>
    <row r="474" ht="15.75" customHeight="1">
      <c r="A474" s="223"/>
      <c r="B474" s="223"/>
      <c r="C474" s="223"/>
      <c r="D474" s="9"/>
      <c r="E474" s="223"/>
      <c r="F474" s="971"/>
      <c r="G474" s="9"/>
      <c r="H474" s="9"/>
      <c r="I474" s="9"/>
      <c r="J474" s="9"/>
      <c r="K474" s="9"/>
      <c r="L474" s="223"/>
      <c r="M474" s="223"/>
      <c r="N474" s="9"/>
      <c r="O474" s="9"/>
      <c r="P474" s="9"/>
      <c r="Q474" s="223"/>
      <c r="R474" s="9"/>
      <c r="S474" s="223"/>
      <c r="T474" s="9"/>
      <c r="U474" s="9"/>
      <c r="V474" s="9"/>
      <c r="W474" s="9"/>
      <c r="X474" s="9"/>
      <c r="Y474" s="204"/>
      <c r="Z474" s="9"/>
      <c r="AA474" s="9"/>
      <c r="AB474" s="9"/>
      <c r="AC474" s="9"/>
    </row>
    <row r="475" ht="15.75" customHeight="1">
      <c r="A475" s="223"/>
      <c r="B475" s="223"/>
      <c r="C475" s="223"/>
      <c r="D475" s="9"/>
      <c r="E475" s="223"/>
      <c r="F475" s="971"/>
      <c r="G475" s="9"/>
      <c r="H475" s="9"/>
      <c r="I475" s="9"/>
      <c r="J475" s="9"/>
      <c r="K475" s="9"/>
      <c r="L475" s="223"/>
      <c r="M475" s="223"/>
      <c r="N475" s="9"/>
      <c r="O475" s="9"/>
      <c r="P475" s="9"/>
      <c r="Q475" s="223"/>
      <c r="R475" s="9"/>
      <c r="S475" s="223"/>
      <c r="T475" s="9"/>
      <c r="U475" s="9"/>
      <c r="V475" s="9"/>
      <c r="W475" s="9"/>
      <c r="X475" s="9"/>
      <c r="Y475" s="204"/>
      <c r="Z475" s="9"/>
      <c r="AA475" s="9"/>
      <c r="AB475" s="9"/>
      <c r="AC475" s="9"/>
    </row>
    <row r="476" ht="15.75" customHeight="1">
      <c r="A476" s="223"/>
      <c r="B476" s="223"/>
      <c r="C476" s="223"/>
      <c r="D476" s="9"/>
      <c r="E476" s="223"/>
      <c r="F476" s="971"/>
      <c r="G476" s="9"/>
      <c r="H476" s="9"/>
      <c r="I476" s="9"/>
      <c r="J476" s="9"/>
      <c r="K476" s="9"/>
      <c r="L476" s="223"/>
      <c r="M476" s="223"/>
      <c r="N476" s="9"/>
      <c r="O476" s="9"/>
      <c r="P476" s="9"/>
      <c r="Q476" s="223"/>
      <c r="R476" s="9"/>
      <c r="S476" s="223"/>
      <c r="T476" s="9"/>
      <c r="U476" s="9"/>
      <c r="V476" s="9"/>
      <c r="W476" s="9"/>
      <c r="X476" s="9"/>
      <c r="Y476" s="204"/>
      <c r="Z476" s="9"/>
      <c r="AA476" s="9"/>
      <c r="AB476" s="9"/>
      <c r="AC476" s="9"/>
    </row>
    <row r="477" ht="15.75" customHeight="1">
      <c r="A477" s="223"/>
      <c r="B477" s="223"/>
      <c r="C477" s="223"/>
      <c r="D477" s="9"/>
      <c r="E477" s="223"/>
      <c r="F477" s="971"/>
      <c r="G477" s="9"/>
      <c r="H477" s="9"/>
      <c r="I477" s="9"/>
      <c r="J477" s="9"/>
      <c r="K477" s="9"/>
      <c r="L477" s="223"/>
      <c r="M477" s="223"/>
      <c r="N477" s="9"/>
      <c r="O477" s="9"/>
      <c r="P477" s="9"/>
      <c r="Q477" s="223"/>
      <c r="R477" s="9"/>
      <c r="S477" s="223"/>
      <c r="T477" s="9"/>
      <c r="U477" s="9"/>
      <c r="V477" s="9"/>
      <c r="W477" s="9"/>
      <c r="X477" s="9"/>
      <c r="Y477" s="204"/>
      <c r="Z477" s="9"/>
      <c r="AA477" s="9"/>
      <c r="AB477" s="9"/>
      <c r="AC477" s="9"/>
    </row>
    <row r="478" ht="15.75" customHeight="1">
      <c r="A478" s="223"/>
      <c r="B478" s="223"/>
      <c r="C478" s="223"/>
      <c r="D478" s="9"/>
      <c r="E478" s="223"/>
      <c r="F478" s="971"/>
      <c r="G478" s="9"/>
      <c r="H478" s="9"/>
      <c r="I478" s="9"/>
      <c r="J478" s="9"/>
      <c r="K478" s="9"/>
      <c r="L478" s="223"/>
      <c r="M478" s="223"/>
      <c r="N478" s="9"/>
      <c r="O478" s="9"/>
      <c r="P478" s="9"/>
      <c r="Q478" s="223"/>
      <c r="R478" s="9"/>
      <c r="S478" s="223"/>
      <c r="T478" s="9"/>
      <c r="U478" s="9"/>
      <c r="V478" s="9"/>
      <c r="W478" s="9"/>
      <c r="X478" s="9"/>
      <c r="Y478" s="204"/>
      <c r="Z478" s="9"/>
      <c r="AA478" s="9"/>
      <c r="AB478" s="9"/>
      <c r="AC478" s="9"/>
    </row>
    <row r="479" ht="15.75" customHeight="1">
      <c r="A479" s="223"/>
      <c r="B479" s="223"/>
      <c r="C479" s="223"/>
      <c r="D479" s="9"/>
      <c r="E479" s="223"/>
      <c r="F479" s="971"/>
      <c r="G479" s="9"/>
      <c r="H479" s="9"/>
      <c r="I479" s="9"/>
      <c r="J479" s="9"/>
      <c r="K479" s="9"/>
      <c r="L479" s="223"/>
      <c r="M479" s="223"/>
      <c r="N479" s="9"/>
      <c r="O479" s="9"/>
      <c r="P479" s="9"/>
      <c r="Q479" s="223"/>
      <c r="R479" s="9"/>
      <c r="S479" s="223"/>
      <c r="T479" s="9"/>
      <c r="U479" s="9"/>
      <c r="V479" s="9"/>
      <c r="W479" s="9"/>
      <c r="X479" s="9"/>
      <c r="Y479" s="204"/>
      <c r="Z479" s="9"/>
      <c r="AA479" s="9"/>
      <c r="AB479" s="9"/>
      <c r="AC479" s="9"/>
    </row>
    <row r="480" ht="15.75" customHeight="1">
      <c r="A480" s="223"/>
      <c r="B480" s="223"/>
      <c r="C480" s="223"/>
      <c r="D480" s="9"/>
      <c r="E480" s="223"/>
      <c r="F480" s="971"/>
      <c r="G480" s="9"/>
      <c r="H480" s="9"/>
      <c r="I480" s="9"/>
      <c r="J480" s="9"/>
      <c r="K480" s="9"/>
      <c r="L480" s="223"/>
      <c r="M480" s="223"/>
      <c r="N480" s="9"/>
      <c r="O480" s="9"/>
      <c r="P480" s="9"/>
      <c r="Q480" s="223"/>
      <c r="R480" s="9"/>
      <c r="S480" s="223"/>
      <c r="T480" s="9"/>
      <c r="U480" s="9"/>
      <c r="V480" s="9"/>
      <c r="W480" s="9"/>
      <c r="X480" s="9"/>
      <c r="Y480" s="204"/>
      <c r="Z480" s="9"/>
      <c r="AA480" s="9"/>
      <c r="AB480" s="9"/>
      <c r="AC480" s="9"/>
    </row>
    <row r="481" ht="15.75" customHeight="1">
      <c r="A481" s="223"/>
      <c r="B481" s="223"/>
      <c r="C481" s="223"/>
      <c r="D481" s="9"/>
      <c r="E481" s="223"/>
      <c r="F481" s="971"/>
      <c r="G481" s="9"/>
      <c r="H481" s="9"/>
      <c r="I481" s="9"/>
      <c r="J481" s="9"/>
      <c r="K481" s="9"/>
      <c r="L481" s="223"/>
      <c r="M481" s="223"/>
      <c r="N481" s="9"/>
      <c r="O481" s="9"/>
      <c r="P481" s="9"/>
      <c r="Q481" s="223"/>
      <c r="R481" s="9"/>
      <c r="S481" s="223"/>
      <c r="T481" s="9"/>
      <c r="U481" s="9"/>
      <c r="V481" s="9"/>
      <c r="W481" s="9"/>
      <c r="X481" s="9"/>
      <c r="Y481" s="204"/>
      <c r="Z481" s="9"/>
      <c r="AA481" s="9"/>
      <c r="AB481" s="9"/>
      <c r="AC481" s="9"/>
    </row>
    <row r="482" ht="15.75" customHeight="1">
      <c r="A482" s="223"/>
      <c r="B482" s="223"/>
      <c r="C482" s="223"/>
      <c r="D482" s="9"/>
      <c r="E482" s="223"/>
      <c r="F482" s="971"/>
      <c r="G482" s="9"/>
      <c r="H482" s="9"/>
      <c r="I482" s="9"/>
      <c r="J482" s="9"/>
      <c r="K482" s="9"/>
      <c r="L482" s="223"/>
      <c r="M482" s="223"/>
      <c r="N482" s="9"/>
      <c r="O482" s="9"/>
      <c r="P482" s="9"/>
      <c r="Q482" s="223"/>
      <c r="R482" s="9"/>
      <c r="S482" s="223"/>
      <c r="T482" s="9"/>
      <c r="U482" s="9"/>
      <c r="V482" s="9"/>
      <c r="W482" s="9"/>
      <c r="X482" s="9"/>
      <c r="Y482" s="204"/>
      <c r="Z482" s="9"/>
      <c r="AA482" s="9"/>
      <c r="AB482" s="9"/>
      <c r="AC482" s="9"/>
    </row>
    <row r="483" ht="15.75" customHeight="1">
      <c r="A483" s="223"/>
      <c r="B483" s="223"/>
      <c r="C483" s="223"/>
      <c r="D483" s="9"/>
      <c r="E483" s="223"/>
      <c r="F483" s="971"/>
      <c r="G483" s="9"/>
      <c r="H483" s="9"/>
      <c r="I483" s="9"/>
      <c r="J483" s="9"/>
      <c r="K483" s="9"/>
      <c r="L483" s="223"/>
      <c r="M483" s="223"/>
      <c r="N483" s="9"/>
      <c r="O483" s="9"/>
      <c r="P483" s="9"/>
      <c r="Q483" s="223"/>
      <c r="R483" s="9"/>
      <c r="S483" s="223"/>
      <c r="T483" s="9"/>
      <c r="U483" s="9"/>
      <c r="V483" s="9"/>
      <c r="W483" s="9"/>
      <c r="X483" s="9"/>
      <c r="Y483" s="204"/>
      <c r="Z483" s="9"/>
      <c r="AA483" s="9"/>
      <c r="AB483" s="9"/>
      <c r="AC483" s="9"/>
    </row>
    <row r="484" ht="15.75" customHeight="1">
      <c r="A484" s="223"/>
      <c r="B484" s="223"/>
      <c r="C484" s="223"/>
      <c r="D484" s="9"/>
      <c r="E484" s="223"/>
      <c r="F484" s="971"/>
      <c r="G484" s="9"/>
      <c r="H484" s="9"/>
      <c r="I484" s="9"/>
      <c r="J484" s="9"/>
      <c r="K484" s="9"/>
      <c r="L484" s="223"/>
      <c r="M484" s="223"/>
      <c r="N484" s="9"/>
      <c r="O484" s="9"/>
      <c r="P484" s="9"/>
      <c r="Q484" s="223"/>
      <c r="R484" s="9"/>
      <c r="S484" s="223"/>
      <c r="T484" s="9"/>
      <c r="U484" s="9"/>
      <c r="V484" s="9"/>
      <c r="W484" s="9"/>
      <c r="X484" s="9"/>
      <c r="Y484" s="204"/>
      <c r="Z484" s="9"/>
      <c r="AA484" s="9"/>
      <c r="AB484" s="9"/>
      <c r="AC484" s="9"/>
    </row>
    <row r="485" ht="15.75" customHeight="1">
      <c r="A485" s="223"/>
      <c r="B485" s="223"/>
      <c r="C485" s="223"/>
      <c r="D485" s="9"/>
      <c r="E485" s="223"/>
      <c r="F485" s="971"/>
      <c r="G485" s="9"/>
      <c r="H485" s="9"/>
      <c r="I485" s="9"/>
      <c r="J485" s="9"/>
      <c r="K485" s="9"/>
      <c r="L485" s="223"/>
      <c r="M485" s="223"/>
      <c r="N485" s="9"/>
      <c r="O485" s="9"/>
      <c r="P485" s="9"/>
      <c r="Q485" s="223"/>
      <c r="R485" s="9"/>
      <c r="S485" s="223"/>
      <c r="T485" s="9"/>
      <c r="U485" s="9"/>
      <c r="V485" s="9"/>
      <c r="W485" s="9"/>
      <c r="X485" s="9"/>
      <c r="Y485" s="204"/>
      <c r="Z485" s="9"/>
      <c r="AA485" s="9"/>
      <c r="AB485" s="9"/>
      <c r="AC485" s="9"/>
    </row>
    <row r="486" ht="15.75" customHeight="1">
      <c r="A486" s="223"/>
      <c r="B486" s="223"/>
      <c r="C486" s="223"/>
      <c r="D486" s="9"/>
      <c r="E486" s="223"/>
      <c r="F486" s="971"/>
      <c r="G486" s="9"/>
      <c r="H486" s="9"/>
      <c r="I486" s="9"/>
      <c r="J486" s="9"/>
      <c r="K486" s="9"/>
      <c r="L486" s="223"/>
      <c r="M486" s="223"/>
      <c r="N486" s="9"/>
      <c r="O486" s="9"/>
      <c r="P486" s="9"/>
      <c r="Q486" s="223"/>
      <c r="R486" s="9"/>
      <c r="S486" s="223"/>
      <c r="T486" s="9"/>
      <c r="U486" s="9"/>
      <c r="V486" s="9"/>
      <c r="W486" s="9"/>
      <c r="X486" s="9"/>
      <c r="Y486" s="204"/>
      <c r="Z486" s="9"/>
      <c r="AA486" s="9"/>
      <c r="AB486" s="9"/>
      <c r="AC486" s="9"/>
    </row>
    <row r="487" ht="15.75" customHeight="1">
      <c r="A487" s="223"/>
      <c r="B487" s="223"/>
      <c r="C487" s="223"/>
      <c r="D487" s="9"/>
      <c r="E487" s="223"/>
      <c r="F487" s="971"/>
      <c r="G487" s="9"/>
      <c r="H487" s="9"/>
      <c r="I487" s="9"/>
      <c r="J487" s="9"/>
      <c r="K487" s="9"/>
      <c r="L487" s="223"/>
      <c r="M487" s="223"/>
      <c r="N487" s="9"/>
      <c r="O487" s="9"/>
      <c r="P487" s="9"/>
      <c r="Q487" s="223"/>
      <c r="R487" s="9"/>
      <c r="S487" s="223"/>
      <c r="T487" s="9"/>
      <c r="U487" s="9"/>
      <c r="V487" s="9"/>
      <c r="W487" s="9"/>
      <c r="X487" s="9"/>
      <c r="Y487" s="204"/>
      <c r="Z487" s="9"/>
      <c r="AA487" s="9"/>
      <c r="AB487" s="9"/>
      <c r="AC487" s="9"/>
    </row>
    <row r="488" ht="15.75" customHeight="1">
      <c r="A488" s="223"/>
      <c r="B488" s="223"/>
      <c r="C488" s="223"/>
      <c r="D488" s="9"/>
      <c r="E488" s="223"/>
      <c r="F488" s="971"/>
      <c r="G488" s="9"/>
      <c r="H488" s="9"/>
      <c r="I488" s="9"/>
      <c r="J488" s="9"/>
      <c r="K488" s="9"/>
      <c r="L488" s="223"/>
      <c r="M488" s="223"/>
      <c r="N488" s="9"/>
      <c r="O488" s="9"/>
      <c r="P488" s="9"/>
      <c r="Q488" s="223"/>
      <c r="R488" s="9"/>
      <c r="S488" s="223"/>
      <c r="T488" s="9"/>
      <c r="U488" s="9"/>
      <c r="V488" s="9"/>
      <c r="W488" s="9"/>
      <c r="X488" s="9"/>
      <c r="Y488" s="204"/>
      <c r="Z488" s="9"/>
      <c r="AA488" s="9"/>
      <c r="AB488" s="9"/>
      <c r="AC488" s="9"/>
    </row>
    <row r="489" ht="15.75" customHeight="1">
      <c r="A489" s="223"/>
      <c r="B489" s="223"/>
      <c r="C489" s="223"/>
      <c r="D489" s="9"/>
      <c r="E489" s="223"/>
      <c r="F489" s="971"/>
      <c r="G489" s="9"/>
      <c r="H489" s="9"/>
      <c r="I489" s="9"/>
      <c r="J489" s="9"/>
      <c r="K489" s="9"/>
      <c r="L489" s="223"/>
      <c r="M489" s="223"/>
      <c r="N489" s="9"/>
      <c r="O489" s="9"/>
      <c r="P489" s="9"/>
      <c r="Q489" s="223"/>
      <c r="R489" s="9"/>
      <c r="S489" s="223"/>
      <c r="T489" s="9"/>
      <c r="U489" s="9"/>
      <c r="V489" s="9"/>
      <c r="W489" s="9"/>
      <c r="X489" s="9"/>
      <c r="Y489" s="204"/>
      <c r="Z489" s="9"/>
      <c r="AA489" s="9"/>
      <c r="AB489" s="9"/>
      <c r="AC489" s="9"/>
    </row>
    <row r="490" ht="15.75" customHeight="1">
      <c r="A490" s="223"/>
      <c r="B490" s="223"/>
      <c r="C490" s="223"/>
      <c r="D490" s="9"/>
      <c r="E490" s="223"/>
      <c r="F490" s="971"/>
      <c r="G490" s="9"/>
      <c r="H490" s="9"/>
      <c r="I490" s="9"/>
      <c r="J490" s="9"/>
      <c r="K490" s="9"/>
      <c r="L490" s="223"/>
      <c r="M490" s="223"/>
      <c r="N490" s="9"/>
      <c r="O490" s="9"/>
      <c r="P490" s="9"/>
      <c r="Q490" s="223"/>
      <c r="R490" s="9"/>
      <c r="S490" s="223"/>
      <c r="T490" s="9"/>
      <c r="U490" s="9"/>
      <c r="V490" s="9"/>
      <c r="W490" s="9"/>
      <c r="X490" s="9"/>
      <c r="Y490" s="204"/>
      <c r="Z490" s="9"/>
      <c r="AA490" s="9"/>
      <c r="AB490" s="9"/>
      <c r="AC490" s="9"/>
    </row>
    <row r="491" ht="15.75" customHeight="1">
      <c r="A491" s="223"/>
      <c r="B491" s="223"/>
      <c r="C491" s="223"/>
      <c r="D491" s="9"/>
      <c r="E491" s="223"/>
      <c r="F491" s="971"/>
      <c r="G491" s="9"/>
      <c r="H491" s="9"/>
      <c r="I491" s="9"/>
      <c r="J491" s="9"/>
      <c r="K491" s="9"/>
      <c r="L491" s="223"/>
      <c r="M491" s="223"/>
      <c r="N491" s="9"/>
      <c r="O491" s="9"/>
      <c r="P491" s="9"/>
      <c r="Q491" s="223"/>
      <c r="R491" s="9"/>
      <c r="S491" s="223"/>
      <c r="T491" s="9"/>
      <c r="U491" s="9"/>
      <c r="V491" s="9"/>
      <c r="W491" s="9"/>
      <c r="X491" s="9"/>
      <c r="Y491" s="204"/>
      <c r="Z491" s="9"/>
      <c r="AA491" s="9"/>
      <c r="AB491" s="9"/>
      <c r="AC491" s="9"/>
    </row>
    <row r="492" ht="15.75" customHeight="1">
      <c r="A492" s="223"/>
      <c r="B492" s="223"/>
      <c r="C492" s="223"/>
      <c r="D492" s="9"/>
      <c r="E492" s="223"/>
      <c r="F492" s="971"/>
      <c r="G492" s="9"/>
      <c r="H492" s="9"/>
      <c r="I492" s="9"/>
      <c r="J492" s="9"/>
      <c r="K492" s="9"/>
      <c r="L492" s="223"/>
      <c r="M492" s="223"/>
      <c r="N492" s="9"/>
      <c r="O492" s="9"/>
      <c r="P492" s="9"/>
      <c r="Q492" s="223"/>
      <c r="R492" s="9"/>
      <c r="S492" s="223"/>
      <c r="T492" s="9"/>
      <c r="U492" s="9"/>
      <c r="V492" s="9"/>
      <c r="W492" s="9"/>
      <c r="X492" s="9"/>
      <c r="Y492" s="204"/>
      <c r="Z492" s="9"/>
      <c r="AA492" s="9"/>
      <c r="AB492" s="9"/>
      <c r="AC492" s="9"/>
    </row>
    <row r="493" ht="15.75" customHeight="1">
      <c r="A493" s="223"/>
      <c r="B493" s="223"/>
      <c r="C493" s="223"/>
      <c r="D493" s="9"/>
      <c r="E493" s="223"/>
      <c r="F493" s="971"/>
      <c r="G493" s="9"/>
      <c r="H493" s="9"/>
      <c r="I493" s="9"/>
      <c r="J493" s="9"/>
      <c r="K493" s="9"/>
      <c r="L493" s="223"/>
      <c r="M493" s="223"/>
      <c r="N493" s="9"/>
      <c r="O493" s="9"/>
      <c r="P493" s="9"/>
      <c r="Q493" s="223"/>
      <c r="R493" s="9"/>
      <c r="S493" s="223"/>
      <c r="T493" s="9"/>
      <c r="U493" s="9"/>
      <c r="V493" s="9"/>
      <c r="W493" s="9"/>
      <c r="X493" s="9"/>
      <c r="Y493" s="204"/>
      <c r="Z493" s="9"/>
      <c r="AA493" s="9"/>
      <c r="AB493" s="9"/>
      <c r="AC493" s="9"/>
    </row>
    <row r="494" ht="15.75" customHeight="1">
      <c r="A494" s="223"/>
      <c r="B494" s="223"/>
      <c r="C494" s="223"/>
      <c r="D494" s="9"/>
      <c r="E494" s="223"/>
      <c r="F494" s="971"/>
      <c r="G494" s="9"/>
      <c r="H494" s="9"/>
      <c r="I494" s="9"/>
      <c r="J494" s="9"/>
      <c r="K494" s="9"/>
      <c r="L494" s="223"/>
      <c r="M494" s="223"/>
      <c r="N494" s="9"/>
      <c r="O494" s="9"/>
      <c r="P494" s="9"/>
      <c r="Q494" s="223"/>
      <c r="R494" s="9"/>
      <c r="S494" s="223"/>
      <c r="T494" s="9"/>
      <c r="U494" s="9"/>
      <c r="V494" s="9"/>
      <c r="W494" s="9"/>
      <c r="X494" s="9"/>
      <c r="Y494" s="204"/>
      <c r="Z494" s="9"/>
      <c r="AA494" s="9"/>
      <c r="AB494" s="9"/>
      <c r="AC494" s="9"/>
    </row>
    <row r="495" ht="15.75" customHeight="1">
      <c r="A495" s="223"/>
      <c r="B495" s="223"/>
      <c r="C495" s="223"/>
      <c r="D495" s="9"/>
      <c r="E495" s="223"/>
      <c r="F495" s="971"/>
      <c r="G495" s="9"/>
      <c r="H495" s="9"/>
      <c r="I495" s="9"/>
      <c r="J495" s="9"/>
      <c r="K495" s="9"/>
      <c r="L495" s="223"/>
      <c r="M495" s="223"/>
      <c r="N495" s="9"/>
      <c r="O495" s="9"/>
      <c r="P495" s="9"/>
      <c r="Q495" s="223"/>
      <c r="R495" s="9"/>
      <c r="S495" s="223"/>
      <c r="T495" s="9"/>
      <c r="U495" s="9"/>
      <c r="V495" s="9"/>
      <c r="W495" s="9"/>
      <c r="X495" s="9"/>
      <c r="Y495" s="204"/>
      <c r="Z495" s="9"/>
      <c r="AA495" s="9"/>
      <c r="AB495" s="9"/>
      <c r="AC495" s="9"/>
    </row>
    <row r="496" ht="15.75" customHeight="1">
      <c r="A496" s="223"/>
      <c r="B496" s="223"/>
      <c r="C496" s="223"/>
      <c r="D496" s="9"/>
      <c r="E496" s="223"/>
      <c r="F496" s="971"/>
      <c r="G496" s="9"/>
      <c r="H496" s="9"/>
      <c r="I496" s="9"/>
      <c r="J496" s="9"/>
      <c r="K496" s="9"/>
      <c r="L496" s="223"/>
      <c r="M496" s="223"/>
      <c r="N496" s="9"/>
      <c r="O496" s="9"/>
      <c r="P496" s="9"/>
      <c r="Q496" s="223"/>
      <c r="R496" s="9"/>
      <c r="S496" s="223"/>
      <c r="T496" s="9"/>
      <c r="U496" s="9"/>
      <c r="V496" s="9"/>
      <c r="W496" s="9"/>
      <c r="X496" s="9"/>
      <c r="Y496" s="204"/>
      <c r="Z496" s="9"/>
      <c r="AA496" s="9"/>
      <c r="AB496" s="9"/>
      <c r="AC496" s="9"/>
    </row>
    <row r="497" ht="15.75" customHeight="1">
      <c r="A497" s="223"/>
      <c r="B497" s="223"/>
      <c r="C497" s="223"/>
      <c r="D497" s="9"/>
      <c r="E497" s="223"/>
      <c r="F497" s="971"/>
      <c r="G497" s="9"/>
      <c r="H497" s="9"/>
      <c r="I497" s="9"/>
      <c r="J497" s="9"/>
      <c r="K497" s="9"/>
      <c r="L497" s="223"/>
      <c r="M497" s="223"/>
      <c r="N497" s="9"/>
      <c r="O497" s="9"/>
      <c r="P497" s="9"/>
      <c r="Q497" s="223"/>
      <c r="R497" s="9"/>
      <c r="S497" s="223"/>
      <c r="T497" s="9"/>
      <c r="U497" s="9"/>
      <c r="V497" s="9"/>
      <c r="W497" s="9"/>
      <c r="X497" s="9"/>
      <c r="Y497" s="204"/>
      <c r="Z497" s="9"/>
      <c r="AA497" s="9"/>
      <c r="AB497" s="9"/>
      <c r="AC497" s="9"/>
    </row>
    <row r="498" ht="15.75" customHeight="1">
      <c r="A498" s="223"/>
      <c r="B498" s="223"/>
      <c r="C498" s="223"/>
      <c r="D498" s="9"/>
      <c r="E498" s="223"/>
      <c r="F498" s="971"/>
      <c r="G498" s="9"/>
      <c r="H498" s="9"/>
      <c r="I498" s="9"/>
      <c r="J498" s="9"/>
      <c r="K498" s="9"/>
      <c r="L498" s="223"/>
      <c r="M498" s="223"/>
      <c r="N498" s="9"/>
      <c r="O498" s="9"/>
      <c r="P498" s="9"/>
      <c r="Q498" s="223"/>
      <c r="R498" s="9"/>
      <c r="S498" s="223"/>
      <c r="T498" s="9"/>
      <c r="U498" s="9"/>
      <c r="V498" s="9"/>
      <c r="W498" s="9"/>
      <c r="X498" s="9"/>
      <c r="Y498" s="204"/>
      <c r="Z498" s="9"/>
      <c r="AA498" s="9"/>
      <c r="AB498" s="9"/>
      <c r="AC498" s="9"/>
    </row>
    <row r="499" ht="15.75" customHeight="1">
      <c r="A499" s="223"/>
      <c r="B499" s="223"/>
      <c r="C499" s="223"/>
      <c r="D499" s="9"/>
      <c r="E499" s="223"/>
      <c r="F499" s="971"/>
      <c r="G499" s="9"/>
      <c r="H499" s="9"/>
      <c r="I499" s="9"/>
      <c r="J499" s="9"/>
      <c r="K499" s="9"/>
      <c r="L499" s="223"/>
      <c r="M499" s="223"/>
      <c r="N499" s="9"/>
      <c r="O499" s="9"/>
      <c r="P499" s="9"/>
      <c r="Q499" s="223"/>
      <c r="R499" s="9"/>
      <c r="S499" s="223"/>
      <c r="T499" s="9"/>
      <c r="U499" s="9"/>
      <c r="V499" s="9"/>
      <c r="W499" s="9"/>
      <c r="X499" s="9"/>
      <c r="Y499" s="204"/>
      <c r="Z499" s="9"/>
      <c r="AA499" s="9"/>
      <c r="AB499" s="9"/>
      <c r="AC499" s="9"/>
    </row>
    <row r="500" ht="15.75" customHeight="1">
      <c r="A500" s="223"/>
      <c r="B500" s="223"/>
      <c r="C500" s="223"/>
      <c r="D500" s="9"/>
      <c r="E500" s="223"/>
      <c r="F500" s="971"/>
      <c r="G500" s="9"/>
      <c r="H500" s="9"/>
      <c r="I500" s="9"/>
      <c r="J500" s="9"/>
      <c r="K500" s="9"/>
      <c r="L500" s="223"/>
      <c r="M500" s="223"/>
      <c r="N500" s="9"/>
      <c r="O500" s="9"/>
      <c r="P500" s="9"/>
      <c r="Q500" s="223"/>
      <c r="R500" s="9"/>
      <c r="S500" s="223"/>
      <c r="T500" s="9"/>
      <c r="U500" s="9"/>
      <c r="V500" s="9"/>
      <c r="W500" s="9"/>
      <c r="X500" s="9"/>
      <c r="Y500" s="204"/>
      <c r="Z500" s="9"/>
      <c r="AA500" s="9"/>
      <c r="AB500" s="9"/>
      <c r="AC500" s="9"/>
    </row>
    <row r="501" ht="15.75" customHeight="1">
      <c r="A501" s="223"/>
      <c r="B501" s="223"/>
      <c r="C501" s="223"/>
      <c r="D501" s="9"/>
      <c r="E501" s="223"/>
      <c r="F501" s="971"/>
      <c r="G501" s="9"/>
      <c r="H501" s="9"/>
      <c r="I501" s="9"/>
      <c r="J501" s="9"/>
      <c r="K501" s="9"/>
      <c r="L501" s="223"/>
      <c r="M501" s="223"/>
      <c r="N501" s="9"/>
      <c r="O501" s="9"/>
      <c r="P501" s="9"/>
      <c r="Q501" s="223"/>
      <c r="R501" s="9"/>
      <c r="S501" s="223"/>
      <c r="T501" s="9"/>
      <c r="U501" s="9"/>
      <c r="V501" s="9"/>
      <c r="W501" s="9"/>
      <c r="X501" s="9"/>
      <c r="Y501" s="204"/>
      <c r="Z501" s="9"/>
      <c r="AA501" s="9"/>
      <c r="AB501" s="9"/>
      <c r="AC501" s="9"/>
    </row>
    <row r="502" ht="15.75" customHeight="1">
      <c r="A502" s="223"/>
      <c r="B502" s="223"/>
      <c r="C502" s="223"/>
      <c r="D502" s="9"/>
      <c r="E502" s="223"/>
      <c r="F502" s="971"/>
      <c r="G502" s="9"/>
      <c r="H502" s="9"/>
      <c r="I502" s="9"/>
      <c r="J502" s="9"/>
      <c r="K502" s="9"/>
      <c r="L502" s="223"/>
      <c r="M502" s="223"/>
      <c r="N502" s="9"/>
      <c r="O502" s="9"/>
      <c r="P502" s="9"/>
      <c r="Q502" s="223"/>
      <c r="R502" s="9"/>
      <c r="S502" s="223"/>
      <c r="T502" s="9"/>
      <c r="U502" s="9"/>
      <c r="V502" s="9"/>
      <c r="W502" s="9"/>
      <c r="X502" s="9"/>
      <c r="Y502" s="204"/>
      <c r="Z502" s="9"/>
      <c r="AA502" s="9"/>
      <c r="AB502" s="9"/>
      <c r="AC502" s="9"/>
    </row>
    <row r="503" ht="15.75" customHeight="1">
      <c r="A503" s="223"/>
      <c r="B503" s="223"/>
      <c r="C503" s="223"/>
      <c r="D503" s="9"/>
      <c r="E503" s="223"/>
      <c r="F503" s="971"/>
      <c r="G503" s="9"/>
      <c r="H503" s="9"/>
      <c r="I503" s="9"/>
      <c r="J503" s="9"/>
      <c r="K503" s="9"/>
      <c r="L503" s="223"/>
      <c r="M503" s="223"/>
      <c r="N503" s="9"/>
      <c r="O503" s="9"/>
      <c r="P503" s="9"/>
      <c r="Q503" s="223"/>
      <c r="R503" s="9"/>
      <c r="S503" s="223"/>
      <c r="T503" s="9"/>
      <c r="U503" s="9"/>
      <c r="V503" s="9"/>
      <c r="W503" s="9"/>
      <c r="X503" s="9"/>
      <c r="Y503" s="204"/>
      <c r="Z503" s="9"/>
      <c r="AA503" s="9"/>
      <c r="AB503" s="9"/>
      <c r="AC503" s="9"/>
    </row>
    <row r="504" ht="15.75" customHeight="1">
      <c r="A504" s="223"/>
      <c r="B504" s="223"/>
      <c r="C504" s="223"/>
      <c r="D504" s="9"/>
      <c r="E504" s="223"/>
      <c r="F504" s="971"/>
      <c r="G504" s="9"/>
      <c r="H504" s="9"/>
      <c r="I504" s="9"/>
      <c r="J504" s="9"/>
      <c r="K504" s="9"/>
      <c r="L504" s="223"/>
      <c r="M504" s="223"/>
      <c r="N504" s="9"/>
      <c r="O504" s="9"/>
      <c r="P504" s="9"/>
      <c r="Q504" s="223"/>
      <c r="R504" s="9"/>
      <c r="S504" s="223"/>
      <c r="T504" s="9"/>
      <c r="U504" s="9"/>
      <c r="V504" s="9"/>
      <c r="W504" s="9"/>
      <c r="X504" s="9"/>
      <c r="Y504" s="204"/>
      <c r="Z504" s="9"/>
      <c r="AA504" s="9"/>
      <c r="AB504" s="9"/>
      <c r="AC504" s="9"/>
    </row>
    <row r="505" ht="15.75" customHeight="1">
      <c r="A505" s="223"/>
      <c r="B505" s="223"/>
      <c r="C505" s="223"/>
      <c r="D505" s="9"/>
      <c r="E505" s="223"/>
      <c r="F505" s="971"/>
      <c r="G505" s="9"/>
      <c r="H505" s="9"/>
      <c r="I505" s="9"/>
      <c r="J505" s="9"/>
      <c r="K505" s="9"/>
      <c r="L505" s="223"/>
      <c r="M505" s="223"/>
      <c r="N505" s="9"/>
      <c r="O505" s="9"/>
      <c r="P505" s="9"/>
      <c r="Q505" s="223"/>
      <c r="R505" s="9"/>
      <c r="S505" s="223"/>
      <c r="T505" s="9"/>
      <c r="U505" s="9"/>
      <c r="V505" s="9"/>
      <c r="W505" s="9"/>
      <c r="X505" s="9"/>
      <c r="Y505" s="204"/>
      <c r="Z505" s="9"/>
      <c r="AA505" s="9"/>
      <c r="AB505" s="9"/>
      <c r="AC505" s="9"/>
    </row>
    <row r="506" ht="15.75" customHeight="1">
      <c r="A506" s="223"/>
      <c r="B506" s="223"/>
      <c r="C506" s="223"/>
      <c r="D506" s="9"/>
      <c r="E506" s="223"/>
      <c r="F506" s="971"/>
      <c r="G506" s="9"/>
      <c r="H506" s="9"/>
      <c r="I506" s="9"/>
      <c r="J506" s="9"/>
      <c r="K506" s="9"/>
      <c r="L506" s="223"/>
      <c r="M506" s="223"/>
      <c r="N506" s="9"/>
      <c r="O506" s="9"/>
      <c r="P506" s="9"/>
      <c r="Q506" s="223"/>
      <c r="R506" s="9"/>
      <c r="S506" s="223"/>
      <c r="T506" s="9"/>
      <c r="U506" s="9"/>
      <c r="V506" s="9"/>
      <c r="W506" s="9"/>
      <c r="X506" s="9"/>
      <c r="Y506" s="204"/>
      <c r="Z506" s="9"/>
      <c r="AA506" s="9"/>
      <c r="AB506" s="9"/>
      <c r="AC506" s="9"/>
    </row>
    <row r="507" ht="15.75" customHeight="1">
      <c r="A507" s="223"/>
      <c r="B507" s="223"/>
      <c r="C507" s="223"/>
      <c r="D507" s="9"/>
      <c r="E507" s="223"/>
      <c r="F507" s="971"/>
      <c r="G507" s="9"/>
      <c r="H507" s="9"/>
      <c r="I507" s="9"/>
      <c r="J507" s="9"/>
      <c r="K507" s="9"/>
      <c r="L507" s="223"/>
      <c r="M507" s="223"/>
      <c r="N507" s="9"/>
      <c r="O507" s="9"/>
      <c r="P507" s="9"/>
      <c r="Q507" s="223"/>
      <c r="R507" s="9"/>
      <c r="S507" s="223"/>
      <c r="T507" s="9"/>
      <c r="U507" s="9"/>
      <c r="V507" s="9"/>
      <c r="W507" s="9"/>
      <c r="X507" s="9"/>
      <c r="Y507" s="204"/>
      <c r="Z507" s="9"/>
      <c r="AA507" s="9"/>
      <c r="AB507" s="9"/>
      <c r="AC507" s="9"/>
    </row>
    <row r="508" ht="15.75" customHeight="1">
      <c r="A508" s="223"/>
      <c r="B508" s="223"/>
      <c r="C508" s="223"/>
      <c r="D508" s="9"/>
      <c r="E508" s="223"/>
      <c r="F508" s="971"/>
      <c r="G508" s="9"/>
      <c r="H508" s="9"/>
      <c r="I508" s="9"/>
      <c r="J508" s="9"/>
      <c r="K508" s="9"/>
      <c r="L508" s="223"/>
      <c r="M508" s="223"/>
      <c r="N508" s="9"/>
      <c r="O508" s="9"/>
      <c r="P508" s="9"/>
      <c r="Q508" s="223"/>
      <c r="R508" s="9"/>
      <c r="S508" s="223"/>
      <c r="T508" s="9"/>
      <c r="U508" s="9"/>
      <c r="V508" s="9"/>
      <c r="W508" s="9"/>
      <c r="X508" s="9"/>
      <c r="Y508" s="204"/>
      <c r="Z508" s="9"/>
      <c r="AA508" s="9"/>
      <c r="AB508" s="9"/>
      <c r="AC508" s="9"/>
    </row>
    <row r="509" ht="15.75" customHeight="1">
      <c r="A509" s="223"/>
      <c r="B509" s="223"/>
      <c r="C509" s="223"/>
      <c r="D509" s="9"/>
      <c r="E509" s="223"/>
      <c r="F509" s="971"/>
      <c r="G509" s="9"/>
      <c r="H509" s="9"/>
      <c r="I509" s="9"/>
      <c r="J509" s="9"/>
      <c r="K509" s="9"/>
      <c r="L509" s="223"/>
      <c r="M509" s="223"/>
      <c r="N509" s="9"/>
      <c r="O509" s="9"/>
      <c r="P509" s="9"/>
      <c r="Q509" s="223"/>
      <c r="R509" s="9"/>
      <c r="S509" s="223"/>
      <c r="T509" s="9"/>
      <c r="U509" s="9"/>
      <c r="V509" s="9"/>
      <c r="W509" s="9"/>
      <c r="X509" s="9"/>
      <c r="Y509" s="204"/>
      <c r="Z509" s="9"/>
      <c r="AA509" s="9"/>
      <c r="AB509" s="9"/>
      <c r="AC509" s="9"/>
    </row>
    <row r="510" ht="15.75" customHeight="1">
      <c r="A510" s="223"/>
      <c r="B510" s="223"/>
      <c r="C510" s="223"/>
      <c r="D510" s="9"/>
      <c r="E510" s="223"/>
      <c r="F510" s="971"/>
      <c r="G510" s="9"/>
      <c r="H510" s="9"/>
      <c r="I510" s="9"/>
      <c r="J510" s="9"/>
      <c r="K510" s="9"/>
      <c r="L510" s="223"/>
      <c r="M510" s="223"/>
      <c r="N510" s="9"/>
      <c r="O510" s="9"/>
      <c r="P510" s="9"/>
      <c r="Q510" s="223"/>
      <c r="R510" s="9"/>
      <c r="S510" s="223"/>
      <c r="T510" s="9"/>
      <c r="U510" s="9"/>
      <c r="V510" s="9"/>
      <c r="W510" s="9"/>
      <c r="X510" s="9"/>
      <c r="Y510" s="204"/>
      <c r="Z510" s="9"/>
      <c r="AA510" s="9"/>
      <c r="AB510" s="9"/>
      <c r="AC510" s="9"/>
    </row>
    <row r="511" ht="15.75" customHeight="1">
      <c r="A511" s="223"/>
      <c r="B511" s="223"/>
      <c r="C511" s="223"/>
      <c r="D511" s="9"/>
      <c r="E511" s="223"/>
      <c r="F511" s="971"/>
      <c r="G511" s="9"/>
      <c r="H511" s="9"/>
      <c r="I511" s="9"/>
      <c r="J511" s="9"/>
      <c r="K511" s="9"/>
      <c r="L511" s="223"/>
      <c r="M511" s="223"/>
      <c r="N511" s="9"/>
      <c r="O511" s="9"/>
      <c r="P511" s="9"/>
      <c r="Q511" s="223"/>
      <c r="R511" s="9"/>
      <c r="S511" s="223"/>
      <c r="T511" s="9"/>
      <c r="U511" s="9"/>
      <c r="V511" s="9"/>
      <c r="W511" s="9"/>
      <c r="X511" s="9"/>
      <c r="Y511" s="204"/>
      <c r="Z511" s="9"/>
      <c r="AA511" s="9"/>
      <c r="AB511" s="9"/>
      <c r="AC511" s="9"/>
    </row>
    <row r="512" ht="15.75" customHeight="1">
      <c r="A512" s="223"/>
      <c r="B512" s="223"/>
      <c r="C512" s="223"/>
      <c r="D512" s="9"/>
      <c r="E512" s="223"/>
      <c r="F512" s="971"/>
      <c r="G512" s="9"/>
      <c r="H512" s="9"/>
      <c r="I512" s="9"/>
      <c r="J512" s="9"/>
      <c r="K512" s="9"/>
      <c r="L512" s="223"/>
      <c r="M512" s="223"/>
      <c r="N512" s="9"/>
      <c r="O512" s="9"/>
      <c r="P512" s="9"/>
      <c r="Q512" s="223"/>
      <c r="R512" s="9"/>
      <c r="S512" s="223"/>
      <c r="T512" s="9"/>
      <c r="U512" s="9"/>
      <c r="V512" s="9"/>
      <c r="W512" s="9"/>
      <c r="X512" s="9"/>
      <c r="Y512" s="204"/>
      <c r="Z512" s="9"/>
      <c r="AA512" s="9"/>
      <c r="AB512" s="9"/>
      <c r="AC512" s="9"/>
    </row>
    <row r="513" ht="15.75" customHeight="1">
      <c r="A513" s="223"/>
      <c r="B513" s="223"/>
      <c r="C513" s="223"/>
      <c r="D513" s="9"/>
      <c r="E513" s="223"/>
      <c r="F513" s="971"/>
      <c r="G513" s="9"/>
      <c r="H513" s="9"/>
      <c r="I513" s="9"/>
      <c r="J513" s="9"/>
      <c r="K513" s="9"/>
      <c r="L513" s="223"/>
      <c r="M513" s="223"/>
      <c r="N513" s="9"/>
      <c r="O513" s="9"/>
      <c r="P513" s="9"/>
      <c r="Q513" s="223"/>
      <c r="R513" s="9"/>
      <c r="S513" s="223"/>
      <c r="T513" s="9"/>
      <c r="U513" s="9"/>
      <c r="V513" s="9"/>
      <c r="W513" s="9"/>
      <c r="X513" s="9"/>
      <c r="Y513" s="204"/>
      <c r="Z513" s="9"/>
      <c r="AA513" s="9"/>
      <c r="AB513" s="9"/>
      <c r="AC513" s="9"/>
    </row>
    <row r="514" ht="15.75" customHeight="1">
      <c r="A514" s="223"/>
      <c r="B514" s="223"/>
      <c r="C514" s="223"/>
      <c r="D514" s="9"/>
      <c r="E514" s="223"/>
      <c r="F514" s="971"/>
      <c r="G514" s="9"/>
      <c r="H514" s="9"/>
      <c r="I514" s="9"/>
      <c r="J514" s="9"/>
      <c r="K514" s="9"/>
      <c r="L514" s="223"/>
      <c r="M514" s="223"/>
      <c r="N514" s="9"/>
      <c r="O514" s="9"/>
      <c r="P514" s="9"/>
      <c r="Q514" s="223"/>
      <c r="R514" s="9"/>
      <c r="S514" s="223"/>
      <c r="T514" s="9"/>
      <c r="U514" s="9"/>
      <c r="V514" s="9"/>
      <c r="W514" s="9"/>
      <c r="X514" s="9"/>
      <c r="Y514" s="204"/>
      <c r="Z514" s="9"/>
      <c r="AA514" s="9"/>
      <c r="AB514" s="9"/>
      <c r="AC514" s="9"/>
    </row>
    <row r="515" ht="15.75" customHeight="1">
      <c r="A515" s="223"/>
      <c r="B515" s="223"/>
      <c r="C515" s="223"/>
      <c r="D515" s="9"/>
      <c r="E515" s="223"/>
      <c r="F515" s="971"/>
      <c r="G515" s="9"/>
      <c r="H515" s="9"/>
      <c r="I515" s="9"/>
      <c r="J515" s="9"/>
      <c r="K515" s="9"/>
      <c r="L515" s="223"/>
      <c r="M515" s="223"/>
      <c r="N515" s="9"/>
      <c r="O515" s="9"/>
      <c r="P515" s="9"/>
      <c r="Q515" s="223"/>
      <c r="R515" s="9"/>
      <c r="S515" s="223"/>
      <c r="T515" s="9"/>
      <c r="U515" s="9"/>
      <c r="V515" s="9"/>
      <c r="W515" s="9"/>
      <c r="X515" s="9"/>
      <c r="Y515" s="204"/>
      <c r="Z515" s="9"/>
      <c r="AA515" s="9"/>
      <c r="AB515" s="9"/>
      <c r="AC515" s="9"/>
    </row>
    <row r="516" ht="15.75" customHeight="1">
      <c r="A516" s="223"/>
      <c r="B516" s="223"/>
      <c r="C516" s="223"/>
      <c r="D516" s="9"/>
      <c r="E516" s="223"/>
      <c r="F516" s="971"/>
      <c r="G516" s="9"/>
      <c r="H516" s="9"/>
      <c r="I516" s="9"/>
      <c r="J516" s="9"/>
      <c r="K516" s="9"/>
      <c r="L516" s="223"/>
      <c r="M516" s="223"/>
      <c r="N516" s="9"/>
      <c r="O516" s="9"/>
      <c r="P516" s="9"/>
      <c r="Q516" s="223"/>
      <c r="R516" s="9"/>
      <c r="S516" s="223"/>
      <c r="T516" s="9"/>
      <c r="U516" s="9"/>
      <c r="V516" s="9"/>
      <c r="W516" s="9"/>
      <c r="X516" s="9"/>
      <c r="Y516" s="204"/>
      <c r="Z516" s="9"/>
      <c r="AA516" s="9"/>
      <c r="AB516" s="9"/>
      <c r="AC516" s="9"/>
    </row>
    <row r="517" ht="15.75" customHeight="1">
      <c r="A517" s="223"/>
      <c r="B517" s="223"/>
      <c r="C517" s="223"/>
      <c r="D517" s="9"/>
      <c r="E517" s="223"/>
      <c r="F517" s="971"/>
      <c r="G517" s="9"/>
      <c r="H517" s="9"/>
      <c r="I517" s="9"/>
      <c r="J517" s="9"/>
      <c r="K517" s="9"/>
      <c r="L517" s="223"/>
      <c r="M517" s="223"/>
      <c r="N517" s="9"/>
      <c r="O517" s="9"/>
      <c r="P517" s="9"/>
      <c r="Q517" s="223"/>
      <c r="R517" s="9"/>
      <c r="S517" s="223"/>
      <c r="T517" s="9"/>
      <c r="U517" s="9"/>
      <c r="V517" s="9"/>
      <c r="W517" s="9"/>
      <c r="X517" s="9"/>
      <c r="Y517" s="204"/>
      <c r="Z517" s="9"/>
      <c r="AA517" s="9"/>
      <c r="AB517" s="9"/>
      <c r="AC517" s="9"/>
    </row>
    <row r="518" ht="15.75" customHeight="1">
      <c r="A518" s="223"/>
      <c r="B518" s="223"/>
      <c r="C518" s="223"/>
      <c r="D518" s="9"/>
      <c r="E518" s="223"/>
      <c r="F518" s="971"/>
      <c r="G518" s="9"/>
      <c r="H518" s="9"/>
      <c r="I518" s="9"/>
      <c r="J518" s="9"/>
      <c r="K518" s="9"/>
      <c r="L518" s="223"/>
      <c r="M518" s="223"/>
      <c r="N518" s="9"/>
      <c r="O518" s="9"/>
      <c r="P518" s="9"/>
      <c r="Q518" s="223"/>
      <c r="R518" s="9"/>
      <c r="S518" s="223"/>
      <c r="T518" s="9"/>
      <c r="U518" s="9"/>
      <c r="V518" s="9"/>
      <c r="W518" s="9"/>
      <c r="X518" s="9"/>
      <c r="Y518" s="204"/>
      <c r="Z518" s="9"/>
      <c r="AA518" s="9"/>
      <c r="AB518" s="9"/>
      <c r="AC518" s="9"/>
    </row>
    <row r="519" ht="15.75" customHeight="1">
      <c r="A519" s="223"/>
      <c r="B519" s="223"/>
      <c r="C519" s="223"/>
      <c r="D519" s="9"/>
      <c r="E519" s="223"/>
      <c r="F519" s="971"/>
      <c r="G519" s="9"/>
      <c r="H519" s="9"/>
      <c r="I519" s="9"/>
      <c r="J519" s="9"/>
      <c r="K519" s="9"/>
      <c r="L519" s="223"/>
      <c r="M519" s="223"/>
      <c r="N519" s="9"/>
      <c r="O519" s="9"/>
      <c r="P519" s="9"/>
      <c r="Q519" s="223"/>
      <c r="R519" s="9"/>
      <c r="S519" s="223"/>
      <c r="T519" s="9"/>
      <c r="U519" s="9"/>
      <c r="V519" s="9"/>
      <c r="W519" s="9"/>
      <c r="X519" s="9"/>
      <c r="Y519" s="204"/>
      <c r="Z519" s="9"/>
      <c r="AA519" s="9"/>
      <c r="AB519" s="9"/>
      <c r="AC519" s="9"/>
    </row>
    <row r="520" ht="15.75" customHeight="1">
      <c r="A520" s="223"/>
      <c r="B520" s="223"/>
      <c r="C520" s="223"/>
      <c r="D520" s="9"/>
      <c r="E520" s="223"/>
      <c r="F520" s="971"/>
      <c r="G520" s="9"/>
      <c r="H520" s="9"/>
      <c r="I520" s="9"/>
      <c r="J520" s="9"/>
      <c r="K520" s="9"/>
      <c r="L520" s="223"/>
      <c r="M520" s="223"/>
      <c r="N520" s="9"/>
      <c r="O520" s="9"/>
      <c r="P520" s="9"/>
      <c r="Q520" s="223"/>
      <c r="R520" s="9"/>
      <c r="S520" s="223"/>
      <c r="T520" s="9"/>
      <c r="U520" s="9"/>
      <c r="V520" s="9"/>
      <c r="W520" s="9"/>
      <c r="X520" s="9"/>
      <c r="Y520" s="204"/>
      <c r="Z520" s="9"/>
      <c r="AA520" s="9"/>
      <c r="AB520" s="9"/>
      <c r="AC520" s="9"/>
    </row>
    <row r="521" ht="15.75" customHeight="1">
      <c r="A521" s="223"/>
      <c r="B521" s="223"/>
      <c r="C521" s="223"/>
      <c r="D521" s="9"/>
      <c r="E521" s="223"/>
      <c r="F521" s="971"/>
      <c r="G521" s="9"/>
      <c r="H521" s="9"/>
      <c r="I521" s="9"/>
      <c r="J521" s="9"/>
      <c r="K521" s="9"/>
      <c r="L521" s="223"/>
      <c r="M521" s="223"/>
      <c r="N521" s="9"/>
      <c r="O521" s="9"/>
      <c r="P521" s="9"/>
      <c r="Q521" s="223"/>
      <c r="R521" s="9"/>
      <c r="S521" s="223"/>
      <c r="T521" s="9"/>
      <c r="U521" s="9"/>
      <c r="V521" s="9"/>
      <c r="W521" s="9"/>
      <c r="X521" s="9"/>
      <c r="Y521" s="204"/>
      <c r="Z521" s="9"/>
      <c r="AA521" s="9"/>
      <c r="AB521" s="9"/>
      <c r="AC521" s="9"/>
    </row>
    <row r="522" ht="15.75" customHeight="1">
      <c r="A522" s="223"/>
      <c r="B522" s="223"/>
      <c r="C522" s="223"/>
      <c r="D522" s="9"/>
      <c r="E522" s="223"/>
      <c r="F522" s="971"/>
      <c r="G522" s="9"/>
      <c r="H522" s="9"/>
      <c r="I522" s="9"/>
      <c r="J522" s="9"/>
      <c r="K522" s="9"/>
      <c r="L522" s="223"/>
      <c r="M522" s="223"/>
      <c r="N522" s="9"/>
      <c r="O522" s="9"/>
      <c r="P522" s="9"/>
      <c r="Q522" s="223"/>
      <c r="R522" s="9"/>
      <c r="S522" s="223"/>
      <c r="T522" s="9"/>
      <c r="U522" s="9"/>
      <c r="V522" s="9"/>
      <c r="W522" s="9"/>
      <c r="X522" s="9"/>
      <c r="Y522" s="204"/>
      <c r="Z522" s="9"/>
      <c r="AA522" s="9"/>
      <c r="AB522" s="9"/>
      <c r="AC522" s="9"/>
    </row>
    <row r="523" ht="15.75" customHeight="1">
      <c r="A523" s="223"/>
      <c r="B523" s="223"/>
      <c r="C523" s="223"/>
      <c r="D523" s="9"/>
      <c r="E523" s="223"/>
      <c r="F523" s="971"/>
      <c r="G523" s="9"/>
      <c r="H523" s="9"/>
      <c r="I523" s="9"/>
      <c r="J523" s="9"/>
      <c r="K523" s="9"/>
      <c r="L523" s="223"/>
      <c r="M523" s="223"/>
      <c r="N523" s="9"/>
      <c r="O523" s="9"/>
      <c r="P523" s="9"/>
      <c r="Q523" s="223"/>
      <c r="R523" s="9"/>
      <c r="S523" s="223"/>
      <c r="T523" s="9"/>
      <c r="U523" s="9"/>
      <c r="V523" s="9"/>
      <c r="W523" s="9"/>
      <c r="X523" s="9"/>
      <c r="Y523" s="204"/>
      <c r="Z523" s="9"/>
      <c r="AA523" s="9"/>
      <c r="AB523" s="9"/>
      <c r="AC523" s="9"/>
    </row>
    <row r="524" ht="15.75" customHeight="1">
      <c r="A524" s="223"/>
      <c r="B524" s="223"/>
      <c r="C524" s="223"/>
      <c r="D524" s="9"/>
      <c r="E524" s="223"/>
      <c r="F524" s="971"/>
      <c r="G524" s="9"/>
      <c r="H524" s="9"/>
      <c r="I524" s="9"/>
      <c r="J524" s="9"/>
      <c r="K524" s="9"/>
      <c r="L524" s="223"/>
      <c r="M524" s="223"/>
      <c r="N524" s="9"/>
      <c r="O524" s="9"/>
      <c r="P524" s="9"/>
      <c r="Q524" s="223"/>
      <c r="R524" s="9"/>
      <c r="S524" s="223"/>
      <c r="T524" s="9"/>
      <c r="U524" s="9"/>
      <c r="V524" s="9"/>
      <c r="W524" s="9"/>
      <c r="X524" s="9"/>
      <c r="Y524" s="204"/>
      <c r="Z524" s="9"/>
      <c r="AA524" s="9"/>
      <c r="AB524" s="9"/>
      <c r="AC524" s="9"/>
    </row>
    <row r="525" ht="15.75" customHeight="1">
      <c r="A525" s="223"/>
      <c r="B525" s="223"/>
      <c r="C525" s="223"/>
      <c r="D525" s="9"/>
      <c r="E525" s="223"/>
      <c r="F525" s="971"/>
      <c r="G525" s="9"/>
      <c r="H525" s="9"/>
      <c r="I525" s="9"/>
      <c r="J525" s="9"/>
      <c r="K525" s="9"/>
      <c r="L525" s="223"/>
      <c r="M525" s="223"/>
      <c r="N525" s="9"/>
      <c r="O525" s="9"/>
      <c r="P525" s="9"/>
      <c r="Q525" s="223"/>
      <c r="R525" s="9"/>
      <c r="S525" s="223"/>
      <c r="T525" s="9"/>
      <c r="U525" s="9"/>
      <c r="V525" s="9"/>
      <c r="W525" s="9"/>
      <c r="X525" s="9"/>
      <c r="Y525" s="204"/>
      <c r="Z525" s="9"/>
      <c r="AA525" s="9"/>
      <c r="AB525" s="9"/>
      <c r="AC525" s="9"/>
    </row>
    <row r="526" ht="15.75" customHeight="1">
      <c r="A526" s="223"/>
      <c r="B526" s="223"/>
      <c r="C526" s="223"/>
      <c r="D526" s="9"/>
      <c r="E526" s="223"/>
      <c r="F526" s="971"/>
      <c r="G526" s="9"/>
      <c r="H526" s="9"/>
      <c r="I526" s="9"/>
      <c r="J526" s="9"/>
      <c r="K526" s="9"/>
      <c r="L526" s="223"/>
      <c r="M526" s="223"/>
      <c r="N526" s="9"/>
      <c r="O526" s="9"/>
      <c r="P526" s="9"/>
      <c r="Q526" s="223"/>
      <c r="R526" s="9"/>
      <c r="S526" s="223"/>
      <c r="T526" s="9"/>
      <c r="U526" s="9"/>
      <c r="V526" s="9"/>
      <c r="W526" s="9"/>
      <c r="X526" s="9"/>
      <c r="Y526" s="204"/>
      <c r="Z526" s="9"/>
      <c r="AA526" s="9"/>
      <c r="AB526" s="9"/>
      <c r="AC526" s="9"/>
    </row>
    <row r="527" ht="15.75" customHeight="1">
      <c r="A527" s="223"/>
      <c r="B527" s="223"/>
      <c r="C527" s="223"/>
      <c r="D527" s="9"/>
      <c r="E527" s="223"/>
      <c r="F527" s="971"/>
      <c r="G527" s="9"/>
      <c r="H527" s="9"/>
      <c r="I527" s="9"/>
      <c r="J527" s="9"/>
      <c r="K527" s="9"/>
      <c r="L527" s="223"/>
      <c r="M527" s="223"/>
      <c r="N527" s="9"/>
      <c r="O527" s="9"/>
      <c r="P527" s="9"/>
      <c r="Q527" s="223"/>
      <c r="R527" s="9"/>
      <c r="S527" s="223"/>
      <c r="T527" s="9"/>
      <c r="U527" s="9"/>
      <c r="V527" s="9"/>
      <c r="W527" s="9"/>
      <c r="X527" s="9"/>
      <c r="Y527" s="204"/>
      <c r="Z527" s="9"/>
      <c r="AA527" s="9"/>
      <c r="AB527" s="9"/>
      <c r="AC527" s="9"/>
    </row>
    <row r="528" ht="15.75" customHeight="1">
      <c r="A528" s="223"/>
      <c r="B528" s="223"/>
      <c r="C528" s="223"/>
      <c r="D528" s="9"/>
      <c r="E528" s="223"/>
      <c r="F528" s="971"/>
      <c r="G528" s="9"/>
      <c r="H528" s="9"/>
      <c r="I528" s="9"/>
      <c r="J528" s="9"/>
      <c r="K528" s="9"/>
      <c r="L528" s="223"/>
      <c r="M528" s="223"/>
      <c r="N528" s="9"/>
      <c r="O528" s="9"/>
      <c r="P528" s="9"/>
      <c r="Q528" s="223"/>
      <c r="R528" s="9"/>
      <c r="S528" s="223"/>
      <c r="T528" s="9"/>
      <c r="U528" s="9"/>
      <c r="V528" s="9"/>
      <c r="W528" s="9"/>
      <c r="X528" s="9"/>
      <c r="Y528" s="204"/>
      <c r="Z528" s="9"/>
      <c r="AA528" s="9"/>
      <c r="AB528" s="9"/>
      <c r="AC528" s="9"/>
    </row>
    <row r="529" ht="15.75" customHeight="1">
      <c r="A529" s="223"/>
      <c r="B529" s="223"/>
      <c r="C529" s="223"/>
      <c r="D529" s="9"/>
      <c r="E529" s="223"/>
      <c r="F529" s="971"/>
      <c r="G529" s="9"/>
      <c r="H529" s="9"/>
      <c r="I529" s="9"/>
      <c r="J529" s="9"/>
      <c r="K529" s="9"/>
      <c r="L529" s="223"/>
      <c r="M529" s="223"/>
      <c r="N529" s="9"/>
      <c r="O529" s="9"/>
      <c r="P529" s="9"/>
      <c r="Q529" s="223"/>
      <c r="R529" s="9"/>
      <c r="S529" s="223"/>
      <c r="T529" s="9"/>
      <c r="U529" s="9"/>
      <c r="V529" s="9"/>
      <c r="W529" s="9"/>
      <c r="X529" s="9"/>
      <c r="Y529" s="204"/>
      <c r="Z529" s="9"/>
      <c r="AA529" s="9"/>
      <c r="AB529" s="9"/>
      <c r="AC529" s="9"/>
    </row>
    <row r="530" ht="15.75" customHeight="1">
      <c r="A530" s="223"/>
      <c r="B530" s="223"/>
      <c r="C530" s="223"/>
      <c r="D530" s="9"/>
      <c r="E530" s="223"/>
      <c r="F530" s="971"/>
      <c r="G530" s="9"/>
      <c r="H530" s="9"/>
      <c r="I530" s="9"/>
      <c r="J530" s="9"/>
      <c r="K530" s="9"/>
      <c r="L530" s="223"/>
      <c r="M530" s="223"/>
      <c r="N530" s="9"/>
      <c r="O530" s="9"/>
      <c r="P530" s="9"/>
      <c r="Q530" s="223"/>
      <c r="R530" s="9"/>
      <c r="S530" s="223"/>
      <c r="T530" s="9"/>
      <c r="U530" s="9"/>
      <c r="V530" s="9"/>
      <c r="W530" s="9"/>
      <c r="X530" s="9"/>
      <c r="Y530" s="204"/>
      <c r="Z530" s="9"/>
      <c r="AA530" s="9"/>
      <c r="AB530" s="9"/>
      <c r="AC530" s="9"/>
    </row>
    <row r="531" ht="15.75" customHeight="1">
      <c r="A531" s="223"/>
      <c r="B531" s="223"/>
      <c r="C531" s="223"/>
      <c r="D531" s="9"/>
      <c r="E531" s="223"/>
      <c r="F531" s="971"/>
      <c r="G531" s="9"/>
      <c r="H531" s="9"/>
      <c r="I531" s="9"/>
      <c r="J531" s="9"/>
      <c r="K531" s="9"/>
      <c r="L531" s="223"/>
      <c r="M531" s="223"/>
      <c r="N531" s="9"/>
      <c r="O531" s="9"/>
      <c r="P531" s="9"/>
      <c r="Q531" s="223"/>
      <c r="R531" s="9"/>
      <c r="S531" s="223"/>
      <c r="T531" s="9"/>
      <c r="U531" s="9"/>
      <c r="V531" s="9"/>
      <c r="W531" s="9"/>
      <c r="X531" s="9"/>
      <c r="Y531" s="204"/>
      <c r="Z531" s="9"/>
      <c r="AA531" s="9"/>
      <c r="AB531" s="9"/>
      <c r="AC531" s="9"/>
    </row>
    <row r="532" ht="15.75" customHeight="1">
      <c r="A532" s="223"/>
      <c r="B532" s="223"/>
      <c r="C532" s="223"/>
      <c r="D532" s="9"/>
      <c r="E532" s="223"/>
      <c r="F532" s="971"/>
      <c r="G532" s="9"/>
      <c r="H532" s="9"/>
      <c r="I532" s="9"/>
      <c r="J532" s="9"/>
      <c r="K532" s="9"/>
      <c r="L532" s="223"/>
      <c r="M532" s="223"/>
      <c r="N532" s="9"/>
      <c r="O532" s="9"/>
      <c r="P532" s="9"/>
      <c r="Q532" s="223"/>
      <c r="R532" s="9"/>
      <c r="S532" s="223"/>
      <c r="T532" s="9"/>
      <c r="U532" s="9"/>
      <c r="V532" s="9"/>
      <c r="W532" s="9"/>
      <c r="X532" s="9"/>
      <c r="Y532" s="204"/>
      <c r="Z532" s="9"/>
      <c r="AA532" s="9"/>
      <c r="AB532" s="9"/>
      <c r="AC532" s="9"/>
    </row>
    <row r="533" ht="15.75" customHeight="1">
      <c r="A533" s="223"/>
      <c r="B533" s="223"/>
      <c r="C533" s="223"/>
      <c r="D533" s="9"/>
      <c r="E533" s="223"/>
      <c r="F533" s="971"/>
      <c r="G533" s="9"/>
      <c r="H533" s="9"/>
      <c r="I533" s="9"/>
      <c r="J533" s="9"/>
      <c r="K533" s="9"/>
      <c r="L533" s="223"/>
      <c r="M533" s="223"/>
      <c r="N533" s="9"/>
      <c r="O533" s="9"/>
      <c r="P533" s="9"/>
      <c r="Q533" s="223"/>
      <c r="R533" s="9"/>
      <c r="S533" s="223"/>
      <c r="T533" s="9"/>
      <c r="U533" s="9"/>
      <c r="V533" s="9"/>
      <c r="W533" s="9"/>
      <c r="X533" s="9"/>
      <c r="Y533" s="204"/>
      <c r="Z533" s="9"/>
      <c r="AA533" s="9"/>
      <c r="AB533" s="9"/>
      <c r="AC533" s="9"/>
    </row>
    <row r="534" ht="15.75" customHeight="1">
      <c r="A534" s="223"/>
      <c r="B534" s="223"/>
      <c r="C534" s="223"/>
      <c r="D534" s="9"/>
      <c r="E534" s="223"/>
      <c r="F534" s="971"/>
      <c r="G534" s="9"/>
      <c r="H534" s="9"/>
      <c r="I534" s="9"/>
      <c r="J534" s="9"/>
      <c r="K534" s="9"/>
      <c r="L534" s="223"/>
      <c r="M534" s="223"/>
      <c r="N534" s="9"/>
      <c r="O534" s="9"/>
      <c r="P534" s="9"/>
      <c r="Q534" s="223"/>
      <c r="R534" s="9"/>
      <c r="S534" s="223"/>
      <c r="T534" s="9"/>
      <c r="U534" s="9"/>
      <c r="V534" s="9"/>
      <c r="W534" s="9"/>
      <c r="X534" s="9"/>
      <c r="Y534" s="204"/>
      <c r="Z534" s="9"/>
      <c r="AA534" s="9"/>
      <c r="AB534" s="9"/>
      <c r="AC534" s="9"/>
    </row>
    <row r="535" ht="15.75" customHeight="1">
      <c r="A535" s="223"/>
      <c r="B535" s="223"/>
      <c r="C535" s="223"/>
      <c r="D535" s="9"/>
      <c r="E535" s="223"/>
      <c r="F535" s="971"/>
      <c r="G535" s="9"/>
      <c r="H535" s="9"/>
      <c r="I535" s="9"/>
      <c r="J535" s="9"/>
      <c r="K535" s="9"/>
      <c r="L535" s="223"/>
      <c r="M535" s="223"/>
      <c r="N535" s="9"/>
      <c r="O535" s="9"/>
      <c r="P535" s="9"/>
      <c r="Q535" s="223"/>
      <c r="R535" s="9"/>
      <c r="S535" s="223"/>
      <c r="T535" s="9"/>
      <c r="U535" s="9"/>
      <c r="V535" s="9"/>
      <c r="W535" s="9"/>
      <c r="X535" s="9"/>
      <c r="Y535" s="204"/>
      <c r="Z535" s="9"/>
      <c r="AA535" s="9"/>
      <c r="AB535" s="9"/>
      <c r="AC535" s="9"/>
    </row>
    <row r="536" ht="15.75" customHeight="1">
      <c r="A536" s="223"/>
      <c r="B536" s="223"/>
      <c r="C536" s="223"/>
      <c r="D536" s="9"/>
      <c r="E536" s="223"/>
      <c r="F536" s="971"/>
      <c r="G536" s="9"/>
      <c r="H536" s="9"/>
      <c r="I536" s="9"/>
      <c r="J536" s="9"/>
      <c r="K536" s="9"/>
      <c r="L536" s="223"/>
      <c r="M536" s="223"/>
      <c r="N536" s="9"/>
      <c r="O536" s="9"/>
      <c r="P536" s="9"/>
      <c r="Q536" s="223"/>
      <c r="R536" s="9"/>
      <c r="S536" s="223"/>
      <c r="T536" s="9"/>
      <c r="U536" s="9"/>
      <c r="V536" s="9"/>
      <c r="W536" s="9"/>
      <c r="X536" s="9"/>
      <c r="Y536" s="204"/>
      <c r="Z536" s="9"/>
      <c r="AA536" s="9"/>
      <c r="AB536" s="9"/>
      <c r="AC536" s="9"/>
    </row>
    <row r="537" ht="15.75" customHeight="1">
      <c r="A537" s="223"/>
      <c r="B537" s="223"/>
      <c r="C537" s="223"/>
      <c r="D537" s="9"/>
      <c r="E537" s="223"/>
      <c r="F537" s="971"/>
      <c r="G537" s="9"/>
      <c r="H537" s="9"/>
      <c r="I537" s="9"/>
      <c r="J537" s="9"/>
      <c r="K537" s="9"/>
      <c r="L537" s="223"/>
      <c r="M537" s="223"/>
      <c r="N537" s="9"/>
      <c r="O537" s="9"/>
      <c r="P537" s="9"/>
      <c r="Q537" s="223"/>
      <c r="R537" s="9"/>
      <c r="S537" s="223"/>
      <c r="T537" s="9"/>
      <c r="U537" s="9"/>
      <c r="V537" s="9"/>
      <c r="W537" s="9"/>
      <c r="X537" s="9"/>
      <c r="Y537" s="204"/>
      <c r="Z537" s="9"/>
      <c r="AA537" s="9"/>
      <c r="AB537" s="9"/>
      <c r="AC537" s="9"/>
    </row>
    <row r="538" ht="15.75" customHeight="1">
      <c r="A538" s="223"/>
      <c r="B538" s="223"/>
      <c r="C538" s="223"/>
      <c r="D538" s="9"/>
      <c r="E538" s="223"/>
      <c r="F538" s="971"/>
      <c r="G538" s="9"/>
      <c r="H538" s="9"/>
      <c r="I538" s="9"/>
      <c r="J538" s="9"/>
      <c r="K538" s="9"/>
      <c r="L538" s="223"/>
      <c r="M538" s="223"/>
      <c r="N538" s="9"/>
      <c r="O538" s="9"/>
      <c r="P538" s="9"/>
      <c r="Q538" s="223"/>
      <c r="R538" s="9"/>
      <c r="S538" s="223"/>
      <c r="T538" s="9"/>
      <c r="U538" s="9"/>
      <c r="V538" s="9"/>
      <c r="W538" s="9"/>
      <c r="X538" s="9"/>
      <c r="Y538" s="204"/>
      <c r="Z538" s="9"/>
      <c r="AA538" s="9"/>
      <c r="AB538" s="9"/>
      <c r="AC538" s="9"/>
    </row>
    <row r="539" ht="15.75" customHeight="1">
      <c r="A539" s="223"/>
      <c r="B539" s="223"/>
      <c r="C539" s="223"/>
      <c r="D539" s="9"/>
      <c r="E539" s="223"/>
      <c r="F539" s="971"/>
      <c r="G539" s="9"/>
      <c r="H539" s="9"/>
      <c r="I539" s="9"/>
      <c r="J539" s="9"/>
      <c r="K539" s="9"/>
      <c r="L539" s="223"/>
      <c r="M539" s="223"/>
      <c r="N539" s="9"/>
      <c r="O539" s="9"/>
      <c r="P539" s="9"/>
      <c r="Q539" s="223"/>
      <c r="R539" s="9"/>
      <c r="S539" s="223"/>
      <c r="T539" s="9"/>
      <c r="U539" s="9"/>
      <c r="V539" s="9"/>
      <c r="W539" s="9"/>
      <c r="X539" s="9"/>
      <c r="Y539" s="204"/>
      <c r="Z539" s="9"/>
      <c r="AA539" s="9"/>
      <c r="AB539" s="9"/>
      <c r="AC539" s="9"/>
    </row>
    <row r="540" ht="15.75" customHeight="1">
      <c r="A540" s="223"/>
      <c r="B540" s="223"/>
      <c r="C540" s="223"/>
      <c r="D540" s="9"/>
      <c r="E540" s="223"/>
      <c r="F540" s="971"/>
      <c r="G540" s="9"/>
      <c r="H540" s="9"/>
      <c r="I540" s="9"/>
      <c r="J540" s="9"/>
      <c r="K540" s="9"/>
      <c r="L540" s="223"/>
      <c r="M540" s="223"/>
      <c r="N540" s="9"/>
      <c r="O540" s="9"/>
      <c r="P540" s="9"/>
      <c r="Q540" s="223"/>
      <c r="R540" s="9"/>
      <c r="S540" s="223"/>
      <c r="T540" s="9"/>
      <c r="U540" s="9"/>
      <c r="V540" s="9"/>
      <c r="W540" s="9"/>
      <c r="X540" s="9"/>
      <c r="Y540" s="204"/>
      <c r="Z540" s="9"/>
      <c r="AA540" s="9"/>
      <c r="AB540" s="9"/>
      <c r="AC540" s="9"/>
    </row>
    <row r="541" ht="15.75" customHeight="1">
      <c r="A541" s="223"/>
      <c r="B541" s="223"/>
      <c r="C541" s="223"/>
      <c r="D541" s="9"/>
      <c r="E541" s="223"/>
      <c r="F541" s="971"/>
      <c r="G541" s="9"/>
      <c r="H541" s="9"/>
      <c r="I541" s="9"/>
      <c r="J541" s="9"/>
      <c r="K541" s="9"/>
      <c r="L541" s="223"/>
      <c r="M541" s="223"/>
      <c r="N541" s="9"/>
      <c r="O541" s="9"/>
      <c r="P541" s="9"/>
      <c r="Q541" s="223"/>
      <c r="R541" s="9"/>
      <c r="S541" s="223"/>
      <c r="T541" s="9"/>
      <c r="U541" s="9"/>
      <c r="V541" s="9"/>
      <c r="W541" s="9"/>
      <c r="X541" s="9"/>
      <c r="Y541" s="204"/>
      <c r="Z541" s="9"/>
      <c r="AA541" s="9"/>
      <c r="AB541" s="9"/>
      <c r="AC541" s="9"/>
    </row>
    <row r="542" ht="15.75" customHeight="1">
      <c r="A542" s="223"/>
      <c r="B542" s="223"/>
      <c r="C542" s="223"/>
      <c r="D542" s="9"/>
      <c r="E542" s="223"/>
      <c r="F542" s="971"/>
      <c r="G542" s="9"/>
      <c r="H542" s="9"/>
      <c r="I542" s="9"/>
      <c r="J542" s="9"/>
      <c r="K542" s="9"/>
      <c r="L542" s="223"/>
      <c r="M542" s="223"/>
      <c r="N542" s="9"/>
      <c r="O542" s="9"/>
      <c r="P542" s="9"/>
      <c r="Q542" s="223"/>
      <c r="R542" s="9"/>
      <c r="S542" s="223"/>
      <c r="T542" s="9"/>
      <c r="U542" s="9"/>
      <c r="V542" s="9"/>
      <c r="W542" s="9"/>
      <c r="X542" s="9"/>
      <c r="Y542" s="204"/>
      <c r="Z542" s="9"/>
      <c r="AA542" s="9"/>
      <c r="AB542" s="9"/>
      <c r="AC542" s="9"/>
    </row>
    <row r="543" ht="15.75" customHeight="1">
      <c r="A543" s="223"/>
      <c r="B543" s="223"/>
      <c r="C543" s="223"/>
      <c r="D543" s="9"/>
      <c r="E543" s="223"/>
      <c r="F543" s="971"/>
      <c r="G543" s="9"/>
      <c r="H543" s="9"/>
      <c r="I543" s="9"/>
      <c r="J543" s="9"/>
      <c r="K543" s="9"/>
      <c r="L543" s="223"/>
      <c r="M543" s="223"/>
      <c r="N543" s="9"/>
      <c r="O543" s="9"/>
      <c r="P543" s="9"/>
      <c r="Q543" s="223"/>
      <c r="R543" s="9"/>
      <c r="S543" s="223"/>
      <c r="T543" s="9"/>
      <c r="U543" s="9"/>
      <c r="V543" s="9"/>
      <c r="W543" s="9"/>
      <c r="X543" s="9"/>
      <c r="Y543" s="204"/>
      <c r="Z543" s="9"/>
      <c r="AA543" s="9"/>
      <c r="AB543" s="9"/>
      <c r="AC543" s="9"/>
    </row>
    <row r="544" ht="15.75" customHeight="1">
      <c r="A544" s="223"/>
      <c r="B544" s="223"/>
      <c r="C544" s="223"/>
      <c r="D544" s="9"/>
      <c r="E544" s="223"/>
      <c r="F544" s="971"/>
      <c r="G544" s="9"/>
      <c r="H544" s="9"/>
      <c r="I544" s="9"/>
      <c r="J544" s="9"/>
      <c r="K544" s="9"/>
      <c r="L544" s="223"/>
      <c r="M544" s="223"/>
      <c r="N544" s="9"/>
      <c r="O544" s="9"/>
      <c r="P544" s="9"/>
      <c r="Q544" s="223"/>
      <c r="R544" s="9"/>
      <c r="S544" s="223"/>
      <c r="T544" s="9"/>
      <c r="U544" s="9"/>
      <c r="V544" s="9"/>
      <c r="W544" s="9"/>
      <c r="X544" s="9"/>
      <c r="Y544" s="204"/>
      <c r="Z544" s="9"/>
      <c r="AA544" s="9"/>
      <c r="AB544" s="9"/>
      <c r="AC544" s="9"/>
    </row>
    <row r="545" ht="15.75" customHeight="1">
      <c r="A545" s="223"/>
      <c r="B545" s="223"/>
      <c r="C545" s="223"/>
      <c r="D545" s="9"/>
      <c r="E545" s="223"/>
      <c r="F545" s="971"/>
      <c r="G545" s="9"/>
      <c r="H545" s="9"/>
      <c r="I545" s="9"/>
      <c r="J545" s="9"/>
      <c r="K545" s="9"/>
      <c r="L545" s="223"/>
      <c r="M545" s="223"/>
      <c r="N545" s="9"/>
      <c r="O545" s="9"/>
      <c r="P545" s="9"/>
      <c r="Q545" s="223"/>
      <c r="R545" s="9"/>
      <c r="S545" s="223"/>
      <c r="T545" s="9"/>
      <c r="U545" s="9"/>
      <c r="V545" s="9"/>
      <c r="W545" s="9"/>
      <c r="X545" s="9"/>
      <c r="Y545" s="204"/>
      <c r="Z545" s="9"/>
      <c r="AA545" s="9"/>
      <c r="AB545" s="9"/>
      <c r="AC545" s="9"/>
    </row>
    <row r="546" ht="15.75" customHeight="1">
      <c r="A546" s="223"/>
      <c r="B546" s="223"/>
      <c r="C546" s="223"/>
      <c r="D546" s="9"/>
      <c r="E546" s="223"/>
      <c r="F546" s="971"/>
      <c r="G546" s="9"/>
      <c r="H546" s="9"/>
      <c r="I546" s="9"/>
      <c r="J546" s="9"/>
      <c r="K546" s="9"/>
      <c r="L546" s="223"/>
      <c r="M546" s="223"/>
      <c r="N546" s="9"/>
      <c r="O546" s="9"/>
      <c r="P546" s="9"/>
      <c r="Q546" s="223"/>
      <c r="R546" s="9"/>
      <c r="S546" s="223"/>
      <c r="T546" s="9"/>
      <c r="U546" s="9"/>
      <c r="V546" s="9"/>
      <c r="W546" s="9"/>
      <c r="X546" s="9"/>
      <c r="Y546" s="204"/>
      <c r="Z546" s="9"/>
      <c r="AA546" s="9"/>
      <c r="AB546" s="9"/>
      <c r="AC546" s="9"/>
    </row>
    <row r="547" ht="15.75" customHeight="1">
      <c r="A547" s="223"/>
      <c r="B547" s="223"/>
      <c r="C547" s="223"/>
      <c r="D547" s="9"/>
      <c r="E547" s="223"/>
      <c r="F547" s="971"/>
      <c r="G547" s="9"/>
      <c r="H547" s="9"/>
      <c r="I547" s="9"/>
      <c r="J547" s="9"/>
      <c r="K547" s="9"/>
      <c r="L547" s="223"/>
      <c r="M547" s="223"/>
      <c r="N547" s="9"/>
      <c r="O547" s="9"/>
      <c r="P547" s="9"/>
      <c r="Q547" s="223"/>
      <c r="R547" s="9"/>
      <c r="S547" s="223"/>
      <c r="T547" s="9"/>
      <c r="U547" s="9"/>
      <c r="V547" s="9"/>
      <c r="W547" s="9"/>
      <c r="X547" s="9"/>
      <c r="Y547" s="204"/>
      <c r="Z547" s="9"/>
      <c r="AA547" s="9"/>
      <c r="AB547" s="9"/>
      <c r="AC547" s="9"/>
    </row>
    <row r="548" ht="15.75" customHeight="1">
      <c r="A548" s="223"/>
      <c r="B548" s="223"/>
      <c r="C548" s="223"/>
      <c r="D548" s="9"/>
      <c r="E548" s="223"/>
      <c r="F548" s="971"/>
      <c r="G548" s="9"/>
      <c r="H548" s="9"/>
      <c r="I548" s="9"/>
      <c r="J548" s="9"/>
      <c r="K548" s="9"/>
      <c r="L548" s="223"/>
      <c r="M548" s="223"/>
      <c r="N548" s="9"/>
      <c r="O548" s="9"/>
      <c r="P548" s="9"/>
      <c r="Q548" s="223"/>
      <c r="R548" s="9"/>
      <c r="S548" s="223"/>
      <c r="T548" s="9"/>
      <c r="U548" s="9"/>
      <c r="V548" s="9"/>
      <c r="W548" s="9"/>
      <c r="X548" s="9"/>
      <c r="Y548" s="204"/>
      <c r="Z548" s="9"/>
      <c r="AA548" s="9"/>
      <c r="AB548" s="9"/>
      <c r="AC548" s="9"/>
    </row>
    <row r="549" ht="15.75" customHeight="1">
      <c r="A549" s="223"/>
      <c r="B549" s="223"/>
      <c r="C549" s="223"/>
      <c r="D549" s="9"/>
      <c r="E549" s="223"/>
      <c r="F549" s="971"/>
      <c r="G549" s="9"/>
      <c r="H549" s="9"/>
      <c r="I549" s="9"/>
      <c r="J549" s="9"/>
      <c r="K549" s="9"/>
      <c r="L549" s="223"/>
      <c r="M549" s="223"/>
      <c r="N549" s="9"/>
      <c r="O549" s="9"/>
      <c r="P549" s="9"/>
      <c r="Q549" s="223"/>
      <c r="R549" s="9"/>
      <c r="S549" s="223"/>
      <c r="T549" s="9"/>
      <c r="U549" s="9"/>
      <c r="V549" s="9"/>
      <c r="W549" s="9"/>
      <c r="X549" s="9"/>
      <c r="Y549" s="204"/>
      <c r="Z549" s="9"/>
      <c r="AA549" s="9"/>
      <c r="AB549" s="9"/>
      <c r="AC549" s="9"/>
    </row>
    <row r="550" ht="15.75" customHeight="1">
      <c r="A550" s="223"/>
      <c r="B550" s="223"/>
      <c r="C550" s="223"/>
      <c r="D550" s="9"/>
      <c r="E550" s="223"/>
      <c r="F550" s="971"/>
      <c r="G550" s="9"/>
      <c r="H550" s="9"/>
      <c r="I550" s="9"/>
      <c r="J550" s="9"/>
      <c r="K550" s="9"/>
      <c r="L550" s="223"/>
      <c r="M550" s="223"/>
      <c r="N550" s="9"/>
      <c r="O550" s="9"/>
      <c r="P550" s="9"/>
      <c r="Q550" s="223"/>
      <c r="R550" s="9"/>
      <c r="S550" s="223"/>
      <c r="T550" s="9"/>
      <c r="U550" s="9"/>
      <c r="V550" s="9"/>
      <c r="W550" s="9"/>
      <c r="X550" s="9"/>
      <c r="Y550" s="204"/>
      <c r="Z550" s="9"/>
      <c r="AA550" s="9"/>
      <c r="AB550" s="9"/>
      <c r="AC550" s="9"/>
    </row>
    <row r="551" ht="15.75" customHeight="1">
      <c r="A551" s="223"/>
      <c r="B551" s="223"/>
      <c r="C551" s="223"/>
      <c r="D551" s="9"/>
      <c r="E551" s="223"/>
      <c r="F551" s="971"/>
      <c r="G551" s="9"/>
      <c r="H551" s="9"/>
      <c r="I551" s="9"/>
      <c r="J551" s="9"/>
      <c r="K551" s="9"/>
      <c r="L551" s="223"/>
      <c r="M551" s="223"/>
      <c r="N551" s="9"/>
      <c r="O551" s="9"/>
      <c r="P551" s="9"/>
      <c r="Q551" s="223"/>
      <c r="R551" s="9"/>
      <c r="S551" s="223"/>
      <c r="T551" s="9"/>
      <c r="U551" s="9"/>
      <c r="V551" s="9"/>
      <c r="W551" s="9"/>
      <c r="X551" s="9"/>
      <c r="Y551" s="204"/>
      <c r="Z551" s="9"/>
      <c r="AA551" s="9"/>
      <c r="AB551" s="9"/>
      <c r="AC551" s="9"/>
    </row>
    <row r="552" ht="15.75" customHeight="1">
      <c r="A552" s="223"/>
      <c r="B552" s="223"/>
      <c r="C552" s="223"/>
      <c r="D552" s="9"/>
      <c r="E552" s="223"/>
      <c r="F552" s="971"/>
      <c r="G552" s="9"/>
      <c r="H552" s="9"/>
      <c r="I552" s="9"/>
      <c r="J552" s="9"/>
      <c r="K552" s="9"/>
      <c r="L552" s="223"/>
      <c r="M552" s="223"/>
      <c r="N552" s="9"/>
      <c r="O552" s="9"/>
      <c r="P552" s="9"/>
      <c r="Q552" s="223"/>
      <c r="R552" s="9"/>
      <c r="S552" s="223"/>
      <c r="T552" s="9"/>
      <c r="U552" s="9"/>
      <c r="V552" s="9"/>
      <c r="W552" s="9"/>
      <c r="X552" s="9"/>
      <c r="Y552" s="204"/>
      <c r="Z552" s="9"/>
      <c r="AA552" s="9"/>
      <c r="AB552" s="9"/>
      <c r="AC552" s="9"/>
    </row>
    <row r="553" ht="15.75" customHeight="1">
      <c r="A553" s="223"/>
      <c r="B553" s="223"/>
      <c r="C553" s="223"/>
      <c r="D553" s="9"/>
      <c r="E553" s="223"/>
      <c r="F553" s="971"/>
      <c r="G553" s="9"/>
      <c r="H553" s="9"/>
      <c r="I553" s="9"/>
      <c r="J553" s="9"/>
      <c r="K553" s="9"/>
      <c r="L553" s="223"/>
      <c r="M553" s="223"/>
      <c r="N553" s="9"/>
      <c r="O553" s="9"/>
      <c r="P553" s="9"/>
      <c r="Q553" s="223"/>
      <c r="R553" s="9"/>
      <c r="S553" s="223"/>
      <c r="T553" s="9"/>
      <c r="U553" s="9"/>
      <c r="V553" s="9"/>
      <c r="W553" s="9"/>
      <c r="X553" s="9"/>
      <c r="Y553" s="204"/>
      <c r="Z553" s="9"/>
      <c r="AA553" s="9"/>
      <c r="AB553" s="9"/>
      <c r="AC553" s="9"/>
    </row>
    <row r="554" ht="15.75" customHeight="1">
      <c r="A554" s="223"/>
      <c r="B554" s="223"/>
      <c r="C554" s="223"/>
      <c r="D554" s="9"/>
      <c r="E554" s="223"/>
      <c r="F554" s="971"/>
      <c r="G554" s="9"/>
      <c r="H554" s="9"/>
      <c r="I554" s="9"/>
      <c r="J554" s="9"/>
      <c r="K554" s="9"/>
      <c r="L554" s="223"/>
      <c r="M554" s="223"/>
      <c r="N554" s="9"/>
      <c r="O554" s="9"/>
      <c r="P554" s="9"/>
      <c r="Q554" s="223"/>
      <c r="R554" s="9"/>
      <c r="S554" s="223"/>
      <c r="T554" s="9"/>
      <c r="U554" s="9"/>
      <c r="V554" s="9"/>
      <c r="W554" s="9"/>
      <c r="X554" s="9"/>
      <c r="Y554" s="204"/>
      <c r="Z554" s="9"/>
      <c r="AA554" s="9"/>
      <c r="AB554" s="9"/>
      <c r="AC554" s="9"/>
    </row>
    <row r="555" ht="15.75" customHeight="1">
      <c r="A555" s="223"/>
      <c r="B555" s="223"/>
      <c r="C555" s="223"/>
      <c r="D555" s="9"/>
      <c r="E555" s="223"/>
      <c r="F555" s="971"/>
      <c r="G555" s="9"/>
      <c r="H555" s="9"/>
      <c r="I555" s="9"/>
      <c r="J555" s="9"/>
      <c r="K555" s="9"/>
      <c r="L555" s="223"/>
      <c r="M555" s="223"/>
      <c r="N555" s="9"/>
      <c r="O555" s="9"/>
      <c r="P555" s="9"/>
      <c r="Q555" s="223"/>
      <c r="R555" s="9"/>
      <c r="S555" s="223"/>
      <c r="T555" s="9"/>
      <c r="U555" s="9"/>
      <c r="V555" s="9"/>
      <c r="W555" s="9"/>
      <c r="X555" s="9"/>
      <c r="Y555" s="204"/>
      <c r="Z555" s="9"/>
      <c r="AA555" s="9"/>
      <c r="AB555" s="9"/>
      <c r="AC555" s="9"/>
    </row>
    <row r="556" ht="15.75" customHeight="1">
      <c r="A556" s="223"/>
      <c r="B556" s="223"/>
      <c r="C556" s="223"/>
      <c r="D556" s="9"/>
      <c r="E556" s="223"/>
      <c r="F556" s="971"/>
      <c r="G556" s="9"/>
      <c r="H556" s="9"/>
      <c r="I556" s="9"/>
      <c r="J556" s="9"/>
      <c r="K556" s="9"/>
      <c r="L556" s="223"/>
      <c r="M556" s="223"/>
      <c r="N556" s="9"/>
      <c r="O556" s="9"/>
      <c r="P556" s="9"/>
      <c r="Q556" s="223"/>
      <c r="R556" s="9"/>
      <c r="S556" s="223"/>
      <c r="T556" s="9"/>
      <c r="U556" s="9"/>
      <c r="V556" s="9"/>
      <c r="W556" s="9"/>
      <c r="X556" s="9"/>
      <c r="Y556" s="204"/>
      <c r="Z556" s="9"/>
      <c r="AA556" s="9"/>
      <c r="AB556" s="9"/>
      <c r="AC556" s="9"/>
    </row>
    <row r="557" ht="15.75" customHeight="1">
      <c r="A557" s="223"/>
      <c r="B557" s="223"/>
      <c r="C557" s="223"/>
      <c r="D557" s="9"/>
      <c r="E557" s="223"/>
      <c r="F557" s="971"/>
      <c r="G557" s="9"/>
      <c r="H557" s="9"/>
      <c r="I557" s="9"/>
      <c r="J557" s="9"/>
      <c r="K557" s="9"/>
      <c r="L557" s="223"/>
      <c r="M557" s="223"/>
      <c r="N557" s="9"/>
      <c r="O557" s="9"/>
      <c r="P557" s="9"/>
      <c r="Q557" s="223"/>
      <c r="R557" s="9"/>
      <c r="S557" s="223"/>
      <c r="T557" s="9"/>
      <c r="U557" s="9"/>
      <c r="V557" s="9"/>
      <c r="W557" s="9"/>
      <c r="X557" s="9"/>
      <c r="Y557" s="204"/>
      <c r="Z557" s="9"/>
      <c r="AA557" s="9"/>
      <c r="AB557" s="9"/>
      <c r="AC557" s="9"/>
    </row>
    <row r="558" ht="15.75" customHeight="1">
      <c r="A558" s="223"/>
      <c r="B558" s="223"/>
      <c r="C558" s="223"/>
      <c r="D558" s="9"/>
      <c r="E558" s="223"/>
      <c r="F558" s="971"/>
      <c r="G558" s="9"/>
      <c r="H558" s="9"/>
      <c r="I558" s="9"/>
      <c r="J558" s="9"/>
      <c r="K558" s="9"/>
      <c r="L558" s="223"/>
      <c r="M558" s="223"/>
      <c r="N558" s="9"/>
      <c r="O558" s="9"/>
      <c r="P558" s="9"/>
      <c r="Q558" s="223"/>
      <c r="R558" s="9"/>
      <c r="S558" s="223"/>
      <c r="T558" s="9"/>
      <c r="U558" s="9"/>
      <c r="V558" s="9"/>
      <c r="W558" s="9"/>
      <c r="X558" s="9"/>
      <c r="Y558" s="204"/>
      <c r="Z558" s="9"/>
      <c r="AA558" s="9"/>
      <c r="AB558" s="9"/>
      <c r="AC558" s="9"/>
    </row>
    <row r="559" ht="15.75" customHeight="1">
      <c r="A559" s="223"/>
      <c r="B559" s="223"/>
      <c r="C559" s="223"/>
      <c r="D559" s="9"/>
      <c r="E559" s="223"/>
      <c r="F559" s="971"/>
      <c r="G559" s="9"/>
      <c r="H559" s="9"/>
      <c r="I559" s="9"/>
      <c r="J559" s="9"/>
      <c r="K559" s="9"/>
      <c r="L559" s="223"/>
      <c r="M559" s="223"/>
      <c r="N559" s="9"/>
      <c r="O559" s="9"/>
      <c r="P559" s="9"/>
      <c r="Q559" s="223"/>
      <c r="R559" s="9"/>
      <c r="S559" s="223"/>
      <c r="T559" s="9"/>
      <c r="U559" s="9"/>
      <c r="V559" s="9"/>
      <c r="W559" s="9"/>
      <c r="X559" s="9"/>
      <c r="Y559" s="204"/>
      <c r="Z559" s="9"/>
      <c r="AA559" s="9"/>
      <c r="AB559" s="9"/>
      <c r="AC559" s="9"/>
    </row>
    <row r="560" ht="15.75" customHeight="1">
      <c r="A560" s="223"/>
      <c r="B560" s="223"/>
      <c r="C560" s="223"/>
      <c r="D560" s="9"/>
      <c r="E560" s="223"/>
      <c r="F560" s="971"/>
      <c r="G560" s="9"/>
      <c r="H560" s="9"/>
      <c r="I560" s="9"/>
      <c r="J560" s="9"/>
      <c r="K560" s="9"/>
      <c r="L560" s="223"/>
      <c r="M560" s="223"/>
      <c r="N560" s="9"/>
      <c r="O560" s="9"/>
      <c r="P560" s="9"/>
      <c r="Q560" s="223"/>
      <c r="R560" s="9"/>
      <c r="S560" s="223"/>
      <c r="T560" s="9"/>
      <c r="U560" s="9"/>
      <c r="V560" s="9"/>
      <c r="W560" s="9"/>
      <c r="X560" s="9"/>
      <c r="Y560" s="204"/>
      <c r="Z560" s="9"/>
      <c r="AA560" s="9"/>
      <c r="AB560" s="9"/>
      <c r="AC560" s="9"/>
    </row>
    <row r="561" ht="15.75" customHeight="1">
      <c r="A561" s="223"/>
      <c r="B561" s="223"/>
      <c r="C561" s="223"/>
      <c r="D561" s="9"/>
      <c r="E561" s="223"/>
      <c r="F561" s="971"/>
      <c r="G561" s="9"/>
      <c r="H561" s="9"/>
      <c r="I561" s="9"/>
      <c r="J561" s="9"/>
      <c r="K561" s="9"/>
      <c r="L561" s="223"/>
      <c r="M561" s="223"/>
      <c r="N561" s="9"/>
      <c r="O561" s="9"/>
      <c r="P561" s="9"/>
      <c r="Q561" s="223"/>
      <c r="R561" s="9"/>
      <c r="S561" s="223"/>
      <c r="T561" s="9"/>
      <c r="U561" s="9"/>
      <c r="V561" s="9"/>
      <c r="W561" s="9"/>
      <c r="X561" s="9"/>
      <c r="Y561" s="204"/>
      <c r="Z561" s="9"/>
      <c r="AA561" s="9"/>
      <c r="AB561" s="9"/>
      <c r="AC561" s="9"/>
    </row>
    <row r="562" ht="15.75" customHeight="1">
      <c r="A562" s="223"/>
      <c r="B562" s="223"/>
      <c r="C562" s="223"/>
      <c r="D562" s="9"/>
      <c r="E562" s="223"/>
      <c r="F562" s="971"/>
      <c r="G562" s="9"/>
      <c r="H562" s="9"/>
      <c r="I562" s="9"/>
      <c r="J562" s="9"/>
      <c r="K562" s="9"/>
      <c r="L562" s="223"/>
      <c r="M562" s="223"/>
      <c r="N562" s="9"/>
      <c r="O562" s="9"/>
      <c r="P562" s="9"/>
      <c r="Q562" s="223"/>
      <c r="R562" s="9"/>
      <c r="S562" s="223"/>
      <c r="T562" s="9"/>
      <c r="U562" s="9"/>
      <c r="V562" s="9"/>
      <c r="W562" s="9"/>
      <c r="X562" s="9"/>
      <c r="Y562" s="204"/>
      <c r="Z562" s="9"/>
      <c r="AA562" s="9"/>
      <c r="AB562" s="9"/>
      <c r="AC562" s="9"/>
    </row>
    <row r="563" ht="15.75" customHeight="1">
      <c r="A563" s="223"/>
      <c r="B563" s="223"/>
      <c r="C563" s="223"/>
      <c r="D563" s="9"/>
      <c r="E563" s="223"/>
      <c r="F563" s="971"/>
      <c r="G563" s="9"/>
      <c r="H563" s="9"/>
      <c r="I563" s="9"/>
      <c r="J563" s="9"/>
      <c r="K563" s="9"/>
      <c r="L563" s="223"/>
      <c r="M563" s="223"/>
      <c r="N563" s="9"/>
      <c r="O563" s="9"/>
      <c r="P563" s="9"/>
      <c r="Q563" s="223"/>
      <c r="R563" s="9"/>
      <c r="S563" s="223"/>
      <c r="T563" s="9"/>
      <c r="U563" s="9"/>
      <c r="V563" s="9"/>
      <c r="W563" s="9"/>
      <c r="X563" s="9"/>
      <c r="Y563" s="204"/>
      <c r="Z563" s="9"/>
      <c r="AA563" s="9"/>
      <c r="AB563" s="9"/>
      <c r="AC563" s="9"/>
    </row>
    <row r="564" ht="15.75" customHeight="1">
      <c r="A564" s="223"/>
      <c r="B564" s="223"/>
      <c r="C564" s="223"/>
      <c r="D564" s="9"/>
      <c r="E564" s="223"/>
      <c r="F564" s="971"/>
      <c r="G564" s="9"/>
      <c r="H564" s="9"/>
      <c r="I564" s="9"/>
      <c r="J564" s="9"/>
      <c r="K564" s="9"/>
      <c r="L564" s="223"/>
      <c r="M564" s="223"/>
      <c r="N564" s="9"/>
      <c r="O564" s="9"/>
      <c r="P564" s="9"/>
      <c r="Q564" s="223"/>
      <c r="R564" s="9"/>
      <c r="S564" s="223"/>
      <c r="T564" s="9"/>
      <c r="U564" s="9"/>
      <c r="V564" s="9"/>
      <c r="W564" s="9"/>
      <c r="X564" s="9"/>
      <c r="Y564" s="204"/>
      <c r="Z564" s="9"/>
      <c r="AA564" s="9"/>
      <c r="AB564" s="9"/>
      <c r="AC564" s="9"/>
    </row>
    <row r="565" ht="15.75" customHeight="1">
      <c r="A565" s="223"/>
      <c r="B565" s="223"/>
      <c r="C565" s="223"/>
      <c r="D565" s="9"/>
      <c r="E565" s="223"/>
      <c r="F565" s="971"/>
      <c r="G565" s="9"/>
      <c r="H565" s="9"/>
      <c r="I565" s="9"/>
      <c r="J565" s="9"/>
      <c r="K565" s="9"/>
      <c r="L565" s="223"/>
      <c r="M565" s="223"/>
      <c r="N565" s="9"/>
      <c r="O565" s="9"/>
      <c r="P565" s="9"/>
      <c r="Q565" s="223"/>
      <c r="R565" s="9"/>
      <c r="S565" s="223"/>
      <c r="T565" s="9"/>
      <c r="U565" s="9"/>
      <c r="V565" s="9"/>
      <c r="W565" s="9"/>
      <c r="X565" s="9"/>
      <c r="Y565" s="204"/>
      <c r="Z565" s="9"/>
      <c r="AA565" s="9"/>
      <c r="AB565" s="9"/>
      <c r="AC565" s="9"/>
    </row>
    <row r="566" ht="15.75" customHeight="1">
      <c r="A566" s="223"/>
      <c r="B566" s="223"/>
      <c r="C566" s="223"/>
      <c r="D566" s="9"/>
      <c r="E566" s="223"/>
      <c r="F566" s="971"/>
      <c r="G566" s="9"/>
      <c r="H566" s="9"/>
      <c r="I566" s="9"/>
      <c r="J566" s="9"/>
      <c r="K566" s="9"/>
      <c r="L566" s="223"/>
      <c r="M566" s="223"/>
      <c r="N566" s="9"/>
      <c r="O566" s="9"/>
      <c r="P566" s="9"/>
      <c r="Q566" s="223"/>
      <c r="R566" s="9"/>
      <c r="S566" s="223"/>
      <c r="T566" s="9"/>
      <c r="U566" s="9"/>
      <c r="V566" s="9"/>
      <c r="W566" s="9"/>
      <c r="X566" s="9"/>
      <c r="Y566" s="204"/>
      <c r="Z566" s="9"/>
      <c r="AA566" s="9"/>
      <c r="AB566" s="9"/>
      <c r="AC566" s="9"/>
    </row>
    <row r="567" ht="15.75" customHeight="1">
      <c r="A567" s="223"/>
      <c r="B567" s="223"/>
      <c r="C567" s="223"/>
      <c r="D567" s="9"/>
      <c r="E567" s="223"/>
      <c r="F567" s="971"/>
      <c r="G567" s="9"/>
      <c r="H567" s="9"/>
      <c r="I567" s="9"/>
      <c r="J567" s="9"/>
      <c r="K567" s="9"/>
      <c r="L567" s="223"/>
      <c r="M567" s="223"/>
      <c r="N567" s="9"/>
      <c r="O567" s="9"/>
      <c r="P567" s="9"/>
      <c r="Q567" s="223"/>
      <c r="R567" s="9"/>
      <c r="S567" s="223"/>
      <c r="T567" s="9"/>
      <c r="U567" s="9"/>
      <c r="V567" s="9"/>
      <c r="W567" s="9"/>
      <c r="X567" s="9"/>
      <c r="Y567" s="204"/>
      <c r="Z567" s="9"/>
      <c r="AA567" s="9"/>
      <c r="AB567" s="9"/>
      <c r="AC567" s="9"/>
    </row>
    <row r="568" ht="15.75" customHeight="1">
      <c r="A568" s="223"/>
      <c r="B568" s="223"/>
      <c r="C568" s="223"/>
      <c r="D568" s="9"/>
      <c r="E568" s="223"/>
      <c r="F568" s="971"/>
      <c r="G568" s="9"/>
      <c r="H568" s="9"/>
      <c r="I568" s="9"/>
      <c r="J568" s="9"/>
      <c r="K568" s="9"/>
      <c r="L568" s="223"/>
      <c r="M568" s="223"/>
      <c r="N568" s="9"/>
      <c r="O568" s="9"/>
      <c r="P568" s="9"/>
      <c r="Q568" s="223"/>
      <c r="R568" s="9"/>
      <c r="S568" s="223"/>
      <c r="T568" s="9"/>
      <c r="U568" s="9"/>
      <c r="V568" s="9"/>
      <c r="W568" s="9"/>
      <c r="X568" s="9"/>
      <c r="Y568" s="204"/>
      <c r="Z568" s="9"/>
      <c r="AA568" s="9"/>
      <c r="AB568" s="9"/>
      <c r="AC568" s="9"/>
    </row>
    <row r="569" ht="15.75" customHeight="1">
      <c r="A569" s="223"/>
      <c r="B569" s="223"/>
      <c r="C569" s="223"/>
      <c r="D569" s="9"/>
      <c r="E569" s="223"/>
      <c r="F569" s="971"/>
      <c r="G569" s="9"/>
      <c r="H569" s="9"/>
      <c r="I569" s="9"/>
      <c r="J569" s="9"/>
      <c r="K569" s="9"/>
      <c r="L569" s="223"/>
      <c r="M569" s="223"/>
      <c r="N569" s="9"/>
      <c r="O569" s="9"/>
      <c r="P569" s="9"/>
      <c r="Q569" s="223"/>
      <c r="R569" s="9"/>
      <c r="S569" s="223"/>
      <c r="T569" s="9"/>
      <c r="U569" s="9"/>
      <c r="V569" s="9"/>
      <c r="W569" s="9"/>
      <c r="X569" s="9"/>
      <c r="Y569" s="204"/>
      <c r="Z569" s="9"/>
      <c r="AA569" s="9"/>
      <c r="AB569" s="9"/>
      <c r="AC569" s="9"/>
    </row>
    <row r="570" ht="15.75" customHeight="1">
      <c r="A570" s="223"/>
      <c r="B570" s="223"/>
      <c r="C570" s="223"/>
      <c r="D570" s="9"/>
      <c r="E570" s="223"/>
      <c r="F570" s="971"/>
      <c r="G570" s="9"/>
      <c r="H570" s="9"/>
      <c r="I570" s="9"/>
      <c r="J570" s="9"/>
      <c r="K570" s="9"/>
      <c r="L570" s="223"/>
      <c r="M570" s="223"/>
      <c r="N570" s="9"/>
      <c r="O570" s="9"/>
      <c r="P570" s="9"/>
      <c r="Q570" s="223"/>
      <c r="R570" s="9"/>
      <c r="S570" s="223"/>
      <c r="T570" s="9"/>
      <c r="U570" s="9"/>
      <c r="V570" s="9"/>
      <c r="W570" s="9"/>
      <c r="X570" s="9"/>
      <c r="Y570" s="204"/>
      <c r="Z570" s="9"/>
      <c r="AA570" s="9"/>
      <c r="AB570" s="9"/>
      <c r="AC570" s="9"/>
    </row>
    <row r="571" ht="15.75" customHeight="1">
      <c r="A571" s="223"/>
      <c r="B571" s="223"/>
      <c r="C571" s="223"/>
      <c r="D571" s="9"/>
      <c r="E571" s="223"/>
      <c r="F571" s="971"/>
      <c r="G571" s="9"/>
      <c r="H571" s="9"/>
      <c r="I571" s="9"/>
      <c r="J571" s="9"/>
      <c r="K571" s="9"/>
      <c r="L571" s="223"/>
      <c r="M571" s="223"/>
      <c r="N571" s="9"/>
      <c r="O571" s="9"/>
      <c r="P571" s="9"/>
      <c r="Q571" s="223"/>
      <c r="R571" s="9"/>
      <c r="S571" s="223"/>
      <c r="T571" s="9"/>
      <c r="U571" s="9"/>
      <c r="V571" s="9"/>
      <c r="W571" s="9"/>
      <c r="X571" s="9"/>
      <c r="Y571" s="204"/>
      <c r="Z571" s="9"/>
      <c r="AA571" s="9"/>
      <c r="AB571" s="9"/>
      <c r="AC571" s="9"/>
    </row>
    <row r="572" ht="15.75" customHeight="1">
      <c r="A572" s="223"/>
      <c r="B572" s="223"/>
      <c r="C572" s="223"/>
      <c r="D572" s="9"/>
      <c r="E572" s="223"/>
      <c r="F572" s="971"/>
      <c r="G572" s="9"/>
      <c r="H572" s="9"/>
      <c r="I572" s="9"/>
      <c r="J572" s="9"/>
      <c r="K572" s="9"/>
      <c r="L572" s="223"/>
      <c r="M572" s="223"/>
      <c r="N572" s="9"/>
      <c r="O572" s="9"/>
      <c r="P572" s="9"/>
      <c r="Q572" s="223"/>
      <c r="R572" s="9"/>
      <c r="S572" s="223"/>
      <c r="T572" s="9"/>
      <c r="U572" s="9"/>
      <c r="V572" s="9"/>
      <c r="W572" s="9"/>
      <c r="X572" s="9"/>
      <c r="Y572" s="204"/>
      <c r="Z572" s="9"/>
      <c r="AA572" s="9"/>
      <c r="AB572" s="9"/>
      <c r="AC572" s="9"/>
    </row>
    <row r="573" ht="15.75" customHeight="1">
      <c r="A573" s="223"/>
      <c r="B573" s="223"/>
      <c r="C573" s="223"/>
      <c r="D573" s="9"/>
      <c r="E573" s="223"/>
      <c r="F573" s="971"/>
      <c r="G573" s="9"/>
      <c r="H573" s="9"/>
      <c r="I573" s="9"/>
      <c r="J573" s="9"/>
      <c r="K573" s="9"/>
      <c r="L573" s="223"/>
      <c r="M573" s="223"/>
      <c r="N573" s="9"/>
      <c r="O573" s="9"/>
      <c r="P573" s="9"/>
      <c r="Q573" s="223"/>
      <c r="R573" s="9"/>
      <c r="S573" s="223"/>
      <c r="T573" s="9"/>
      <c r="U573" s="9"/>
      <c r="V573" s="9"/>
      <c r="W573" s="9"/>
      <c r="X573" s="9"/>
      <c r="Y573" s="204"/>
      <c r="Z573" s="9"/>
      <c r="AA573" s="9"/>
      <c r="AB573" s="9"/>
      <c r="AC573" s="9"/>
    </row>
    <row r="574" ht="15.75" customHeight="1">
      <c r="A574" s="223"/>
      <c r="B574" s="223"/>
      <c r="C574" s="223"/>
      <c r="D574" s="9"/>
      <c r="E574" s="223"/>
      <c r="F574" s="971"/>
      <c r="G574" s="9"/>
      <c r="H574" s="9"/>
      <c r="I574" s="9"/>
      <c r="J574" s="9"/>
      <c r="K574" s="9"/>
      <c r="L574" s="223"/>
      <c r="M574" s="223"/>
      <c r="N574" s="9"/>
      <c r="O574" s="9"/>
      <c r="P574" s="9"/>
      <c r="Q574" s="223"/>
      <c r="R574" s="9"/>
      <c r="S574" s="223"/>
      <c r="T574" s="9"/>
      <c r="U574" s="9"/>
      <c r="V574" s="9"/>
      <c r="W574" s="9"/>
      <c r="X574" s="9"/>
      <c r="Y574" s="204"/>
      <c r="Z574" s="9"/>
      <c r="AA574" s="9"/>
      <c r="AB574" s="9"/>
      <c r="AC574" s="9"/>
    </row>
    <row r="575" ht="15.75" customHeight="1">
      <c r="A575" s="223"/>
      <c r="B575" s="223"/>
      <c r="C575" s="223"/>
      <c r="D575" s="9"/>
      <c r="E575" s="223"/>
      <c r="F575" s="971"/>
      <c r="G575" s="9"/>
      <c r="H575" s="9"/>
      <c r="I575" s="9"/>
      <c r="J575" s="9"/>
      <c r="K575" s="9"/>
      <c r="L575" s="223"/>
      <c r="M575" s="223"/>
      <c r="N575" s="9"/>
      <c r="O575" s="9"/>
      <c r="P575" s="9"/>
      <c r="Q575" s="223"/>
      <c r="R575" s="9"/>
      <c r="S575" s="223"/>
      <c r="T575" s="9"/>
      <c r="U575" s="9"/>
      <c r="V575" s="9"/>
      <c r="W575" s="9"/>
      <c r="X575" s="9"/>
      <c r="Y575" s="204"/>
      <c r="Z575" s="9"/>
      <c r="AA575" s="9"/>
      <c r="AB575" s="9"/>
      <c r="AC575" s="9"/>
    </row>
    <row r="576" ht="15.75" customHeight="1">
      <c r="A576" s="223"/>
      <c r="B576" s="223"/>
      <c r="C576" s="223"/>
      <c r="D576" s="9"/>
      <c r="E576" s="223"/>
      <c r="F576" s="971"/>
      <c r="G576" s="9"/>
      <c r="H576" s="9"/>
      <c r="I576" s="9"/>
      <c r="J576" s="9"/>
      <c r="K576" s="9"/>
      <c r="L576" s="223"/>
      <c r="M576" s="223"/>
      <c r="N576" s="9"/>
      <c r="O576" s="9"/>
      <c r="P576" s="9"/>
      <c r="Q576" s="223"/>
      <c r="R576" s="9"/>
      <c r="S576" s="223"/>
      <c r="T576" s="9"/>
      <c r="U576" s="9"/>
      <c r="V576" s="9"/>
      <c r="W576" s="9"/>
      <c r="X576" s="9"/>
      <c r="Y576" s="204"/>
      <c r="Z576" s="9"/>
      <c r="AA576" s="9"/>
      <c r="AB576" s="9"/>
      <c r="AC576" s="9"/>
    </row>
    <row r="577" ht="15.75" customHeight="1">
      <c r="A577" s="223"/>
      <c r="B577" s="223"/>
      <c r="C577" s="223"/>
      <c r="D577" s="9"/>
      <c r="E577" s="223"/>
      <c r="F577" s="971"/>
      <c r="G577" s="9"/>
      <c r="H577" s="9"/>
      <c r="I577" s="9"/>
      <c r="J577" s="9"/>
      <c r="K577" s="9"/>
      <c r="L577" s="223"/>
      <c r="M577" s="223"/>
      <c r="N577" s="9"/>
      <c r="O577" s="9"/>
      <c r="P577" s="9"/>
      <c r="Q577" s="223"/>
      <c r="R577" s="9"/>
      <c r="S577" s="223"/>
      <c r="T577" s="9"/>
      <c r="U577" s="9"/>
      <c r="V577" s="9"/>
      <c r="W577" s="9"/>
      <c r="X577" s="9"/>
      <c r="Y577" s="204"/>
      <c r="Z577" s="9"/>
      <c r="AA577" s="9"/>
      <c r="AB577" s="9"/>
      <c r="AC577" s="9"/>
    </row>
    <row r="578" ht="15.75" customHeight="1">
      <c r="A578" s="223"/>
      <c r="B578" s="223"/>
      <c r="C578" s="223"/>
      <c r="D578" s="9"/>
      <c r="E578" s="223"/>
      <c r="F578" s="971"/>
      <c r="G578" s="9"/>
      <c r="H578" s="9"/>
      <c r="I578" s="9"/>
      <c r="J578" s="9"/>
      <c r="K578" s="9"/>
      <c r="L578" s="223"/>
      <c r="M578" s="223"/>
      <c r="N578" s="9"/>
      <c r="O578" s="9"/>
      <c r="P578" s="9"/>
      <c r="Q578" s="223"/>
      <c r="R578" s="9"/>
      <c r="S578" s="223"/>
      <c r="T578" s="9"/>
      <c r="U578" s="9"/>
      <c r="V578" s="9"/>
      <c r="W578" s="9"/>
      <c r="X578" s="9"/>
      <c r="Y578" s="204"/>
      <c r="Z578" s="9"/>
      <c r="AA578" s="9"/>
      <c r="AB578" s="9"/>
      <c r="AC578" s="9"/>
    </row>
    <row r="579" ht="15.75" customHeight="1">
      <c r="A579" s="223"/>
      <c r="B579" s="223"/>
      <c r="C579" s="223"/>
      <c r="D579" s="9"/>
      <c r="E579" s="223"/>
      <c r="F579" s="971"/>
      <c r="G579" s="9"/>
      <c r="H579" s="9"/>
      <c r="I579" s="9"/>
      <c r="J579" s="9"/>
      <c r="K579" s="9"/>
      <c r="L579" s="223"/>
      <c r="M579" s="223"/>
      <c r="N579" s="9"/>
      <c r="O579" s="9"/>
      <c r="P579" s="9"/>
      <c r="Q579" s="223"/>
      <c r="R579" s="9"/>
      <c r="S579" s="223"/>
      <c r="T579" s="9"/>
      <c r="U579" s="9"/>
      <c r="V579" s="9"/>
      <c r="W579" s="9"/>
      <c r="X579" s="9"/>
      <c r="Y579" s="204"/>
      <c r="Z579" s="9"/>
      <c r="AA579" s="9"/>
      <c r="AB579" s="9"/>
      <c r="AC579" s="9"/>
    </row>
    <row r="580" ht="15.75" customHeight="1">
      <c r="A580" s="223"/>
      <c r="B580" s="223"/>
      <c r="C580" s="223"/>
      <c r="D580" s="9"/>
      <c r="E580" s="223"/>
      <c r="F580" s="971"/>
      <c r="G580" s="9"/>
      <c r="H580" s="9"/>
      <c r="I580" s="9"/>
      <c r="J580" s="9"/>
      <c r="K580" s="9"/>
      <c r="L580" s="223"/>
      <c r="M580" s="223"/>
      <c r="N580" s="9"/>
      <c r="O580" s="9"/>
      <c r="P580" s="9"/>
      <c r="Q580" s="223"/>
      <c r="R580" s="9"/>
      <c r="S580" s="223"/>
      <c r="T580" s="9"/>
      <c r="U580" s="9"/>
      <c r="V580" s="9"/>
      <c r="W580" s="9"/>
      <c r="X580" s="9"/>
      <c r="Y580" s="204"/>
      <c r="Z580" s="9"/>
      <c r="AA580" s="9"/>
      <c r="AB580" s="9"/>
      <c r="AC580" s="9"/>
    </row>
    <row r="581" ht="15.75" customHeight="1">
      <c r="A581" s="223"/>
      <c r="B581" s="223"/>
      <c r="C581" s="223"/>
      <c r="D581" s="9"/>
      <c r="E581" s="223"/>
      <c r="F581" s="971"/>
      <c r="G581" s="9"/>
      <c r="H581" s="9"/>
      <c r="I581" s="9"/>
      <c r="J581" s="9"/>
      <c r="K581" s="9"/>
      <c r="L581" s="223"/>
      <c r="M581" s="223"/>
      <c r="N581" s="9"/>
      <c r="O581" s="9"/>
      <c r="P581" s="9"/>
      <c r="Q581" s="223"/>
      <c r="R581" s="9"/>
      <c r="S581" s="223"/>
      <c r="T581" s="9"/>
      <c r="U581" s="9"/>
      <c r="V581" s="9"/>
      <c r="W581" s="9"/>
      <c r="X581" s="9"/>
      <c r="Y581" s="204"/>
      <c r="Z581" s="9"/>
      <c r="AA581" s="9"/>
      <c r="AB581" s="9"/>
      <c r="AC581" s="9"/>
    </row>
    <row r="582" ht="15.75" customHeight="1">
      <c r="A582" s="223"/>
      <c r="B582" s="223"/>
      <c r="C582" s="223"/>
      <c r="D582" s="9"/>
      <c r="E582" s="223"/>
      <c r="F582" s="971"/>
      <c r="G582" s="9"/>
      <c r="H582" s="9"/>
      <c r="I582" s="9"/>
      <c r="J582" s="9"/>
      <c r="K582" s="9"/>
      <c r="L582" s="223"/>
      <c r="M582" s="223"/>
      <c r="N582" s="9"/>
      <c r="O582" s="9"/>
      <c r="P582" s="9"/>
      <c r="Q582" s="223"/>
      <c r="R582" s="9"/>
      <c r="S582" s="223"/>
      <c r="T582" s="9"/>
      <c r="U582" s="9"/>
      <c r="V582" s="9"/>
      <c r="W582" s="9"/>
      <c r="X582" s="9"/>
      <c r="Y582" s="204"/>
      <c r="Z582" s="9"/>
      <c r="AA582" s="9"/>
      <c r="AB582" s="9"/>
      <c r="AC582" s="9"/>
    </row>
    <row r="583" ht="15.75" customHeight="1">
      <c r="A583" s="223"/>
      <c r="B583" s="223"/>
      <c r="C583" s="223"/>
      <c r="D583" s="9"/>
      <c r="E583" s="223"/>
      <c r="F583" s="971"/>
      <c r="G583" s="9"/>
      <c r="H583" s="9"/>
      <c r="I583" s="9"/>
      <c r="J583" s="9"/>
      <c r="K583" s="9"/>
      <c r="L583" s="223"/>
      <c r="M583" s="223"/>
      <c r="N583" s="9"/>
      <c r="O583" s="9"/>
      <c r="P583" s="9"/>
      <c r="Q583" s="223"/>
      <c r="R583" s="9"/>
      <c r="S583" s="223"/>
      <c r="T583" s="9"/>
      <c r="U583" s="9"/>
      <c r="V583" s="9"/>
      <c r="W583" s="9"/>
      <c r="X583" s="9"/>
      <c r="Y583" s="204"/>
      <c r="Z583" s="9"/>
      <c r="AA583" s="9"/>
      <c r="AB583" s="9"/>
      <c r="AC583" s="9"/>
    </row>
    <row r="584" ht="15.75" customHeight="1">
      <c r="A584" s="223"/>
      <c r="B584" s="223"/>
      <c r="C584" s="223"/>
      <c r="D584" s="9"/>
      <c r="E584" s="223"/>
      <c r="F584" s="971"/>
      <c r="G584" s="9"/>
      <c r="H584" s="9"/>
      <c r="I584" s="9"/>
      <c r="J584" s="9"/>
      <c r="K584" s="9"/>
      <c r="L584" s="223"/>
      <c r="M584" s="223"/>
      <c r="N584" s="9"/>
      <c r="O584" s="9"/>
      <c r="P584" s="9"/>
      <c r="Q584" s="223"/>
      <c r="R584" s="9"/>
      <c r="S584" s="223"/>
      <c r="T584" s="9"/>
      <c r="U584" s="9"/>
      <c r="V584" s="9"/>
      <c r="W584" s="9"/>
      <c r="X584" s="9"/>
      <c r="Y584" s="204"/>
      <c r="Z584" s="9"/>
      <c r="AA584" s="9"/>
      <c r="AB584" s="9"/>
      <c r="AC584" s="9"/>
    </row>
    <row r="585" ht="15.75" customHeight="1">
      <c r="A585" s="223"/>
      <c r="B585" s="223"/>
      <c r="C585" s="223"/>
      <c r="D585" s="9"/>
      <c r="E585" s="223"/>
      <c r="F585" s="971"/>
      <c r="G585" s="9"/>
      <c r="H585" s="9"/>
      <c r="I585" s="9"/>
      <c r="J585" s="9"/>
      <c r="K585" s="9"/>
      <c r="L585" s="223"/>
      <c r="M585" s="223"/>
      <c r="N585" s="9"/>
      <c r="O585" s="9"/>
      <c r="P585" s="9"/>
      <c r="Q585" s="223"/>
      <c r="R585" s="9"/>
      <c r="S585" s="223"/>
      <c r="T585" s="9"/>
      <c r="U585" s="9"/>
      <c r="V585" s="9"/>
      <c r="W585" s="9"/>
      <c r="X585" s="9"/>
      <c r="Y585" s="204"/>
      <c r="Z585" s="9"/>
      <c r="AA585" s="9"/>
      <c r="AB585" s="9"/>
      <c r="AC585" s="9"/>
    </row>
    <row r="586" ht="15.75" customHeight="1">
      <c r="A586" s="223"/>
      <c r="B586" s="223"/>
      <c r="C586" s="223"/>
      <c r="D586" s="9"/>
      <c r="E586" s="223"/>
      <c r="F586" s="971"/>
      <c r="G586" s="9"/>
      <c r="H586" s="9"/>
      <c r="I586" s="9"/>
      <c r="J586" s="9"/>
      <c r="K586" s="9"/>
      <c r="L586" s="223"/>
      <c r="M586" s="223"/>
      <c r="N586" s="9"/>
      <c r="O586" s="9"/>
      <c r="P586" s="9"/>
      <c r="Q586" s="223"/>
      <c r="R586" s="9"/>
      <c r="S586" s="223"/>
      <c r="T586" s="9"/>
      <c r="U586" s="9"/>
      <c r="V586" s="9"/>
      <c r="W586" s="9"/>
      <c r="X586" s="9"/>
      <c r="Y586" s="204"/>
      <c r="Z586" s="9"/>
      <c r="AA586" s="9"/>
      <c r="AB586" s="9"/>
      <c r="AC586" s="9"/>
    </row>
    <row r="587" ht="15.75" customHeight="1">
      <c r="A587" s="223"/>
      <c r="B587" s="223"/>
      <c r="C587" s="223"/>
      <c r="D587" s="9"/>
      <c r="E587" s="223"/>
      <c r="F587" s="971"/>
      <c r="G587" s="9"/>
      <c r="H587" s="9"/>
      <c r="I587" s="9"/>
      <c r="J587" s="9"/>
      <c r="K587" s="9"/>
      <c r="L587" s="223"/>
      <c r="M587" s="223"/>
      <c r="N587" s="9"/>
      <c r="O587" s="9"/>
      <c r="P587" s="9"/>
      <c r="Q587" s="223"/>
      <c r="R587" s="9"/>
      <c r="S587" s="223"/>
      <c r="T587" s="9"/>
      <c r="U587" s="9"/>
      <c r="V587" s="9"/>
      <c r="W587" s="9"/>
      <c r="X587" s="9"/>
      <c r="Y587" s="204"/>
      <c r="Z587" s="9"/>
      <c r="AA587" s="9"/>
      <c r="AB587" s="9"/>
      <c r="AC587" s="9"/>
    </row>
    <row r="588" ht="15.75" customHeight="1">
      <c r="A588" s="223"/>
      <c r="B588" s="223"/>
      <c r="C588" s="223"/>
      <c r="D588" s="9"/>
      <c r="E588" s="223"/>
      <c r="F588" s="971"/>
      <c r="G588" s="9"/>
      <c r="H588" s="9"/>
      <c r="I588" s="9"/>
      <c r="J588" s="9"/>
      <c r="K588" s="9"/>
      <c r="L588" s="223"/>
      <c r="M588" s="223"/>
      <c r="N588" s="9"/>
      <c r="O588" s="9"/>
      <c r="P588" s="9"/>
      <c r="Q588" s="223"/>
      <c r="R588" s="9"/>
      <c r="S588" s="223"/>
      <c r="T588" s="9"/>
      <c r="U588" s="9"/>
      <c r="V588" s="9"/>
      <c r="W588" s="9"/>
      <c r="X588" s="9"/>
      <c r="Y588" s="204"/>
      <c r="Z588" s="9"/>
      <c r="AA588" s="9"/>
      <c r="AB588" s="9"/>
      <c r="AC588" s="9"/>
    </row>
    <row r="589" ht="15.75" customHeight="1">
      <c r="A589" s="223"/>
      <c r="B589" s="223"/>
      <c r="C589" s="223"/>
      <c r="D589" s="9"/>
      <c r="E589" s="223"/>
      <c r="F589" s="971"/>
      <c r="G589" s="9"/>
      <c r="H589" s="9"/>
      <c r="I589" s="9"/>
      <c r="J589" s="9"/>
      <c r="K589" s="9"/>
      <c r="L589" s="223"/>
      <c r="M589" s="223"/>
      <c r="N589" s="9"/>
      <c r="O589" s="9"/>
      <c r="P589" s="9"/>
      <c r="Q589" s="223"/>
      <c r="R589" s="9"/>
      <c r="S589" s="223"/>
      <c r="T589" s="9"/>
      <c r="U589" s="9"/>
      <c r="V589" s="9"/>
      <c r="W589" s="9"/>
      <c r="X589" s="9"/>
      <c r="Y589" s="204"/>
      <c r="Z589" s="9"/>
      <c r="AA589" s="9"/>
      <c r="AB589" s="9"/>
      <c r="AC589" s="9"/>
    </row>
    <row r="590" ht="15.75" customHeight="1">
      <c r="A590" s="223"/>
      <c r="B590" s="223"/>
      <c r="C590" s="223"/>
      <c r="D590" s="9"/>
      <c r="E590" s="223"/>
      <c r="F590" s="971"/>
      <c r="G590" s="9"/>
      <c r="H590" s="9"/>
      <c r="I590" s="9"/>
      <c r="J590" s="9"/>
      <c r="K590" s="9"/>
      <c r="L590" s="223"/>
      <c r="M590" s="223"/>
      <c r="N590" s="9"/>
      <c r="O590" s="9"/>
      <c r="P590" s="9"/>
      <c r="Q590" s="223"/>
      <c r="R590" s="9"/>
      <c r="S590" s="223"/>
      <c r="T590" s="9"/>
      <c r="U590" s="9"/>
      <c r="V590" s="9"/>
      <c r="W590" s="9"/>
      <c r="X590" s="9"/>
      <c r="Y590" s="204"/>
      <c r="Z590" s="9"/>
      <c r="AA590" s="9"/>
      <c r="AB590" s="9"/>
      <c r="AC590" s="9"/>
    </row>
    <row r="591" ht="15.75" customHeight="1">
      <c r="A591" s="223"/>
      <c r="B591" s="223"/>
      <c r="C591" s="223"/>
      <c r="D591" s="9"/>
      <c r="E591" s="223"/>
      <c r="F591" s="971"/>
      <c r="G591" s="9"/>
      <c r="H591" s="9"/>
      <c r="I591" s="9"/>
      <c r="J591" s="9"/>
      <c r="K591" s="9"/>
      <c r="L591" s="223"/>
      <c r="M591" s="223"/>
      <c r="N591" s="9"/>
      <c r="O591" s="9"/>
      <c r="P591" s="9"/>
      <c r="Q591" s="223"/>
      <c r="R591" s="9"/>
      <c r="S591" s="223"/>
      <c r="T591" s="9"/>
      <c r="U591" s="9"/>
      <c r="V591" s="9"/>
      <c r="W591" s="9"/>
      <c r="X591" s="9"/>
      <c r="Y591" s="204"/>
      <c r="Z591" s="9"/>
      <c r="AA591" s="9"/>
      <c r="AB591" s="9"/>
      <c r="AC591" s="9"/>
    </row>
    <row r="592" ht="15.75" customHeight="1">
      <c r="A592" s="223"/>
      <c r="B592" s="223"/>
      <c r="C592" s="223"/>
      <c r="D592" s="9"/>
      <c r="E592" s="223"/>
      <c r="F592" s="971"/>
      <c r="G592" s="9"/>
      <c r="H592" s="9"/>
      <c r="I592" s="9"/>
      <c r="J592" s="9"/>
      <c r="K592" s="9"/>
      <c r="L592" s="223"/>
      <c r="M592" s="223"/>
      <c r="N592" s="9"/>
      <c r="O592" s="9"/>
      <c r="P592" s="9"/>
      <c r="Q592" s="223"/>
      <c r="R592" s="9"/>
      <c r="S592" s="223"/>
      <c r="T592" s="9"/>
      <c r="U592" s="9"/>
      <c r="V592" s="9"/>
      <c r="W592" s="9"/>
      <c r="X592" s="9"/>
      <c r="Y592" s="204"/>
      <c r="Z592" s="9"/>
      <c r="AA592" s="9"/>
      <c r="AB592" s="9"/>
      <c r="AC592" s="9"/>
    </row>
    <row r="593" ht="15.75" customHeight="1">
      <c r="A593" s="223"/>
      <c r="B593" s="223"/>
      <c r="C593" s="223"/>
      <c r="D593" s="9"/>
      <c r="E593" s="223"/>
      <c r="F593" s="971"/>
      <c r="G593" s="9"/>
      <c r="H593" s="9"/>
      <c r="I593" s="9"/>
      <c r="J593" s="9"/>
      <c r="K593" s="9"/>
      <c r="L593" s="223"/>
      <c r="M593" s="223"/>
      <c r="N593" s="9"/>
      <c r="O593" s="9"/>
      <c r="P593" s="9"/>
      <c r="Q593" s="223"/>
      <c r="R593" s="9"/>
      <c r="S593" s="223"/>
      <c r="T593" s="9"/>
      <c r="U593" s="9"/>
      <c r="V593" s="9"/>
      <c r="W593" s="9"/>
      <c r="X593" s="9"/>
      <c r="Y593" s="204"/>
      <c r="Z593" s="9"/>
      <c r="AA593" s="9"/>
      <c r="AB593" s="9"/>
      <c r="AC593" s="9"/>
    </row>
    <row r="594" ht="15.75" customHeight="1">
      <c r="A594" s="223"/>
      <c r="B594" s="223"/>
      <c r="C594" s="223"/>
      <c r="D594" s="9"/>
      <c r="E594" s="223"/>
      <c r="F594" s="971"/>
      <c r="G594" s="9"/>
      <c r="H594" s="9"/>
      <c r="I594" s="9"/>
      <c r="J594" s="9"/>
      <c r="K594" s="9"/>
      <c r="L594" s="223"/>
      <c r="M594" s="223"/>
      <c r="N594" s="9"/>
      <c r="O594" s="9"/>
      <c r="P594" s="9"/>
      <c r="Q594" s="223"/>
      <c r="R594" s="9"/>
      <c r="S594" s="223"/>
      <c r="T594" s="9"/>
      <c r="U594" s="9"/>
      <c r="V594" s="9"/>
      <c r="W594" s="9"/>
      <c r="X594" s="9"/>
      <c r="Y594" s="204"/>
      <c r="Z594" s="9"/>
      <c r="AA594" s="9"/>
      <c r="AB594" s="9"/>
      <c r="AC594" s="9"/>
    </row>
    <row r="595" ht="15.75" customHeight="1">
      <c r="A595" s="223"/>
      <c r="B595" s="223"/>
      <c r="C595" s="223"/>
      <c r="D595" s="9"/>
      <c r="E595" s="223"/>
      <c r="F595" s="971"/>
      <c r="G595" s="9"/>
      <c r="H595" s="9"/>
      <c r="I595" s="9"/>
      <c r="J595" s="9"/>
      <c r="K595" s="9"/>
      <c r="L595" s="223"/>
      <c r="M595" s="223"/>
      <c r="N595" s="9"/>
      <c r="O595" s="9"/>
      <c r="P595" s="9"/>
      <c r="Q595" s="223"/>
      <c r="R595" s="9"/>
      <c r="S595" s="223"/>
      <c r="T595" s="9"/>
      <c r="U595" s="9"/>
      <c r="V595" s="9"/>
      <c r="W595" s="9"/>
      <c r="X595" s="9"/>
      <c r="Y595" s="204"/>
      <c r="Z595" s="9"/>
      <c r="AA595" s="9"/>
      <c r="AB595" s="9"/>
      <c r="AC595" s="9"/>
    </row>
    <row r="596" ht="15.75" customHeight="1">
      <c r="A596" s="223"/>
      <c r="B596" s="223"/>
      <c r="C596" s="223"/>
      <c r="D596" s="9"/>
      <c r="E596" s="223"/>
      <c r="F596" s="971"/>
      <c r="G596" s="9"/>
      <c r="H596" s="9"/>
      <c r="I596" s="9"/>
      <c r="J596" s="9"/>
      <c r="K596" s="9"/>
      <c r="L596" s="223"/>
      <c r="M596" s="223"/>
      <c r="N596" s="9"/>
      <c r="O596" s="9"/>
      <c r="P596" s="9"/>
      <c r="Q596" s="223"/>
      <c r="R596" s="9"/>
      <c r="S596" s="223"/>
      <c r="T596" s="9"/>
      <c r="U596" s="9"/>
      <c r="V596" s="9"/>
      <c r="W596" s="9"/>
      <c r="X596" s="9"/>
      <c r="Y596" s="204"/>
      <c r="Z596" s="9"/>
      <c r="AA596" s="9"/>
      <c r="AB596" s="9"/>
      <c r="AC596" s="9"/>
    </row>
    <row r="597" ht="15.75" customHeight="1">
      <c r="A597" s="223"/>
      <c r="B597" s="223"/>
      <c r="C597" s="223"/>
      <c r="D597" s="9"/>
      <c r="E597" s="223"/>
      <c r="F597" s="971"/>
      <c r="G597" s="9"/>
      <c r="H597" s="9"/>
      <c r="I597" s="9"/>
      <c r="J597" s="9"/>
      <c r="K597" s="9"/>
      <c r="L597" s="223"/>
      <c r="M597" s="223"/>
      <c r="N597" s="9"/>
      <c r="O597" s="9"/>
      <c r="P597" s="9"/>
      <c r="Q597" s="223"/>
      <c r="R597" s="9"/>
      <c r="S597" s="223"/>
      <c r="T597" s="9"/>
      <c r="U597" s="9"/>
      <c r="V597" s="9"/>
      <c r="W597" s="9"/>
      <c r="X597" s="9"/>
      <c r="Y597" s="204"/>
      <c r="Z597" s="9"/>
      <c r="AA597" s="9"/>
      <c r="AB597" s="9"/>
      <c r="AC597" s="9"/>
    </row>
    <row r="598" ht="15.75" customHeight="1">
      <c r="A598" s="223"/>
      <c r="B598" s="223"/>
      <c r="C598" s="223"/>
      <c r="D598" s="9"/>
      <c r="E598" s="223"/>
      <c r="F598" s="971"/>
      <c r="G598" s="9"/>
      <c r="H598" s="9"/>
      <c r="I598" s="9"/>
      <c r="J598" s="9"/>
      <c r="K598" s="9"/>
      <c r="L598" s="223"/>
      <c r="M598" s="223"/>
      <c r="N598" s="9"/>
      <c r="O598" s="9"/>
      <c r="P598" s="9"/>
      <c r="Q598" s="223"/>
      <c r="R598" s="9"/>
      <c r="S598" s="223"/>
      <c r="T598" s="9"/>
      <c r="U598" s="9"/>
      <c r="V598" s="9"/>
      <c r="W598" s="9"/>
      <c r="X598" s="9"/>
      <c r="Y598" s="204"/>
      <c r="Z598" s="9"/>
      <c r="AA598" s="9"/>
      <c r="AB598" s="9"/>
      <c r="AC598" s="9"/>
    </row>
    <row r="599" ht="15.75" customHeight="1">
      <c r="A599" s="223"/>
      <c r="B599" s="223"/>
      <c r="C599" s="223"/>
      <c r="D599" s="9"/>
      <c r="E599" s="223"/>
      <c r="F599" s="971"/>
      <c r="G599" s="9"/>
      <c r="H599" s="9"/>
      <c r="I599" s="9"/>
      <c r="J599" s="9"/>
      <c r="K599" s="9"/>
      <c r="L599" s="223"/>
      <c r="M599" s="223"/>
      <c r="N599" s="9"/>
      <c r="O599" s="9"/>
      <c r="P599" s="9"/>
      <c r="Q599" s="223"/>
      <c r="R599" s="9"/>
      <c r="S599" s="223"/>
      <c r="T599" s="9"/>
      <c r="U599" s="9"/>
      <c r="V599" s="9"/>
      <c r="W599" s="9"/>
      <c r="X599" s="9"/>
      <c r="Y599" s="204"/>
      <c r="Z599" s="9"/>
      <c r="AA599" s="9"/>
      <c r="AB599" s="9"/>
      <c r="AC599" s="9"/>
    </row>
    <row r="600" ht="15.75" customHeight="1">
      <c r="A600" s="223"/>
      <c r="B600" s="223"/>
      <c r="C600" s="223"/>
      <c r="D600" s="9"/>
      <c r="E600" s="223"/>
      <c r="F600" s="971"/>
      <c r="G600" s="9"/>
      <c r="H600" s="9"/>
      <c r="I600" s="9"/>
      <c r="J600" s="9"/>
      <c r="K600" s="9"/>
      <c r="L600" s="223"/>
      <c r="M600" s="223"/>
      <c r="N600" s="9"/>
      <c r="O600" s="9"/>
      <c r="P600" s="9"/>
      <c r="Q600" s="223"/>
      <c r="R600" s="9"/>
      <c r="S600" s="223"/>
      <c r="T600" s="9"/>
      <c r="U600" s="9"/>
      <c r="V600" s="9"/>
      <c r="W600" s="9"/>
      <c r="X600" s="9"/>
      <c r="Y600" s="204"/>
      <c r="Z600" s="9"/>
      <c r="AA600" s="9"/>
      <c r="AB600" s="9"/>
      <c r="AC600" s="9"/>
    </row>
    <row r="601" ht="15.75" customHeight="1">
      <c r="A601" s="223"/>
      <c r="B601" s="223"/>
      <c r="C601" s="223"/>
      <c r="D601" s="9"/>
      <c r="E601" s="223"/>
      <c r="F601" s="971"/>
      <c r="G601" s="9"/>
      <c r="H601" s="9"/>
      <c r="I601" s="9"/>
      <c r="J601" s="9"/>
      <c r="K601" s="9"/>
      <c r="L601" s="223"/>
      <c r="M601" s="223"/>
      <c r="N601" s="9"/>
      <c r="O601" s="9"/>
      <c r="P601" s="9"/>
      <c r="Q601" s="223"/>
      <c r="R601" s="9"/>
      <c r="S601" s="223"/>
      <c r="T601" s="9"/>
      <c r="U601" s="9"/>
      <c r="V601" s="9"/>
      <c r="W601" s="9"/>
      <c r="X601" s="9"/>
      <c r="Y601" s="204"/>
      <c r="Z601" s="9"/>
      <c r="AA601" s="9"/>
      <c r="AB601" s="9"/>
      <c r="AC601" s="9"/>
    </row>
    <row r="602" ht="15.75" customHeight="1">
      <c r="A602" s="223"/>
      <c r="B602" s="223"/>
      <c r="C602" s="223"/>
      <c r="D602" s="9"/>
      <c r="E602" s="223"/>
      <c r="F602" s="971"/>
      <c r="G602" s="9"/>
      <c r="H602" s="9"/>
      <c r="I602" s="9"/>
      <c r="J602" s="9"/>
      <c r="K602" s="9"/>
      <c r="L602" s="223"/>
      <c r="M602" s="223"/>
      <c r="N602" s="9"/>
      <c r="O602" s="9"/>
      <c r="P602" s="9"/>
      <c r="Q602" s="223"/>
      <c r="R602" s="9"/>
      <c r="S602" s="223"/>
      <c r="T602" s="9"/>
      <c r="U602" s="9"/>
      <c r="V602" s="9"/>
      <c r="W602" s="9"/>
      <c r="X602" s="9"/>
      <c r="Y602" s="204"/>
      <c r="Z602" s="9"/>
      <c r="AA602" s="9"/>
      <c r="AB602" s="9"/>
      <c r="AC602" s="9"/>
    </row>
    <row r="603" ht="15.75" customHeight="1">
      <c r="A603" s="223"/>
      <c r="B603" s="223"/>
      <c r="C603" s="223"/>
      <c r="D603" s="9"/>
      <c r="E603" s="223"/>
      <c r="F603" s="971"/>
      <c r="G603" s="9"/>
      <c r="H603" s="9"/>
      <c r="I603" s="9"/>
      <c r="J603" s="9"/>
      <c r="K603" s="9"/>
      <c r="L603" s="223"/>
      <c r="M603" s="223"/>
      <c r="N603" s="9"/>
      <c r="O603" s="9"/>
      <c r="P603" s="9"/>
      <c r="Q603" s="223"/>
      <c r="R603" s="9"/>
      <c r="S603" s="223"/>
      <c r="T603" s="9"/>
      <c r="U603" s="9"/>
      <c r="V603" s="9"/>
      <c r="W603" s="9"/>
      <c r="X603" s="9"/>
      <c r="Y603" s="204"/>
      <c r="Z603" s="9"/>
      <c r="AA603" s="9"/>
      <c r="AB603" s="9"/>
      <c r="AC603" s="9"/>
    </row>
    <row r="604" ht="15.75" customHeight="1">
      <c r="A604" s="223"/>
      <c r="B604" s="223"/>
      <c r="C604" s="223"/>
      <c r="D604" s="9"/>
      <c r="E604" s="223"/>
      <c r="F604" s="971"/>
      <c r="G604" s="9"/>
      <c r="H604" s="9"/>
      <c r="I604" s="9"/>
      <c r="J604" s="9"/>
      <c r="K604" s="9"/>
      <c r="L604" s="223"/>
      <c r="M604" s="223"/>
      <c r="N604" s="9"/>
      <c r="O604" s="9"/>
      <c r="P604" s="9"/>
      <c r="Q604" s="223"/>
      <c r="R604" s="9"/>
      <c r="S604" s="223"/>
      <c r="T604" s="9"/>
      <c r="U604" s="9"/>
      <c r="V604" s="9"/>
      <c r="W604" s="9"/>
      <c r="X604" s="9"/>
      <c r="Y604" s="204"/>
      <c r="Z604" s="9"/>
      <c r="AA604" s="9"/>
      <c r="AB604" s="9"/>
      <c r="AC604" s="9"/>
    </row>
    <row r="605" ht="15.75" customHeight="1">
      <c r="A605" s="223"/>
      <c r="B605" s="223"/>
      <c r="C605" s="223"/>
      <c r="D605" s="9"/>
      <c r="E605" s="223"/>
      <c r="F605" s="971"/>
      <c r="G605" s="9"/>
      <c r="H605" s="9"/>
      <c r="I605" s="9"/>
      <c r="J605" s="9"/>
      <c r="K605" s="9"/>
      <c r="L605" s="223"/>
      <c r="M605" s="223"/>
      <c r="N605" s="9"/>
      <c r="O605" s="9"/>
      <c r="P605" s="9"/>
      <c r="Q605" s="223"/>
      <c r="R605" s="9"/>
      <c r="S605" s="223"/>
      <c r="T605" s="9"/>
      <c r="U605" s="9"/>
      <c r="V605" s="9"/>
      <c r="W605" s="9"/>
      <c r="X605" s="9"/>
      <c r="Y605" s="204"/>
      <c r="Z605" s="9"/>
      <c r="AA605" s="9"/>
      <c r="AB605" s="9"/>
      <c r="AC605" s="9"/>
    </row>
    <row r="606" ht="15.75" customHeight="1">
      <c r="A606" s="223"/>
      <c r="B606" s="223"/>
      <c r="C606" s="223"/>
      <c r="D606" s="9"/>
      <c r="E606" s="223"/>
      <c r="F606" s="971"/>
      <c r="G606" s="9"/>
      <c r="H606" s="9"/>
      <c r="I606" s="9"/>
      <c r="J606" s="9"/>
      <c r="K606" s="9"/>
      <c r="L606" s="223"/>
      <c r="M606" s="223"/>
      <c r="N606" s="9"/>
      <c r="O606" s="9"/>
      <c r="P606" s="9"/>
      <c r="Q606" s="223"/>
      <c r="R606" s="9"/>
      <c r="S606" s="223"/>
      <c r="T606" s="9"/>
      <c r="U606" s="9"/>
      <c r="V606" s="9"/>
      <c r="W606" s="9"/>
      <c r="X606" s="9"/>
      <c r="Y606" s="204"/>
      <c r="Z606" s="9"/>
      <c r="AA606" s="9"/>
      <c r="AB606" s="9"/>
      <c r="AC606" s="9"/>
    </row>
    <row r="607" ht="15.75" customHeight="1">
      <c r="A607" s="223"/>
      <c r="B607" s="223"/>
      <c r="C607" s="223"/>
      <c r="D607" s="9"/>
      <c r="E607" s="223"/>
      <c r="F607" s="971"/>
      <c r="G607" s="9"/>
      <c r="H607" s="9"/>
      <c r="I607" s="9"/>
      <c r="J607" s="9"/>
      <c r="K607" s="9"/>
      <c r="L607" s="223"/>
      <c r="M607" s="223"/>
      <c r="N607" s="9"/>
      <c r="O607" s="9"/>
      <c r="P607" s="9"/>
      <c r="Q607" s="223"/>
      <c r="R607" s="9"/>
      <c r="S607" s="223"/>
      <c r="T607" s="9"/>
      <c r="U607" s="9"/>
      <c r="V607" s="9"/>
      <c r="W607" s="9"/>
      <c r="X607" s="9"/>
      <c r="Y607" s="204"/>
      <c r="Z607" s="9"/>
      <c r="AA607" s="9"/>
      <c r="AB607" s="9"/>
      <c r="AC607" s="9"/>
    </row>
    <row r="608" ht="15.75" customHeight="1">
      <c r="A608" s="223"/>
      <c r="B608" s="223"/>
      <c r="C608" s="223"/>
      <c r="D608" s="9"/>
      <c r="E608" s="223"/>
      <c r="F608" s="971"/>
      <c r="G608" s="9"/>
      <c r="H608" s="9"/>
      <c r="I608" s="9"/>
      <c r="J608" s="9"/>
      <c r="K608" s="9"/>
      <c r="L608" s="223"/>
      <c r="M608" s="223"/>
      <c r="N608" s="9"/>
      <c r="O608" s="9"/>
      <c r="P608" s="9"/>
      <c r="Q608" s="223"/>
      <c r="R608" s="9"/>
      <c r="S608" s="223"/>
      <c r="T608" s="9"/>
      <c r="U608" s="9"/>
      <c r="V608" s="9"/>
      <c r="W608" s="9"/>
      <c r="X608" s="9"/>
      <c r="Y608" s="204"/>
      <c r="Z608" s="9"/>
      <c r="AA608" s="9"/>
      <c r="AB608" s="9"/>
      <c r="AC608" s="9"/>
    </row>
    <row r="609" ht="15.75" customHeight="1">
      <c r="A609" s="223"/>
      <c r="B609" s="223"/>
      <c r="C609" s="223"/>
      <c r="D609" s="9"/>
      <c r="E609" s="223"/>
      <c r="F609" s="971"/>
      <c r="G609" s="9"/>
      <c r="H609" s="9"/>
      <c r="I609" s="9"/>
      <c r="J609" s="9"/>
      <c r="K609" s="9"/>
      <c r="L609" s="223"/>
      <c r="M609" s="223"/>
      <c r="N609" s="9"/>
      <c r="O609" s="9"/>
      <c r="P609" s="9"/>
      <c r="Q609" s="223"/>
      <c r="R609" s="9"/>
      <c r="S609" s="223"/>
      <c r="T609" s="9"/>
      <c r="U609" s="9"/>
      <c r="V609" s="9"/>
      <c r="W609" s="9"/>
      <c r="X609" s="9"/>
      <c r="Y609" s="204"/>
      <c r="Z609" s="9"/>
      <c r="AA609" s="9"/>
      <c r="AB609" s="9"/>
      <c r="AC609" s="9"/>
    </row>
    <row r="610" ht="15.75" customHeight="1">
      <c r="A610" s="223"/>
      <c r="B610" s="223"/>
      <c r="C610" s="223"/>
      <c r="D610" s="9"/>
      <c r="E610" s="223"/>
      <c r="F610" s="971"/>
      <c r="G610" s="9"/>
      <c r="H610" s="9"/>
      <c r="I610" s="9"/>
      <c r="J610" s="9"/>
      <c r="K610" s="9"/>
      <c r="L610" s="223"/>
      <c r="M610" s="223"/>
      <c r="N610" s="9"/>
      <c r="O610" s="9"/>
      <c r="P610" s="9"/>
      <c r="Q610" s="223"/>
      <c r="R610" s="9"/>
      <c r="S610" s="223"/>
      <c r="T610" s="9"/>
      <c r="U610" s="9"/>
      <c r="V610" s="9"/>
      <c r="W610" s="9"/>
      <c r="X610" s="9"/>
      <c r="Y610" s="204"/>
      <c r="Z610" s="9"/>
      <c r="AA610" s="9"/>
      <c r="AB610" s="9"/>
      <c r="AC610" s="9"/>
    </row>
    <row r="611" ht="15.75" customHeight="1">
      <c r="A611" s="223"/>
      <c r="B611" s="223"/>
      <c r="C611" s="223"/>
      <c r="D611" s="9"/>
      <c r="E611" s="223"/>
      <c r="F611" s="971"/>
      <c r="G611" s="9"/>
      <c r="H611" s="9"/>
      <c r="I611" s="9"/>
      <c r="J611" s="9"/>
      <c r="K611" s="9"/>
      <c r="L611" s="223"/>
      <c r="M611" s="223"/>
      <c r="N611" s="9"/>
      <c r="O611" s="9"/>
      <c r="P611" s="9"/>
      <c r="Q611" s="223"/>
      <c r="R611" s="9"/>
      <c r="S611" s="223"/>
      <c r="T611" s="9"/>
      <c r="U611" s="9"/>
      <c r="V611" s="9"/>
      <c r="W611" s="9"/>
      <c r="X611" s="9"/>
      <c r="Y611" s="204"/>
      <c r="Z611" s="9"/>
      <c r="AA611" s="9"/>
      <c r="AB611" s="9"/>
      <c r="AC611" s="9"/>
    </row>
    <row r="612" ht="15.75" customHeight="1">
      <c r="A612" s="223"/>
      <c r="B612" s="223"/>
      <c r="C612" s="223"/>
      <c r="D612" s="9"/>
      <c r="E612" s="223"/>
      <c r="F612" s="971"/>
      <c r="G612" s="9"/>
      <c r="H612" s="9"/>
      <c r="I612" s="9"/>
      <c r="J612" s="9"/>
      <c r="K612" s="9"/>
      <c r="L612" s="223"/>
      <c r="M612" s="223"/>
      <c r="N612" s="9"/>
      <c r="O612" s="9"/>
      <c r="P612" s="9"/>
      <c r="Q612" s="223"/>
      <c r="R612" s="9"/>
      <c r="S612" s="223"/>
      <c r="T612" s="9"/>
      <c r="U612" s="9"/>
      <c r="V612" s="9"/>
      <c r="W612" s="9"/>
      <c r="X612" s="9"/>
      <c r="Y612" s="204"/>
      <c r="Z612" s="9"/>
      <c r="AA612" s="9"/>
      <c r="AB612" s="9"/>
      <c r="AC612" s="9"/>
    </row>
    <row r="613" ht="15.75" customHeight="1">
      <c r="A613" s="223"/>
      <c r="B613" s="223"/>
      <c r="C613" s="223"/>
      <c r="D613" s="9"/>
      <c r="E613" s="223"/>
      <c r="F613" s="971"/>
      <c r="G613" s="9"/>
      <c r="H613" s="9"/>
      <c r="I613" s="9"/>
      <c r="J613" s="9"/>
      <c r="K613" s="9"/>
      <c r="L613" s="223"/>
      <c r="M613" s="223"/>
      <c r="N613" s="9"/>
      <c r="O613" s="9"/>
      <c r="P613" s="9"/>
      <c r="Q613" s="223"/>
      <c r="R613" s="9"/>
      <c r="S613" s="223"/>
      <c r="T613" s="9"/>
      <c r="U613" s="9"/>
      <c r="V613" s="9"/>
      <c r="W613" s="9"/>
      <c r="X613" s="9"/>
      <c r="Y613" s="204"/>
      <c r="Z613" s="9"/>
      <c r="AA613" s="9"/>
      <c r="AB613" s="9"/>
      <c r="AC613" s="9"/>
    </row>
    <row r="614" ht="15.75" customHeight="1">
      <c r="A614" s="223"/>
      <c r="B614" s="223"/>
      <c r="C614" s="223"/>
      <c r="D614" s="9"/>
      <c r="E614" s="223"/>
      <c r="F614" s="971"/>
      <c r="G614" s="9"/>
      <c r="H614" s="9"/>
      <c r="I614" s="9"/>
      <c r="J614" s="9"/>
      <c r="K614" s="9"/>
      <c r="L614" s="223"/>
      <c r="M614" s="223"/>
      <c r="N614" s="9"/>
      <c r="O614" s="9"/>
      <c r="P614" s="9"/>
      <c r="Q614" s="223"/>
      <c r="R614" s="9"/>
      <c r="S614" s="223"/>
      <c r="T614" s="9"/>
      <c r="U614" s="9"/>
      <c r="V614" s="9"/>
      <c r="W614" s="9"/>
      <c r="X614" s="9"/>
      <c r="Y614" s="204"/>
      <c r="Z614" s="9"/>
      <c r="AA614" s="9"/>
      <c r="AB614" s="9"/>
      <c r="AC614" s="9"/>
    </row>
    <row r="615" ht="15.75" customHeight="1">
      <c r="A615" s="223"/>
      <c r="B615" s="223"/>
      <c r="C615" s="223"/>
      <c r="D615" s="9"/>
      <c r="E615" s="223"/>
      <c r="F615" s="971"/>
      <c r="G615" s="9"/>
      <c r="H615" s="9"/>
      <c r="I615" s="9"/>
      <c r="J615" s="9"/>
      <c r="K615" s="9"/>
      <c r="L615" s="223"/>
      <c r="M615" s="223"/>
      <c r="N615" s="9"/>
      <c r="O615" s="9"/>
      <c r="P615" s="9"/>
      <c r="Q615" s="223"/>
      <c r="R615" s="9"/>
      <c r="S615" s="223"/>
      <c r="T615" s="9"/>
      <c r="U615" s="9"/>
      <c r="V615" s="9"/>
      <c r="W615" s="9"/>
      <c r="X615" s="9"/>
      <c r="Y615" s="204"/>
      <c r="Z615" s="9"/>
      <c r="AA615" s="9"/>
      <c r="AB615" s="9"/>
      <c r="AC615" s="9"/>
    </row>
    <row r="616" ht="15.75" customHeight="1">
      <c r="A616" s="223"/>
      <c r="B616" s="223"/>
      <c r="C616" s="223"/>
      <c r="D616" s="9"/>
      <c r="E616" s="223"/>
      <c r="F616" s="971"/>
      <c r="G616" s="9"/>
      <c r="H616" s="9"/>
      <c r="I616" s="9"/>
      <c r="J616" s="9"/>
      <c r="K616" s="9"/>
      <c r="L616" s="223"/>
      <c r="M616" s="223"/>
      <c r="N616" s="9"/>
      <c r="O616" s="9"/>
      <c r="P616" s="9"/>
      <c r="Q616" s="223"/>
      <c r="R616" s="9"/>
      <c r="S616" s="223"/>
      <c r="T616" s="9"/>
      <c r="U616" s="9"/>
      <c r="V616" s="9"/>
      <c r="W616" s="9"/>
      <c r="X616" s="9"/>
      <c r="Y616" s="204"/>
      <c r="Z616" s="9"/>
      <c r="AA616" s="9"/>
      <c r="AB616" s="9"/>
      <c r="AC616" s="9"/>
    </row>
    <row r="617" ht="15.75" customHeight="1">
      <c r="A617" s="223"/>
      <c r="B617" s="223"/>
      <c r="C617" s="223"/>
      <c r="D617" s="9"/>
      <c r="E617" s="223"/>
      <c r="F617" s="971"/>
      <c r="G617" s="9"/>
      <c r="H617" s="9"/>
      <c r="I617" s="9"/>
      <c r="J617" s="9"/>
      <c r="K617" s="9"/>
      <c r="L617" s="223"/>
      <c r="M617" s="223"/>
      <c r="N617" s="9"/>
      <c r="O617" s="9"/>
      <c r="P617" s="9"/>
      <c r="Q617" s="223"/>
      <c r="R617" s="9"/>
      <c r="S617" s="223"/>
      <c r="T617" s="9"/>
      <c r="U617" s="9"/>
      <c r="V617" s="9"/>
      <c r="W617" s="9"/>
      <c r="X617" s="9"/>
      <c r="Y617" s="204"/>
      <c r="Z617" s="9"/>
      <c r="AA617" s="9"/>
      <c r="AB617" s="9"/>
      <c r="AC617" s="9"/>
    </row>
    <row r="618" ht="15.75" customHeight="1">
      <c r="A618" s="223"/>
      <c r="B618" s="223"/>
      <c r="C618" s="223"/>
      <c r="D618" s="9"/>
      <c r="E618" s="223"/>
      <c r="F618" s="971"/>
      <c r="G618" s="9"/>
      <c r="H618" s="9"/>
      <c r="I618" s="9"/>
      <c r="J618" s="9"/>
      <c r="K618" s="9"/>
      <c r="L618" s="223"/>
      <c r="M618" s="223"/>
      <c r="N618" s="9"/>
      <c r="O618" s="9"/>
      <c r="P618" s="9"/>
      <c r="Q618" s="223"/>
      <c r="R618" s="9"/>
      <c r="S618" s="223"/>
      <c r="T618" s="9"/>
      <c r="U618" s="9"/>
      <c r="V618" s="9"/>
      <c r="W618" s="9"/>
      <c r="X618" s="9"/>
      <c r="Y618" s="204"/>
      <c r="Z618" s="9"/>
      <c r="AA618" s="9"/>
      <c r="AB618" s="9"/>
      <c r="AC618" s="9"/>
    </row>
    <row r="619" ht="15.75" customHeight="1">
      <c r="A619" s="223"/>
      <c r="B619" s="223"/>
      <c r="C619" s="223"/>
      <c r="D619" s="9"/>
      <c r="E619" s="223"/>
      <c r="F619" s="971"/>
      <c r="G619" s="9"/>
      <c r="H619" s="9"/>
      <c r="I619" s="9"/>
      <c r="J619" s="9"/>
      <c r="K619" s="9"/>
      <c r="L619" s="223"/>
      <c r="M619" s="223"/>
      <c r="N619" s="9"/>
      <c r="O619" s="9"/>
      <c r="P619" s="9"/>
      <c r="Q619" s="223"/>
      <c r="R619" s="9"/>
      <c r="S619" s="223"/>
      <c r="T619" s="9"/>
      <c r="U619" s="9"/>
      <c r="V619" s="9"/>
      <c r="W619" s="9"/>
      <c r="X619" s="9"/>
      <c r="Y619" s="204"/>
      <c r="Z619" s="9"/>
      <c r="AA619" s="9"/>
      <c r="AB619" s="9"/>
      <c r="AC619" s="9"/>
    </row>
    <row r="620" ht="15.75" customHeight="1">
      <c r="A620" s="223"/>
      <c r="B620" s="223"/>
      <c r="C620" s="223"/>
      <c r="D620" s="9"/>
      <c r="E620" s="223"/>
      <c r="F620" s="971"/>
      <c r="G620" s="9"/>
      <c r="H620" s="9"/>
      <c r="I620" s="9"/>
      <c r="J620" s="9"/>
      <c r="K620" s="9"/>
      <c r="L620" s="223"/>
      <c r="M620" s="223"/>
      <c r="N620" s="9"/>
      <c r="O620" s="9"/>
      <c r="P620" s="9"/>
      <c r="Q620" s="223"/>
      <c r="R620" s="9"/>
      <c r="S620" s="223"/>
      <c r="T620" s="9"/>
      <c r="U620" s="9"/>
      <c r="V620" s="9"/>
      <c r="W620" s="9"/>
      <c r="X620" s="9"/>
      <c r="Y620" s="204"/>
      <c r="Z620" s="9"/>
      <c r="AA620" s="9"/>
      <c r="AB620" s="9"/>
      <c r="AC620" s="9"/>
    </row>
    <row r="621" ht="15.75" customHeight="1">
      <c r="A621" s="223"/>
      <c r="B621" s="223"/>
      <c r="C621" s="223"/>
      <c r="D621" s="9"/>
      <c r="E621" s="223"/>
      <c r="F621" s="971"/>
      <c r="G621" s="9"/>
      <c r="H621" s="9"/>
      <c r="I621" s="9"/>
      <c r="J621" s="9"/>
      <c r="K621" s="9"/>
      <c r="L621" s="223"/>
      <c r="M621" s="223"/>
      <c r="N621" s="9"/>
      <c r="O621" s="9"/>
      <c r="P621" s="9"/>
      <c r="Q621" s="223"/>
      <c r="R621" s="9"/>
      <c r="S621" s="223"/>
      <c r="T621" s="9"/>
      <c r="U621" s="9"/>
      <c r="V621" s="9"/>
      <c r="W621" s="9"/>
      <c r="X621" s="9"/>
      <c r="Y621" s="204"/>
      <c r="Z621" s="9"/>
      <c r="AA621" s="9"/>
      <c r="AB621" s="9"/>
      <c r="AC621" s="9"/>
    </row>
    <row r="622" ht="15.75" customHeight="1">
      <c r="A622" s="223"/>
      <c r="B622" s="223"/>
      <c r="C622" s="223"/>
      <c r="D622" s="9"/>
      <c r="E622" s="223"/>
      <c r="F622" s="971"/>
      <c r="G622" s="9"/>
      <c r="H622" s="9"/>
      <c r="I622" s="9"/>
      <c r="J622" s="9"/>
      <c r="K622" s="9"/>
      <c r="L622" s="223"/>
      <c r="M622" s="223"/>
      <c r="N622" s="9"/>
      <c r="O622" s="9"/>
      <c r="P622" s="9"/>
      <c r="Q622" s="223"/>
      <c r="R622" s="9"/>
      <c r="S622" s="223"/>
      <c r="T622" s="9"/>
      <c r="U622" s="9"/>
      <c r="V622" s="9"/>
      <c r="W622" s="9"/>
      <c r="X622" s="9"/>
      <c r="Y622" s="204"/>
      <c r="Z622" s="9"/>
      <c r="AA622" s="9"/>
      <c r="AB622" s="9"/>
      <c r="AC622" s="9"/>
    </row>
    <row r="623" ht="15.75" customHeight="1">
      <c r="A623" s="223"/>
      <c r="B623" s="223"/>
      <c r="C623" s="223"/>
      <c r="D623" s="9"/>
      <c r="E623" s="223"/>
      <c r="F623" s="971"/>
      <c r="G623" s="9"/>
      <c r="H623" s="9"/>
      <c r="I623" s="9"/>
      <c r="J623" s="9"/>
      <c r="K623" s="9"/>
      <c r="L623" s="223"/>
      <c r="M623" s="223"/>
      <c r="N623" s="9"/>
      <c r="O623" s="9"/>
      <c r="P623" s="9"/>
      <c r="Q623" s="223"/>
      <c r="R623" s="9"/>
      <c r="S623" s="223"/>
      <c r="T623" s="9"/>
      <c r="U623" s="9"/>
      <c r="V623" s="9"/>
      <c r="W623" s="9"/>
      <c r="X623" s="9"/>
      <c r="Y623" s="204"/>
      <c r="Z623" s="9"/>
      <c r="AA623" s="9"/>
      <c r="AB623" s="9"/>
      <c r="AC623" s="9"/>
    </row>
    <row r="624" ht="15.75" customHeight="1">
      <c r="A624" s="223"/>
      <c r="B624" s="223"/>
      <c r="C624" s="223"/>
      <c r="D624" s="9"/>
      <c r="E624" s="223"/>
      <c r="F624" s="971"/>
      <c r="G624" s="9"/>
      <c r="H624" s="9"/>
      <c r="I624" s="9"/>
      <c r="J624" s="9"/>
      <c r="K624" s="9"/>
      <c r="L624" s="223"/>
      <c r="M624" s="223"/>
      <c r="N624" s="9"/>
      <c r="O624" s="9"/>
      <c r="P624" s="9"/>
      <c r="Q624" s="223"/>
      <c r="R624" s="9"/>
      <c r="S624" s="223"/>
      <c r="T624" s="9"/>
      <c r="U624" s="9"/>
      <c r="V624" s="9"/>
      <c r="W624" s="9"/>
      <c r="X624" s="9"/>
      <c r="Y624" s="204"/>
      <c r="Z624" s="9"/>
      <c r="AA624" s="9"/>
      <c r="AB624" s="9"/>
      <c r="AC624" s="9"/>
    </row>
    <row r="625" ht="15.75" customHeight="1">
      <c r="A625" s="223"/>
      <c r="B625" s="223"/>
      <c r="C625" s="223"/>
      <c r="D625" s="9"/>
      <c r="E625" s="223"/>
      <c r="F625" s="971"/>
      <c r="G625" s="9"/>
      <c r="H625" s="9"/>
      <c r="I625" s="9"/>
      <c r="J625" s="9"/>
      <c r="K625" s="9"/>
      <c r="L625" s="223"/>
      <c r="M625" s="223"/>
      <c r="N625" s="9"/>
      <c r="O625" s="9"/>
      <c r="P625" s="9"/>
      <c r="Q625" s="223"/>
      <c r="R625" s="9"/>
      <c r="S625" s="223"/>
      <c r="T625" s="9"/>
      <c r="U625" s="9"/>
      <c r="V625" s="9"/>
      <c r="W625" s="9"/>
      <c r="X625" s="9"/>
      <c r="Y625" s="204"/>
      <c r="Z625" s="9"/>
      <c r="AA625" s="9"/>
      <c r="AB625" s="9"/>
      <c r="AC625" s="9"/>
    </row>
    <row r="626" ht="15.75" customHeight="1">
      <c r="A626" s="223"/>
      <c r="B626" s="223"/>
      <c r="C626" s="223"/>
      <c r="D626" s="9"/>
      <c r="E626" s="223"/>
      <c r="F626" s="971"/>
      <c r="G626" s="9"/>
      <c r="H626" s="9"/>
      <c r="I626" s="9"/>
      <c r="J626" s="9"/>
      <c r="K626" s="9"/>
      <c r="L626" s="223"/>
      <c r="M626" s="223"/>
      <c r="N626" s="9"/>
      <c r="O626" s="9"/>
      <c r="P626" s="9"/>
      <c r="Q626" s="223"/>
      <c r="R626" s="9"/>
      <c r="S626" s="223"/>
      <c r="T626" s="9"/>
      <c r="U626" s="9"/>
      <c r="V626" s="9"/>
      <c r="W626" s="9"/>
      <c r="X626" s="9"/>
      <c r="Y626" s="204"/>
      <c r="Z626" s="9"/>
      <c r="AA626" s="9"/>
      <c r="AB626" s="9"/>
      <c r="AC626" s="9"/>
    </row>
    <row r="627" ht="15.75" customHeight="1">
      <c r="A627" s="223"/>
      <c r="B627" s="223"/>
      <c r="C627" s="223"/>
      <c r="D627" s="9"/>
      <c r="E627" s="223"/>
      <c r="F627" s="971"/>
      <c r="G627" s="9"/>
      <c r="H627" s="9"/>
      <c r="I627" s="9"/>
      <c r="J627" s="9"/>
      <c r="K627" s="9"/>
      <c r="L627" s="223"/>
      <c r="M627" s="223"/>
      <c r="N627" s="9"/>
      <c r="O627" s="9"/>
      <c r="P627" s="9"/>
      <c r="Q627" s="223"/>
      <c r="R627" s="9"/>
      <c r="S627" s="223"/>
      <c r="T627" s="9"/>
      <c r="U627" s="9"/>
      <c r="V627" s="9"/>
      <c r="W627" s="9"/>
      <c r="X627" s="9"/>
      <c r="Y627" s="204"/>
      <c r="Z627" s="9"/>
      <c r="AA627" s="9"/>
      <c r="AB627" s="9"/>
      <c r="AC627" s="9"/>
    </row>
    <row r="628" ht="15.75" customHeight="1">
      <c r="A628" s="223"/>
      <c r="B628" s="223"/>
      <c r="C628" s="223"/>
      <c r="D628" s="9"/>
      <c r="E628" s="223"/>
      <c r="F628" s="971"/>
      <c r="G628" s="9"/>
      <c r="H628" s="9"/>
      <c r="I628" s="9"/>
      <c r="J628" s="9"/>
      <c r="K628" s="9"/>
      <c r="L628" s="223"/>
      <c r="M628" s="223"/>
      <c r="N628" s="9"/>
      <c r="O628" s="9"/>
      <c r="P628" s="9"/>
      <c r="Q628" s="223"/>
      <c r="R628" s="9"/>
      <c r="S628" s="223"/>
      <c r="T628" s="9"/>
      <c r="U628" s="9"/>
      <c r="V628" s="9"/>
      <c r="W628" s="9"/>
      <c r="X628" s="9"/>
      <c r="Y628" s="204"/>
      <c r="Z628" s="9"/>
      <c r="AA628" s="9"/>
      <c r="AB628" s="9"/>
      <c r="AC628" s="9"/>
    </row>
    <row r="629" ht="15.75" customHeight="1">
      <c r="A629" s="223"/>
      <c r="B629" s="223"/>
      <c r="C629" s="223"/>
      <c r="D629" s="9"/>
      <c r="E629" s="223"/>
      <c r="F629" s="971"/>
      <c r="G629" s="9"/>
      <c r="H629" s="9"/>
      <c r="I629" s="9"/>
      <c r="J629" s="9"/>
      <c r="K629" s="9"/>
      <c r="L629" s="223"/>
      <c r="M629" s="223"/>
      <c r="N629" s="9"/>
      <c r="O629" s="9"/>
      <c r="P629" s="9"/>
      <c r="Q629" s="223"/>
      <c r="R629" s="9"/>
      <c r="S629" s="223"/>
      <c r="T629" s="9"/>
      <c r="U629" s="9"/>
      <c r="V629" s="9"/>
      <c r="W629" s="9"/>
      <c r="X629" s="9"/>
      <c r="Y629" s="204"/>
      <c r="Z629" s="9"/>
      <c r="AA629" s="9"/>
      <c r="AB629" s="9"/>
      <c r="AC629" s="9"/>
    </row>
    <row r="630" ht="15.75" customHeight="1">
      <c r="A630" s="223"/>
      <c r="B630" s="223"/>
      <c r="C630" s="223"/>
      <c r="D630" s="9"/>
      <c r="E630" s="223"/>
      <c r="F630" s="971"/>
      <c r="G630" s="9"/>
      <c r="H630" s="9"/>
      <c r="I630" s="9"/>
      <c r="J630" s="9"/>
      <c r="K630" s="9"/>
      <c r="L630" s="223"/>
      <c r="M630" s="223"/>
      <c r="N630" s="9"/>
      <c r="O630" s="9"/>
      <c r="P630" s="9"/>
      <c r="Q630" s="223"/>
      <c r="R630" s="9"/>
      <c r="S630" s="223"/>
      <c r="T630" s="9"/>
      <c r="U630" s="9"/>
      <c r="V630" s="9"/>
      <c r="W630" s="9"/>
      <c r="X630" s="9"/>
      <c r="Y630" s="204"/>
      <c r="Z630" s="9"/>
      <c r="AA630" s="9"/>
      <c r="AB630" s="9"/>
      <c r="AC630" s="9"/>
    </row>
    <row r="631" ht="15.75" customHeight="1">
      <c r="A631" s="223"/>
      <c r="B631" s="223"/>
      <c r="C631" s="223"/>
      <c r="D631" s="9"/>
      <c r="E631" s="223"/>
      <c r="F631" s="971"/>
      <c r="G631" s="9"/>
      <c r="H631" s="9"/>
      <c r="I631" s="9"/>
      <c r="J631" s="9"/>
      <c r="K631" s="9"/>
      <c r="L631" s="223"/>
      <c r="M631" s="223"/>
      <c r="N631" s="9"/>
      <c r="O631" s="9"/>
      <c r="P631" s="9"/>
      <c r="Q631" s="223"/>
      <c r="R631" s="9"/>
      <c r="S631" s="223"/>
      <c r="T631" s="9"/>
      <c r="U631" s="9"/>
      <c r="V631" s="9"/>
      <c r="W631" s="9"/>
      <c r="X631" s="9"/>
      <c r="Y631" s="204"/>
      <c r="Z631" s="9"/>
      <c r="AA631" s="9"/>
      <c r="AB631" s="9"/>
      <c r="AC631" s="9"/>
    </row>
    <row r="632" ht="15.75" customHeight="1">
      <c r="A632" s="223"/>
      <c r="B632" s="223"/>
      <c r="C632" s="223"/>
      <c r="D632" s="9"/>
      <c r="E632" s="223"/>
      <c r="F632" s="971"/>
      <c r="G632" s="9"/>
      <c r="H632" s="9"/>
      <c r="I632" s="9"/>
      <c r="J632" s="9"/>
      <c r="K632" s="9"/>
      <c r="L632" s="223"/>
      <c r="M632" s="223"/>
      <c r="N632" s="9"/>
      <c r="O632" s="9"/>
      <c r="P632" s="9"/>
      <c r="Q632" s="223"/>
      <c r="R632" s="9"/>
      <c r="S632" s="223"/>
      <c r="T632" s="9"/>
      <c r="U632" s="9"/>
      <c r="V632" s="9"/>
      <c r="W632" s="9"/>
      <c r="X632" s="9"/>
      <c r="Y632" s="204"/>
      <c r="Z632" s="9"/>
      <c r="AA632" s="9"/>
      <c r="AB632" s="9"/>
      <c r="AC632" s="9"/>
    </row>
    <row r="633" ht="15.75" customHeight="1">
      <c r="A633" s="223"/>
      <c r="B633" s="223"/>
      <c r="C633" s="223"/>
      <c r="D633" s="9"/>
      <c r="E633" s="223"/>
      <c r="F633" s="971"/>
      <c r="G633" s="9"/>
      <c r="H633" s="9"/>
      <c r="I633" s="9"/>
      <c r="J633" s="9"/>
      <c r="K633" s="9"/>
      <c r="L633" s="223"/>
      <c r="M633" s="223"/>
      <c r="N633" s="9"/>
      <c r="O633" s="9"/>
      <c r="P633" s="9"/>
      <c r="Q633" s="223"/>
      <c r="R633" s="9"/>
      <c r="S633" s="223"/>
      <c r="T633" s="9"/>
      <c r="U633" s="9"/>
      <c r="V633" s="9"/>
      <c r="W633" s="9"/>
      <c r="X633" s="9"/>
      <c r="Y633" s="204"/>
      <c r="Z633" s="9"/>
      <c r="AA633" s="9"/>
      <c r="AB633" s="9"/>
      <c r="AC633" s="9"/>
    </row>
    <row r="634" ht="15.75" customHeight="1">
      <c r="A634" s="223"/>
      <c r="B634" s="223"/>
      <c r="C634" s="223"/>
      <c r="D634" s="9"/>
      <c r="E634" s="223"/>
      <c r="F634" s="971"/>
      <c r="G634" s="9"/>
      <c r="H634" s="9"/>
      <c r="I634" s="9"/>
      <c r="J634" s="9"/>
      <c r="K634" s="9"/>
      <c r="L634" s="223"/>
      <c r="M634" s="223"/>
      <c r="N634" s="9"/>
      <c r="O634" s="9"/>
      <c r="P634" s="9"/>
      <c r="Q634" s="223"/>
      <c r="R634" s="9"/>
      <c r="S634" s="223"/>
      <c r="T634" s="9"/>
      <c r="U634" s="9"/>
      <c r="V634" s="9"/>
      <c r="W634" s="9"/>
      <c r="X634" s="9"/>
      <c r="Y634" s="204"/>
      <c r="Z634" s="9"/>
      <c r="AA634" s="9"/>
      <c r="AB634" s="9"/>
      <c r="AC634" s="9"/>
    </row>
    <row r="635" ht="15.75" customHeight="1">
      <c r="A635" s="223"/>
      <c r="B635" s="223"/>
      <c r="C635" s="223"/>
      <c r="D635" s="9"/>
      <c r="E635" s="223"/>
      <c r="F635" s="971"/>
      <c r="G635" s="9"/>
      <c r="H635" s="9"/>
      <c r="I635" s="9"/>
      <c r="J635" s="9"/>
      <c r="K635" s="9"/>
      <c r="L635" s="223"/>
      <c r="M635" s="223"/>
      <c r="N635" s="9"/>
      <c r="O635" s="9"/>
      <c r="P635" s="9"/>
      <c r="Q635" s="223"/>
      <c r="R635" s="9"/>
      <c r="S635" s="223"/>
      <c r="T635" s="9"/>
      <c r="U635" s="9"/>
      <c r="V635" s="9"/>
      <c r="W635" s="9"/>
      <c r="X635" s="9"/>
      <c r="Y635" s="204"/>
      <c r="Z635" s="9"/>
      <c r="AA635" s="9"/>
      <c r="AB635" s="9"/>
      <c r="AC635" s="9"/>
    </row>
    <row r="636" ht="15.75" customHeight="1">
      <c r="A636" s="223"/>
      <c r="B636" s="223"/>
      <c r="C636" s="223"/>
      <c r="D636" s="9"/>
      <c r="E636" s="223"/>
      <c r="F636" s="971"/>
      <c r="G636" s="9"/>
      <c r="H636" s="9"/>
      <c r="I636" s="9"/>
      <c r="J636" s="9"/>
      <c r="K636" s="9"/>
      <c r="L636" s="223"/>
      <c r="M636" s="223"/>
      <c r="N636" s="9"/>
      <c r="O636" s="9"/>
      <c r="P636" s="9"/>
      <c r="Q636" s="223"/>
      <c r="R636" s="9"/>
      <c r="S636" s="223"/>
      <c r="T636" s="9"/>
      <c r="U636" s="9"/>
      <c r="V636" s="9"/>
      <c r="W636" s="9"/>
      <c r="X636" s="9"/>
      <c r="Y636" s="204"/>
      <c r="Z636" s="9"/>
      <c r="AA636" s="9"/>
      <c r="AB636" s="9"/>
      <c r="AC636" s="9"/>
    </row>
    <row r="637" ht="15.75" customHeight="1">
      <c r="A637" s="223"/>
      <c r="B637" s="223"/>
      <c r="C637" s="223"/>
      <c r="D637" s="9"/>
      <c r="E637" s="223"/>
      <c r="F637" s="971"/>
      <c r="G637" s="9"/>
      <c r="H637" s="9"/>
      <c r="I637" s="9"/>
      <c r="J637" s="9"/>
      <c r="K637" s="9"/>
      <c r="L637" s="223"/>
      <c r="M637" s="223"/>
      <c r="N637" s="9"/>
      <c r="O637" s="9"/>
      <c r="P637" s="9"/>
      <c r="Q637" s="223"/>
      <c r="R637" s="9"/>
      <c r="S637" s="223"/>
      <c r="T637" s="9"/>
      <c r="U637" s="9"/>
      <c r="V637" s="9"/>
      <c r="W637" s="9"/>
      <c r="X637" s="9"/>
      <c r="Y637" s="204"/>
      <c r="Z637" s="9"/>
      <c r="AA637" s="9"/>
      <c r="AB637" s="9"/>
      <c r="AC637" s="9"/>
    </row>
    <row r="638" ht="15.75" customHeight="1">
      <c r="A638" s="223"/>
      <c r="B638" s="223"/>
      <c r="C638" s="223"/>
      <c r="D638" s="9"/>
      <c r="E638" s="223"/>
      <c r="F638" s="971"/>
      <c r="G638" s="9"/>
      <c r="H638" s="9"/>
      <c r="I638" s="9"/>
      <c r="J638" s="9"/>
      <c r="K638" s="9"/>
      <c r="L638" s="223"/>
      <c r="M638" s="223"/>
      <c r="N638" s="9"/>
      <c r="O638" s="9"/>
      <c r="P638" s="9"/>
      <c r="Q638" s="223"/>
      <c r="R638" s="9"/>
      <c r="S638" s="223"/>
      <c r="T638" s="9"/>
      <c r="U638" s="9"/>
      <c r="V638" s="9"/>
      <c r="W638" s="9"/>
      <c r="X638" s="9"/>
      <c r="Y638" s="204"/>
      <c r="Z638" s="9"/>
      <c r="AA638" s="9"/>
      <c r="AB638" s="9"/>
      <c r="AC638" s="9"/>
    </row>
    <row r="639" ht="15.75" customHeight="1">
      <c r="A639" s="223"/>
      <c r="B639" s="223"/>
      <c r="C639" s="223"/>
      <c r="D639" s="9"/>
      <c r="E639" s="223"/>
      <c r="F639" s="971"/>
      <c r="G639" s="9"/>
      <c r="H639" s="9"/>
      <c r="I639" s="9"/>
      <c r="J639" s="9"/>
      <c r="K639" s="9"/>
      <c r="L639" s="223"/>
      <c r="M639" s="223"/>
      <c r="N639" s="9"/>
      <c r="O639" s="9"/>
      <c r="P639" s="9"/>
      <c r="Q639" s="223"/>
      <c r="R639" s="9"/>
      <c r="S639" s="223"/>
      <c r="T639" s="9"/>
      <c r="U639" s="9"/>
      <c r="V639" s="9"/>
      <c r="W639" s="9"/>
      <c r="X639" s="9"/>
      <c r="Y639" s="204"/>
      <c r="Z639" s="9"/>
      <c r="AA639" s="9"/>
      <c r="AB639" s="9"/>
      <c r="AC639" s="9"/>
    </row>
    <row r="640" ht="15.75" customHeight="1">
      <c r="A640" s="223"/>
      <c r="B640" s="223"/>
      <c r="C640" s="223"/>
      <c r="D640" s="9"/>
      <c r="E640" s="223"/>
      <c r="F640" s="971"/>
      <c r="G640" s="9"/>
      <c r="H640" s="9"/>
      <c r="I640" s="9"/>
      <c r="J640" s="9"/>
      <c r="K640" s="9"/>
      <c r="L640" s="223"/>
      <c r="M640" s="223"/>
      <c r="N640" s="9"/>
      <c r="O640" s="9"/>
      <c r="P640" s="9"/>
      <c r="Q640" s="223"/>
      <c r="R640" s="9"/>
      <c r="S640" s="223"/>
      <c r="T640" s="9"/>
      <c r="U640" s="9"/>
      <c r="V640" s="9"/>
      <c r="W640" s="9"/>
      <c r="X640" s="9"/>
      <c r="Y640" s="204"/>
      <c r="Z640" s="9"/>
      <c r="AA640" s="9"/>
      <c r="AB640" s="9"/>
      <c r="AC640" s="9"/>
    </row>
    <row r="641" ht="15.75" customHeight="1">
      <c r="A641" s="223"/>
      <c r="B641" s="223"/>
      <c r="C641" s="223"/>
      <c r="D641" s="9"/>
      <c r="E641" s="223"/>
      <c r="F641" s="971"/>
      <c r="G641" s="9"/>
      <c r="H641" s="9"/>
      <c r="I641" s="9"/>
      <c r="J641" s="9"/>
      <c r="K641" s="9"/>
      <c r="L641" s="223"/>
      <c r="M641" s="223"/>
      <c r="N641" s="9"/>
      <c r="O641" s="9"/>
      <c r="P641" s="9"/>
      <c r="Q641" s="223"/>
      <c r="R641" s="9"/>
      <c r="S641" s="223"/>
      <c r="T641" s="9"/>
      <c r="U641" s="9"/>
      <c r="V641" s="9"/>
      <c r="W641" s="9"/>
      <c r="X641" s="9"/>
      <c r="Y641" s="204"/>
      <c r="Z641" s="9"/>
      <c r="AA641" s="9"/>
      <c r="AB641" s="9"/>
      <c r="AC641" s="9"/>
    </row>
    <row r="642" ht="15.75" customHeight="1">
      <c r="A642" s="223"/>
      <c r="B642" s="223"/>
      <c r="C642" s="223"/>
      <c r="D642" s="9"/>
      <c r="E642" s="223"/>
      <c r="F642" s="971"/>
      <c r="G642" s="9"/>
      <c r="H642" s="9"/>
      <c r="I642" s="9"/>
      <c r="J642" s="9"/>
      <c r="K642" s="9"/>
      <c r="L642" s="223"/>
      <c r="M642" s="223"/>
      <c r="N642" s="9"/>
      <c r="O642" s="9"/>
      <c r="P642" s="9"/>
      <c r="Q642" s="223"/>
      <c r="R642" s="9"/>
      <c r="S642" s="223"/>
      <c r="T642" s="9"/>
      <c r="U642" s="9"/>
      <c r="V642" s="9"/>
      <c r="W642" s="9"/>
      <c r="X642" s="9"/>
      <c r="Y642" s="204"/>
      <c r="Z642" s="9"/>
      <c r="AA642" s="9"/>
      <c r="AB642" s="9"/>
      <c r="AC642" s="9"/>
    </row>
    <row r="643" ht="15.75" customHeight="1">
      <c r="A643" s="223"/>
      <c r="B643" s="223"/>
      <c r="C643" s="223"/>
      <c r="D643" s="9"/>
      <c r="E643" s="223"/>
      <c r="F643" s="971"/>
      <c r="G643" s="9"/>
      <c r="H643" s="9"/>
      <c r="I643" s="9"/>
      <c r="J643" s="9"/>
      <c r="K643" s="9"/>
      <c r="L643" s="223"/>
      <c r="M643" s="223"/>
      <c r="N643" s="9"/>
      <c r="O643" s="9"/>
      <c r="P643" s="9"/>
      <c r="Q643" s="223"/>
      <c r="R643" s="9"/>
      <c r="S643" s="223"/>
      <c r="T643" s="9"/>
      <c r="U643" s="9"/>
      <c r="V643" s="9"/>
      <c r="W643" s="9"/>
      <c r="X643" s="9"/>
      <c r="Y643" s="204"/>
      <c r="Z643" s="9"/>
      <c r="AA643" s="9"/>
      <c r="AB643" s="9"/>
      <c r="AC643" s="9"/>
    </row>
    <row r="644" ht="15.75" customHeight="1">
      <c r="A644" s="223"/>
      <c r="B644" s="223"/>
      <c r="C644" s="223"/>
      <c r="D644" s="9"/>
      <c r="E644" s="223"/>
      <c r="F644" s="971"/>
      <c r="G644" s="9"/>
      <c r="H644" s="9"/>
      <c r="I644" s="9"/>
      <c r="J644" s="9"/>
      <c r="K644" s="9"/>
      <c r="L644" s="223"/>
      <c r="M644" s="223"/>
      <c r="N644" s="9"/>
      <c r="O644" s="9"/>
      <c r="P644" s="9"/>
      <c r="Q644" s="223"/>
      <c r="R644" s="9"/>
      <c r="S644" s="223"/>
      <c r="T644" s="9"/>
      <c r="U644" s="9"/>
      <c r="V644" s="9"/>
      <c r="W644" s="9"/>
      <c r="X644" s="9"/>
      <c r="Y644" s="204"/>
      <c r="Z644" s="9"/>
      <c r="AA644" s="9"/>
      <c r="AB644" s="9"/>
      <c r="AC644" s="9"/>
    </row>
    <row r="645" ht="15.75" customHeight="1">
      <c r="A645" s="223"/>
      <c r="B645" s="223"/>
      <c r="C645" s="223"/>
      <c r="D645" s="9"/>
      <c r="E645" s="223"/>
      <c r="F645" s="971"/>
      <c r="G645" s="9"/>
      <c r="H645" s="9"/>
      <c r="I645" s="9"/>
      <c r="J645" s="9"/>
      <c r="K645" s="9"/>
      <c r="L645" s="223"/>
      <c r="M645" s="223"/>
      <c r="N645" s="9"/>
      <c r="O645" s="9"/>
      <c r="P645" s="9"/>
      <c r="Q645" s="223"/>
      <c r="R645" s="9"/>
      <c r="S645" s="223"/>
      <c r="T645" s="9"/>
      <c r="U645" s="9"/>
      <c r="V645" s="9"/>
      <c r="W645" s="9"/>
      <c r="X645" s="9"/>
      <c r="Y645" s="204"/>
      <c r="Z645" s="9"/>
      <c r="AA645" s="9"/>
      <c r="AB645" s="9"/>
      <c r="AC645" s="9"/>
    </row>
    <row r="646" ht="15.75" customHeight="1">
      <c r="A646" s="223"/>
      <c r="B646" s="223"/>
      <c r="C646" s="223"/>
      <c r="D646" s="9"/>
      <c r="E646" s="223"/>
      <c r="F646" s="971"/>
      <c r="G646" s="9"/>
      <c r="H646" s="9"/>
      <c r="I646" s="9"/>
      <c r="J646" s="9"/>
      <c r="K646" s="9"/>
      <c r="L646" s="223"/>
      <c r="M646" s="223"/>
      <c r="N646" s="9"/>
      <c r="O646" s="9"/>
      <c r="P646" s="9"/>
      <c r="Q646" s="223"/>
      <c r="R646" s="9"/>
      <c r="S646" s="223"/>
      <c r="T646" s="9"/>
      <c r="U646" s="9"/>
      <c r="V646" s="9"/>
      <c r="W646" s="9"/>
      <c r="X646" s="9"/>
      <c r="Y646" s="204"/>
      <c r="Z646" s="9"/>
      <c r="AA646" s="9"/>
      <c r="AB646" s="9"/>
      <c r="AC646" s="9"/>
    </row>
    <row r="647" ht="15.75" customHeight="1">
      <c r="A647" s="223"/>
      <c r="B647" s="223"/>
      <c r="C647" s="223"/>
      <c r="D647" s="9"/>
      <c r="E647" s="223"/>
      <c r="F647" s="971"/>
      <c r="G647" s="9"/>
      <c r="H647" s="9"/>
      <c r="I647" s="9"/>
      <c r="J647" s="9"/>
      <c r="K647" s="9"/>
      <c r="L647" s="223"/>
      <c r="M647" s="223"/>
      <c r="N647" s="9"/>
      <c r="O647" s="9"/>
      <c r="P647" s="9"/>
      <c r="Q647" s="223"/>
      <c r="R647" s="9"/>
      <c r="S647" s="223"/>
      <c r="T647" s="9"/>
      <c r="U647" s="9"/>
      <c r="V647" s="9"/>
      <c r="W647" s="9"/>
      <c r="X647" s="9"/>
      <c r="Y647" s="204"/>
      <c r="Z647" s="9"/>
      <c r="AA647" s="9"/>
      <c r="AB647" s="9"/>
      <c r="AC647" s="9"/>
    </row>
    <row r="648" ht="15.75" customHeight="1">
      <c r="A648" s="223"/>
      <c r="B648" s="223"/>
      <c r="C648" s="223"/>
      <c r="D648" s="9"/>
      <c r="E648" s="223"/>
      <c r="F648" s="971"/>
      <c r="G648" s="9"/>
      <c r="H648" s="9"/>
      <c r="I648" s="9"/>
      <c r="J648" s="9"/>
      <c r="K648" s="9"/>
      <c r="L648" s="223"/>
      <c r="M648" s="223"/>
      <c r="N648" s="9"/>
      <c r="O648" s="9"/>
      <c r="P648" s="9"/>
      <c r="Q648" s="223"/>
      <c r="R648" s="9"/>
      <c r="S648" s="223"/>
      <c r="T648" s="9"/>
      <c r="U648" s="9"/>
      <c r="V648" s="9"/>
      <c r="W648" s="9"/>
      <c r="X648" s="9"/>
      <c r="Y648" s="204"/>
      <c r="Z648" s="9"/>
      <c r="AA648" s="9"/>
      <c r="AB648" s="9"/>
      <c r="AC648" s="9"/>
    </row>
    <row r="649" ht="15.75" customHeight="1">
      <c r="A649" s="223"/>
      <c r="B649" s="223"/>
      <c r="C649" s="223"/>
      <c r="D649" s="9"/>
      <c r="E649" s="223"/>
      <c r="F649" s="971"/>
      <c r="G649" s="9"/>
      <c r="H649" s="9"/>
      <c r="I649" s="9"/>
      <c r="J649" s="9"/>
      <c r="K649" s="9"/>
      <c r="L649" s="223"/>
      <c r="M649" s="223"/>
      <c r="N649" s="9"/>
      <c r="O649" s="9"/>
      <c r="P649" s="9"/>
      <c r="Q649" s="223"/>
      <c r="R649" s="9"/>
      <c r="S649" s="223"/>
      <c r="T649" s="9"/>
      <c r="U649" s="9"/>
      <c r="V649" s="9"/>
      <c r="W649" s="9"/>
      <c r="X649" s="9"/>
      <c r="Y649" s="204"/>
      <c r="Z649" s="9"/>
      <c r="AA649" s="9"/>
      <c r="AB649" s="9"/>
      <c r="AC649" s="9"/>
    </row>
    <row r="650" ht="15.75" customHeight="1">
      <c r="A650" s="223"/>
      <c r="B650" s="223"/>
      <c r="C650" s="223"/>
      <c r="D650" s="9"/>
      <c r="E650" s="223"/>
      <c r="F650" s="971"/>
      <c r="G650" s="9"/>
      <c r="H650" s="9"/>
      <c r="I650" s="9"/>
      <c r="J650" s="9"/>
      <c r="K650" s="9"/>
      <c r="L650" s="223"/>
      <c r="M650" s="223"/>
      <c r="N650" s="9"/>
      <c r="O650" s="9"/>
      <c r="P650" s="9"/>
      <c r="Q650" s="223"/>
      <c r="R650" s="9"/>
      <c r="S650" s="223"/>
      <c r="T650" s="9"/>
      <c r="U650" s="9"/>
      <c r="V650" s="9"/>
      <c r="W650" s="9"/>
      <c r="X650" s="9"/>
      <c r="Y650" s="204"/>
      <c r="Z650" s="9"/>
      <c r="AA650" s="9"/>
      <c r="AB650" s="9"/>
      <c r="AC650" s="9"/>
    </row>
    <row r="651" ht="15.75" customHeight="1">
      <c r="A651" s="223"/>
      <c r="B651" s="223"/>
      <c r="C651" s="223"/>
      <c r="D651" s="9"/>
      <c r="E651" s="223"/>
      <c r="F651" s="971"/>
      <c r="G651" s="9"/>
      <c r="H651" s="9"/>
      <c r="I651" s="9"/>
      <c r="J651" s="9"/>
      <c r="K651" s="9"/>
      <c r="L651" s="223"/>
      <c r="M651" s="223"/>
      <c r="N651" s="9"/>
      <c r="O651" s="9"/>
      <c r="P651" s="9"/>
      <c r="Q651" s="223"/>
      <c r="R651" s="9"/>
      <c r="S651" s="223"/>
      <c r="T651" s="9"/>
      <c r="U651" s="9"/>
      <c r="V651" s="9"/>
      <c r="W651" s="9"/>
      <c r="X651" s="9"/>
      <c r="Y651" s="204"/>
      <c r="Z651" s="9"/>
      <c r="AA651" s="9"/>
      <c r="AB651" s="9"/>
      <c r="AC651" s="9"/>
    </row>
    <row r="652" ht="15.75" customHeight="1">
      <c r="A652" s="223"/>
      <c r="B652" s="223"/>
      <c r="C652" s="223"/>
      <c r="D652" s="9"/>
      <c r="E652" s="223"/>
      <c r="F652" s="971"/>
      <c r="G652" s="9"/>
      <c r="H652" s="9"/>
      <c r="I652" s="9"/>
      <c r="J652" s="9"/>
      <c r="K652" s="9"/>
      <c r="L652" s="223"/>
      <c r="M652" s="223"/>
      <c r="N652" s="9"/>
      <c r="O652" s="9"/>
      <c r="P652" s="9"/>
      <c r="Q652" s="223"/>
      <c r="R652" s="9"/>
      <c r="S652" s="223"/>
      <c r="T652" s="9"/>
      <c r="U652" s="9"/>
      <c r="V652" s="9"/>
      <c r="W652" s="9"/>
      <c r="X652" s="9"/>
      <c r="Y652" s="204"/>
      <c r="Z652" s="9"/>
      <c r="AA652" s="9"/>
      <c r="AB652" s="9"/>
      <c r="AC652" s="9"/>
    </row>
    <row r="653" ht="15.75" customHeight="1">
      <c r="A653" s="223"/>
      <c r="B653" s="223"/>
      <c r="C653" s="223"/>
      <c r="D653" s="9"/>
      <c r="E653" s="223"/>
      <c r="F653" s="971"/>
      <c r="G653" s="9"/>
      <c r="H653" s="9"/>
      <c r="I653" s="9"/>
      <c r="J653" s="9"/>
      <c r="K653" s="9"/>
      <c r="L653" s="223"/>
      <c r="M653" s="223"/>
      <c r="N653" s="9"/>
      <c r="O653" s="9"/>
      <c r="P653" s="9"/>
      <c r="Q653" s="223"/>
      <c r="R653" s="9"/>
      <c r="S653" s="223"/>
      <c r="T653" s="9"/>
      <c r="U653" s="9"/>
      <c r="V653" s="9"/>
      <c r="W653" s="9"/>
      <c r="X653" s="9"/>
      <c r="Y653" s="204"/>
      <c r="Z653" s="9"/>
      <c r="AA653" s="9"/>
      <c r="AB653" s="9"/>
      <c r="AC653" s="9"/>
    </row>
    <row r="654" ht="15.75" customHeight="1">
      <c r="A654" s="223"/>
      <c r="B654" s="223"/>
      <c r="C654" s="223"/>
      <c r="D654" s="9"/>
      <c r="E654" s="223"/>
      <c r="F654" s="971"/>
      <c r="G654" s="9"/>
      <c r="H654" s="9"/>
      <c r="I654" s="9"/>
      <c r="J654" s="9"/>
      <c r="K654" s="9"/>
      <c r="L654" s="223"/>
      <c r="M654" s="223"/>
      <c r="N654" s="9"/>
      <c r="O654" s="9"/>
      <c r="P654" s="9"/>
      <c r="Q654" s="223"/>
      <c r="R654" s="9"/>
      <c r="S654" s="223"/>
      <c r="T654" s="9"/>
      <c r="U654" s="9"/>
      <c r="V654" s="9"/>
      <c r="W654" s="9"/>
      <c r="X654" s="9"/>
      <c r="Y654" s="204"/>
      <c r="Z654" s="9"/>
      <c r="AA654" s="9"/>
      <c r="AB654" s="9"/>
      <c r="AC654" s="9"/>
    </row>
    <row r="655" ht="15.75" customHeight="1">
      <c r="A655" s="223"/>
      <c r="B655" s="223"/>
      <c r="C655" s="223"/>
      <c r="D655" s="9"/>
      <c r="E655" s="223"/>
      <c r="F655" s="971"/>
      <c r="G655" s="9"/>
      <c r="H655" s="9"/>
      <c r="I655" s="9"/>
      <c r="J655" s="9"/>
      <c r="K655" s="9"/>
      <c r="L655" s="223"/>
      <c r="M655" s="223"/>
      <c r="N655" s="9"/>
      <c r="O655" s="9"/>
      <c r="P655" s="9"/>
      <c r="Q655" s="223"/>
      <c r="R655" s="9"/>
      <c r="S655" s="223"/>
      <c r="T655" s="9"/>
      <c r="U655" s="9"/>
      <c r="V655" s="9"/>
      <c r="W655" s="9"/>
      <c r="X655" s="9"/>
      <c r="Y655" s="204"/>
      <c r="Z655" s="9"/>
      <c r="AA655" s="9"/>
      <c r="AB655" s="9"/>
      <c r="AC655" s="9"/>
    </row>
    <row r="656" ht="15.75" customHeight="1">
      <c r="A656" s="223"/>
      <c r="B656" s="223"/>
      <c r="C656" s="223"/>
      <c r="D656" s="9"/>
      <c r="E656" s="223"/>
      <c r="F656" s="971"/>
      <c r="G656" s="9"/>
      <c r="H656" s="9"/>
      <c r="I656" s="9"/>
      <c r="J656" s="9"/>
      <c r="K656" s="9"/>
      <c r="L656" s="223"/>
      <c r="M656" s="223"/>
      <c r="N656" s="9"/>
      <c r="O656" s="9"/>
      <c r="P656" s="9"/>
      <c r="Q656" s="223"/>
      <c r="R656" s="9"/>
      <c r="S656" s="223"/>
      <c r="T656" s="9"/>
      <c r="U656" s="9"/>
      <c r="V656" s="9"/>
      <c r="W656" s="9"/>
      <c r="X656" s="9"/>
      <c r="Y656" s="204"/>
      <c r="Z656" s="9"/>
      <c r="AA656" s="9"/>
      <c r="AB656" s="9"/>
      <c r="AC656" s="9"/>
    </row>
    <row r="657" ht="15.75" customHeight="1">
      <c r="A657" s="223"/>
      <c r="B657" s="223"/>
      <c r="C657" s="223"/>
      <c r="D657" s="9"/>
      <c r="E657" s="223"/>
      <c r="F657" s="971"/>
      <c r="G657" s="9"/>
      <c r="H657" s="9"/>
      <c r="I657" s="9"/>
      <c r="J657" s="9"/>
      <c r="K657" s="9"/>
      <c r="L657" s="223"/>
      <c r="M657" s="223"/>
      <c r="N657" s="9"/>
      <c r="O657" s="9"/>
      <c r="P657" s="9"/>
      <c r="Q657" s="223"/>
      <c r="R657" s="9"/>
      <c r="S657" s="223"/>
      <c r="T657" s="9"/>
      <c r="U657" s="9"/>
      <c r="V657" s="9"/>
      <c r="W657" s="9"/>
      <c r="X657" s="9"/>
      <c r="Y657" s="204"/>
      <c r="Z657" s="9"/>
      <c r="AA657" s="9"/>
      <c r="AB657" s="9"/>
      <c r="AC657" s="9"/>
    </row>
    <row r="658" ht="15.75" customHeight="1">
      <c r="A658" s="223"/>
      <c r="B658" s="223"/>
      <c r="C658" s="223"/>
      <c r="D658" s="9"/>
      <c r="E658" s="223"/>
      <c r="F658" s="971"/>
      <c r="G658" s="9"/>
      <c r="H658" s="9"/>
      <c r="I658" s="9"/>
      <c r="J658" s="9"/>
      <c r="K658" s="9"/>
      <c r="L658" s="223"/>
      <c r="M658" s="223"/>
      <c r="N658" s="9"/>
      <c r="O658" s="9"/>
      <c r="P658" s="9"/>
      <c r="Q658" s="223"/>
      <c r="R658" s="9"/>
      <c r="S658" s="223"/>
      <c r="T658" s="9"/>
      <c r="U658" s="9"/>
      <c r="V658" s="9"/>
      <c r="W658" s="9"/>
      <c r="X658" s="9"/>
      <c r="Y658" s="204"/>
      <c r="Z658" s="9"/>
      <c r="AA658" s="9"/>
      <c r="AB658" s="9"/>
      <c r="AC658" s="9"/>
    </row>
    <row r="659" ht="15.75" customHeight="1">
      <c r="A659" s="223"/>
      <c r="B659" s="223"/>
      <c r="C659" s="223"/>
      <c r="D659" s="9"/>
      <c r="E659" s="223"/>
      <c r="F659" s="971"/>
      <c r="G659" s="9"/>
      <c r="H659" s="9"/>
      <c r="I659" s="9"/>
      <c r="J659" s="9"/>
      <c r="K659" s="9"/>
      <c r="L659" s="223"/>
      <c r="M659" s="223"/>
      <c r="N659" s="9"/>
      <c r="O659" s="9"/>
      <c r="P659" s="9"/>
      <c r="Q659" s="223"/>
      <c r="R659" s="9"/>
      <c r="S659" s="223"/>
      <c r="T659" s="9"/>
      <c r="U659" s="9"/>
      <c r="V659" s="9"/>
      <c r="W659" s="9"/>
      <c r="X659" s="9"/>
      <c r="Y659" s="204"/>
      <c r="Z659" s="9"/>
      <c r="AA659" s="9"/>
      <c r="AB659" s="9"/>
      <c r="AC659" s="9"/>
    </row>
    <row r="660" ht="15.75" customHeight="1">
      <c r="A660" s="223"/>
      <c r="B660" s="223"/>
      <c r="C660" s="223"/>
      <c r="D660" s="9"/>
      <c r="E660" s="223"/>
      <c r="F660" s="971"/>
      <c r="G660" s="9"/>
      <c r="H660" s="9"/>
      <c r="I660" s="9"/>
      <c r="J660" s="9"/>
      <c r="K660" s="9"/>
      <c r="L660" s="223"/>
      <c r="M660" s="223"/>
      <c r="N660" s="9"/>
      <c r="O660" s="9"/>
      <c r="P660" s="9"/>
      <c r="Q660" s="223"/>
      <c r="R660" s="9"/>
      <c r="S660" s="223"/>
      <c r="T660" s="9"/>
      <c r="U660" s="9"/>
      <c r="V660" s="9"/>
      <c r="W660" s="9"/>
      <c r="X660" s="9"/>
      <c r="Y660" s="204"/>
      <c r="Z660" s="9"/>
      <c r="AA660" s="9"/>
      <c r="AB660" s="9"/>
      <c r="AC660" s="9"/>
    </row>
    <row r="661" ht="15.75" customHeight="1">
      <c r="A661" s="223"/>
      <c r="B661" s="223"/>
      <c r="C661" s="223"/>
      <c r="D661" s="9"/>
      <c r="E661" s="223"/>
      <c r="F661" s="971"/>
      <c r="G661" s="9"/>
      <c r="H661" s="9"/>
      <c r="I661" s="9"/>
      <c r="J661" s="9"/>
      <c r="K661" s="9"/>
      <c r="L661" s="223"/>
      <c r="M661" s="223"/>
      <c r="N661" s="9"/>
      <c r="O661" s="9"/>
      <c r="P661" s="9"/>
      <c r="Q661" s="223"/>
      <c r="R661" s="9"/>
      <c r="S661" s="223"/>
      <c r="T661" s="9"/>
      <c r="U661" s="9"/>
      <c r="V661" s="9"/>
      <c r="W661" s="9"/>
      <c r="X661" s="9"/>
      <c r="Y661" s="204"/>
      <c r="Z661" s="9"/>
      <c r="AA661" s="9"/>
      <c r="AB661" s="9"/>
      <c r="AC661" s="9"/>
    </row>
    <row r="662" ht="15.75" customHeight="1">
      <c r="A662" s="223"/>
      <c r="B662" s="223"/>
      <c r="C662" s="223"/>
      <c r="D662" s="9"/>
      <c r="E662" s="223"/>
      <c r="F662" s="971"/>
      <c r="G662" s="9"/>
      <c r="H662" s="9"/>
      <c r="I662" s="9"/>
      <c r="J662" s="9"/>
      <c r="K662" s="9"/>
      <c r="L662" s="223"/>
      <c r="M662" s="223"/>
      <c r="N662" s="9"/>
      <c r="O662" s="9"/>
      <c r="P662" s="9"/>
      <c r="Q662" s="223"/>
      <c r="R662" s="9"/>
      <c r="S662" s="223"/>
      <c r="T662" s="9"/>
      <c r="U662" s="9"/>
      <c r="V662" s="9"/>
      <c r="W662" s="9"/>
      <c r="X662" s="9"/>
      <c r="Y662" s="204"/>
      <c r="Z662" s="9"/>
      <c r="AA662" s="9"/>
      <c r="AB662" s="9"/>
      <c r="AC662" s="9"/>
    </row>
    <row r="663" ht="15.75" customHeight="1">
      <c r="A663" s="223"/>
      <c r="B663" s="223"/>
      <c r="C663" s="223"/>
      <c r="D663" s="9"/>
      <c r="E663" s="223"/>
      <c r="F663" s="971"/>
      <c r="G663" s="9"/>
      <c r="H663" s="9"/>
      <c r="I663" s="9"/>
      <c r="J663" s="9"/>
      <c r="K663" s="9"/>
      <c r="L663" s="223"/>
      <c r="M663" s="223"/>
      <c r="N663" s="9"/>
      <c r="O663" s="9"/>
      <c r="P663" s="9"/>
      <c r="Q663" s="223"/>
      <c r="R663" s="9"/>
      <c r="S663" s="223"/>
      <c r="T663" s="9"/>
      <c r="U663" s="9"/>
      <c r="V663" s="9"/>
      <c r="W663" s="9"/>
      <c r="X663" s="9"/>
      <c r="Y663" s="204"/>
      <c r="Z663" s="9"/>
      <c r="AA663" s="9"/>
      <c r="AB663" s="9"/>
      <c r="AC663" s="9"/>
    </row>
    <row r="664" ht="15.75" customHeight="1">
      <c r="A664" s="223"/>
      <c r="B664" s="223"/>
      <c r="C664" s="223"/>
      <c r="D664" s="9"/>
      <c r="E664" s="223"/>
      <c r="F664" s="971"/>
      <c r="G664" s="9"/>
      <c r="H664" s="9"/>
      <c r="I664" s="9"/>
      <c r="J664" s="9"/>
      <c r="K664" s="9"/>
      <c r="L664" s="223"/>
      <c r="M664" s="223"/>
      <c r="N664" s="9"/>
      <c r="O664" s="9"/>
      <c r="P664" s="9"/>
      <c r="Q664" s="223"/>
      <c r="R664" s="9"/>
      <c r="S664" s="223"/>
      <c r="T664" s="9"/>
      <c r="U664" s="9"/>
      <c r="V664" s="9"/>
      <c r="W664" s="9"/>
      <c r="X664" s="9"/>
      <c r="Y664" s="204"/>
      <c r="Z664" s="9"/>
      <c r="AA664" s="9"/>
      <c r="AB664" s="9"/>
      <c r="AC664" s="9"/>
    </row>
    <row r="665" ht="15.75" customHeight="1">
      <c r="A665" s="223"/>
      <c r="B665" s="223"/>
      <c r="C665" s="223"/>
      <c r="D665" s="9"/>
      <c r="E665" s="223"/>
      <c r="F665" s="971"/>
      <c r="G665" s="9"/>
      <c r="H665" s="9"/>
      <c r="I665" s="9"/>
      <c r="J665" s="9"/>
      <c r="K665" s="9"/>
      <c r="L665" s="223"/>
      <c r="M665" s="223"/>
      <c r="N665" s="9"/>
      <c r="O665" s="9"/>
      <c r="P665" s="9"/>
      <c r="Q665" s="223"/>
      <c r="R665" s="9"/>
      <c r="S665" s="223"/>
      <c r="T665" s="9"/>
      <c r="U665" s="9"/>
      <c r="V665" s="9"/>
      <c r="W665" s="9"/>
      <c r="X665" s="9"/>
      <c r="Y665" s="204"/>
      <c r="Z665" s="9"/>
      <c r="AA665" s="9"/>
      <c r="AB665" s="9"/>
      <c r="AC665" s="9"/>
    </row>
    <row r="666" ht="15.75" customHeight="1">
      <c r="A666" s="223"/>
      <c r="B666" s="223"/>
      <c r="C666" s="223"/>
      <c r="D666" s="9"/>
      <c r="E666" s="223"/>
      <c r="F666" s="971"/>
      <c r="G666" s="9"/>
      <c r="H666" s="9"/>
      <c r="I666" s="9"/>
      <c r="J666" s="9"/>
      <c r="K666" s="9"/>
      <c r="L666" s="223"/>
      <c r="M666" s="223"/>
      <c r="N666" s="9"/>
      <c r="O666" s="9"/>
      <c r="P666" s="9"/>
      <c r="Q666" s="223"/>
      <c r="R666" s="9"/>
      <c r="S666" s="223"/>
      <c r="T666" s="9"/>
      <c r="U666" s="9"/>
      <c r="V666" s="9"/>
      <c r="W666" s="9"/>
      <c r="X666" s="9"/>
      <c r="Y666" s="204"/>
      <c r="Z666" s="9"/>
      <c r="AA666" s="9"/>
      <c r="AB666" s="9"/>
      <c r="AC666" s="9"/>
    </row>
    <row r="667" ht="15.75" customHeight="1">
      <c r="A667" s="223"/>
      <c r="B667" s="223"/>
      <c r="C667" s="223"/>
      <c r="D667" s="9"/>
      <c r="E667" s="223"/>
      <c r="F667" s="971"/>
      <c r="G667" s="9"/>
      <c r="H667" s="9"/>
      <c r="I667" s="9"/>
      <c r="J667" s="9"/>
      <c r="K667" s="9"/>
      <c r="L667" s="223"/>
      <c r="M667" s="223"/>
      <c r="N667" s="9"/>
      <c r="O667" s="9"/>
      <c r="P667" s="9"/>
      <c r="Q667" s="223"/>
      <c r="R667" s="9"/>
      <c r="S667" s="223"/>
      <c r="T667" s="9"/>
      <c r="U667" s="9"/>
      <c r="V667" s="9"/>
      <c r="W667" s="9"/>
      <c r="X667" s="9"/>
      <c r="Y667" s="204"/>
      <c r="Z667" s="9"/>
      <c r="AA667" s="9"/>
      <c r="AB667" s="9"/>
      <c r="AC667" s="9"/>
    </row>
    <row r="668" ht="15.75" customHeight="1">
      <c r="A668" s="223"/>
      <c r="B668" s="223"/>
      <c r="C668" s="223"/>
      <c r="D668" s="9"/>
      <c r="E668" s="223"/>
      <c r="F668" s="971"/>
      <c r="G668" s="9"/>
      <c r="H668" s="9"/>
      <c r="I668" s="9"/>
      <c r="J668" s="9"/>
      <c r="K668" s="9"/>
      <c r="L668" s="223"/>
      <c r="M668" s="223"/>
      <c r="N668" s="9"/>
      <c r="O668" s="9"/>
      <c r="P668" s="9"/>
      <c r="Q668" s="223"/>
      <c r="R668" s="9"/>
      <c r="S668" s="223"/>
      <c r="T668" s="9"/>
      <c r="U668" s="9"/>
      <c r="V668" s="9"/>
      <c r="W668" s="9"/>
      <c r="X668" s="9"/>
      <c r="Y668" s="204"/>
      <c r="Z668" s="9"/>
      <c r="AA668" s="9"/>
      <c r="AB668" s="9"/>
      <c r="AC668" s="9"/>
    </row>
    <row r="669" ht="15.75" customHeight="1">
      <c r="A669" s="223"/>
      <c r="B669" s="223"/>
      <c r="C669" s="223"/>
      <c r="D669" s="9"/>
      <c r="E669" s="223"/>
      <c r="F669" s="971"/>
      <c r="G669" s="9"/>
      <c r="H669" s="9"/>
      <c r="I669" s="9"/>
      <c r="J669" s="9"/>
      <c r="K669" s="9"/>
      <c r="L669" s="223"/>
      <c r="M669" s="223"/>
      <c r="N669" s="9"/>
      <c r="O669" s="9"/>
      <c r="P669" s="9"/>
      <c r="Q669" s="223"/>
      <c r="R669" s="9"/>
      <c r="S669" s="223"/>
      <c r="T669" s="9"/>
      <c r="U669" s="9"/>
      <c r="V669" s="9"/>
      <c r="W669" s="9"/>
      <c r="X669" s="9"/>
      <c r="Y669" s="204"/>
      <c r="Z669" s="9"/>
      <c r="AA669" s="9"/>
      <c r="AB669" s="9"/>
      <c r="AC669" s="9"/>
    </row>
    <row r="670" ht="15.75" customHeight="1">
      <c r="A670" s="223"/>
      <c r="B670" s="223"/>
      <c r="C670" s="223"/>
      <c r="D670" s="9"/>
      <c r="E670" s="223"/>
      <c r="F670" s="971"/>
      <c r="G670" s="9"/>
      <c r="H670" s="9"/>
      <c r="I670" s="9"/>
      <c r="J670" s="9"/>
      <c r="K670" s="9"/>
      <c r="L670" s="223"/>
      <c r="M670" s="223"/>
      <c r="N670" s="9"/>
      <c r="O670" s="9"/>
      <c r="P670" s="9"/>
      <c r="Q670" s="223"/>
      <c r="R670" s="9"/>
      <c r="S670" s="223"/>
      <c r="T670" s="9"/>
      <c r="U670" s="9"/>
      <c r="V670" s="9"/>
      <c r="W670" s="9"/>
      <c r="X670" s="9"/>
      <c r="Y670" s="204"/>
      <c r="Z670" s="9"/>
      <c r="AA670" s="9"/>
      <c r="AB670" s="9"/>
      <c r="AC670" s="9"/>
    </row>
    <row r="671" ht="15.75" customHeight="1">
      <c r="A671" s="223"/>
      <c r="B671" s="223"/>
      <c r="C671" s="223"/>
      <c r="D671" s="9"/>
      <c r="E671" s="223"/>
      <c r="F671" s="971"/>
      <c r="G671" s="9"/>
      <c r="H671" s="9"/>
      <c r="I671" s="9"/>
      <c r="J671" s="9"/>
      <c r="K671" s="9"/>
      <c r="L671" s="223"/>
      <c r="M671" s="223"/>
      <c r="N671" s="9"/>
      <c r="O671" s="9"/>
      <c r="P671" s="9"/>
      <c r="Q671" s="223"/>
      <c r="R671" s="9"/>
      <c r="S671" s="223"/>
      <c r="T671" s="9"/>
      <c r="U671" s="9"/>
      <c r="V671" s="9"/>
      <c r="W671" s="9"/>
      <c r="X671" s="9"/>
      <c r="Y671" s="204"/>
      <c r="Z671" s="9"/>
      <c r="AA671" s="9"/>
      <c r="AB671" s="9"/>
      <c r="AC671" s="9"/>
    </row>
    <row r="672" ht="15.75" customHeight="1">
      <c r="A672" s="223"/>
      <c r="B672" s="223"/>
      <c r="C672" s="223"/>
      <c r="D672" s="9"/>
      <c r="E672" s="223"/>
      <c r="F672" s="971"/>
      <c r="G672" s="9"/>
      <c r="H672" s="9"/>
      <c r="I672" s="9"/>
      <c r="J672" s="9"/>
      <c r="K672" s="9"/>
      <c r="L672" s="223"/>
      <c r="M672" s="223"/>
      <c r="N672" s="9"/>
      <c r="O672" s="9"/>
      <c r="P672" s="9"/>
      <c r="Q672" s="223"/>
      <c r="R672" s="9"/>
      <c r="S672" s="223"/>
      <c r="T672" s="9"/>
      <c r="U672" s="9"/>
      <c r="V672" s="9"/>
      <c r="W672" s="9"/>
      <c r="X672" s="9"/>
      <c r="Y672" s="204"/>
      <c r="Z672" s="9"/>
      <c r="AA672" s="9"/>
      <c r="AB672" s="9"/>
      <c r="AC672" s="9"/>
    </row>
    <row r="673" ht="15.75" customHeight="1">
      <c r="A673" s="223"/>
      <c r="B673" s="223"/>
      <c r="C673" s="223"/>
      <c r="D673" s="9"/>
      <c r="E673" s="223"/>
      <c r="F673" s="971"/>
      <c r="G673" s="9"/>
      <c r="H673" s="9"/>
      <c r="I673" s="9"/>
      <c r="J673" s="9"/>
      <c r="K673" s="9"/>
      <c r="L673" s="223"/>
      <c r="M673" s="223"/>
      <c r="N673" s="9"/>
      <c r="O673" s="9"/>
      <c r="P673" s="9"/>
      <c r="Q673" s="223"/>
      <c r="R673" s="9"/>
      <c r="S673" s="223"/>
      <c r="T673" s="9"/>
      <c r="U673" s="9"/>
      <c r="V673" s="9"/>
      <c r="W673" s="9"/>
      <c r="X673" s="9"/>
      <c r="Y673" s="204"/>
      <c r="Z673" s="9"/>
      <c r="AA673" s="9"/>
      <c r="AB673" s="9"/>
      <c r="AC673" s="9"/>
    </row>
    <row r="674" ht="15.75" customHeight="1">
      <c r="A674" s="223"/>
      <c r="B674" s="223"/>
      <c r="C674" s="223"/>
      <c r="D674" s="9"/>
      <c r="E674" s="223"/>
      <c r="F674" s="971"/>
      <c r="G674" s="9"/>
      <c r="H674" s="9"/>
      <c r="I674" s="9"/>
      <c r="J674" s="9"/>
      <c r="K674" s="9"/>
      <c r="L674" s="223"/>
      <c r="M674" s="223"/>
      <c r="N674" s="9"/>
      <c r="O674" s="9"/>
      <c r="P674" s="9"/>
      <c r="Q674" s="223"/>
      <c r="R674" s="9"/>
      <c r="S674" s="223"/>
      <c r="T674" s="9"/>
      <c r="U674" s="9"/>
      <c r="V674" s="9"/>
      <c r="W674" s="9"/>
      <c r="X674" s="9"/>
      <c r="Y674" s="204"/>
      <c r="Z674" s="9"/>
      <c r="AA674" s="9"/>
      <c r="AB674" s="9"/>
      <c r="AC674" s="9"/>
    </row>
    <row r="675" ht="15.75" customHeight="1">
      <c r="A675" s="223"/>
      <c r="B675" s="223"/>
      <c r="C675" s="223"/>
      <c r="D675" s="9"/>
      <c r="E675" s="223"/>
      <c r="F675" s="971"/>
      <c r="G675" s="9"/>
      <c r="H675" s="9"/>
      <c r="I675" s="9"/>
      <c r="J675" s="9"/>
      <c r="K675" s="9"/>
      <c r="L675" s="223"/>
      <c r="M675" s="223"/>
      <c r="N675" s="9"/>
      <c r="O675" s="9"/>
      <c r="P675" s="9"/>
      <c r="Q675" s="223"/>
      <c r="R675" s="9"/>
      <c r="S675" s="223"/>
      <c r="T675" s="9"/>
      <c r="U675" s="9"/>
      <c r="V675" s="9"/>
      <c r="W675" s="9"/>
      <c r="X675" s="9"/>
      <c r="Y675" s="204"/>
      <c r="Z675" s="9"/>
      <c r="AA675" s="9"/>
      <c r="AB675" s="9"/>
      <c r="AC675" s="9"/>
    </row>
    <row r="676" ht="15.75" customHeight="1">
      <c r="A676" s="223"/>
      <c r="B676" s="223"/>
      <c r="C676" s="223"/>
      <c r="D676" s="9"/>
      <c r="E676" s="223"/>
      <c r="F676" s="971"/>
      <c r="G676" s="9"/>
      <c r="H676" s="9"/>
      <c r="I676" s="9"/>
      <c r="J676" s="9"/>
      <c r="K676" s="9"/>
      <c r="L676" s="223"/>
      <c r="M676" s="223"/>
      <c r="N676" s="9"/>
      <c r="O676" s="9"/>
      <c r="P676" s="9"/>
      <c r="Q676" s="223"/>
      <c r="R676" s="9"/>
      <c r="S676" s="223"/>
      <c r="T676" s="9"/>
      <c r="U676" s="9"/>
      <c r="V676" s="9"/>
      <c r="W676" s="9"/>
      <c r="X676" s="9"/>
      <c r="Y676" s="204"/>
      <c r="Z676" s="9"/>
      <c r="AA676" s="9"/>
      <c r="AB676" s="9"/>
      <c r="AC676" s="9"/>
    </row>
    <row r="677" ht="15.75" customHeight="1">
      <c r="A677" s="223"/>
      <c r="B677" s="223"/>
      <c r="C677" s="223"/>
      <c r="D677" s="9"/>
      <c r="E677" s="223"/>
      <c r="F677" s="971"/>
      <c r="G677" s="9"/>
      <c r="H677" s="9"/>
      <c r="I677" s="9"/>
      <c r="J677" s="9"/>
      <c r="K677" s="9"/>
      <c r="L677" s="223"/>
      <c r="M677" s="223"/>
      <c r="N677" s="9"/>
      <c r="O677" s="9"/>
      <c r="P677" s="9"/>
      <c r="Q677" s="223"/>
      <c r="R677" s="9"/>
      <c r="S677" s="223"/>
      <c r="T677" s="9"/>
      <c r="U677" s="9"/>
      <c r="V677" s="9"/>
      <c r="W677" s="9"/>
      <c r="X677" s="9"/>
      <c r="Y677" s="204"/>
      <c r="Z677" s="9"/>
      <c r="AA677" s="9"/>
      <c r="AB677" s="9"/>
      <c r="AC677" s="9"/>
    </row>
    <row r="678" ht="15.75" customHeight="1">
      <c r="A678" s="223"/>
      <c r="B678" s="223"/>
      <c r="C678" s="223"/>
      <c r="D678" s="9"/>
      <c r="E678" s="223"/>
      <c r="F678" s="971"/>
      <c r="G678" s="9"/>
      <c r="H678" s="9"/>
      <c r="I678" s="9"/>
      <c r="J678" s="9"/>
      <c r="K678" s="9"/>
      <c r="L678" s="223"/>
      <c r="M678" s="223"/>
      <c r="N678" s="9"/>
      <c r="O678" s="9"/>
      <c r="P678" s="9"/>
      <c r="Q678" s="223"/>
      <c r="R678" s="9"/>
      <c r="S678" s="223"/>
      <c r="T678" s="9"/>
      <c r="U678" s="9"/>
      <c r="V678" s="9"/>
      <c r="W678" s="9"/>
      <c r="X678" s="9"/>
      <c r="Y678" s="204"/>
      <c r="Z678" s="9"/>
      <c r="AA678" s="9"/>
      <c r="AB678" s="9"/>
      <c r="AC678" s="9"/>
    </row>
    <row r="679" ht="15.75" customHeight="1">
      <c r="A679" s="223"/>
      <c r="B679" s="223"/>
      <c r="C679" s="223"/>
      <c r="D679" s="9"/>
      <c r="E679" s="223"/>
      <c r="F679" s="971"/>
      <c r="G679" s="9"/>
      <c r="H679" s="9"/>
      <c r="I679" s="9"/>
      <c r="J679" s="9"/>
      <c r="K679" s="9"/>
      <c r="L679" s="223"/>
      <c r="M679" s="223"/>
      <c r="N679" s="9"/>
      <c r="O679" s="9"/>
      <c r="P679" s="9"/>
      <c r="Q679" s="223"/>
      <c r="R679" s="9"/>
      <c r="S679" s="223"/>
      <c r="T679" s="9"/>
      <c r="U679" s="9"/>
      <c r="V679" s="9"/>
      <c r="W679" s="9"/>
      <c r="X679" s="9"/>
      <c r="Y679" s="204"/>
      <c r="Z679" s="9"/>
      <c r="AA679" s="9"/>
      <c r="AB679" s="9"/>
      <c r="AC679" s="9"/>
    </row>
    <row r="680" ht="15.75" customHeight="1">
      <c r="A680" s="223"/>
      <c r="B680" s="223"/>
      <c r="C680" s="223"/>
      <c r="D680" s="9"/>
      <c r="E680" s="223"/>
      <c r="F680" s="971"/>
      <c r="G680" s="9"/>
      <c r="H680" s="9"/>
      <c r="I680" s="9"/>
      <c r="J680" s="9"/>
      <c r="K680" s="9"/>
      <c r="L680" s="223"/>
      <c r="M680" s="223"/>
      <c r="N680" s="9"/>
      <c r="O680" s="9"/>
      <c r="P680" s="9"/>
      <c r="Q680" s="223"/>
      <c r="R680" s="9"/>
      <c r="S680" s="223"/>
      <c r="T680" s="9"/>
      <c r="U680" s="9"/>
      <c r="V680" s="9"/>
      <c r="W680" s="9"/>
      <c r="X680" s="9"/>
      <c r="Y680" s="204"/>
      <c r="Z680" s="9"/>
      <c r="AA680" s="9"/>
      <c r="AB680" s="9"/>
      <c r="AC680" s="9"/>
    </row>
    <row r="681" ht="15.75" customHeight="1">
      <c r="A681" s="223"/>
      <c r="B681" s="223"/>
      <c r="C681" s="223"/>
      <c r="D681" s="9"/>
      <c r="E681" s="223"/>
      <c r="F681" s="971"/>
      <c r="G681" s="9"/>
      <c r="H681" s="9"/>
      <c r="I681" s="9"/>
      <c r="J681" s="9"/>
      <c r="K681" s="9"/>
      <c r="L681" s="223"/>
      <c r="M681" s="223"/>
      <c r="N681" s="9"/>
      <c r="O681" s="9"/>
      <c r="P681" s="9"/>
      <c r="Q681" s="223"/>
      <c r="R681" s="9"/>
      <c r="S681" s="223"/>
      <c r="T681" s="9"/>
      <c r="U681" s="9"/>
      <c r="V681" s="9"/>
      <c r="W681" s="9"/>
      <c r="X681" s="9"/>
      <c r="Y681" s="204"/>
      <c r="Z681" s="9"/>
      <c r="AA681" s="9"/>
      <c r="AB681" s="9"/>
      <c r="AC681" s="9"/>
    </row>
    <row r="682" ht="15.75" customHeight="1">
      <c r="A682" s="223"/>
      <c r="B682" s="223"/>
      <c r="C682" s="223"/>
      <c r="D682" s="9"/>
      <c r="E682" s="223"/>
      <c r="F682" s="971"/>
      <c r="G682" s="9"/>
      <c r="H682" s="9"/>
      <c r="I682" s="9"/>
      <c r="J682" s="9"/>
      <c r="K682" s="9"/>
      <c r="L682" s="223"/>
      <c r="M682" s="223"/>
      <c r="N682" s="9"/>
      <c r="O682" s="9"/>
      <c r="P682" s="9"/>
      <c r="Q682" s="223"/>
      <c r="R682" s="9"/>
      <c r="S682" s="223"/>
      <c r="T682" s="9"/>
      <c r="U682" s="9"/>
      <c r="V682" s="9"/>
      <c r="W682" s="9"/>
      <c r="X682" s="9"/>
      <c r="Y682" s="204"/>
      <c r="Z682" s="9"/>
      <c r="AA682" s="9"/>
      <c r="AB682" s="9"/>
      <c r="AC682" s="9"/>
    </row>
    <row r="683" ht="15.75" customHeight="1">
      <c r="A683" s="223"/>
      <c r="B683" s="223"/>
      <c r="C683" s="223"/>
      <c r="D683" s="9"/>
      <c r="E683" s="223"/>
      <c r="F683" s="971"/>
      <c r="G683" s="9"/>
      <c r="H683" s="9"/>
      <c r="I683" s="9"/>
      <c r="J683" s="9"/>
      <c r="K683" s="9"/>
      <c r="L683" s="223"/>
      <c r="M683" s="223"/>
      <c r="N683" s="9"/>
      <c r="O683" s="9"/>
      <c r="P683" s="9"/>
      <c r="Q683" s="223"/>
      <c r="R683" s="9"/>
      <c r="S683" s="223"/>
      <c r="T683" s="9"/>
      <c r="U683" s="9"/>
      <c r="V683" s="9"/>
      <c r="W683" s="9"/>
      <c r="X683" s="9"/>
      <c r="Y683" s="204"/>
      <c r="Z683" s="9"/>
      <c r="AA683" s="9"/>
      <c r="AB683" s="9"/>
      <c r="AC683" s="9"/>
    </row>
    <row r="684" ht="15.75" customHeight="1">
      <c r="A684" s="223"/>
      <c r="B684" s="223"/>
      <c r="C684" s="223"/>
      <c r="D684" s="9"/>
      <c r="E684" s="223"/>
      <c r="F684" s="971"/>
      <c r="G684" s="9"/>
      <c r="H684" s="9"/>
      <c r="I684" s="9"/>
      <c r="J684" s="9"/>
      <c r="K684" s="9"/>
      <c r="L684" s="223"/>
      <c r="M684" s="223"/>
      <c r="N684" s="9"/>
      <c r="O684" s="9"/>
      <c r="P684" s="9"/>
      <c r="Q684" s="223"/>
      <c r="R684" s="9"/>
      <c r="S684" s="223"/>
      <c r="T684" s="9"/>
      <c r="U684" s="9"/>
      <c r="V684" s="9"/>
      <c r="W684" s="9"/>
      <c r="X684" s="9"/>
      <c r="Y684" s="204"/>
      <c r="Z684" s="9"/>
      <c r="AA684" s="9"/>
      <c r="AB684" s="9"/>
      <c r="AC684" s="9"/>
    </row>
    <row r="685" ht="15.75" customHeight="1">
      <c r="A685" s="223"/>
      <c r="B685" s="223"/>
      <c r="C685" s="223"/>
      <c r="D685" s="9"/>
      <c r="E685" s="223"/>
      <c r="F685" s="971"/>
      <c r="G685" s="9"/>
      <c r="H685" s="9"/>
      <c r="I685" s="9"/>
      <c r="J685" s="9"/>
      <c r="K685" s="9"/>
      <c r="L685" s="223"/>
      <c r="M685" s="223"/>
      <c r="N685" s="9"/>
      <c r="O685" s="9"/>
      <c r="P685" s="9"/>
      <c r="Q685" s="223"/>
      <c r="R685" s="9"/>
      <c r="S685" s="223"/>
      <c r="T685" s="9"/>
      <c r="U685" s="9"/>
      <c r="V685" s="9"/>
      <c r="W685" s="9"/>
      <c r="X685" s="9"/>
      <c r="Y685" s="204"/>
      <c r="Z685" s="9"/>
      <c r="AA685" s="9"/>
      <c r="AB685" s="9"/>
      <c r="AC685" s="9"/>
    </row>
    <row r="686" ht="15.75" customHeight="1">
      <c r="A686" s="223"/>
      <c r="B686" s="223"/>
      <c r="C686" s="223"/>
      <c r="D686" s="9"/>
      <c r="E686" s="223"/>
      <c r="F686" s="971"/>
      <c r="G686" s="9"/>
      <c r="H686" s="9"/>
      <c r="I686" s="9"/>
      <c r="J686" s="9"/>
      <c r="K686" s="9"/>
      <c r="L686" s="223"/>
      <c r="M686" s="223"/>
      <c r="N686" s="9"/>
      <c r="O686" s="9"/>
      <c r="P686" s="9"/>
      <c r="Q686" s="223"/>
      <c r="R686" s="9"/>
      <c r="S686" s="223"/>
      <c r="T686" s="9"/>
      <c r="U686" s="9"/>
      <c r="V686" s="9"/>
      <c r="W686" s="9"/>
      <c r="X686" s="9"/>
      <c r="Y686" s="204"/>
      <c r="Z686" s="9"/>
      <c r="AA686" s="9"/>
      <c r="AB686" s="9"/>
      <c r="AC686" s="9"/>
    </row>
    <row r="687" ht="15.75" customHeight="1">
      <c r="A687" s="223"/>
      <c r="B687" s="223"/>
      <c r="C687" s="223"/>
      <c r="D687" s="9"/>
      <c r="E687" s="223"/>
      <c r="F687" s="971"/>
      <c r="G687" s="9"/>
      <c r="H687" s="9"/>
      <c r="I687" s="9"/>
      <c r="J687" s="9"/>
      <c r="K687" s="9"/>
      <c r="L687" s="223"/>
      <c r="M687" s="223"/>
      <c r="N687" s="9"/>
      <c r="O687" s="9"/>
      <c r="P687" s="9"/>
      <c r="Q687" s="223"/>
      <c r="R687" s="9"/>
      <c r="S687" s="223"/>
      <c r="T687" s="9"/>
      <c r="U687" s="9"/>
      <c r="V687" s="9"/>
      <c r="W687" s="9"/>
      <c r="X687" s="9"/>
      <c r="Y687" s="204"/>
      <c r="Z687" s="9"/>
      <c r="AA687" s="9"/>
      <c r="AB687" s="9"/>
      <c r="AC687" s="9"/>
    </row>
    <row r="688" ht="15.75" customHeight="1">
      <c r="A688" s="223"/>
      <c r="B688" s="223"/>
      <c r="C688" s="223"/>
      <c r="D688" s="9"/>
      <c r="E688" s="223"/>
      <c r="F688" s="971"/>
      <c r="G688" s="9"/>
      <c r="H688" s="9"/>
      <c r="I688" s="9"/>
      <c r="J688" s="9"/>
      <c r="K688" s="9"/>
      <c r="L688" s="223"/>
      <c r="M688" s="223"/>
      <c r="N688" s="9"/>
      <c r="O688" s="9"/>
      <c r="P688" s="9"/>
      <c r="Q688" s="223"/>
      <c r="R688" s="9"/>
      <c r="S688" s="223"/>
      <c r="T688" s="9"/>
      <c r="U688" s="9"/>
      <c r="V688" s="9"/>
      <c r="W688" s="9"/>
      <c r="X688" s="9"/>
      <c r="Y688" s="204"/>
      <c r="Z688" s="9"/>
      <c r="AA688" s="9"/>
      <c r="AB688" s="9"/>
      <c r="AC688" s="9"/>
    </row>
    <row r="689" ht="15.75" customHeight="1">
      <c r="A689" s="223"/>
      <c r="B689" s="223"/>
      <c r="C689" s="223"/>
      <c r="D689" s="9"/>
      <c r="E689" s="223"/>
      <c r="F689" s="971"/>
      <c r="G689" s="9"/>
      <c r="H689" s="9"/>
      <c r="I689" s="9"/>
      <c r="J689" s="9"/>
      <c r="K689" s="9"/>
      <c r="L689" s="223"/>
      <c r="M689" s="223"/>
      <c r="N689" s="9"/>
      <c r="O689" s="9"/>
      <c r="P689" s="9"/>
      <c r="Q689" s="223"/>
      <c r="R689" s="9"/>
      <c r="S689" s="223"/>
      <c r="T689" s="9"/>
      <c r="U689" s="9"/>
      <c r="V689" s="9"/>
      <c r="W689" s="9"/>
      <c r="X689" s="9"/>
      <c r="Y689" s="204"/>
      <c r="Z689" s="9"/>
      <c r="AA689" s="9"/>
      <c r="AB689" s="9"/>
      <c r="AC689" s="9"/>
    </row>
    <row r="690" ht="15.75" customHeight="1">
      <c r="A690" s="223"/>
      <c r="B690" s="223"/>
      <c r="C690" s="223"/>
      <c r="D690" s="9"/>
      <c r="E690" s="223"/>
      <c r="F690" s="971"/>
      <c r="G690" s="9"/>
      <c r="H690" s="9"/>
      <c r="I690" s="9"/>
      <c r="J690" s="9"/>
      <c r="K690" s="9"/>
      <c r="L690" s="223"/>
      <c r="M690" s="223"/>
      <c r="N690" s="9"/>
      <c r="O690" s="9"/>
      <c r="P690" s="9"/>
      <c r="Q690" s="223"/>
      <c r="R690" s="9"/>
      <c r="S690" s="223"/>
      <c r="T690" s="9"/>
      <c r="U690" s="9"/>
      <c r="V690" s="9"/>
      <c r="W690" s="9"/>
      <c r="X690" s="9"/>
      <c r="Y690" s="204"/>
      <c r="Z690" s="9"/>
      <c r="AA690" s="9"/>
      <c r="AB690" s="9"/>
      <c r="AC690" s="9"/>
    </row>
    <row r="691" ht="15.75" customHeight="1">
      <c r="A691" s="223"/>
      <c r="B691" s="223"/>
      <c r="C691" s="223"/>
      <c r="D691" s="9"/>
      <c r="E691" s="223"/>
      <c r="F691" s="971"/>
      <c r="G691" s="9"/>
      <c r="H691" s="9"/>
      <c r="I691" s="9"/>
      <c r="J691" s="9"/>
      <c r="K691" s="9"/>
      <c r="L691" s="223"/>
      <c r="M691" s="223"/>
      <c r="N691" s="9"/>
      <c r="O691" s="9"/>
      <c r="P691" s="9"/>
      <c r="Q691" s="223"/>
      <c r="R691" s="9"/>
      <c r="S691" s="223"/>
      <c r="T691" s="9"/>
      <c r="U691" s="9"/>
      <c r="V691" s="9"/>
      <c r="W691" s="9"/>
      <c r="X691" s="9"/>
      <c r="Y691" s="204"/>
      <c r="Z691" s="9"/>
      <c r="AA691" s="9"/>
      <c r="AB691" s="9"/>
      <c r="AC691" s="9"/>
    </row>
    <row r="692" ht="15.75" customHeight="1">
      <c r="A692" s="223"/>
      <c r="B692" s="223"/>
      <c r="C692" s="223"/>
      <c r="D692" s="9"/>
      <c r="E692" s="223"/>
      <c r="F692" s="971"/>
      <c r="G692" s="9"/>
      <c r="H692" s="9"/>
      <c r="I692" s="9"/>
      <c r="J692" s="9"/>
      <c r="K692" s="9"/>
      <c r="L692" s="223"/>
      <c r="M692" s="223"/>
      <c r="N692" s="9"/>
      <c r="O692" s="9"/>
      <c r="P692" s="9"/>
      <c r="Q692" s="223"/>
      <c r="R692" s="9"/>
      <c r="S692" s="223"/>
      <c r="T692" s="9"/>
      <c r="U692" s="9"/>
      <c r="V692" s="9"/>
      <c r="W692" s="9"/>
      <c r="X692" s="9"/>
      <c r="Y692" s="204"/>
      <c r="Z692" s="9"/>
      <c r="AA692" s="9"/>
      <c r="AB692" s="9"/>
      <c r="AC692" s="9"/>
    </row>
    <row r="693" ht="15.75" customHeight="1">
      <c r="A693" s="223"/>
      <c r="B693" s="223"/>
      <c r="C693" s="223"/>
      <c r="D693" s="9"/>
      <c r="E693" s="223"/>
      <c r="F693" s="971"/>
      <c r="G693" s="9"/>
      <c r="H693" s="9"/>
      <c r="I693" s="9"/>
      <c r="J693" s="9"/>
      <c r="K693" s="9"/>
      <c r="L693" s="223"/>
      <c r="M693" s="223"/>
      <c r="N693" s="9"/>
      <c r="O693" s="9"/>
      <c r="P693" s="9"/>
      <c r="Q693" s="223"/>
      <c r="R693" s="9"/>
      <c r="S693" s="223"/>
      <c r="T693" s="9"/>
      <c r="U693" s="9"/>
      <c r="V693" s="9"/>
      <c r="W693" s="9"/>
      <c r="X693" s="9"/>
      <c r="Y693" s="204"/>
      <c r="Z693" s="9"/>
      <c r="AA693" s="9"/>
      <c r="AB693" s="9"/>
      <c r="AC693" s="9"/>
    </row>
    <row r="694" ht="15.75" customHeight="1">
      <c r="A694" s="223"/>
      <c r="B694" s="223"/>
      <c r="C694" s="223"/>
      <c r="D694" s="9"/>
      <c r="E694" s="223"/>
      <c r="F694" s="971"/>
      <c r="G694" s="9"/>
      <c r="H694" s="9"/>
      <c r="I694" s="9"/>
      <c r="J694" s="9"/>
      <c r="K694" s="9"/>
      <c r="L694" s="223"/>
      <c r="M694" s="223"/>
      <c r="N694" s="9"/>
      <c r="O694" s="9"/>
      <c r="P694" s="9"/>
      <c r="Q694" s="223"/>
      <c r="R694" s="9"/>
      <c r="S694" s="223"/>
      <c r="T694" s="9"/>
      <c r="U694" s="9"/>
      <c r="V694" s="9"/>
      <c r="W694" s="9"/>
      <c r="X694" s="9"/>
      <c r="Y694" s="204"/>
      <c r="Z694" s="9"/>
      <c r="AA694" s="9"/>
      <c r="AB694" s="9"/>
      <c r="AC694" s="9"/>
    </row>
    <row r="695" ht="15.75" customHeight="1">
      <c r="A695" s="223"/>
      <c r="B695" s="223"/>
      <c r="C695" s="223"/>
      <c r="D695" s="9"/>
      <c r="E695" s="223"/>
      <c r="F695" s="971"/>
      <c r="G695" s="9"/>
      <c r="H695" s="9"/>
      <c r="I695" s="9"/>
      <c r="J695" s="9"/>
      <c r="K695" s="9"/>
      <c r="L695" s="223"/>
      <c r="M695" s="223"/>
      <c r="N695" s="9"/>
      <c r="O695" s="9"/>
      <c r="P695" s="9"/>
      <c r="Q695" s="223"/>
      <c r="R695" s="9"/>
      <c r="S695" s="223"/>
      <c r="T695" s="9"/>
      <c r="U695" s="9"/>
      <c r="V695" s="9"/>
      <c r="W695" s="9"/>
      <c r="X695" s="9"/>
      <c r="Y695" s="204"/>
      <c r="Z695" s="9"/>
      <c r="AA695" s="9"/>
      <c r="AB695" s="9"/>
      <c r="AC695" s="9"/>
    </row>
    <row r="696" ht="15.75" customHeight="1">
      <c r="A696" s="223"/>
      <c r="B696" s="223"/>
      <c r="C696" s="223"/>
      <c r="D696" s="9"/>
      <c r="E696" s="223"/>
      <c r="F696" s="971"/>
      <c r="G696" s="9"/>
      <c r="H696" s="9"/>
      <c r="I696" s="9"/>
      <c r="J696" s="9"/>
      <c r="K696" s="9"/>
      <c r="L696" s="223"/>
      <c r="M696" s="223"/>
      <c r="N696" s="9"/>
      <c r="O696" s="9"/>
      <c r="P696" s="9"/>
      <c r="Q696" s="223"/>
      <c r="R696" s="9"/>
      <c r="S696" s="223"/>
      <c r="T696" s="9"/>
      <c r="U696" s="9"/>
      <c r="V696" s="9"/>
      <c r="W696" s="9"/>
      <c r="X696" s="9"/>
      <c r="Y696" s="204"/>
      <c r="Z696" s="9"/>
      <c r="AA696" s="9"/>
      <c r="AB696" s="9"/>
      <c r="AC696" s="9"/>
    </row>
    <row r="697" ht="15.75" customHeight="1">
      <c r="A697" s="223"/>
      <c r="B697" s="223"/>
      <c r="C697" s="223"/>
      <c r="D697" s="9"/>
      <c r="E697" s="223"/>
      <c r="F697" s="971"/>
      <c r="G697" s="9"/>
      <c r="H697" s="9"/>
      <c r="I697" s="9"/>
      <c r="J697" s="9"/>
      <c r="K697" s="9"/>
      <c r="L697" s="223"/>
      <c r="M697" s="223"/>
      <c r="N697" s="9"/>
      <c r="O697" s="9"/>
      <c r="P697" s="9"/>
      <c r="Q697" s="223"/>
      <c r="R697" s="9"/>
      <c r="S697" s="223"/>
      <c r="T697" s="9"/>
      <c r="U697" s="9"/>
      <c r="V697" s="9"/>
      <c r="W697" s="9"/>
      <c r="X697" s="9"/>
      <c r="Y697" s="204"/>
      <c r="Z697" s="9"/>
      <c r="AA697" s="9"/>
      <c r="AB697" s="9"/>
      <c r="AC697" s="9"/>
    </row>
    <row r="698" ht="15.75" customHeight="1">
      <c r="A698" s="223"/>
      <c r="B698" s="223"/>
      <c r="C698" s="223"/>
      <c r="D698" s="9"/>
      <c r="E698" s="223"/>
      <c r="F698" s="971"/>
      <c r="G698" s="9"/>
      <c r="H698" s="9"/>
      <c r="I698" s="9"/>
      <c r="J698" s="9"/>
      <c r="K698" s="9"/>
      <c r="L698" s="223"/>
      <c r="M698" s="223"/>
      <c r="N698" s="9"/>
      <c r="O698" s="9"/>
      <c r="P698" s="9"/>
      <c r="Q698" s="223"/>
      <c r="R698" s="9"/>
      <c r="S698" s="223"/>
      <c r="T698" s="9"/>
      <c r="U698" s="9"/>
      <c r="V698" s="9"/>
      <c r="W698" s="9"/>
      <c r="X698" s="9"/>
      <c r="Y698" s="204"/>
      <c r="Z698" s="9"/>
      <c r="AA698" s="9"/>
      <c r="AB698" s="9"/>
      <c r="AC698" s="9"/>
    </row>
    <row r="699" ht="15.75" customHeight="1">
      <c r="A699" s="223"/>
      <c r="B699" s="223"/>
      <c r="C699" s="223"/>
      <c r="D699" s="9"/>
      <c r="E699" s="223"/>
      <c r="F699" s="971"/>
      <c r="G699" s="9"/>
      <c r="H699" s="9"/>
      <c r="I699" s="9"/>
      <c r="J699" s="9"/>
      <c r="K699" s="9"/>
      <c r="L699" s="223"/>
      <c r="M699" s="223"/>
      <c r="N699" s="9"/>
      <c r="O699" s="9"/>
      <c r="P699" s="9"/>
      <c r="Q699" s="223"/>
      <c r="R699" s="9"/>
      <c r="S699" s="223"/>
      <c r="T699" s="9"/>
      <c r="U699" s="9"/>
      <c r="V699" s="9"/>
      <c r="W699" s="9"/>
      <c r="X699" s="9"/>
      <c r="Y699" s="204"/>
      <c r="Z699" s="9"/>
      <c r="AA699" s="9"/>
      <c r="AB699" s="9"/>
      <c r="AC699" s="9"/>
    </row>
    <row r="700" ht="15.75" customHeight="1">
      <c r="A700" s="223"/>
      <c r="B700" s="223"/>
      <c r="C700" s="223"/>
      <c r="D700" s="9"/>
      <c r="E700" s="223"/>
      <c r="F700" s="971"/>
      <c r="G700" s="9"/>
      <c r="H700" s="9"/>
      <c r="I700" s="9"/>
      <c r="J700" s="9"/>
      <c r="K700" s="9"/>
      <c r="L700" s="223"/>
      <c r="M700" s="223"/>
      <c r="N700" s="9"/>
      <c r="O700" s="9"/>
      <c r="P700" s="9"/>
      <c r="Q700" s="223"/>
      <c r="R700" s="9"/>
      <c r="S700" s="223"/>
      <c r="T700" s="9"/>
      <c r="U700" s="9"/>
      <c r="V700" s="9"/>
      <c r="W700" s="9"/>
      <c r="X700" s="9"/>
      <c r="Y700" s="204"/>
      <c r="Z700" s="9"/>
      <c r="AA700" s="9"/>
      <c r="AB700" s="9"/>
      <c r="AC700" s="9"/>
    </row>
    <row r="701" ht="15.75" customHeight="1">
      <c r="A701" s="223"/>
      <c r="B701" s="223"/>
      <c r="C701" s="223"/>
      <c r="D701" s="9"/>
      <c r="E701" s="223"/>
      <c r="F701" s="971"/>
      <c r="G701" s="9"/>
      <c r="H701" s="9"/>
      <c r="I701" s="9"/>
      <c r="J701" s="9"/>
      <c r="K701" s="9"/>
      <c r="L701" s="223"/>
      <c r="M701" s="223"/>
      <c r="N701" s="9"/>
      <c r="O701" s="9"/>
      <c r="P701" s="9"/>
      <c r="Q701" s="223"/>
      <c r="R701" s="9"/>
      <c r="S701" s="223"/>
      <c r="T701" s="9"/>
      <c r="U701" s="9"/>
      <c r="V701" s="9"/>
      <c r="W701" s="9"/>
      <c r="X701" s="9"/>
      <c r="Y701" s="204"/>
      <c r="Z701" s="9"/>
      <c r="AA701" s="9"/>
      <c r="AB701" s="9"/>
      <c r="AC701" s="9"/>
    </row>
    <row r="702" ht="15.75" customHeight="1">
      <c r="A702" s="223"/>
      <c r="B702" s="223"/>
      <c r="C702" s="223"/>
      <c r="D702" s="9"/>
      <c r="E702" s="223"/>
      <c r="F702" s="971"/>
      <c r="G702" s="9"/>
      <c r="H702" s="9"/>
      <c r="I702" s="9"/>
      <c r="J702" s="9"/>
      <c r="K702" s="9"/>
      <c r="L702" s="223"/>
      <c r="M702" s="223"/>
      <c r="N702" s="9"/>
      <c r="O702" s="9"/>
      <c r="P702" s="9"/>
      <c r="Q702" s="223"/>
      <c r="R702" s="9"/>
      <c r="S702" s="223"/>
      <c r="T702" s="9"/>
      <c r="U702" s="9"/>
      <c r="V702" s="9"/>
      <c r="W702" s="9"/>
      <c r="X702" s="9"/>
      <c r="Y702" s="204"/>
      <c r="Z702" s="9"/>
      <c r="AA702" s="9"/>
      <c r="AB702" s="9"/>
      <c r="AC702" s="9"/>
    </row>
    <row r="703" ht="15.75" customHeight="1">
      <c r="A703" s="223"/>
      <c r="B703" s="223"/>
      <c r="C703" s="223"/>
      <c r="D703" s="9"/>
      <c r="E703" s="223"/>
      <c r="F703" s="971"/>
      <c r="G703" s="9"/>
      <c r="H703" s="9"/>
      <c r="I703" s="9"/>
      <c r="J703" s="9"/>
      <c r="K703" s="9"/>
      <c r="L703" s="223"/>
      <c r="M703" s="223"/>
      <c r="N703" s="9"/>
      <c r="O703" s="9"/>
      <c r="P703" s="9"/>
      <c r="Q703" s="223"/>
      <c r="R703" s="9"/>
      <c r="S703" s="223"/>
      <c r="T703" s="9"/>
      <c r="U703" s="9"/>
      <c r="V703" s="9"/>
      <c r="W703" s="9"/>
      <c r="X703" s="9"/>
      <c r="Y703" s="204"/>
      <c r="Z703" s="9"/>
      <c r="AA703" s="9"/>
      <c r="AB703" s="9"/>
      <c r="AC703" s="9"/>
    </row>
    <row r="704" ht="15.75" customHeight="1">
      <c r="A704" s="223"/>
      <c r="B704" s="223"/>
      <c r="C704" s="223"/>
      <c r="D704" s="9"/>
      <c r="E704" s="223"/>
      <c r="F704" s="971"/>
      <c r="G704" s="9"/>
      <c r="H704" s="9"/>
      <c r="I704" s="9"/>
      <c r="J704" s="9"/>
      <c r="K704" s="9"/>
      <c r="L704" s="223"/>
      <c r="M704" s="223"/>
      <c r="N704" s="9"/>
      <c r="O704" s="9"/>
      <c r="P704" s="9"/>
      <c r="Q704" s="223"/>
      <c r="R704" s="9"/>
      <c r="S704" s="223"/>
      <c r="T704" s="9"/>
      <c r="U704" s="9"/>
      <c r="V704" s="9"/>
      <c r="W704" s="9"/>
      <c r="X704" s="9"/>
      <c r="Y704" s="204"/>
      <c r="Z704" s="9"/>
      <c r="AA704" s="9"/>
      <c r="AB704" s="9"/>
      <c r="AC704" s="9"/>
    </row>
    <row r="705" ht="15.75" customHeight="1">
      <c r="A705" s="223"/>
      <c r="B705" s="223"/>
      <c r="C705" s="223"/>
      <c r="D705" s="9"/>
      <c r="E705" s="223"/>
      <c r="F705" s="971"/>
      <c r="G705" s="9"/>
      <c r="H705" s="9"/>
      <c r="I705" s="9"/>
      <c r="J705" s="9"/>
      <c r="K705" s="9"/>
      <c r="L705" s="223"/>
      <c r="M705" s="223"/>
      <c r="N705" s="9"/>
      <c r="O705" s="9"/>
      <c r="P705" s="9"/>
      <c r="Q705" s="223"/>
      <c r="R705" s="9"/>
      <c r="S705" s="223"/>
      <c r="T705" s="9"/>
      <c r="U705" s="9"/>
      <c r="V705" s="9"/>
      <c r="W705" s="9"/>
      <c r="X705" s="9"/>
      <c r="Y705" s="204"/>
      <c r="Z705" s="9"/>
      <c r="AA705" s="9"/>
      <c r="AB705" s="9"/>
      <c r="AC705" s="9"/>
    </row>
    <row r="706" ht="15.75" customHeight="1">
      <c r="A706" s="223"/>
      <c r="B706" s="223"/>
      <c r="C706" s="223"/>
      <c r="D706" s="9"/>
      <c r="E706" s="223"/>
      <c r="F706" s="971"/>
      <c r="G706" s="9"/>
      <c r="H706" s="9"/>
      <c r="I706" s="9"/>
      <c r="J706" s="9"/>
      <c r="K706" s="9"/>
      <c r="L706" s="223"/>
      <c r="M706" s="223"/>
      <c r="N706" s="9"/>
      <c r="O706" s="9"/>
      <c r="P706" s="9"/>
      <c r="Q706" s="223"/>
      <c r="R706" s="9"/>
      <c r="S706" s="223"/>
      <c r="T706" s="9"/>
      <c r="U706" s="9"/>
      <c r="V706" s="9"/>
      <c r="W706" s="9"/>
      <c r="X706" s="9"/>
      <c r="Y706" s="204"/>
      <c r="Z706" s="9"/>
      <c r="AA706" s="9"/>
      <c r="AB706" s="9"/>
      <c r="AC706" s="9"/>
    </row>
    <row r="707" ht="15.75" customHeight="1">
      <c r="A707" s="223"/>
      <c r="B707" s="223"/>
      <c r="C707" s="223"/>
      <c r="D707" s="9"/>
      <c r="E707" s="223"/>
      <c r="F707" s="971"/>
      <c r="G707" s="9"/>
      <c r="H707" s="9"/>
      <c r="I707" s="9"/>
      <c r="J707" s="9"/>
      <c r="K707" s="9"/>
      <c r="L707" s="223"/>
      <c r="M707" s="223"/>
      <c r="N707" s="9"/>
      <c r="O707" s="9"/>
      <c r="P707" s="9"/>
      <c r="Q707" s="223"/>
      <c r="R707" s="9"/>
      <c r="S707" s="223"/>
      <c r="T707" s="9"/>
      <c r="U707" s="9"/>
      <c r="V707" s="9"/>
      <c r="W707" s="9"/>
      <c r="X707" s="9"/>
      <c r="Y707" s="204"/>
      <c r="Z707" s="9"/>
      <c r="AA707" s="9"/>
      <c r="AB707" s="9"/>
      <c r="AC707" s="9"/>
    </row>
    <row r="708" ht="15.75" customHeight="1">
      <c r="A708" s="223"/>
      <c r="B708" s="223"/>
      <c r="C708" s="223"/>
      <c r="D708" s="9"/>
      <c r="E708" s="223"/>
      <c r="F708" s="971"/>
      <c r="G708" s="9"/>
      <c r="H708" s="9"/>
      <c r="I708" s="9"/>
      <c r="J708" s="9"/>
      <c r="K708" s="9"/>
      <c r="L708" s="223"/>
      <c r="M708" s="223"/>
      <c r="N708" s="9"/>
      <c r="O708" s="9"/>
      <c r="P708" s="9"/>
      <c r="Q708" s="223"/>
      <c r="R708" s="9"/>
      <c r="S708" s="223"/>
      <c r="T708" s="9"/>
      <c r="U708" s="9"/>
      <c r="V708" s="9"/>
      <c r="W708" s="9"/>
      <c r="X708" s="9"/>
      <c r="Y708" s="204"/>
      <c r="Z708" s="9"/>
      <c r="AA708" s="9"/>
      <c r="AB708" s="9"/>
      <c r="AC708" s="9"/>
    </row>
    <row r="709" ht="15.75" customHeight="1">
      <c r="A709" s="223"/>
      <c r="B709" s="223"/>
      <c r="C709" s="223"/>
      <c r="D709" s="9"/>
      <c r="E709" s="223"/>
      <c r="F709" s="971"/>
      <c r="G709" s="9"/>
      <c r="H709" s="9"/>
      <c r="I709" s="9"/>
      <c r="J709" s="9"/>
      <c r="K709" s="9"/>
      <c r="L709" s="223"/>
      <c r="M709" s="223"/>
      <c r="N709" s="9"/>
      <c r="O709" s="9"/>
      <c r="P709" s="9"/>
      <c r="Q709" s="223"/>
      <c r="R709" s="9"/>
      <c r="S709" s="223"/>
      <c r="T709" s="9"/>
      <c r="U709" s="9"/>
      <c r="V709" s="9"/>
      <c r="W709" s="9"/>
      <c r="X709" s="9"/>
      <c r="Y709" s="204"/>
      <c r="Z709" s="9"/>
      <c r="AA709" s="9"/>
      <c r="AB709" s="9"/>
      <c r="AC709" s="9"/>
    </row>
    <row r="710" ht="15.75" customHeight="1">
      <c r="A710" s="223"/>
      <c r="B710" s="223"/>
      <c r="C710" s="223"/>
      <c r="D710" s="9"/>
      <c r="E710" s="223"/>
      <c r="F710" s="971"/>
      <c r="G710" s="9"/>
      <c r="H710" s="9"/>
      <c r="I710" s="9"/>
      <c r="J710" s="9"/>
      <c r="K710" s="9"/>
      <c r="L710" s="223"/>
      <c r="M710" s="223"/>
      <c r="N710" s="9"/>
      <c r="O710" s="9"/>
      <c r="P710" s="9"/>
      <c r="Q710" s="223"/>
      <c r="R710" s="9"/>
      <c r="S710" s="223"/>
      <c r="T710" s="9"/>
      <c r="U710" s="9"/>
      <c r="V710" s="9"/>
      <c r="W710" s="9"/>
      <c r="X710" s="9"/>
      <c r="Y710" s="204"/>
      <c r="Z710" s="9"/>
      <c r="AA710" s="9"/>
      <c r="AB710" s="9"/>
      <c r="AC710" s="9"/>
    </row>
    <row r="711" ht="15.75" customHeight="1">
      <c r="A711" s="223"/>
      <c r="B711" s="223"/>
      <c r="C711" s="223"/>
      <c r="D711" s="9"/>
      <c r="E711" s="223"/>
      <c r="F711" s="971"/>
      <c r="G711" s="9"/>
      <c r="H711" s="9"/>
      <c r="I711" s="9"/>
      <c r="J711" s="9"/>
      <c r="K711" s="9"/>
      <c r="L711" s="223"/>
      <c r="M711" s="223"/>
      <c r="N711" s="9"/>
      <c r="O711" s="9"/>
      <c r="P711" s="9"/>
      <c r="Q711" s="223"/>
      <c r="R711" s="9"/>
      <c r="S711" s="223"/>
      <c r="T711" s="9"/>
      <c r="U711" s="9"/>
      <c r="V711" s="9"/>
      <c r="W711" s="9"/>
      <c r="X711" s="9"/>
      <c r="Y711" s="204"/>
      <c r="Z711" s="9"/>
      <c r="AA711" s="9"/>
      <c r="AB711" s="9"/>
      <c r="AC711" s="9"/>
    </row>
    <row r="712" ht="15.75" customHeight="1">
      <c r="A712" s="223"/>
      <c r="B712" s="223"/>
      <c r="C712" s="223"/>
      <c r="D712" s="9"/>
      <c r="E712" s="223"/>
      <c r="F712" s="971"/>
      <c r="G712" s="9"/>
      <c r="H712" s="9"/>
      <c r="I712" s="9"/>
      <c r="J712" s="9"/>
      <c r="K712" s="9"/>
      <c r="L712" s="223"/>
      <c r="M712" s="223"/>
      <c r="N712" s="9"/>
      <c r="O712" s="9"/>
      <c r="P712" s="9"/>
      <c r="Q712" s="223"/>
      <c r="R712" s="9"/>
      <c r="S712" s="223"/>
      <c r="T712" s="9"/>
      <c r="U712" s="9"/>
      <c r="V712" s="9"/>
      <c r="W712" s="9"/>
      <c r="X712" s="9"/>
      <c r="Y712" s="204"/>
      <c r="Z712" s="9"/>
      <c r="AA712" s="9"/>
      <c r="AB712" s="9"/>
      <c r="AC712" s="9"/>
    </row>
    <row r="713" ht="15.75" customHeight="1">
      <c r="A713" s="223"/>
      <c r="B713" s="223"/>
      <c r="C713" s="223"/>
      <c r="D713" s="9"/>
      <c r="E713" s="223"/>
      <c r="F713" s="971"/>
      <c r="G713" s="9"/>
      <c r="H713" s="9"/>
      <c r="I713" s="9"/>
      <c r="J713" s="9"/>
      <c r="K713" s="9"/>
      <c r="L713" s="223"/>
      <c r="M713" s="223"/>
      <c r="N713" s="9"/>
      <c r="O713" s="9"/>
      <c r="P713" s="9"/>
      <c r="Q713" s="223"/>
      <c r="R713" s="9"/>
      <c r="S713" s="223"/>
      <c r="T713" s="9"/>
      <c r="U713" s="9"/>
      <c r="V713" s="9"/>
      <c r="W713" s="9"/>
      <c r="X713" s="9"/>
      <c r="Y713" s="204"/>
      <c r="Z713" s="9"/>
      <c r="AA713" s="9"/>
      <c r="AB713" s="9"/>
      <c r="AC713" s="9"/>
    </row>
    <row r="714" ht="15.75" customHeight="1">
      <c r="A714" s="223"/>
      <c r="B714" s="223"/>
      <c r="C714" s="223"/>
      <c r="D714" s="9"/>
      <c r="E714" s="223"/>
      <c r="F714" s="971"/>
      <c r="G714" s="9"/>
      <c r="H714" s="9"/>
      <c r="I714" s="9"/>
      <c r="J714" s="9"/>
      <c r="K714" s="9"/>
      <c r="L714" s="223"/>
      <c r="M714" s="223"/>
      <c r="N714" s="9"/>
      <c r="O714" s="9"/>
      <c r="P714" s="9"/>
      <c r="Q714" s="223"/>
      <c r="R714" s="9"/>
      <c r="S714" s="223"/>
      <c r="T714" s="9"/>
      <c r="U714" s="9"/>
      <c r="V714" s="9"/>
      <c r="W714" s="9"/>
      <c r="X714" s="9"/>
      <c r="Y714" s="204"/>
      <c r="Z714" s="9"/>
      <c r="AA714" s="9"/>
      <c r="AB714" s="9"/>
      <c r="AC714" s="9"/>
    </row>
    <row r="715" ht="15.75" customHeight="1">
      <c r="A715" s="223"/>
      <c r="B715" s="223"/>
      <c r="C715" s="223"/>
      <c r="D715" s="9"/>
      <c r="E715" s="223"/>
      <c r="F715" s="971"/>
      <c r="G715" s="9"/>
      <c r="H715" s="9"/>
      <c r="I715" s="9"/>
      <c r="J715" s="9"/>
      <c r="K715" s="9"/>
      <c r="L715" s="223"/>
      <c r="M715" s="223"/>
      <c r="N715" s="9"/>
      <c r="O715" s="9"/>
      <c r="P715" s="9"/>
      <c r="Q715" s="223"/>
      <c r="R715" s="9"/>
      <c r="S715" s="223"/>
      <c r="T715" s="9"/>
      <c r="U715" s="9"/>
      <c r="V715" s="9"/>
      <c r="W715" s="9"/>
      <c r="X715" s="9"/>
      <c r="Y715" s="204"/>
      <c r="Z715" s="9"/>
      <c r="AA715" s="9"/>
      <c r="AB715" s="9"/>
      <c r="AC715" s="9"/>
    </row>
    <row r="716" ht="15.75" customHeight="1">
      <c r="A716" s="223"/>
      <c r="B716" s="223"/>
      <c r="C716" s="223"/>
      <c r="D716" s="9"/>
      <c r="E716" s="223"/>
      <c r="F716" s="971"/>
      <c r="G716" s="9"/>
      <c r="H716" s="9"/>
      <c r="I716" s="9"/>
      <c r="J716" s="9"/>
      <c r="K716" s="9"/>
      <c r="L716" s="223"/>
      <c r="M716" s="223"/>
      <c r="N716" s="9"/>
      <c r="O716" s="9"/>
      <c r="P716" s="9"/>
      <c r="Q716" s="223"/>
      <c r="R716" s="9"/>
      <c r="S716" s="223"/>
      <c r="T716" s="9"/>
      <c r="U716" s="9"/>
      <c r="V716" s="9"/>
      <c r="W716" s="9"/>
      <c r="X716" s="9"/>
      <c r="Y716" s="204"/>
      <c r="Z716" s="9"/>
      <c r="AA716" s="9"/>
      <c r="AB716" s="9"/>
      <c r="AC716" s="9"/>
    </row>
    <row r="717" ht="15.75" customHeight="1">
      <c r="A717" s="223"/>
      <c r="B717" s="223"/>
      <c r="C717" s="223"/>
      <c r="D717" s="9"/>
      <c r="E717" s="223"/>
      <c r="F717" s="971"/>
      <c r="G717" s="9"/>
      <c r="H717" s="9"/>
      <c r="I717" s="9"/>
      <c r="J717" s="9"/>
      <c r="K717" s="9"/>
      <c r="L717" s="223"/>
      <c r="M717" s="223"/>
      <c r="N717" s="9"/>
      <c r="O717" s="9"/>
      <c r="P717" s="9"/>
      <c r="Q717" s="223"/>
      <c r="R717" s="9"/>
      <c r="S717" s="223"/>
      <c r="T717" s="9"/>
      <c r="U717" s="9"/>
      <c r="V717" s="9"/>
      <c r="W717" s="9"/>
      <c r="X717" s="9"/>
      <c r="Y717" s="204"/>
      <c r="Z717" s="9"/>
      <c r="AA717" s="9"/>
      <c r="AB717" s="9"/>
      <c r="AC717" s="9"/>
    </row>
    <row r="718" ht="15.75" customHeight="1">
      <c r="A718" s="223"/>
      <c r="B718" s="223"/>
      <c r="C718" s="223"/>
      <c r="D718" s="9"/>
      <c r="E718" s="223"/>
      <c r="F718" s="971"/>
      <c r="G718" s="9"/>
      <c r="H718" s="9"/>
      <c r="I718" s="9"/>
      <c r="J718" s="9"/>
      <c r="K718" s="9"/>
      <c r="L718" s="223"/>
      <c r="M718" s="223"/>
      <c r="N718" s="9"/>
      <c r="O718" s="9"/>
      <c r="P718" s="9"/>
      <c r="Q718" s="223"/>
      <c r="R718" s="9"/>
      <c r="S718" s="223"/>
      <c r="T718" s="9"/>
      <c r="U718" s="9"/>
      <c r="V718" s="9"/>
      <c r="W718" s="9"/>
      <c r="X718" s="9"/>
      <c r="Y718" s="204"/>
      <c r="Z718" s="9"/>
      <c r="AA718" s="9"/>
      <c r="AB718" s="9"/>
      <c r="AC718" s="9"/>
    </row>
    <row r="719" ht="15.75" customHeight="1">
      <c r="A719" s="223"/>
      <c r="B719" s="223"/>
      <c r="C719" s="223"/>
      <c r="D719" s="9"/>
      <c r="E719" s="223"/>
      <c r="F719" s="971"/>
      <c r="G719" s="9"/>
      <c r="H719" s="9"/>
      <c r="I719" s="9"/>
      <c r="J719" s="9"/>
      <c r="K719" s="9"/>
      <c r="L719" s="223"/>
      <c r="M719" s="223"/>
      <c r="N719" s="9"/>
      <c r="O719" s="9"/>
      <c r="P719" s="9"/>
      <c r="Q719" s="223"/>
      <c r="R719" s="9"/>
      <c r="S719" s="223"/>
      <c r="T719" s="9"/>
      <c r="U719" s="9"/>
      <c r="V719" s="9"/>
      <c r="W719" s="9"/>
      <c r="X719" s="9"/>
      <c r="Y719" s="204"/>
      <c r="Z719" s="9"/>
      <c r="AA719" s="9"/>
      <c r="AB719" s="9"/>
      <c r="AC719" s="9"/>
    </row>
    <row r="720" ht="15.75" customHeight="1">
      <c r="A720" s="223"/>
      <c r="B720" s="223"/>
      <c r="C720" s="223"/>
      <c r="D720" s="9"/>
      <c r="E720" s="223"/>
      <c r="F720" s="971"/>
      <c r="G720" s="9"/>
      <c r="H720" s="9"/>
      <c r="I720" s="9"/>
      <c r="J720" s="9"/>
      <c r="K720" s="9"/>
      <c r="L720" s="223"/>
      <c r="M720" s="223"/>
      <c r="N720" s="9"/>
      <c r="O720" s="9"/>
      <c r="P720" s="9"/>
      <c r="Q720" s="223"/>
      <c r="R720" s="9"/>
      <c r="S720" s="223"/>
      <c r="T720" s="9"/>
      <c r="U720" s="9"/>
      <c r="V720" s="9"/>
      <c r="W720" s="9"/>
      <c r="X720" s="9"/>
      <c r="Y720" s="204"/>
      <c r="Z720" s="9"/>
      <c r="AA720" s="9"/>
      <c r="AB720" s="9"/>
      <c r="AC720" s="9"/>
    </row>
    <row r="721" ht="15.75" customHeight="1">
      <c r="A721" s="223"/>
      <c r="B721" s="223"/>
      <c r="C721" s="223"/>
      <c r="D721" s="9"/>
      <c r="E721" s="223"/>
      <c r="F721" s="971"/>
      <c r="G721" s="9"/>
      <c r="H721" s="9"/>
      <c r="I721" s="9"/>
      <c r="J721" s="9"/>
      <c r="K721" s="9"/>
      <c r="L721" s="223"/>
      <c r="M721" s="223"/>
      <c r="N721" s="9"/>
      <c r="O721" s="9"/>
      <c r="P721" s="9"/>
      <c r="Q721" s="223"/>
      <c r="R721" s="9"/>
      <c r="S721" s="223"/>
      <c r="T721" s="9"/>
      <c r="U721" s="9"/>
      <c r="V721" s="9"/>
      <c r="W721" s="9"/>
      <c r="X721" s="9"/>
      <c r="Y721" s="204"/>
      <c r="Z721" s="9"/>
      <c r="AA721" s="9"/>
      <c r="AB721" s="9"/>
      <c r="AC721" s="9"/>
    </row>
    <row r="722" ht="15.75" customHeight="1">
      <c r="A722" s="223"/>
      <c r="B722" s="223"/>
      <c r="C722" s="223"/>
      <c r="D722" s="9"/>
      <c r="E722" s="223"/>
      <c r="F722" s="971"/>
      <c r="G722" s="9"/>
      <c r="H722" s="9"/>
      <c r="I722" s="9"/>
      <c r="J722" s="9"/>
      <c r="K722" s="9"/>
      <c r="L722" s="223"/>
      <c r="M722" s="223"/>
      <c r="N722" s="9"/>
      <c r="O722" s="9"/>
      <c r="P722" s="9"/>
      <c r="Q722" s="223"/>
      <c r="R722" s="9"/>
      <c r="S722" s="223"/>
      <c r="T722" s="9"/>
      <c r="U722" s="9"/>
      <c r="V722" s="9"/>
      <c r="W722" s="9"/>
      <c r="X722" s="9"/>
      <c r="Y722" s="204"/>
      <c r="Z722" s="9"/>
      <c r="AA722" s="9"/>
      <c r="AB722" s="9"/>
      <c r="AC722" s="9"/>
    </row>
    <row r="723" ht="15.75" customHeight="1">
      <c r="A723" s="223"/>
      <c r="B723" s="223"/>
      <c r="C723" s="223"/>
      <c r="D723" s="9"/>
      <c r="E723" s="223"/>
      <c r="F723" s="971"/>
      <c r="G723" s="9"/>
      <c r="H723" s="9"/>
      <c r="I723" s="9"/>
      <c r="J723" s="9"/>
      <c r="K723" s="9"/>
      <c r="L723" s="223"/>
      <c r="M723" s="223"/>
      <c r="N723" s="9"/>
      <c r="O723" s="9"/>
      <c r="P723" s="9"/>
      <c r="Q723" s="223"/>
      <c r="R723" s="9"/>
      <c r="S723" s="223"/>
      <c r="T723" s="9"/>
      <c r="U723" s="9"/>
      <c r="V723" s="9"/>
      <c r="W723" s="9"/>
      <c r="X723" s="9"/>
      <c r="Y723" s="204"/>
      <c r="Z723" s="9"/>
      <c r="AA723" s="9"/>
      <c r="AB723" s="9"/>
      <c r="AC723" s="9"/>
    </row>
    <row r="724" ht="15.75" customHeight="1">
      <c r="A724" s="223"/>
      <c r="B724" s="223"/>
      <c r="C724" s="223"/>
      <c r="D724" s="9"/>
      <c r="E724" s="223"/>
      <c r="F724" s="971"/>
      <c r="G724" s="9"/>
      <c r="H724" s="9"/>
      <c r="I724" s="9"/>
      <c r="J724" s="9"/>
      <c r="K724" s="9"/>
      <c r="L724" s="223"/>
      <c r="M724" s="223"/>
      <c r="N724" s="9"/>
      <c r="O724" s="9"/>
      <c r="P724" s="9"/>
      <c r="Q724" s="223"/>
      <c r="R724" s="9"/>
      <c r="S724" s="223"/>
      <c r="T724" s="9"/>
      <c r="U724" s="9"/>
      <c r="V724" s="9"/>
      <c r="W724" s="9"/>
      <c r="X724" s="9"/>
      <c r="Y724" s="204"/>
      <c r="Z724" s="9"/>
      <c r="AA724" s="9"/>
      <c r="AB724" s="9"/>
      <c r="AC724" s="9"/>
    </row>
    <row r="725" ht="15.75" customHeight="1">
      <c r="A725" s="223"/>
      <c r="B725" s="223"/>
      <c r="C725" s="223"/>
      <c r="D725" s="9"/>
      <c r="E725" s="223"/>
      <c r="F725" s="971"/>
      <c r="G725" s="9"/>
      <c r="H725" s="9"/>
      <c r="I725" s="9"/>
      <c r="J725" s="9"/>
      <c r="K725" s="9"/>
      <c r="L725" s="223"/>
      <c r="M725" s="223"/>
      <c r="N725" s="9"/>
      <c r="O725" s="9"/>
      <c r="P725" s="9"/>
      <c r="Q725" s="223"/>
      <c r="R725" s="9"/>
      <c r="S725" s="223"/>
      <c r="T725" s="9"/>
      <c r="U725" s="9"/>
      <c r="V725" s="9"/>
      <c r="W725" s="9"/>
      <c r="X725" s="9"/>
      <c r="Y725" s="204"/>
      <c r="Z725" s="9"/>
      <c r="AA725" s="9"/>
      <c r="AB725" s="9"/>
      <c r="AC725" s="9"/>
    </row>
    <row r="726" ht="15.75" customHeight="1">
      <c r="A726" s="223"/>
      <c r="B726" s="223"/>
      <c r="C726" s="223"/>
      <c r="D726" s="9"/>
      <c r="E726" s="223"/>
      <c r="F726" s="971"/>
      <c r="G726" s="9"/>
      <c r="H726" s="9"/>
      <c r="I726" s="9"/>
      <c r="J726" s="9"/>
      <c r="K726" s="9"/>
      <c r="L726" s="223"/>
      <c r="M726" s="223"/>
      <c r="N726" s="9"/>
      <c r="O726" s="9"/>
      <c r="P726" s="9"/>
      <c r="Q726" s="223"/>
      <c r="R726" s="9"/>
      <c r="S726" s="223"/>
      <c r="T726" s="9"/>
      <c r="U726" s="9"/>
      <c r="V726" s="9"/>
      <c r="W726" s="9"/>
      <c r="X726" s="9"/>
      <c r="Y726" s="204"/>
      <c r="Z726" s="9"/>
      <c r="AA726" s="9"/>
      <c r="AB726" s="9"/>
      <c r="AC726" s="9"/>
    </row>
    <row r="727" ht="15.75" customHeight="1">
      <c r="A727" s="223"/>
      <c r="B727" s="223"/>
      <c r="C727" s="223"/>
      <c r="D727" s="9"/>
      <c r="E727" s="223"/>
      <c r="F727" s="971"/>
      <c r="G727" s="9"/>
      <c r="H727" s="9"/>
      <c r="I727" s="9"/>
      <c r="J727" s="9"/>
      <c r="K727" s="9"/>
      <c r="L727" s="223"/>
      <c r="M727" s="223"/>
      <c r="N727" s="9"/>
      <c r="O727" s="9"/>
      <c r="P727" s="9"/>
      <c r="Q727" s="223"/>
      <c r="R727" s="9"/>
      <c r="S727" s="223"/>
      <c r="T727" s="9"/>
      <c r="U727" s="9"/>
      <c r="V727" s="9"/>
      <c r="W727" s="9"/>
      <c r="X727" s="9"/>
      <c r="Y727" s="204"/>
      <c r="Z727" s="9"/>
      <c r="AA727" s="9"/>
      <c r="AB727" s="9"/>
      <c r="AC727" s="9"/>
    </row>
    <row r="728" ht="15.75" customHeight="1">
      <c r="A728" s="223"/>
      <c r="B728" s="223"/>
      <c r="C728" s="223"/>
      <c r="D728" s="9"/>
      <c r="E728" s="223"/>
      <c r="F728" s="971"/>
      <c r="G728" s="9"/>
      <c r="H728" s="9"/>
      <c r="I728" s="9"/>
      <c r="J728" s="9"/>
      <c r="K728" s="9"/>
      <c r="L728" s="223"/>
      <c r="M728" s="223"/>
      <c r="N728" s="9"/>
      <c r="O728" s="9"/>
      <c r="P728" s="9"/>
      <c r="Q728" s="223"/>
      <c r="R728" s="9"/>
      <c r="S728" s="223"/>
      <c r="T728" s="9"/>
      <c r="U728" s="9"/>
      <c r="V728" s="9"/>
      <c r="W728" s="9"/>
      <c r="X728" s="9"/>
      <c r="Y728" s="204"/>
      <c r="Z728" s="9"/>
      <c r="AA728" s="9"/>
      <c r="AB728" s="9"/>
      <c r="AC728" s="9"/>
    </row>
    <row r="729" ht="15.75" customHeight="1">
      <c r="A729" s="223"/>
      <c r="B729" s="223"/>
      <c r="C729" s="223"/>
      <c r="D729" s="9"/>
      <c r="E729" s="223"/>
      <c r="F729" s="971"/>
      <c r="G729" s="9"/>
      <c r="H729" s="9"/>
      <c r="I729" s="9"/>
      <c r="J729" s="9"/>
      <c r="K729" s="9"/>
      <c r="L729" s="223"/>
      <c r="M729" s="223"/>
      <c r="N729" s="9"/>
      <c r="O729" s="9"/>
      <c r="P729" s="9"/>
      <c r="Q729" s="223"/>
      <c r="R729" s="9"/>
      <c r="S729" s="223"/>
      <c r="T729" s="9"/>
      <c r="U729" s="9"/>
      <c r="V729" s="9"/>
      <c r="W729" s="9"/>
      <c r="X729" s="9"/>
      <c r="Y729" s="204"/>
      <c r="Z729" s="9"/>
      <c r="AA729" s="9"/>
      <c r="AB729" s="9"/>
      <c r="AC729" s="9"/>
    </row>
    <row r="730" ht="15.75" customHeight="1">
      <c r="A730" s="223"/>
      <c r="B730" s="223"/>
      <c r="C730" s="223"/>
      <c r="D730" s="9"/>
      <c r="E730" s="223"/>
      <c r="F730" s="971"/>
      <c r="G730" s="9"/>
      <c r="H730" s="9"/>
      <c r="I730" s="9"/>
      <c r="J730" s="9"/>
      <c r="K730" s="9"/>
      <c r="L730" s="223"/>
      <c r="M730" s="223"/>
      <c r="N730" s="9"/>
      <c r="O730" s="9"/>
      <c r="P730" s="9"/>
      <c r="Q730" s="223"/>
      <c r="R730" s="9"/>
      <c r="S730" s="223"/>
      <c r="T730" s="9"/>
      <c r="U730" s="9"/>
      <c r="V730" s="9"/>
      <c r="W730" s="9"/>
      <c r="X730" s="9"/>
      <c r="Y730" s="204"/>
      <c r="Z730" s="9"/>
      <c r="AA730" s="9"/>
      <c r="AB730" s="9"/>
      <c r="AC730" s="9"/>
    </row>
    <row r="731" ht="15.75" customHeight="1">
      <c r="A731" s="223"/>
      <c r="B731" s="223"/>
      <c r="C731" s="223"/>
      <c r="D731" s="9"/>
      <c r="E731" s="223"/>
      <c r="F731" s="971"/>
      <c r="G731" s="9"/>
      <c r="H731" s="9"/>
      <c r="I731" s="9"/>
      <c r="J731" s="9"/>
      <c r="K731" s="9"/>
      <c r="L731" s="223"/>
      <c r="M731" s="223"/>
      <c r="N731" s="9"/>
      <c r="O731" s="9"/>
      <c r="P731" s="9"/>
      <c r="Q731" s="223"/>
      <c r="R731" s="9"/>
      <c r="S731" s="223"/>
      <c r="T731" s="9"/>
      <c r="U731" s="9"/>
      <c r="V731" s="9"/>
      <c r="W731" s="9"/>
      <c r="X731" s="9"/>
      <c r="Y731" s="204"/>
      <c r="Z731" s="9"/>
      <c r="AA731" s="9"/>
      <c r="AB731" s="9"/>
      <c r="AC731" s="9"/>
    </row>
    <row r="732" ht="15.75" customHeight="1">
      <c r="A732" s="223"/>
      <c r="B732" s="223"/>
      <c r="C732" s="223"/>
      <c r="D732" s="9"/>
      <c r="E732" s="223"/>
      <c r="F732" s="971"/>
      <c r="G732" s="9"/>
      <c r="H732" s="9"/>
      <c r="I732" s="9"/>
      <c r="J732" s="9"/>
      <c r="K732" s="9"/>
      <c r="L732" s="223"/>
      <c r="M732" s="223"/>
      <c r="N732" s="9"/>
      <c r="O732" s="9"/>
      <c r="P732" s="9"/>
      <c r="Q732" s="223"/>
      <c r="R732" s="9"/>
      <c r="S732" s="223"/>
      <c r="T732" s="9"/>
      <c r="U732" s="9"/>
      <c r="V732" s="9"/>
      <c r="W732" s="9"/>
      <c r="X732" s="9"/>
      <c r="Y732" s="204"/>
      <c r="Z732" s="9"/>
      <c r="AA732" s="9"/>
      <c r="AB732" s="9"/>
      <c r="AC732" s="9"/>
    </row>
    <row r="733" ht="15.75" customHeight="1">
      <c r="A733" s="223"/>
      <c r="B733" s="223"/>
      <c r="C733" s="223"/>
      <c r="D733" s="9"/>
      <c r="E733" s="223"/>
      <c r="F733" s="971"/>
      <c r="G733" s="9"/>
      <c r="H733" s="9"/>
      <c r="I733" s="9"/>
      <c r="J733" s="9"/>
      <c r="K733" s="9"/>
      <c r="L733" s="223"/>
      <c r="M733" s="223"/>
      <c r="N733" s="9"/>
      <c r="O733" s="9"/>
      <c r="P733" s="9"/>
      <c r="Q733" s="223"/>
      <c r="R733" s="9"/>
      <c r="S733" s="223"/>
      <c r="T733" s="9"/>
      <c r="U733" s="9"/>
      <c r="V733" s="9"/>
      <c r="W733" s="9"/>
      <c r="X733" s="9"/>
      <c r="Y733" s="204"/>
      <c r="Z733" s="9"/>
      <c r="AA733" s="9"/>
      <c r="AB733" s="9"/>
      <c r="AC733" s="9"/>
    </row>
    <row r="734" ht="15.75" customHeight="1">
      <c r="A734" s="223"/>
      <c r="B734" s="223"/>
      <c r="C734" s="223"/>
      <c r="D734" s="9"/>
      <c r="E734" s="223"/>
      <c r="F734" s="971"/>
      <c r="G734" s="9"/>
      <c r="H734" s="9"/>
      <c r="I734" s="9"/>
      <c r="J734" s="9"/>
      <c r="K734" s="9"/>
      <c r="L734" s="223"/>
      <c r="M734" s="223"/>
      <c r="N734" s="9"/>
      <c r="O734" s="9"/>
      <c r="P734" s="9"/>
      <c r="Q734" s="223"/>
      <c r="R734" s="9"/>
      <c r="S734" s="223"/>
      <c r="T734" s="9"/>
      <c r="U734" s="9"/>
      <c r="V734" s="9"/>
      <c r="W734" s="9"/>
      <c r="X734" s="9"/>
      <c r="Y734" s="204"/>
      <c r="Z734" s="9"/>
      <c r="AA734" s="9"/>
      <c r="AB734" s="9"/>
      <c r="AC734" s="9"/>
    </row>
    <row r="735" ht="15.75" customHeight="1">
      <c r="A735" s="223"/>
      <c r="B735" s="223"/>
      <c r="C735" s="223"/>
      <c r="D735" s="9"/>
      <c r="E735" s="223"/>
      <c r="F735" s="971"/>
      <c r="G735" s="9"/>
      <c r="H735" s="9"/>
      <c r="I735" s="9"/>
      <c r="J735" s="9"/>
      <c r="K735" s="9"/>
      <c r="L735" s="223"/>
      <c r="M735" s="223"/>
      <c r="N735" s="9"/>
      <c r="O735" s="9"/>
      <c r="P735" s="9"/>
      <c r="Q735" s="223"/>
      <c r="R735" s="9"/>
      <c r="S735" s="223"/>
      <c r="T735" s="9"/>
      <c r="U735" s="9"/>
      <c r="V735" s="9"/>
      <c r="W735" s="9"/>
      <c r="X735" s="9"/>
      <c r="Y735" s="204"/>
      <c r="Z735" s="9"/>
      <c r="AA735" s="9"/>
      <c r="AB735" s="9"/>
      <c r="AC735" s="9"/>
    </row>
    <row r="736" ht="15.75" customHeight="1">
      <c r="A736" s="223"/>
      <c r="B736" s="223"/>
      <c r="C736" s="223"/>
      <c r="D736" s="9"/>
      <c r="E736" s="223"/>
      <c r="F736" s="971"/>
      <c r="G736" s="9"/>
      <c r="H736" s="9"/>
      <c r="I736" s="9"/>
      <c r="J736" s="9"/>
      <c r="K736" s="9"/>
      <c r="L736" s="223"/>
      <c r="M736" s="223"/>
      <c r="N736" s="9"/>
      <c r="O736" s="9"/>
      <c r="P736" s="9"/>
      <c r="Q736" s="223"/>
      <c r="R736" s="9"/>
      <c r="S736" s="223"/>
      <c r="T736" s="9"/>
      <c r="U736" s="9"/>
      <c r="V736" s="9"/>
      <c r="W736" s="9"/>
      <c r="X736" s="9"/>
      <c r="Y736" s="204"/>
      <c r="Z736" s="9"/>
      <c r="AA736" s="9"/>
      <c r="AB736" s="9"/>
      <c r="AC736" s="9"/>
    </row>
    <row r="737" ht="15.75" customHeight="1">
      <c r="A737" s="223"/>
      <c r="B737" s="223"/>
      <c r="C737" s="223"/>
      <c r="D737" s="9"/>
      <c r="E737" s="223"/>
      <c r="F737" s="971"/>
      <c r="G737" s="9"/>
      <c r="H737" s="9"/>
      <c r="I737" s="9"/>
      <c r="J737" s="9"/>
      <c r="K737" s="9"/>
      <c r="L737" s="223"/>
      <c r="M737" s="223"/>
      <c r="N737" s="9"/>
      <c r="O737" s="9"/>
      <c r="P737" s="9"/>
      <c r="Q737" s="223"/>
      <c r="R737" s="9"/>
      <c r="S737" s="223"/>
      <c r="T737" s="9"/>
      <c r="U737" s="9"/>
      <c r="V737" s="9"/>
      <c r="W737" s="9"/>
      <c r="X737" s="9"/>
      <c r="Y737" s="204"/>
      <c r="Z737" s="9"/>
      <c r="AA737" s="9"/>
      <c r="AB737" s="9"/>
      <c r="AC737" s="9"/>
    </row>
    <row r="738" ht="15.75" customHeight="1">
      <c r="A738" s="223"/>
      <c r="B738" s="223"/>
      <c r="C738" s="223"/>
      <c r="D738" s="9"/>
      <c r="E738" s="223"/>
      <c r="F738" s="971"/>
      <c r="G738" s="9"/>
      <c r="H738" s="9"/>
      <c r="I738" s="9"/>
      <c r="J738" s="9"/>
      <c r="K738" s="9"/>
      <c r="L738" s="223"/>
      <c r="M738" s="223"/>
      <c r="N738" s="9"/>
      <c r="O738" s="9"/>
      <c r="P738" s="9"/>
      <c r="Q738" s="223"/>
      <c r="R738" s="9"/>
      <c r="S738" s="223"/>
      <c r="T738" s="9"/>
      <c r="U738" s="9"/>
      <c r="V738" s="9"/>
      <c r="W738" s="9"/>
      <c r="X738" s="9"/>
      <c r="Y738" s="204"/>
      <c r="Z738" s="9"/>
      <c r="AA738" s="9"/>
      <c r="AB738" s="9"/>
      <c r="AC738" s="9"/>
    </row>
    <row r="739" ht="15.75" customHeight="1">
      <c r="A739" s="223"/>
      <c r="B739" s="223"/>
      <c r="C739" s="223"/>
      <c r="D739" s="9"/>
      <c r="E739" s="223"/>
      <c r="F739" s="971"/>
      <c r="G739" s="9"/>
      <c r="H739" s="9"/>
      <c r="I739" s="9"/>
      <c r="J739" s="9"/>
      <c r="K739" s="9"/>
      <c r="L739" s="223"/>
      <c r="M739" s="223"/>
      <c r="N739" s="9"/>
      <c r="O739" s="9"/>
      <c r="P739" s="9"/>
      <c r="Q739" s="223"/>
      <c r="R739" s="9"/>
      <c r="S739" s="223"/>
      <c r="T739" s="9"/>
      <c r="U739" s="9"/>
      <c r="V739" s="9"/>
      <c r="W739" s="9"/>
      <c r="X739" s="9"/>
      <c r="Y739" s="204"/>
      <c r="Z739" s="9"/>
      <c r="AA739" s="9"/>
      <c r="AB739" s="9"/>
      <c r="AC739" s="9"/>
    </row>
    <row r="740" ht="15.75" customHeight="1">
      <c r="A740" s="223"/>
      <c r="B740" s="223"/>
      <c r="C740" s="223"/>
      <c r="D740" s="9"/>
      <c r="E740" s="223"/>
      <c r="F740" s="971"/>
      <c r="G740" s="9"/>
      <c r="H740" s="9"/>
      <c r="I740" s="9"/>
      <c r="J740" s="9"/>
      <c r="K740" s="9"/>
      <c r="L740" s="223"/>
      <c r="M740" s="223"/>
      <c r="N740" s="9"/>
      <c r="O740" s="9"/>
      <c r="P740" s="9"/>
      <c r="Q740" s="223"/>
      <c r="R740" s="9"/>
      <c r="S740" s="223"/>
      <c r="T740" s="9"/>
      <c r="U740" s="9"/>
      <c r="V740" s="9"/>
      <c r="W740" s="9"/>
      <c r="X740" s="9"/>
      <c r="Y740" s="204"/>
      <c r="Z740" s="9"/>
      <c r="AA740" s="9"/>
      <c r="AB740" s="9"/>
      <c r="AC740" s="9"/>
    </row>
    <row r="741" ht="15.75" customHeight="1">
      <c r="A741" s="223"/>
      <c r="B741" s="223"/>
      <c r="C741" s="223"/>
      <c r="D741" s="9"/>
      <c r="E741" s="223"/>
      <c r="F741" s="971"/>
      <c r="G741" s="9"/>
      <c r="H741" s="9"/>
      <c r="I741" s="9"/>
      <c r="J741" s="9"/>
      <c r="K741" s="9"/>
      <c r="L741" s="223"/>
      <c r="M741" s="223"/>
      <c r="N741" s="9"/>
      <c r="O741" s="9"/>
      <c r="P741" s="9"/>
      <c r="Q741" s="223"/>
      <c r="R741" s="9"/>
      <c r="S741" s="223"/>
      <c r="T741" s="9"/>
      <c r="U741" s="9"/>
      <c r="V741" s="9"/>
      <c r="W741" s="9"/>
      <c r="X741" s="9"/>
      <c r="Y741" s="204"/>
      <c r="Z741" s="9"/>
      <c r="AA741" s="9"/>
      <c r="AB741" s="9"/>
      <c r="AC741" s="9"/>
    </row>
    <row r="742" ht="15.75" customHeight="1">
      <c r="A742" s="223"/>
      <c r="B742" s="223"/>
      <c r="C742" s="223"/>
      <c r="D742" s="9"/>
      <c r="E742" s="223"/>
      <c r="F742" s="971"/>
      <c r="G742" s="9"/>
      <c r="H742" s="9"/>
      <c r="I742" s="9"/>
      <c r="J742" s="9"/>
      <c r="K742" s="9"/>
      <c r="L742" s="223"/>
      <c r="M742" s="223"/>
      <c r="N742" s="9"/>
      <c r="O742" s="9"/>
      <c r="P742" s="9"/>
      <c r="Q742" s="223"/>
      <c r="R742" s="9"/>
      <c r="S742" s="223"/>
      <c r="T742" s="9"/>
      <c r="U742" s="9"/>
      <c r="V742" s="9"/>
      <c r="W742" s="9"/>
      <c r="X742" s="9"/>
      <c r="Y742" s="204"/>
      <c r="Z742" s="9"/>
      <c r="AA742" s="9"/>
      <c r="AB742" s="9"/>
      <c r="AC742" s="9"/>
    </row>
    <row r="743" ht="15.75" customHeight="1">
      <c r="A743" s="223"/>
      <c r="B743" s="223"/>
      <c r="C743" s="223"/>
      <c r="D743" s="9"/>
      <c r="E743" s="223"/>
      <c r="F743" s="971"/>
      <c r="G743" s="9"/>
      <c r="H743" s="9"/>
      <c r="I743" s="9"/>
      <c r="J743" s="9"/>
      <c r="K743" s="9"/>
      <c r="L743" s="223"/>
      <c r="M743" s="223"/>
      <c r="N743" s="9"/>
      <c r="O743" s="9"/>
      <c r="P743" s="9"/>
      <c r="Q743" s="223"/>
      <c r="R743" s="9"/>
      <c r="S743" s="223"/>
      <c r="T743" s="9"/>
      <c r="U743" s="9"/>
      <c r="V743" s="9"/>
      <c r="W743" s="9"/>
      <c r="X743" s="9"/>
      <c r="Y743" s="204"/>
      <c r="Z743" s="9"/>
      <c r="AA743" s="9"/>
      <c r="AB743" s="9"/>
      <c r="AC743" s="9"/>
    </row>
    <row r="744" ht="15.75" customHeight="1">
      <c r="A744" s="223"/>
      <c r="B744" s="223"/>
      <c r="C744" s="223"/>
      <c r="D744" s="9"/>
      <c r="E744" s="223"/>
      <c r="F744" s="971"/>
      <c r="G744" s="9"/>
      <c r="H744" s="9"/>
      <c r="I744" s="9"/>
      <c r="J744" s="9"/>
      <c r="K744" s="9"/>
      <c r="L744" s="223"/>
      <c r="M744" s="223"/>
      <c r="N744" s="9"/>
      <c r="O744" s="9"/>
      <c r="P744" s="9"/>
      <c r="Q744" s="223"/>
      <c r="R744" s="9"/>
      <c r="S744" s="223"/>
      <c r="T744" s="9"/>
      <c r="U744" s="9"/>
      <c r="V744" s="9"/>
      <c r="W744" s="9"/>
      <c r="X744" s="9"/>
      <c r="Y744" s="204"/>
      <c r="Z744" s="9"/>
      <c r="AA744" s="9"/>
      <c r="AB744" s="9"/>
      <c r="AC744" s="9"/>
    </row>
    <row r="745" ht="15.75" customHeight="1">
      <c r="A745" s="223"/>
      <c r="B745" s="223"/>
      <c r="C745" s="223"/>
      <c r="D745" s="9"/>
      <c r="E745" s="223"/>
      <c r="F745" s="971"/>
      <c r="G745" s="9"/>
      <c r="H745" s="9"/>
      <c r="I745" s="9"/>
      <c r="J745" s="9"/>
      <c r="K745" s="9"/>
      <c r="L745" s="223"/>
      <c r="M745" s="223"/>
      <c r="N745" s="9"/>
      <c r="O745" s="9"/>
      <c r="P745" s="9"/>
      <c r="Q745" s="223"/>
      <c r="R745" s="9"/>
      <c r="S745" s="223"/>
      <c r="T745" s="9"/>
      <c r="U745" s="9"/>
      <c r="V745" s="9"/>
      <c r="W745" s="9"/>
      <c r="X745" s="9"/>
      <c r="Y745" s="204"/>
      <c r="Z745" s="9"/>
      <c r="AA745" s="9"/>
      <c r="AB745" s="9"/>
      <c r="AC745" s="9"/>
    </row>
    <row r="746" ht="15.75" customHeight="1">
      <c r="A746" s="223"/>
      <c r="B746" s="223"/>
      <c r="C746" s="223"/>
      <c r="D746" s="9"/>
      <c r="E746" s="223"/>
      <c r="F746" s="971"/>
      <c r="G746" s="9"/>
      <c r="H746" s="9"/>
      <c r="I746" s="9"/>
      <c r="J746" s="9"/>
      <c r="K746" s="9"/>
      <c r="L746" s="223"/>
      <c r="M746" s="223"/>
      <c r="N746" s="9"/>
      <c r="O746" s="9"/>
      <c r="P746" s="9"/>
      <c r="Q746" s="223"/>
      <c r="R746" s="9"/>
      <c r="S746" s="223"/>
      <c r="T746" s="9"/>
      <c r="U746" s="9"/>
      <c r="V746" s="9"/>
      <c r="W746" s="9"/>
      <c r="X746" s="9"/>
      <c r="Y746" s="204"/>
      <c r="Z746" s="9"/>
      <c r="AA746" s="9"/>
      <c r="AB746" s="9"/>
      <c r="AC746" s="9"/>
    </row>
    <row r="747" ht="15.75" customHeight="1">
      <c r="A747" s="223"/>
      <c r="B747" s="223"/>
      <c r="C747" s="223"/>
      <c r="D747" s="9"/>
      <c r="E747" s="223"/>
      <c r="F747" s="971"/>
      <c r="G747" s="9"/>
      <c r="H747" s="9"/>
      <c r="I747" s="9"/>
      <c r="J747" s="9"/>
      <c r="K747" s="9"/>
      <c r="L747" s="223"/>
      <c r="M747" s="223"/>
      <c r="N747" s="9"/>
      <c r="O747" s="9"/>
      <c r="P747" s="9"/>
      <c r="Q747" s="223"/>
      <c r="R747" s="9"/>
      <c r="S747" s="223"/>
      <c r="T747" s="9"/>
      <c r="U747" s="9"/>
      <c r="V747" s="9"/>
      <c r="W747" s="9"/>
      <c r="X747" s="9"/>
      <c r="Y747" s="204"/>
      <c r="Z747" s="9"/>
      <c r="AA747" s="9"/>
      <c r="AB747" s="9"/>
      <c r="AC747" s="9"/>
    </row>
    <row r="748" ht="15.75" customHeight="1">
      <c r="A748" s="223"/>
      <c r="B748" s="223"/>
      <c r="C748" s="223"/>
      <c r="D748" s="9"/>
      <c r="E748" s="223"/>
      <c r="F748" s="971"/>
      <c r="G748" s="9"/>
      <c r="H748" s="9"/>
      <c r="I748" s="9"/>
      <c r="J748" s="9"/>
      <c r="K748" s="9"/>
      <c r="L748" s="223"/>
      <c r="M748" s="223"/>
      <c r="N748" s="9"/>
      <c r="O748" s="9"/>
      <c r="P748" s="9"/>
      <c r="Q748" s="223"/>
      <c r="R748" s="9"/>
      <c r="S748" s="223"/>
      <c r="T748" s="9"/>
      <c r="U748" s="9"/>
      <c r="V748" s="9"/>
      <c r="W748" s="9"/>
      <c r="X748" s="9"/>
      <c r="Y748" s="204"/>
      <c r="Z748" s="9"/>
      <c r="AA748" s="9"/>
      <c r="AB748" s="9"/>
      <c r="AC748" s="9"/>
    </row>
    <row r="749" ht="15.75" customHeight="1">
      <c r="A749" s="223"/>
      <c r="B749" s="223"/>
      <c r="C749" s="223"/>
      <c r="D749" s="9"/>
      <c r="E749" s="223"/>
      <c r="F749" s="971"/>
      <c r="G749" s="9"/>
      <c r="H749" s="9"/>
      <c r="I749" s="9"/>
      <c r="J749" s="9"/>
      <c r="K749" s="9"/>
      <c r="L749" s="223"/>
      <c r="M749" s="223"/>
      <c r="N749" s="9"/>
      <c r="O749" s="9"/>
      <c r="P749" s="9"/>
      <c r="Q749" s="223"/>
      <c r="R749" s="9"/>
      <c r="S749" s="223"/>
      <c r="T749" s="9"/>
      <c r="U749" s="9"/>
      <c r="V749" s="9"/>
      <c r="W749" s="9"/>
      <c r="X749" s="9"/>
      <c r="Y749" s="204"/>
      <c r="Z749" s="9"/>
      <c r="AA749" s="9"/>
      <c r="AB749" s="9"/>
      <c r="AC749" s="9"/>
    </row>
    <row r="750" ht="15.75" customHeight="1">
      <c r="A750" s="223"/>
      <c r="B750" s="223"/>
      <c r="C750" s="223"/>
      <c r="D750" s="9"/>
      <c r="E750" s="223"/>
      <c r="F750" s="971"/>
      <c r="G750" s="9"/>
      <c r="H750" s="9"/>
      <c r="I750" s="9"/>
      <c r="J750" s="9"/>
      <c r="K750" s="9"/>
      <c r="L750" s="223"/>
      <c r="M750" s="223"/>
      <c r="N750" s="9"/>
      <c r="O750" s="9"/>
      <c r="P750" s="9"/>
      <c r="Q750" s="223"/>
      <c r="R750" s="9"/>
      <c r="S750" s="223"/>
      <c r="T750" s="9"/>
      <c r="U750" s="9"/>
      <c r="V750" s="9"/>
      <c r="W750" s="9"/>
      <c r="X750" s="9"/>
      <c r="Y750" s="204"/>
      <c r="Z750" s="9"/>
      <c r="AA750" s="9"/>
      <c r="AB750" s="9"/>
      <c r="AC750" s="9"/>
    </row>
    <row r="751" ht="15.75" customHeight="1">
      <c r="A751" s="223"/>
      <c r="B751" s="223"/>
      <c r="C751" s="223"/>
      <c r="D751" s="9"/>
      <c r="E751" s="223"/>
      <c r="F751" s="971"/>
      <c r="G751" s="9"/>
      <c r="H751" s="9"/>
      <c r="I751" s="9"/>
      <c r="J751" s="9"/>
      <c r="K751" s="9"/>
      <c r="L751" s="223"/>
      <c r="M751" s="223"/>
      <c r="N751" s="9"/>
      <c r="O751" s="9"/>
      <c r="P751" s="9"/>
      <c r="Q751" s="223"/>
      <c r="R751" s="9"/>
      <c r="S751" s="223"/>
      <c r="T751" s="9"/>
      <c r="U751" s="9"/>
      <c r="V751" s="9"/>
      <c r="W751" s="9"/>
      <c r="X751" s="9"/>
      <c r="Y751" s="204"/>
      <c r="Z751" s="9"/>
      <c r="AA751" s="9"/>
      <c r="AB751" s="9"/>
      <c r="AC751" s="9"/>
    </row>
    <row r="752" ht="15.75" customHeight="1">
      <c r="A752" s="223"/>
      <c r="B752" s="223"/>
      <c r="C752" s="223"/>
      <c r="D752" s="9"/>
      <c r="E752" s="223"/>
      <c r="F752" s="971"/>
      <c r="G752" s="9"/>
      <c r="H752" s="9"/>
      <c r="I752" s="9"/>
      <c r="J752" s="9"/>
      <c r="K752" s="9"/>
      <c r="L752" s="223"/>
      <c r="M752" s="223"/>
      <c r="N752" s="9"/>
      <c r="O752" s="9"/>
      <c r="P752" s="9"/>
      <c r="Q752" s="223"/>
      <c r="R752" s="9"/>
      <c r="S752" s="223"/>
      <c r="T752" s="9"/>
      <c r="U752" s="9"/>
      <c r="V752" s="9"/>
      <c r="W752" s="9"/>
      <c r="X752" s="9"/>
      <c r="Y752" s="204"/>
      <c r="Z752" s="9"/>
      <c r="AA752" s="9"/>
      <c r="AB752" s="9"/>
      <c r="AC752" s="9"/>
    </row>
    <row r="753" ht="15.75" customHeight="1">
      <c r="A753" s="223"/>
      <c r="B753" s="223"/>
      <c r="C753" s="223"/>
      <c r="D753" s="9"/>
      <c r="E753" s="223"/>
      <c r="F753" s="971"/>
      <c r="G753" s="9"/>
      <c r="H753" s="9"/>
      <c r="I753" s="9"/>
      <c r="J753" s="9"/>
      <c r="K753" s="9"/>
      <c r="L753" s="223"/>
      <c r="M753" s="223"/>
      <c r="N753" s="9"/>
      <c r="O753" s="9"/>
      <c r="P753" s="9"/>
      <c r="Q753" s="223"/>
      <c r="R753" s="9"/>
      <c r="S753" s="223"/>
      <c r="T753" s="9"/>
      <c r="U753" s="9"/>
      <c r="V753" s="9"/>
      <c r="W753" s="9"/>
      <c r="X753" s="9"/>
      <c r="Y753" s="204"/>
      <c r="Z753" s="9"/>
      <c r="AA753" s="9"/>
      <c r="AB753" s="9"/>
      <c r="AC753" s="9"/>
    </row>
    <row r="754" ht="15.75" customHeight="1">
      <c r="A754" s="223"/>
      <c r="B754" s="223"/>
      <c r="C754" s="223"/>
      <c r="D754" s="9"/>
      <c r="E754" s="223"/>
      <c r="F754" s="971"/>
      <c r="G754" s="9"/>
      <c r="H754" s="9"/>
      <c r="I754" s="9"/>
      <c r="J754" s="9"/>
      <c r="K754" s="9"/>
      <c r="L754" s="223"/>
      <c r="M754" s="223"/>
      <c r="N754" s="9"/>
      <c r="O754" s="9"/>
      <c r="P754" s="9"/>
      <c r="Q754" s="223"/>
      <c r="R754" s="9"/>
      <c r="S754" s="223"/>
      <c r="T754" s="9"/>
      <c r="U754" s="9"/>
      <c r="V754" s="9"/>
      <c r="W754" s="9"/>
      <c r="X754" s="9"/>
      <c r="Y754" s="204"/>
      <c r="Z754" s="9"/>
      <c r="AA754" s="9"/>
      <c r="AB754" s="9"/>
      <c r="AC754" s="9"/>
    </row>
    <row r="755" ht="15.75" customHeight="1">
      <c r="A755" s="223"/>
      <c r="B755" s="223"/>
      <c r="C755" s="223"/>
      <c r="D755" s="9"/>
      <c r="E755" s="223"/>
      <c r="F755" s="971"/>
      <c r="G755" s="9"/>
      <c r="H755" s="9"/>
      <c r="I755" s="9"/>
      <c r="J755" s="9"/>
      <c r="K755" s="9"/>
      <c r="L755" s="223"/>
      <c r="M755" s="223"/>
      <c r="N755" s="9"/>
      <c r="O755" s="9"/>
      <c r="P755" s="9"/>
      <c r="Q755" s="223"/>
      <c r="R755" s="9"/>
      <c r="S755" s="223"/>
      <c r="T755" s="9"/>
      <c r="U755" s="9"/>
      <c r="V755" s="9"/>
      <c r="W755" s="9"/>
      <c r="X755" s="9"/>
      <c r="Y755" s="204"/>
      <c r="Z755" s="9"/>
      <c r="AA755" s="9"/>
      <c r="AB755" s="9"/>
      <c r="AC755" s="9"/>
    </row>
    <row r="756" ht="15.75" customHeight="1">
      <c r="A756" s="223"/>
      <c r="B756" s="223"/>
      <c r="C756" s="223"/>
      <c r="D756" s="9"/>
      <c r="E756" s="223"/>
      <c r="F756" s="971"/>
      <c r="G756" s="9"/>
      <c r="H756" s="9"/>
      <c r="I756" s="9"/>
      <c r="J756" s="9"/>
      <c r="K756" s="9"/>
      <c r="L756" s="223"/>
      <c r="M756" s="223"/>
      <c r="N756" s="9"/>
      <c r="O756" s="9"/>
      <c r="P756" s="9"/>
      <c r="Q756" s="223"/>
      <c r="R756" s="9"/>
      <c r="S756" s="223"/>
      <c r="T756" s="9"/>
      <c r="U756" s="9"/>
      <c r="V756" s="9"/>
      <c r="W756" s="9"/>
      <c r="X756" s="9"/>
      <c r="Y756" s="204"/>
      <c r="Z756" s="9"/>
      <c r="AA756" s="9"/>
      <c r="AB756" s="9"/>
      <c r="AC756" s="9"/>
    </row>
    <row r="757" ht="15.75" customHeight="1">
      <c r="A757" s="223"/>
      <c r="B757" s="223"/>
      <c r="C757" s="223"/>
      <c r="D757" s="9"/>
      <c r="E757" s="223"/>
      <c r="F757" s="971"/>
      <c r="G757" s="9"/>
      <c r="H757" s="9"/>
      <c r="I757" s="9"/>
      <c r="J757" s="9"/>
      <c r="K757" s="9"/>
      <c r="L757" s="223"/>
      <c r="M757" s="223"/>
      <c r="N757" s="9"/>
      <c r="O757" s="9"/>
      <c r="P757" s="9"/>
      <c r="Q757" s="223"/>
      <c r="R757" s="9"/>
      <c r="S757" s="223"/>
      <c r="T757" s="9"/>
      <c r="U757" s="9"/>
      <c r="V757" s="9"/>
      <c r="W757" s="9"/>
      <c r="X757" s="9"/>
      <c r="Y757" s="204"/>
      <c r="Z757" s="9"/>
      <c r="AA757" s="9"/>
      <c r="AB757" s="9"/>
      <c r="AC757" s="9"/>
    </row>
    <row r="758" ht="15.75" customHeight="1">
      <c r="A758" s="223"/>
      <c r="B758" s="223"/>
      <c r="C758" s="223"/>
      <c r="D758" s="9"/>
      <c r="E758" s="223"/>
      <c r="F758" s="971"/>
      <c r="G758" s="9"/>
      <c r="H758" s="9"/>
      <c r="I758" s="9"/>
      <c r="J758" s="9"/>
      <c r="K758" s="9"/>
      <c r="L758" s="223"/>
      <c r="M758" s="223"/>
      <c r="N758" s="9"/>
      <c r="O758" s="9"/>
      <c r="P758" s="9"/>
      <c r="Q758" s="223"/>
      <c r="R758" s="9"/>
      <c r="S758" s="223"/>
      <c r="T758" s="9"/>
      <c r="U758" s="9"/>
      <c r="V758" s="9"/>
      <c r="W758" s="9"/>
      <c r="X758" s="9"/>
      <c r="Y758" s="204"/>
      <c r="Z758" s="9"/>
      <c r="AA758" s="9"/>
      <c r="AB758" s="9"/>
      <c r="AC758" s="9"/>
    </row>
    <row r="759" ht="15.75" customHeight="1">
      <c r="A759" s="223"/>
      <c r="B759" s="223"/>
      <c r="C759" s="223"/>
      <c r="D759" s="9"/>
      <c r="E759" s="223"/>
      <c r="F759" s="971"/>
      <c r="G759" s="9"/>
      <c r="H759" s="9"/>
      <c r="I759" s="9"/>
      <c r="J759" s="9"/>
      <c r="K759" s="9"/>
      <c r="L759" s="223"/>
      <c r="M759" s="223"/>
      <c r="N759" s="9"/>
      <c r="O759" s="9"/>
      <c r="P759" s="9"/>
      <c r="Q759" s="223"/>
      <c r="R759" s="9"/>
      <c r="S759" s="223"/>
      <c r="T759" s="9"/>
      <c r="U759" s="9"/>
      <c r="V759" s="9"/>
      <c r="W759" s="9"/>
      <c r="X759" s="9"/>
      <c r="Y759" s="204"/>
      <c r="Z759" s="9"/>
      <c r="AA759" s="9"/>
      <c r="AB759" s="9"/>
      <c r="AC759" s="9"/>
    </row>
    <row r="760" ht="15.75" customHeight="1">
      <c r="A760" s="223"/>
      <c r="B760" s="223"/>
      <c r="C760" s="223"/>
      <c r="D760" s="9"/>
      <c r="E760" s="223"/>
      <c r="F760" s="971"/>
      <c r="G760" s="9"/>
      <c r="H760" s="9"/>
      <c r="I760" s="9"/>
      <c r="J760" s="9"/>
      <c r="K760" s="9"/>
      <c r="L760" s="223"/>
      <c r="M760" s="223"/>
      <c r="N760" s="9"/>
      <c r="O760" s="9"/>
      <c r="P760" s="9"/>
      <c r="Q760" s="223"/>
      <c r="R760" s="9"/>
      <c r="S760" s="223"/>
      <c r="T760" s="9"/>
      <c r="U760" s="9"/>
      <c r="V760" s="9"/>
      <c r="W760" s="9"/>
      <c r="X760" s="9"/>
      <c r="Y760" s="204"/>
      <c r="Z760" s="9"/>
      <c r="AA760" s="9"/>
      <c r="AB760" s="9"/>
      <c r="AC760" s="9"/>
    </row>
    <row r="761" ht="15.75" customHeight="1">
      <c r="A761" s="223"/>
      <c r="B761" s="223"/>
      <c r="C761" s="223"/>
      <c r="D761" s="9"/>
      <c r="E761" s="223"/>
      <c r="F761" s="971"/>
      <c r="G761" s="9"/>
      <c r="H761" s="9"/>
      <c r="I761" s="9"/>
      <c r="J761" s="9"/>
      <c r="K761" s="9"/>
      <c r="L761" s="223"/>
      <c r="M761" s="223"/>
      <c r="N761" s="9"/>
      <c r="O761" s="9"/>
      <c r="P761" s="9"/>
      <c r="Q761" s="223"/>
      <c r="R761" s="9"/>
      <c r="S761" s="223"/>
      <c r="T761" s="9"/>
      <c r="U761" s="9"/>
      <c r="V761" s="9"/>
      <c r="W761" s="9"/>
      <c r="X761" s="9"/>
      <c r="Y761" s="204"/>
      <c r="Z761" s="9"/>
      <c r="AA761" s="9"/>
      <c r="AB761" s="9"/>
      <c r="AC761" s="9"/>
    </row>
    <row r="762" ht="15.75" customHeight="1">
      <c r="A762" s="223"/>
      <c r="B762" s="223"/>
      <c r="C762" s="223"/>
      <c r="D762" s="9"/>
      <c r="E762" s="223"/>
      <c r="F762" s="971"/>
      <c r="G762" s="9"/>
      <c r="H762" s="9"/>
      <c r="I762" s="9"/>
      <c r="J762" s="9"/>
      <c r="K762" s="9"/>
      <c r="L762" s="223"/>
      <c r="M762" s="223"/>
      <c r="N762" s="9"/>
      <c r="O762" s="9"/>
      <c r="P762" s="9"/>
      <c r="Q762" s="223"/>
      <c r="R762" s="9"/>
      <c r="S762" s="223"/>
      <c r="T762" s="9"/>
      <c r="U762" s="9"/>
      <c r="V762" s="9"/>
      <c r="W762" s="9"/>
      <c r="X762" s="9"/>
      <c r="Y762" s="204"/>
      <c r="Z762" s="9"/>
      <c r="AA762" s="9"/>
      <c r="AB762" s="9"/>
      <c r="AC762" s="9"/>
    </row>
    <row r="763" ht="15.75" customHeight="1">
      <c r="A763" s="223"/>
      <c r="B763" s="223"/>
      <c r="C763" s="223"/>
      <c r="D763" s="9"/>
      <c r="E763" s="223"/>
      <c r="F763" s="971"/>
      <c r="G763" s="9"/>
      <c r="H763" s="9"/>
      <c r="I763" s="9"/>
      <c r="J763" s="9"/>
      <c r="K763" s="9"/>
      <c r="L763" s="223"/>
      <c r="M763" s="223"/>
      <c r="N763" s="9"/>
      <c r="O763" s="9"/>
      <c r="P763" s="9"/>
      <c r="Q763" s="223"/>
      <c r="R763" s="9"/>
      <c r="S763" s="223"/>
      <c r="T763" s="9"/>
      <c r="U763" s="9"/>
      <c r="V763" s="9"/>
      <c r="W763" s="9"/>
      <c r="X763" s="9"/>
      <c r="Y763" s="204"/>
      <c r="Z763" s="9"/>
      <c r="AA763" s="9"/>
      <c r="AB763" s="9"/>
      <c r="AC763" s="9"/>
    </row>
    <row r="764" ht="15.75" customHeight="1">
      <c r="A764" s="223"/>
      <c r="B764" s="223"/>
      <c r="C764" s="223"/>
      <c r="D764" s="9"/>
      <c r="E764" s="223"/>
      <c r="F764" s="971"/>
      <c r="G764" s="9"/>
      <c r="H764" s="9"/>
      <c r="I764" s="9"/>
      <c r="J764" s="9"/>
      <c r="K764" s="9"/>
      <c r="L764" s="223"/>
      <c r="M764" s="223"/>
      <c r="N764" s="9"/>
      <c r="O764" s="9"/>
      <c r="P764" s="9"/>
      <c r="Q764" s="223"/>
      <c r="R764" s="9"/>
      <c r="S764" s="223"/>
      <c r="T764" s="9"/>
      <c r="U764" s="9"/>
      <c r="V764" s="9"/>
      <c r="W764" s="9"/>
      <c r="X764" s="9"/>
      <c r="Y764" s="204"/>
      <c r="Z764" s="9"/>
      <c r="AA764" s="9"/>
      <c r="AB764" s="9"/>
      <c r="AC764" s="9"/>
    </row>
    <row r="765" ht="15.75" customHeight="1">
      <c r="A765" s="223"/>
      <c r="B765" s="223"/>
      <c r="C765" s="223"/>
      <c r="D765" s="9"/>
      <c r="E765" s="223"/>
      <c r="F765" s="971"/>
      <c r="G765" s="9"/>
      <c r="H765" s="9"/>
      <c r="I765" s="9"/>
      <c r="J765" s="9"/>
      <c r="K765" s="9"/>
      <c r="L765" s="223"/>
      <c r="M765" s="223"/>
      <c r="N765" s="9"/>
      <c r="O765" s="9"/>
      <c r="P765" s="9"/>
      <c r="Q765" s="223"/>
      <c r="R765" s="9"/>
      <c r="S765" s="223"/>
      <c r="T765" s="9"/>
      <c r="U765" s="9"/>
      <c r="V765" s="9"/>
      <c r="W765" s="9"/>
      <c r="X765" s="9"/>
      <c r="Y765" s="204"/>
      <c r="Z765" s="9"/>
      <c r="AA765" s="9"/>
      <c r="AB765" s="9"/>
      <c r="AC765" s="9"/>
    </row>
    <row r="766" ht="15.75" customHeight="1">
      <c r="A766" s="223"/>
      <c r="B766" s="223"/>
      <c r="C766" s="223"/>
      <c r="D766" s="9"/>
      <c r="E766" s="223"/>
      <c r="F766" s="971"/>
      <c r="G766" s="9"/>
      <c r="H766" s="9"/>
      <c r="I766" s="9"/>
      <c r="J766" s="9"/>
      <c r="K766" s="9"/>
      <c r="L766" s="223"/>
      <c r="M766" s="223"/>
      <c r="N766" s="9"/>
      <c r="O766" s="9"/>
      <c r="P766" s="9"/>
      <c r="Q766" s="223"/>
      <c r="R766" s="9"/>
      <c r="S766" s="223"/>
      <c r="T766" s="9"/>
      <c r="U766" s="9"/>
      <c r="V766" s="9"/>
      <c r="W766" s="9"/>
      <c r="X766" s="9"/>
      <c r="Y766" s="204"/>
      <c r="Z766" s="9"/>
      <c r="AA766" s="9"/>
      <c r="AB766" s="9"/>
      <c r="AC766" s="9"/>
    </row>
    <row r="767" ht="15.75" customHeight="1">
      <c r="A767" s="223"/>
      <c r="B767" s="223"/>
      <c r="C767" s="223"/>
      <c r="D767" s="9"/>
      <c r="E767" s="223"/>
      <c r="F767" s="971"/>
      <c r="G767" s="9"/>
      <c r="H767" s="9"/>
      <c r="I767" s="9"/>
      <c r="J767" s="9"/>
      <c r="K767" s="9"/>
      <c r="L767" s="223"/>
      <c r="M767" s="223"/>
      <c r="N767" s="9"/>
      <c r="O767" s="9"/>
      <c r="P767" s="9"/>
      <c r="Q767" s="223"/>
      <c r="R767" s="9"/>
      <c r="S767" s="223"/>
      <c r="T767" s="9"/>
      <c r="U767" s="9"/>
      <c r="V767" s="9"/>
      <c r="W767" s="9"/>
      <c r="X767" s="9"/>
      <c r="Y767" s="204"/>
      <c r="Z767" s="9"/>
      <c r="AA767" s="9"/>
      <c r="AB767" s="9"/>
      <c r="AC767" s="9"/>
    </row>
    <row r="768" ht="15.75" customHeight="1">
      <c r="A768" s="223"/>
      <c r="B768" s="223"/>
      <c r="C768" s="223"/>
      <c r="D768" s="9"/>
      <c r="E768" s="223"/>
      <c r="F768" s="971"/>
      <c r="G768" s="9"/>
      <c r="H768" s="9"/>
      <c r="I768" s="9"/>
      <c r="J768" s="9"/>
      <c r="K768" s="9"/>
      <c r="L768" s="223"/>
      <c r="M768" s="223"/>
      <c r="N768" s="9"/>
      <c r="O768" s="9"/>
      <c r="P768" s="9"/>
      <c r="Q768" s="223"/>
      <c r="R768" s="9"/>
      <c r="S768" s="223"/>
      <c r="T768" s="9"/>
      <c r="U768" s="9"/>
      <c r="V768" s="9"/>
      <c r="W768" s="9"/>
      <c r="X768" s="9"/>
      <c r="Y768" s="204"/>
      <c r="Z768" s="9"/>
      <c r="AA768" s="9"/>
      <c r="AB768" s="9"/>
      <c r="AC768" s="9"/>
    </row>
    <row r="769" ht="15.75" customHeight="1">
      <c r="A769" s="223"/>
      <c r="B769" s="223"/>
      <c r="C769" s="223"/>
      <c r="D769" s="9"/>
      <c r="E769" s="223"/>
      <c r="F769" s="971"/>
      <c r="G769" s="9"/>
      <c r="H769" s="9"/>
      <c r="I769" s="9"/>
      <c r="J769" s="9"/>
      <c r="K769" s="9"/>
      <c r="L769" s="223"/>
      <c r="M769" s="223"/>
      <c r="N769" s="9"/>
      <c r="O769" s="9"/>
      <c r="P769" s="9"/>
      <c r="Q769" s="223"/>
      <c r="R769" s="9"/>
      <c r="S769" s="223"/>
      <c r="T769" s="9"/>
      <c r="U769" s="9"/>
      <c r="V769" s="9"/>
      <c r="W769" s="9"/>
      <c r="X769" s="9"/>
      <c r="Y769" s="204"/>
      <c r="Z769" s="9"/>
      <c r="AA769" s="9"/>
      <c r="AB769" s="9"/>
      <c r="AC769" s="9"/>
    </row>
    <row r="770" ht="15.75" customHeight="1">
      <c r="A770" s="223"/>
      <c r="B770" s="223"/>
      <c r="C770" s="223"/>
      <c r="D770" s="9"/>
      <c r="E770" s="223"/>
      <c r="F770" s="971"/>
      <c r="G770" s="9"/>
      <c r="H770" s="9"/>
      <c r="I770" s="9"/>
      <c r="J770" s="9"/>
      <c r="K770" s="9"/>
      <c r="L770" s="223"/>
      <c r="M770" s="223"/>
      <c r="N770" s="9"/>
      <c r="O770" s="9"/>
      <c r="P770" s="9"/>
      <c r="Q770" s="223"/>
      <c r="R770" s="9"/>
      <c r="S770" s="223"/>
      <c r="T770" s="9"/>
      <c r="U770" s="9"/>
      <c r="V770" s="9"/>
      <c r="W770" s="9"/>
      <c r="X770" s="9"/>
      <c r="Y770" s="204"/>
      <c r="Z770" s="9"/>
      <c r="AA770" s="9"/>
      <c r="AB770" s="9"/>
      <c r="AC770" s="9"/>
    </row>
    <row r="771" ht="15.75" customHeight="1">
      <c r="A771" s="223"/>
      <c r="B771" s="223"/>
      <c r="C771" s="223"/>
      <c r="D771" s="9"/>
      <c r="E771" s="223"/>
      <c r="F771" s="971"/>
      <c r="G771" s="9"/>
      <c r="H771" s="9"/>
      <c r="I771" s="9"/>
      <c r="J771" s="9"/>
      <c r="K771" s="9"/>
      <c r="L771" s="223"/>
      <c r="M771" s="223"/>
      <c r="N771" s="9"/>
      <c r="O771" s="9"/>
      <c r="P771" s="9"/>
      <c r="Q771" s="223"/>
      <c r="R771" s="9"/>
      <c r="S771" s="223"/>
      <c r="T771" s="9"/>
      <c r="U771" s="9"/>
      <c r="V771" s="9"/>
      <c r="W771" s="9"/>
      <c r="X771" s="9"/>
      <c r="Y771" s="204"/>
      <c r="Z771" s="9"/>
      <c r="AA771" s="9"/>
      <c r="AB771" s="9"/>
      <c r="AC771" s="9"/>
    </row>
    <row r="772" ht="15.75" customHeight="1">
      <c r="A772" s="223"/>
      <c r="B772" s="223"/>
      <c r="C772" s="223"/>
      <c r="D772" s="9"/>
      <c r="E772" s="223"/>
      <c r="F772" s="971"/>
      <c r="G772" s="9"/>
      <c r="H772" s="9"/>
      <c r="I772" s="9"/>
      <c r="J772" s="9"/>
      <c r="K772" s="9"/>
      <c r="L772" s="223"/>
      <c r="M772" s="223"/>
      <c r="N772" s="9"/>
      <c r="O772" s="9"/>
      <c r="P772" s="9"/>
      <c r="Q772" s="223"/>
      <c r="R772" s="9"/>
      <c r="S772" s="223"/>
      <c r="T772" s="9"/>
      <c r="U772" s="9"/>
      <c r="V772" s="9"/>
      <c r="W772" s="9"/>
      <c r="X772" s="9"/>
      <c r="Y772" s="204"/>
      <c r="Z772" s="9"/>
      <c r="AA772" s="9"/>
      <c r="AB772" s="9"/>
      <c r="AC772" s="9"/>
    </row>
    <row r="773" ht="15.75" customHeight="1">
      <c r="A773" s="223"/>
      <c r="B773" s="223"/>
      <c r="C773" s="223"/>
      <c r="D773" s="9"/>
      <c r="E773" s="223"/>
      <c r="F773" s="971"/>
      <c r="G773" s="9"/>
      <c r="H773" s="9"/>
      <c r="I773" s="9"/>
      <c r="J773" s="9"/>
      <c r="K773" s="9"/>
      <c r="L773" s="223"/>
      <c r="M773" s="223"/>
      <c r="N773" s="9"/>
      <c r="O773" s="9"/>
      <c r="P773" s="9"/>
      <c r="Q773" s="223"/>
      <c r="R773" s="9"/>
      <c r="S773" s="223"/>
      <c r="T773" s="9"/>
      <c r="U773" s="9"/>
      <c r="V773" s="9"/>
      <c r="W773" s="9"/>
      <c r="X773" s="9"/>
      <c r="Y773" s="204"/>
      <c r="Z773" s="9"/>
      <c r="AA773" s="9"/>
      <c r="AB773" s="9"/>
      <c r="AC773" s="9"/>
    </row>
    <row r="774" ht="15.75" customHeight="1">
      <c r="A774" s="223"/>
      <c r="B774" s="223"/>
      <c r="C774" s="223"/>
      <c r="D774" s="9"/>
      <c r="E774" s="223"/>
      <c r="F774" s="971"/>
      <c r="G774" s="9"/>
      <c r="H774" s="9"/>
      <c r="I774" s="9"/>
      <c r="J774" s="9"/>
      <c r="K774" s="9"/>
      <c r="L774" s="223"/>
      <c r="M774" s="223"/>
      <c r="N774" s="9"/>
      <c r="O774" s="9"/>
      <c r="P774" s="9"/>
      <c r="Q774" s="223"/>
      <c r="R774" s="9"/>
      <c r="S774" s="223"/>
      <c r="T774" s="9"/>
      <c r="U774" s="9"/>
      <c r="V774" s="9"/>
      <c r="W774" s="9"/>
      <c r="X774" s="9"/>
      <c r="Y774" s="204"/>
      <c r="Z774" s="9"/>
      <c r="AA774" s="9"/>
      <c r="AB774" s="9"/>
      <c r="AC774" s="9"/>
    </row>
    <row r="775" ht="15.75" customHeight="1">
      <c r="A775" s="223"/>
      <c r="B775" s="223"/>
      <c r="C775" s="223"/>
      <c r="D775" s="9"/>
      <c r="E775" s="223"/>
      <c r="F775" s="971"/>
      <c r="G775" s="9"/>
      <c r="H775" s="9"/>
      <c r="I775" s="9"/>
      <c r="J775" s="9"/>
      <c r="K775" s="9"/>
      <c r="L775" s="223"/>
      <c r="M775" s="223"/>
      <c r="N775" s="9"/>
      <c r="O775" s="9"/>
      <c r="P775" s="9"/>
      <c r="Q775" s="223"/>
      <c r="R775" s="9"/>
      <c r="S775" s="223"/>
      <c r="T775" s="9"/>
      <c r="U775" s="9"/>
      <c r="V775" s="9"/>
      <c r="W775" s="9"/>
      <c r="X775" s="9"/>
      <c r="Y775" s="204"/>
      <c r="Z775" s="9"/>
      <c r="AA775" s="9"/>
      <c r="AB775" s="9"/>
      <c r="AC775" s="9"/>
    </row>
    <row r="776" ht="15.75" customHeight="1">
      <c r="A776" s="223"/>
      <c r="B776" s="223"/>
      <c r="C776" s="223"/>
      <c r="D776" s="9"/>
      <c r="E776" s="223"/>
      <c r="F776" s="971"/>
      <c r="G776" s="9"/>
      <c r="H776" s="9"/>
      <c r="I776" s="9"/>
      <c r="J776" s="9"/>
      <c r="K776" s="9"/>
      <c r="L776" s="223"/>
      <c r="M776" s="223"/>
      <c r="N776" s="9"/>
      <c r="O776" s="9"/>
      <c r="P776" s="9"/>
      <c r="Q776" s="223"/>
      <c r="R776" s="9"/>
      <c r="S776" s="223"/>
      <c r="T776" s="9"/>
      <c r="U776" s="9"/>
      <c r="V776" s="9"/>
      <c r="W776" s="9"/>
      <c r="X776" s="9"/>
      <c r="Y776" s="204"/>
      <c r="Z776" s="9"/>
      <c r="AA776" s="9"/>
      <c r="AB776" s="9"/>
      <c r="AC776" s="9"/>
    </row>
    <row r="777" ht="15.75" customHeight="1">
      <c r="A777" s="223"/>
      <c r="B777" s="223"/>
      <c r="C777" s="223"/>
      <c r="D777" s="9"/>
      <c r="E777" s="223"/>
      <c r="F777" s="971"/>
      <c r="G777" s="9"/>
      <c r="H777" s="9"/>
      <c r="I777" s="9"/>
      <c r="J777" s="9"/>
      <c r="K777" s="9"/>
      <c r="L777" s="223"/>
      <c r="M777" s="223"/>
      <c r="N777" s="9"/>
      <c r="O777" s="9"/>
      <c r="P777" s="9"/>
      <c r="Q777" s="223"/>
      <c r="R777" s="9"/>
      <c r="S777" s="223"/>
      <c r="T777" s="9"/>
      <c r="U777" s="9"/>
      <c r="V777" s="9"/>
      <c r="W777" s="9"/>
      <c r="X777" s="9"/>
      <c r="Y777" s="204"/>
      <c r="Z777" s="9"/>
      <c r="AA777" s="9"/>
      <c r="AB777" s="9"/>
      <c r="AC777" s="9"/>
    </row>
    <row r="778" ht="15.75" customHeight="1">
      <c r="A778" s="223"/>
      <c r="B778" s="223"/>
      <c r="C778" s="223"/>
      <c r="D778" s="9"/>
      <c r="E778" s="223"/>
      <c r="F778" s="971"/>
      <c r="G778" s="9"/>
      <c r="H778" s="9"/>
      <c r="I778" s="9"/>
      <c r="J778" s="9"/>
      <c r="K778" s="9"/>
      <c r="L778" s="223"/>
      <c r="M778" s="223"/>
      <c r="N778" s="9"/>
      <c r="O778" s="9"/>
      <c r="P778" s="9"/>
      <c r="Q778" s="223"/>
      <c r="R778" s="9"/>
      <c r="S778" s="223"/>
      <c r="T778" s="9"/>
      <c r="U778" s="9"/>
      <c r="V778" s="9"/>
      <c r="W778" s="9"/>
      <c r="X778" s="9"/>
      <c r="Y778" s="204"/>
      <c r="Z778" s="9"/>
      <c r="AA778" s="9"/>
      <c r="AB778" s="9"/>
      <c r="AC778" s="9"/>
    </row>
    <row r="779" ht="15.75" customHeight="1">
      <c r="A779" s="223"/>
      <c r="B779" s="223"/>
      <c r="C779" s="223"/>
      <c r="D779" s="9"/>
      <c r="E779" s="223"/>
      <c r="F779" s="971"/>
      <c r="G779" s="9"/>
      <c r="H779" s="9"/>
      <c r="I779" s="9"/>
      <c r="J779" s="9"/>
      <c r="K779" s="9"/>
      <c r="L779" s="223"/>
      <c r="M779" s="223"/>
      <c r="N779" s="9"/>
      <c r="O779" s="9"/>
      <c r="P779" s="9"/>
      <c r="Q779" s="223"/>
      <c r="R779" s="9"/>
      <c r="S779" s="223"/>
      <c r="T779" s="9"/>
      <c r="U779" s="9"/>
      <c r="V779" s="9"/>
      <c r="W779" s="9"/>
      <c r="X779" s="9"/>
      <c r="Y779" s="204"/>
      <c r="Z779" s="9"/>
      <c r="AA779" s="9"/>
      <c r="AB779" s="9"/>
      <c r="AC779" s="9"/>
    </row>
    <row r="780" ht="15.75" customHeight="1">
      <c r="A780" s="223"/>
      <c r="B780" s="223"/>
      <c r="C780" s="223"/>
      <c r="D780" s="9"/>
      <c r="E780" s="223"/>
      <c r="F780" s="971"/>
      <c r="G780" s="9"/>
      <c r="H780" s="9"/>
      <c r="I780" s="9"/>
      <c r="J780" s="9"/>
      <c r="K780" s="9"/>
      <c r="L780" s="223"/>
      <c r="M780" s="223"/>
      <c r="N780" s="9"/>
      <c r="O780" s="9"/>
      <c r="P780" s="9"/>
      <c r="Q780" s="223"/>
      <c r="R780" s="9"/>
      <c r="S780" s="223"/>
      <c r="T780" s="9"/>
      <c r="U780" s="9"/>
      <c r="V780" s="9"/>
      <c r="W780" s="9"/>
      <c r="X780" s="9"/>
      <c r="Y780" s="204"/>
      <c r="Z780" s="9"/>
      <c r="AA780" s="9"/>
      <c r="AB780" s="9"/>
      <c r="AC780" s="9"/>
    </row>
    <row r="781" ht="15.75" customHeight="1">
      <c r="A781" s="223"/>
      <c r="B781" s="223"/>
      <c r="C781" s="223"/>
      <c r="D781" s="9"/>
      <c r="E781" s="223"/>
      <c r="F781" s="971"/>
      <c r="G781" s="9"/>
      <c r="H781" s="9"/>
      <c r="I781" s="9"/>
      <c r="J781" s="9"/>
      <c r="K781" s="9"/>
      <c r="L781" s="223"/>
      <c r="M781" s="223"/>
      <c r="N781" s="9"/>
      <c r="O781" s="9"/>
      <c r="P781" s="9"/>
      <c r="Q781" s="223"/>
      <c r="R781" s="9"/>
      <c r="S781" s="223"/>
      <c r="T781" s="9"/>
      <c r="U781" s="9"/>
      <c r="V781" s="9"/>
      <c r="W781" s="9"/>
      <c r="X781" s="9"/>
      <c r="Y781" s="204"/>
      <c r="Z781" s="9"/>
      <c r="AA781" s="9"/>
      <c r="AB781" s="9"/>
      <c r="AC781" s="9"/>
    </row>
    <row r="782" ht="15.75" customHeight="1">
      <c r="A782" s="223"/>
      <c r="B782" s="223"/>
      <c r="C782" s="223"/>
      <c r="D782" s="9"/>
      <c r="E782" s="223"/>
      <c r="F782" s="971"/>
      <c r="G782" s="9"/>
      <c r="H782" s="9"/>
      <c r="I782" s="9"/>
      <c r="J782" s="9"/>
      <c r="K782" s="9"/>
      <c r="L782" s="223"/>
      <c r="M782" s="223"/>
      <c r="N782" s="9"/>
      <c r="O782" s="9"/>
      <c r="P782" s="9"/>
      <c r="Q782" s="223"/>
      <c r="R782" s="9"/>
      <c r="S782" s="223"/>
      <c r="T782" s="9"/>
      <c r="U782" s="9"/>
      <c r="V782" s="9"/>
      <c r="W782" s="9"/>
      <c r="X782" s="9"/>
      <c r="Y782" s="204"/>
      <c r="Z782" s="9"/>
      <c r="AA782" s="9"/>
      <c r="AB782" s="9"/>
      <c r="AC782" s="9"/>
    </row>
    <row r="783" ht="15.75" customHeight="1">
      <c r="A783" s="223"/>
      <c r="B783" s="223"/>
      <c r="C783" s="223"/>
      <c r="D783" s="9"/>
      <c r="E783" s="223"/>
      <c r="F783" s="971"/>
      <c r="G783" s="9"/>
      <c r="H783" s="9"/>
      <c r="I783" s="9"/>
      <c r="J783" s="9"/>
      <c r="K783" s="9"/>
      <c r="L783" s="223"/>
      <c r="M783" s="223"/>
      <c r="N783" s="9"/>
      <c r="O783" s="9"/>
      <c r="P783" s="9"/>
      <c r="Q783" s="223"/>
      <c r="R783" s="9"/>
      <c r="S783" s="223"/>
      <c r="T783" s="9"/>
      <c r="U783" s="9"/>
      <c r="V783" s="9"/>
      <c r="W783" s="9"/>
      <c r="X783" s="9"/>
      <c r="Y783" s="204"/>
      <c r="Z783" s="9"/>
      <c r="AA783" s="9"/>
      <c r="AB783" s="9"/>
      <c r="AC783" s="9"/>
    </row>
    <row r="784" ht="15.75" customHeight="1">
      <c r="A784" s="223"/>
      <c r="B784" s="223"/>
      <c r="C784" s="223"/>
      <c r="D784" s="9"/>
      <c r="E784" s="223"/>
      <c r="F784" s="971"/>
      <c r="G784" s="9"/>
      <c r="H784" s="9"/>
      <c r="I784" s="9"/>
      <c r="J784" s="9"/>
      <c r="K784" s="9"/>
      <c r="L784" s="223"/>
      <c r="M784" s="223"/>
      <c r="N784" s="9"/>
      <c r="O784" s="9"/>
      <c r="P784" s="9"/>
      <c r="Q784" s="223"/>
      <c r="R784" s="9"/>
      <c r="S784" s="223"/>
      <c r="T784" s="9"/>
      <c r="U784" s="9"/>
      <c r="V784" s="9"/>
      <c r="W784" s="9"/>
      <c r="X784" s="9"/>
      <c r="Y784" s="204"/>
      <c r="Z784" s="9"/>
      <c r="AA784" s="9"/>
      <c r="AB784" s="9"/>
      <c r="AC784" s="9"/>
    </row>
    <row r="785" ht="15.75" customHeight="1">
      <c r="A785" s="223"/>
      <c r="B785" s="223"/>
      <c r="C785" s="223"/>
      <c r="D785" s="9"/>
      <c r="E785" s="223"/>
      <c r="F785" s="971"/>
      <c r="G785" s="9"/>
      <c r="H785" s="9"/>
      <c r="I785" s="9"/>
      <c r="J785" s="9"/>
      <c r="K785" s="9"/>
      <c r="L785" s="223"/>
      <c r="M785" s="223"/>
      <c r="N785" s="9"/>
      <c r="O785" s="9"/>
      <c r="P785" s="9"/>
      <c r="Q785" s="223"/>
      <c r="R785" s="9"/>
      <c r="S785" s="223"/>
      <c r="T785" s="9"/>
      <c r="U785" s="9"/>
      <c r="V785" s="9"/>
      <c r="W785" s="9"/>
      <c r="X785" s="9"/>
      <c r="Y785" s="204"/>
      <c r="Z785" s="9"/>
      <c r="AA785" s="9"/>
      <c r="AB785" s="9"/>
      <c r="AC785" s="9"/>
    </row>
    <row r="786" ht="15.75" customHeight="1">
      <c r="A786" s="223"/>
      <c r="B786" s="223"/>
      <c r="C786" s="223"/>
      <c r="D786" s="9"/>
      <c r="E786" s="223"/>
      <c r="F786" s="971"/>
      <c r="G786" s="9"/>
      <c r="H786" s="9"/>
      <c r="I786" s="9"/>
      <c r="J786" s="9"/>
      <c r="K786" s="9"/>
      <c r="L786" s="223"/>
      <c r="M786" s="223"/>
      <c r="N786" s="9"/>
      <c r="O786" s="9"/>
      <c r="P786" s="9"/>
      <c r="Q786" s="223"/>
      <c r="R786" s="9"/>
      <c r="S786" s="223"/>
      <c r="T786" s="9"/>
      <c r="U786" s="9"/>
      <c r="V786" s="9"/>
      <c r="W786" s="9"/>
      <c r="X786" s="9"/>
      <c r="Y786" s="204"/>
      <c r="Z786" s="9"/>
      <c r="AA786" s="9"/>
      <c r="AB786" s="9"/>
      <c r="AC786" s="9"/>
    </row>
    <row r="787" ht="15.75" customHeight="1">
      <c r="A787" s="223"/>
      <c r="B787" s="223"/>
      <c r="C787" s="223"/>
      <c r="D787" s="9"/>
      <c r="E787" s="223"/>
      <c r="F787" s="971"/>
      <c r="G787" s="9"/>
      <c r="H787" s="9"/>
      <c r="I787" s="9"/>
      <c r="J787" s="9"/>
      <c r="K787" s="9"/>
      <c r="L787" s="223"/>
      <c r="M787" s="223"/>
      <c r="N787" s="9"/>
      <c r="O787" s="9"/>
      <c r="P787" s="9"/>
      <c r="Q787" s="223"/>
      <c r="R787" s="9"/>
      <c r="S787" s="223"/>
      <c r="T787" s="9"/>
      <c r="U787" s="9"/>
      <c r="V787" s="9"/>
      <c r="W787" s="9"/>
      <c r="X787" s="9"/>
      <c r="Y787" s="204"/>
      <c r="Z787" s="9"/>
      <c r="AA787" s="9"/>
      <c r="AB787" s="9"/>
      <c r="AC787" s="9"/>
    </row>
    <row r="788" ht="15.75" customHeight="1">
      <c r="A788" s="223"/>
      <c r="B788" s="223"/>
      <c r="C788" s="223"/>
      <c r="D788" s="9"/>
      <c r="E788" s="223"/>
      <c r="F788" s="971"/>
      <c r="G788" s="9"/>
      <c r="H788" s="9"/>
      <c r="I788" s="9"/>
      <c r="J788" s="9"/>
      <c r="K788" s="9"/>
      <c r="L788" s="223"/>
      <c r="M788" s="223"/>
      <c r="N788" s="9"/>
      <c r="O788" s="9"/>
      <c r="P788" s="9"/>
      <c r="Q788" s="223"/>
      <c r="R788" s="9"/>
      <c r="S788" s="223"/>
      <c r="T788" s="9"/>
      <c r="U788" s="9"/>
      <c r="V788" s="9"/>
      <c r="W788" s="9"/>
      <c r="X788" s="9"/>
      <c r="Y788" s="204"/>
      <c r="Z788" s="9"/>
      <c r="AA788" s="9"/>
      <c r="AB788" s="9"/>
      <c r="AC788" s="9"/>
    </row>
    <row r="789" ht="15.75" customHeight="1">
      <c r="A789" s="223"/>
      <c r="B789" s="223"/>
      <c r="C789" s="223"/>
      <c r="D789" s="9"/>
      <c r="E789" s="223"/>
      <c r="F789" s="971"/>
      <c r="G789" s="9"/>
      <c r="H789" s="9"/>
      <c r="I789" s="9"/>
      <c r="J789" s="9"/>
      <c r="K789" s="9"/>
      <c r="L789" s="223"/>
      <c r="M789" s="223"/>
      <c r="N789" s="9"/>
      <c r="O789" s="9"/>
      <c r="P789" s="9"/>
      <c r="Q789" s="223"/>
      <c r="R789" s="9"/>
      <c r="S789" s="223"/>
      <c r="T789" s="9"/>
      <c r="U789" s="9"/>
      <c r="V789" s="9"/>
      <c r="W789" s="9"/>
      <c r="X789" s="9"/>
      <c r="Y789" s="204"/>
      <c r="Z789" s="9"/>
      <c r="AA789" s="9"/>
      <c r="AB789" s="9"/>
      <c r="AC789" s="9"/>
    </row>
    <row r="790" ht="15.75" customHeight="1">
      <c r="A790" s="223"/>
      <c r="B790" s="223"/>
      <c r="C790" s="223"/>
      <c r="D790" s="9"/>
      <c r="E790" s="223"/>
      <c r="F790" s="971"/>
      <c r="G790" s="9"/>
      <c r="H790" s="9"/>
      <c r="I790" s="9"/>
      <c r="J790" s="9"/>
      <c r="K790" s="9"/>
      <c r="L790" s="223"/>
      <c r="M790" s="223"/>
      <c r="N790" s="9"/>
      <c r="O790" s="9"/>
      <c r="P790" s="9"/>
      <c r="Q790" s="223"/>
      <c r="R790" s="9"/>
      <c r="S790" s="223"/>
      <c r="T790" s="9"/>
      <c r="U790" s="9"/>
      <c r="V790" s="9"/>
      <c r="W790" s="9"/>
      <c r="X790" s="9"/>
      <c r="Y790" s="204"/>
      <c r="Z790" s="9"/>
      <c r="AA790" s="9"/>
      <c r="AB790" s="9"/>
      <c r="AC790" s="9"/>
    </row>
    <row r="791" ht="15.75" customHeight="1">
      <c r="A791" s="223"/>
      <c r="B791" s="223"/>
      <c r="C791" s="223"/>
      <c r="D791" s="9"/>
      <c r="E791" s="223"/>
      <c r="F791" s="971"/>
      <c r="G791" s="9"/>
      <c r="H791" s="9"/>
      <c r="I791" s="9"/>
      <c r="J791" s="9"/>
      <c r="K791" s="9"/>
      <c r="L791" s="223"/>
      <c r="M791" s="223"/>
      <c r="N791" s="9"/>
      <c r="O791" s="9"/>
      <c r="P791" s="9"/>
      <c r="Q791" s="223"/>
      <c r="R791" s="9"/>
      <c r="S791" s="223"/>
      <c r="T791" s="9"/>
      <c r="U791" s="9"/>
      <c r="V791" s="9"/>
      <c r="W791" s="9"/>
      <c r="X791" s="9"/>
      <c r="Y791" s="204"/>
      <c r="Z791" s="9"/>
      <c r="AA791" s="9"/>
      <c r="AB791" s="9"/>
      <c r="AC791" s="9"/>
    </row>
    <row r="792" ht="15.75" customHeight="1">
      <c r="A792" s="223"/>
      <c r="B792" s="223"/>
      <c r="C792" s="223"/>
      <c r="D792" s="9"/>
      <c r="E792" s="223"/>
      <c r="F792" s="971"/>
      <c r="G792" s="9"/>
      <c r="H792" s="9"/>
      <c r="I792" s="9"/>
      <c r="J792" s="9"/>
      <c r="K792" s="9"/>
      <c r="L792" s="223"/>
      <c r="M792" s="223"/>
      <c r="N792" s="9"/>
      <c r="O792" s="9"/>
      <c r="P792" s="9"/>
      <c r="Q792" s="223"/>
      <c r="R792" s="9"/>
      <c r="S792" s="223"/>
      <c r="T792" s="9"/>
      <c r="U792" s="9"/>
      <c r="V792" s="9"/>
      <c r="W792" s="9"/>
      <c r="X792" s="9"/>
      <c r="Y792" s="204"/>
      <c r="Z792" s="9"/>
      <c r="AA792" s="9"/>
      <c r="AB792" s="9"/>
      <c r="AC792" s="9"/>
    </row>
    <row r="793" ht="15.75" customHeight="1">
      <c r="A793" s="223"/>
      <c r="B793" s="223"/>
      <c r="C793" s="223"/>
      <c r="D793" s="9"/>
      <c r="E793" s="223"/>
      <c r="F793" s="971"/>
      <c r="G793" s="9"/>
      <c r="H793" s="9"/>
      <c r="I793" s="9"/>
      <c r="J793" s="9"/>
      <c r="K793" s="9"/>
      <c r="L793" s="223"/>
      <c r="M793" s="223"/>
      <c r="N793" s="9"/>
      <c r="O793" s="9"/>
      <c r="P793" s="9"/>
      <c r="Q793" s="223"/>
      <c r="R793" s="9"/>
      <c r="S793" s="223"/>
      <c r="T793" s="9"/>
      <c r="U793" s="9"/>
      <c r="V793" s="9"/>
      <c r="W793" s="9"/>
      <c r="X793" s="9"/>
      <c r="Y793" s="204"/>
      <c r="Z793" s="9"/>
      <c r="AA793" s="9"/>
      <c r="AB793" s="9"/>
      <c r="AC793" s="9"/>
    </row>
    <row r="794" ht="15.75" customHeight="1">
      <c r="A794" s="223"/>
      <c r="B794" s="223"/>
      <c r="C794" s="223"/>
      <c r="D794" s="9"/>
      <c r="E794" s="223"/>
      <c r="F794" s="971"/>
      <c r="G794" s="9"/>
      <c r="H794" s="9"/>
      <c r="I794" s="9"/>
      <c r="J794" s="9"/>
      <c r="K794" s="9"/>
      <c r="L794" s="223"/>
      <c r="M794" s="223"/>
      <c r="N794" s="9"/>
      <c r="O794" s="9"/>
      <c r="P794" s="9"/>
      <c r="Q794" s="223"/>
      <c r="R794" s="9"/>
      <c r="S794" s="223"/>
      <c r="T794" s="9"/>
      <c r="U794" s="9"/>
      <c r="V794" s="9"/>
      <c r="W794" s="9"/>
      <c r="X794" s="9"/>
      <c r="Y794" s="204"/>
      <c r="Z794" s="9"/>
      <c r="AA794" s="9"/>
      <c r="AB794" s="9"/>
      <c r="AC794" s="9"/>
    </row>
    <row r="795" ht="15.75" customHeight="1">
      <c r="A795" s="223"/>
      <c r="B795" s="223"/>
      <c r="C795" s="223"/>
      <c r="D795" s="9"/>
      <c r="E795" s="223"/>
      <c r="F795" s="971"/>
      <c r="G795" s="9"/>
      <c r="H795" s="9"/>
      <c r="I795" s="9"/>
      <c r="J795" s="9"/>
      <c r="K795" s="9"/>
      <c r="L795" s="223"/>
      <c r="M795" s="223"/>
      <c r="N795" s="9"/>
      <c r="O795" s="9"/>
      <c r="P795" s="9"/>
      <c r="Q795" s="223"/>
      <c r="R795" s="9"/>
      <c r="S795" s="223"/>
      <c r="T795" s="9"/>
      <c r="U795" s="9"/>
      <c r="V795" s="9"/>
      <c r="W795" s="9"/>
      <c r="X795" s="9"/>
      <c r="Y795" s="204"/>
      <c r="Z795" s="9"/>
      <c r="AA795" s="9"/>
      <c r="AB795" s="9"/>
      <c r="AC795" s="9"/>
    </row>
    <row r="796" ht="15.75" customHeight="1">
      <c r="A796" s="223"/>
      <c r="B796" s="223"/>
      <c r="C796" s="223"/>
      <c r="D796" s="9"/>
      <c r="E796" s="223"/>
      <c r="F796" s="971"/>
      <c r="G796" s="9"/>
      <c r="H796" s="9"/>
      <c r="I796" s="9"/>
      <c r="J796" s="9"/>
      <c r="K796" s="9"/>
      <c r="L796" s="223"/>
      <c r="M796" s="223"/>
      <c r="N796" s="9"/>
      <c r="O796" s="9"/>
      <c r="P796" s="9"/>
      <c r="Q796" s="223"/>
      <c r="R796" s="9"/>
      <c r="S796" s="223"/>
      <c r="T796" s="9"/>
      <c r="U796" s="9"/>
      <c r="V796" s="9"/>
      <c r="W796" s="9"/>
      <c r="X796" s="9"/>
      <c r="Y796" s="204"/>
      <c r="Z796" s="9"/>
      <c r="AA796" s="9"/>
      <c r="AB796" s="9"/>
      <c r="AC796" s="9"/>
    </row>
    <row r="797" ht="15.75" customHeight="1">
      <c r="A797" s="223"/>
      <c r="B797" s="223"/>
      <c r="C797" s="223"/>
      <c r="D797" s="9"/>
      <c r="E797" s="223"/>
      <c r="F797" s="971"/>
      <c r="G797" s="9"/>
      <c r="H797" s="9"/>
      <c r="I797" s="9"/>
      <c r="J797" s="9"/>
      <c r="K797" s="9"/>
      <c r="L797" s="223"/>
      <c r="M797" s="223"/>
      <c r="N797" s="9"/>
      <c r="O797" s="9"/>
      <c r="P797" s="9"/>
      <c r="Q797" s="223"/>
      <c r="R797" s="9"/>
      <c r="S797" s="223"/>
      <c r="T797" s="9"/>
      <c r="U797" s="9"/>
      <c r="V797" s="9"/>
      <c r="W797" s="9"/>
      <c r="X797" s="9"/>
      <c r="Y797" s="204"/>
      <c r="Z797" s="9"/>
      <c r="AA797" s="9"/>
      <c r="AB797" s="9"/>
      <c r="AC797" s="9"/>
    </row>
    <row r="798" ht="15.75" customHeight="1">
      <c r="A798" s="223"/>
      <c r="B798" s="223"/>
      <c r="C798" s="223"/>
      <c r="D798" s="9"/>
      <c r="E798" s="223"/>
      <c r="F798" s="971"/>
      <c r="G798" s="9"/>
      <c r="H798" s="9"/>
      <c r="I798" s="9"/>
      <c r="J798" s="9"/>
      <c r="K798" s="9"/>
      <c r="L798" s="223"/>
      <c r="M798" s="223"/>
      <c r="N798" s="9"/>
      <c r="O798" s="9"/>
      <c r="P798" s="9"/>
      <c r="Q798" s="223"/>
      <c r="R798" s="9"/>
      <c r="S798" s="223"/>
      <c r="T798" s="9"/>
      <c r="U798" s="9"/>
      <c r="V798" s="9"/>
      <c r="W798" s="9"/>
      <c r="X798" s="9"/>
      <c r="Y798" s="204"/>
      <c r="Z798" s="9"/>
      <c r="AA798" s="9"/>
      <c r="AB798" s="9"/>
      <c r="AC798" s="9"/>
    </row>
    <row r="799" ht="15.75" customHeight="1">
      <c r="A799" s="223"/>
      <c r="B799" s="223"/>
      <c r="C799" s="223"/>
      <c r="D799" s="9"/>
      <c r="E799" s="223"/>
      <c r="F799" s="971"/>
      <c r="G799" s="9"/>
      <c r="H799" s="9"/>
      <c r="I799" s="9"/>
      <c r="J799" s="9"/>
      <c r="K799" s="9"/>
      <c r="L799" s="223"/>
      <c r="M799" s="223"/>
      <c r="N799" s="9"/>
      <c r="O799" s="9"/>
      <c r="P799" s="9"/>
      <c r="Q799" s="223"/>
      <c r="R799" s="9"/>
      <c r="S799" s="223"/>
      <c r="T799" s="9"/>
      <c r="U799" s="9"/>
      <c r="V799" s="9"/>
      <c r="W799" s="9"/>
      <c r="X799" s="9"/>
      <c r="Y799" s="204"/>
      <c r="Z799" s="9"/>
      <c r="AA799" s="9"/>
      <c r="AB799" s="9"/>
      <c r="AC799" s="9"/>
    </row>
    <row r="800" ht="15.75" customHeight="1">
      <c r="A800" s="223"/>
      <c r="B800" s="223"/>
      <c r="C800" s="223"/>
      <c r="D800" s="9"/>
      <c r="E800" s="223"/>
      <c r="F800" s="971"/>
      <c r="G800" s="9"/>
      <c r="H800" s="9"/>
      <c r="I800" s="9"/>
      <c r="J800" s="9"/>
      <c r="K800" s="9"/>
      <c r="L800" s="223"/>
      <c r="M800" s="223"/>
      <c r="N800" s="9"/>
      <c r="O800" s="9"/>
      <c r="P800" s="9"/>
      <c r="Q800" s="223"/>
      <c r="R800" s="9"/>
      <c r="S800" s="223"/>
      <c r="T800" s="9"/>
      <c r="U800" s="9"/>
      <c r="V800" s="9"/>
      <c r="W800" s="9"/>
      <c r="X800" s="9"/>
      <c r="Y800" s="204"/>
      <c r="Z800" s="9"/>
      <c r="AA800" s="9"/>
      <c r="AB800" s="9"/>
      <c r="AC800" s="9"/>
    </row>
    <row r="801" ht="15.75" customHeight="1">
      <c r="A801" s="223"/>
      <c r="B801" s="223"/>
      <c r="C801" s="223"/>
      <c r="D801" s="9"/>
      <c r="E801" s="223"/>
      <c r="F801" s="971"/>
      <c r="G801" s="9"/>
      <c r="H801" s="9"/>
      <c r="I801" s="9"/>
      <c r="J801" s="9"/>
      <c r="K801" s="9"/>
      <c r="L801" s="223"/>
      <c r="M801" s="223"/>
      <c r="N801" s="9"/>
      <c r="O801" s="9"/>
      <c r="P801" s="9"/>
      <c r="Q801" s="223"/>
      <c r="R801" s="9"/>
      <c r="S801" s="223"/>
      <c r="T801" s="9"/>
      <c r="U801" s="9"/>
      <c r="V801" s="9"/>
      <c r="W801" s="9"/>
      <c r="X801" s="9"/>
      <c r="Y801" s="204"/>
      <c r="Z801" s="9"/>
      <c r="AA801" s="9"/>
      <c r="AB801" s="9"/>
      <c r="AC801" s="9"/>
    </row>
    <row r="802" ht="15.75" customHeight="1">
      <c r="A802" s="223"/>
      <c r="B802" s="223"/>
      <c r="C802" s="223"/>
      <c r="D802" s="9"/>
      <c r="E802" s="223"/>
      <c r="F802" s="971"/>
      <c r="G802" s="9"/>
      <c r="H802" s="9"/>
      <c r="I802" s="9"/>
      <c r="J802" s="9"/>
      <c r="K802" s="9"/>
      <c r="L802" s="223"/>
      <c r="M802" s="223"/>
      <c r="N802" s="9"/>
      <c r="O802" s="9"/>
      <c r="P802" s="9"/>
      <c r="Q802" s="223"/>
      <c r="R802" s="9"/>
      <c r="S802" s="223"/>
      <c r="T802" s="9"/>
      <c r="U802" s="9"/>
      <c r="V802" s="9"/>
      <c r="W802" s="9"/>
      <c r="X802" s="9"/>
      <c r="Y802" s="204"/>
      <c r="Z802" s="9"/>
      <c r="AA802" s="9"/>
      <c r="AB802" s="9"/>
      <c r="AC802" s="9"/>
    </row>
    <row r="803" ht="15.75" customHeight="1">
      <c r="A803" s="223"/>
      <c r="B803" s="223"/>
      <c r="C803" s="223"/>
      <c r="D803" s="9"/>
      <c r="E803" s="223"/>
      <c r="F803" s="971"/>
      <c r="G803" s="9"/>
      <c r="H803" s="9"/>
      <c r="I803" s="9"/>
      <c r="J803" s="9"/>
      <c r="K803" s="9"/>
      <c r="L803" s="223"/>
      <c r="M803" s="223"/>
      <c r="N803" s="9"/>
      <c r="O803" s="9"/>
      <c r="P803" s="9"/>
      <c r="Q803" s="223"/>
      <c r="R803" s="9"/>
      <c r="S803" s="223"/>
      <c r="T803" s="9"/>
      <c r="U803" s="9"/>
      <c r="V803" s="9"/>
      <c r="W803" s="9"/>
      <c r="X803" s="9"/>
      <c r="Y803" s="204"/>
      <c r="Z803" s="9"/>
      <c r="AA803" s="9"/>
      <c r="AB803" s="9"/>
      <c r="AC803" s="9"/>
    </row>
    <row r="804" ht="15.75" customHeight="1">
      <c r="A804" s="223"/>
      <c r="B804" s="223"/>
      <c r="C804" s="223"/>
      <c r="D804" s="9"/>
      <c r="E804" s="223"/>
      <c r="F804" s="971"/>
      <c r="G804" s="9"/>
      <c r="H804" s="9"/>
      <c r="I804" s="9"/>
      <c r="J804" s="9"/>
      <c r="K804" s="9"/>
      <c r="L804" s="223"/>
      <c r="M804" s="223"/>
      <c r="N804" s="9"/>
      <c r="O804" s="9"/>
      <c r="P804" s="9"/>
      <c r="Q804" s="223"/>
      <c r="R804" s="9"/>
      <c r="S804" s="223"/>
      <c r="T804" s="9"/>
      <c r="U804" s="9"/>
      <c r="V804" s="9"/>
      <c r="W804" s="9"/>
      <c r="X804" s="9"/>
      <c r="Y804" s="204"/>
      <c r="Z804" s="9"/>
      <c r="AA804" s="9"/>
      <c r="AB804" s="9"/>
      <c r="AC804" s="9"/>
    </row>
    <row r="805" ht="15.75" customHeight="1">
      <c r="A805" s="223"/>
      <c r="B805" s="223"/>
      <c r="C805" s="223"/>
      <c r="D805" s="9"/>
      <c r="E805" s="223"/>
      <c r="F805" s="971"/>
      <c r="G805" s="9"/>
      <c r="H805" s="9"/>
      <c r="I805" s="9"/>
      <c r="J805" s="9"/>
      <c r="K805" s="9"/>
      <c r="L805" s="223"/>
      <c r="M805" s="223"/>
      <c r="N805" s="9"/>
      <c r="O805" s="9"/>
      <c r="P805" s="9"/>
      <c r="Q805" s="223"/>
      <c r="R805" s="9"/>
      <c r="S805" s="223"/>
      <c r="T805" s="9"/>
      <c r="U805" s="9"/>
      <c r="V805" s="9"/>
      <c r="W805" s="9"/>
      <c r="X805" s="9"/>
      <c r="Y805" s="204"/>
      <c r="Z805" s="9"/>
      <c r="AA805" s="9"/>
      <c r="AB805" s="9"/>
      <c r="AC805" s="9"/>
    </row>
    <row r="806" ht="15.75" customHeight="1">
      <c r="A806" s="223"/>
      <c r="B806" s="223"/>
      <c r="C806" s="223"/>
      <c r="D806" s="9"/>
      <c r="E806" s="223"/>
      <c r="F806" s="971"/>
      <c r="G806" s="9"/>
      <c r="H806" s="9"/>
      <c r="I806" s="9"/>
      <c r="J806" s="9"/>
      <c r="K806" s="9"/>
      <c r="L806" s="223"/>
      <c r="M806" s="223"/>
      <c r="N806" s="9"/>
      <c r="O806" s="9"/>
      <c r="P806" s="9"/>
      <c r="Q806" s="223"/>
      <c r="R806" s="9"/>
      <c r="S806" s="223"/>
      <c r="T806" s="9"/>
      <c r="U806" s="9"/>
      <c r="V806" s="9"/>
      <c r="W806" s="9"/>
      <c r="X806" s="9"/>
      <c r="Y806" s="204"/>
      <c r="Z806" s="9"/>
      <c r="AA806" s="9"/>
      <c r="AB806" s="9"/>
      <c r="AC806" s="9"/>
    </row>
    <row r="807" ht="15.75" customHeight="1">
      <c r="A807" s="223"/>
      <c r="B807" s="223"/>
      <c r="C807" s="223"/>
      <c r="D807" s="9"/>
      <c r="E807" s="223"/>
      <c r="F807" s="971"/>
      <c r="G807" s="9"/>
      <c r="H807" s="9"/>
      <c r="I807" s="9"/>
      <c r="J807" s="9"/>
      <c r="K807" s="9"/>
      <c r="L807" s="223"/>
      <c r="M807" s="223"/>
      <c r="N807" s="9"/>
      <c r="O807" s="9"/>
      <c r="P807" s="9"/>
      <c r="Q807" s="223"/>
      <c r="R807" s="9"/>
      <c r="S807" s="223"/>
      <c r="T807" s="9"/>
      <c r="U807" s="9"/>
      <c r="V807" s="9"/>
      <c r="W807" s="9"/>
      <c r="X807" s="9"/>
      <c r="Y807" s="204"/>
      <c r="Z807" s="9"/>
      <c r="AA807" s="9"/>
      <c r="AB807" s="9"/>
      <c r="AC807" s="9"/>
    </row>
    <row r="808" ht="15.75" customHeight="1">
      <c r="A808" s="223"/>
      <c r="B808" s="223"/>
      <c r="C808" s="223"/>
      <c r="D808" s="9"/>
      <c r="E808" s="223"/>
      <c r="F808" s="971"/>
      <c r="G808" s="9"/>
      <c r="H808" s="9"/>
      <c r="I808" s="9"/>
      <c r="J808" s="9"/>
      <c r="K808" s="9"/>
      <c r="L808" s="223"/>
      <c r="M808" s="223"/>
      <c r="N808" s="9"/>
      <c r="O808" s="9"/>
      <c r="P808" s="9"/>
      <c r="Q808" s="223"/>
      <c r="R808" s="9"/>
      <c r="S808" s="223"/>
      <c r="T808" s="9"/>
      <c r="U808" s="9"/>
      <c r="V808" s="9"/>
      <c r="W808" s="9"/>
      <c r="X808" s="9"/>
      <c r="Y808" s="204"/>
      <c r="Z808" s="9"/>
      <c r="AA808" s="9"/>
      <c r="AB808" s="9"/>
      <c r="AC808" s="9"/>
    </row>
    <row r="809" ht="15.75" customHeight="1">
      <c r="A809" s="223"/>
      <c r="B809" s="223"/>
      <c r="C809" s="223"/>
      <c r="D809" s="9"/>
      <c r="E809" s="223"/>
      <c r="F809" s="971"/>
      <c r="G809" s="9"/>
      <c r="H809" s="9"/>
      <c r="I809" s="9"/>
      <c r="J809" s="9"/>
      <c r="K809" s="9"/>
      <c r="L809" s="223"/>
      <c r="M809" s="223"/>
      <c r="N809" s="9"/>
      <c r="O809" s="9"/>
      <c r="P809" s="9"/>
      <c r="Q809" s="223"/>
      <c r="R809" s="9"/>
      <c r="S809" s="223"/>
      <c r="T809" s="9"/>
      <c r="U809" s="9"/>
      <c r="V809" s="9"/>
      <c r="W809" s="9"/>
      <c r="X809" s="9"/>
      <c r="Y809" s="204"/>
      <c r="Z809" s="9"/>
      <c r="AA809" s="9"/>
      <c r="AB809" s="9"/>
      <c r="AC809" s="9"/>
    </row>
    <row r="810" ht="15.75" customHeight="1">
      <c r="A810" s="223"/>
      <c r="B810" s="223"/>
      <c r="C810" s="223"/>
      <c r="D810" s="9"/>
      <c r="E810" s="223"/>
      <c r="F810" s="971"/>
      <c r="G810" s="9"/>
      <c r="H810" s="9"/>
      <c r="I810" s="9"/>
      <c r="J810" s="9"/>
      <c r="K810" s="9"/>
      <c r="L810" s="223"/>
      <c r="M810" s="223"/>
      <c r="N810" s="9"/>
      <c r="O810" s="9"/>
      <c r="P810" s="9"/>
      <c r="Q810" s="223"/>
      <c r="R810" s="9"/>
      <c r="S810" s="223"/>
      <c r="T810" s="9"/>
      <c r="U810" s="9"/>
      <c r="V810" s="9"/>
      <c r="W810" s="9"/>
      <c r="X810" s="9"/>
      <c r="Y810" s="204"/>
      <c r="Z810" s="9"/>
      <c r="AA810" s="9"/>
      <c r="AB810" s="9"/>
      <c r="AC810" s="9"/>
    </row>
    <row r="811" ht="15.75" customHeight="1">
      <c r="A811" s="223"/>
      <c r="B811" s="223"/>
      <c r="C811" s="223"/>
      <c r="D811" s="9"/>
      <c r="E811" s="223"/>
      <c r="F811" s="971"/>
      <c r="G811" s="9"/>
      <c r="H811" s="9"/>
      <c r="I811" s="9"/>
      <c r="J811" s="9"/>
      <c r="K811" s="9"/>
      <c r="L811" s="223"/>
      <c r="M811" s="223"/>
      <c r="N811" s="9"/>
      <c r="O811" s="9"/>
      <c r="P811" s="9"/>
      <c r="Q811" s="223"/>
      <c r="R811" s="9"/>
      <c r="S811" s="223"/>
      <c r="T811" s="9"/>
      <c r="U811" s="9"/>
      <c r="V811" s="9"/>
      <c r="W811" s="9"/>
      <c r="X811" s="9"/>
      <c r="Y811" s="204"/>
      <c r="Z811" s="9"/>
      <c r="AA811" s="9"/>
      <c r="AB811" s="9"/>
      <c r="AC811" s="9"/>
    </row>
    <row r="812" ht="15.75" customHeight="1">
      <c r="A812" s="223"/>
      <c r="B812" s="223"/>
      <c r="C812" s="223"/>
      <c r="D812" s="9"/>
      <c r="E812" s="223"/>
      <c r="F812" s="971"/>
      <c r="G812" s="9"/>
      <c r="H812" s="9"/>
      <c r="I812" s="9"/>
      <c r="J812" s="9"/>
      <c r="K812" s="9"/>
      <c r="L812" s="223"/>
      <c r="M812" s="223"/>
      <c r="N812" s="9"/>
      <c r="O812" s="9"/>
      <c r="P812" s="9"/>
      <c r="Q812" s="223"/>
      <c r="R812" s="9"/>
      <c r="S812" s="223"/>
      <c r="T812" s="9"/>
      <c r="U812" s="9"/>
      <c r="V812" s="9"/>
      <c r="W812" s="9"/>
      <c r="X812" s="9"/>
      <c r="Y812" s="204"/>
      <c r="Z812" s="9"/>
      <c r="AA812" s="9"/>
      <c r="AB812" s="9"/>
      <c r="AC812" s="9"/>
    </row>
    <row r="813" ht="15.75" customHeight="1">
      <c r="A813" s="223"/>
      <c r="B813" s="223"/>
      <c r="C813" s="223"/>
      <c r="D813" s="9"/>
      <c r="E813" s="223"/>
      <c r="F813" s="971"/>
      <c r="G813" s="9"/>
      <c r="H813" s="9"/>
      <c r="I813" s="9"/>
      <c r="J813" s="9"/>
      <c r="K813" s="9"/>
      <c r="L813" s="223"/>
      <c r="M813" s="223"/>
      <c r="N813" s="9"/>
      <c r="O813" s="9"/>
      <c r="P813" s="9"/>
      <c r="Q813" s="223"/>
      <c r="R813" s="9"/>
      <c r="S813" s="223"/>
      <c r="T813" s="9"/>
      <c r="U813" s="9"/>
      <c r="V813" s="9"/>
      <c r="W813" s="9"/>
      <c r="X813" s="9"/>
      <c r="Y813" s="204"/>
      <c r="Z813" s="9"/>
      <c r="AA813" s="9"/>
      <c r="AB813" s="9"/>
      <c r="AC813" s="9"/>
    </row>
    <row r="814" ht="15.75" customHeight="1">
      <c r="A814" s="223"/>
      <c r="B814" s="223"/>
      <c r="C814" s="223"/>
      <c r="D814" s="9"/>
      <c r="E814" s="223"/>
      <c r="F814" s="971"/>
      <c r="G814" s="9"/>
      <c r="H814" s="9"/>
      <c r="I814" s="9"/>
      <c r="J814" s="9"/>
      <c r="K814" s="9"/>
      <c r="L814" s="223"/>
      <c r="M814" s="223"/>
      <c r="N814" s="9"/>
      <c r="O814" s="9"/>
      <c r="P814" s="9"/>
      <c r="Q814" s="223"/>
      <c r="R814" s="9"/>
      <c r="S814" s="223"/>
      <c r="T814" s="9"/>
      <c r="U814" s="9"/>
      <c r="V814" s="9"/>
      <c r="W814" s="9"/>
      <c r="X814" s="9"/>
      <c r="Y814" s="204"/>
      <c r="Z814" s="9"/>
      <c r="AA814" s="9"/>
      <c r="AB814" s="9"/>
      <c r="AC814" s="9"/>
    </row>
    <row r="815" ht="15.75" customHeight="1">
      <c r="A815" s="223"/>
      <c r="B815" s="223"/>
      <c r="C815" s="223"/>
      <c r="D815" s="9"/>
      <c r="E815" s="223"/>
      <c r="F815" s="971"/>
      <c r="G815" s="9"/>
      <c r="H815" s="9"/>
      <c r="I815" s="9"/>
      <c r="J815" s="9"/>
      <c r="K815" s="9"/>
      <c r="L815" s="223"/>
      <c r="M815" s="223"/>
      <c r="N815" s="9"/>
      <c r="O815" s="9"/>
      <c r="P815" s="9"/>
      <c r="Q815" s="223"/>
      <c r="R815" s="9"/>
      <c r="S815" s="223"/>
      <c r="T815" s="9"/>
      <c r="U815" s="9"/>
      <c r="V815" s="9"/>
      <c r="W815" s="9"/>
      <c r="X815" s="9"/>
      <c r="Y815" s="204"/>
      <c r="Z815" s="9"/>
      <c r="AA815" s="9"/>
      <c r="AB815" s="9"/>
      <c r="AC815" s="9"/>
    </row>
    <row r="816" ht="15.75" customHeight="1">
      <c r="A816" s="223"/>
      <c r="B816" s="223"/>
      <c r="C816" s="223"/>
      <c r="D816" s="9"/>
      <c r="E816" s="223"/>
      <c r="F816" s="971"/>
      <c r="G816" s="9"/>
      <c r="H816" s="9"/>
      <c r="I816" s="9"/>
      <c r="J816" s="9"/>
      <c r="K816" s="9"/>
      <c r="L816" s="223"/>
      <c r="M816" s="223"/>
      <c r="N816" s="9"/>
      <c r="O816" s="9"/>
      <c r="P816" s="9"/>
      <c r="Q816" s="223"/>
      <c r="R816" s="9"/>
      <c r="S816" s="223"/>
      <c r="T816" s="9"/>
      <c r="U816" s="9"/>
      <c r="V816" s="9"/>
      <c r="W816" s="9"/>
      <c r="X816" s="9"/>
      <c r="Y816" s="204"/>
      <c r="Z816" s="9"/>
      <c r="AA816" s="9"/>
      <c r="AB816" s="9"/>
      <c r="AC816" s="9"/>
    </row>
    <row r="817" ht="15.75" customHeight="1">
      <c r="A817" s="223"/>
      <c r="B817" s="223"/>
      <c r="C817" s="223"/>
      <c r="D817" s="9"/>
      <c r="E817" s="223"/>
      <c r="F817" s="971"/>
      <c r="G817" s="9"/>
      <c r="H817" s="9"/>
      <c r="I817" s="9"/>
      <c r="J817" s="9"/>
      <c r="K817" s="9"/>
      <c r="L817" s="223"/>
      <c r="M817" s="223"/>
      <c r="N817" s="9"/>
      <c r="O817" s="9"/>
      <c r="P817" s="9"/>
      <c r="Q817" s="223"/>
      <c r="R817" s="9"/>
      <c r="S817" s="223"/>
      <c r="T817" s="9"/>
      <c r="U817" s="9"/>
      <c r="V817" s="9"/>
      <c r="W817" s="9"/>
      <c r="X817" s="9"/>
      <c r="Y817" s="204"/>
      <c r="Z817" s="9"/>
      <c r="AA817" s="9"/>
      <c r="AB817" s="9"/>
      <c r="AC817" s="9"/>
    </row>
    <row r="818" ht="15.75" customHeight="1">
      <c r="A818" s="223"/>
      <c r="B818" s="223"/>
      <c r="C818" s="223"/>
      <c r="D818" s="9"/>
      <c r="E818" s="223"/>
      <c r="F818" s="971"/>
      <c r="G818" s="9"/>
      <c r="H818" s="9"/>
      <c r="I818" s="9"/>
      <c r="J818" s="9"/>
      <c r="K818" s="9"/>
      <c r="L818" s="223"/>
      <c r="M818" s="223"/>
      <c r="N818" s="9"/>
      <c r="O818" s="9"/>
      <c r="P818" s="9"/>
      <c r="Q818" s="223"/>
      <c r="R818" s="9"/>
      <c r="S818" s="223"/>
      <c r="T818" s="9"/>
      <c r="U818" s="9"/>
      <c r="V818" s="9"/>
      <c r="W818" s="9"/>
      <c r="X818" s="9"/>
      <c r="Y818" s="204"/>
      <c r="Z818" s="9"/>
      <c r="AA818" s="9"/>
      <c r="AB818" s="9"/>
      <c r="AC818" s="9"/>
    </row>
    <row r="819" ht="15.75" customHeight="1">
      <c r="A819" s="223"/>
      <c r="B819" s="223"/>
      <c r="C819" s="223"/>
      <c r="D819" s="9"/>
      <c r="E819" s="223"/>
      <c r="F819" s="971"/>
      <c r="G819" s="9"/>
      <c r="H819" s="9"/>
      <c r="I819" s="9"/>
      <c r="J819" s="9"/>
      <c r="K819" s="9"/>
      <c r="L819" s="223"/>
      <c r="M819" s="223"/>
      <c r="N819" s="9"/>
      <c r="O819" s="9"/>
      <c r="P819" s="9"/>
      <c r="Q819" s="223"/>
      <c r="R819" s="9"/>
      <c r="S819" s="223"/>
      <c r="T819" s="9"/>
      <c r="U819" s="9"/>
      <c r="V819" s="9"/>
      <c r="W819" s="9"/>
      <c r="X819" s="9"/>
      <c r="Y819" s="204"/>
      <c r="Z819" s="9"/>
      <c r="AA819" s="9"/>
      <c r="AB819" s="9"/>
      <c r="AC819" s="9"/>
    </row>
    <row r="820" ht="15.75" customHeight="1">
      <c r="A820" s="223"/>
      <c r="B820" s="223"/>
      <c r="C820" s="223"/>
      <c r="D820" s="9"/>
      <c r="E820" s="223"/>
      <c r="F820" s="971"/>
      <c r="G820" s="9"/>
      <c r="H820" s="9"/>
      <c r="I820" s="9"/>
      <c r="J820" s="9"/>
      <c r="K820" s="9"/>
      <c r="L820" s="223"/>
      <c r="M820" s="223"/>
      <c r="N820" s="9"/>
      <c r="O820" s="9"/>
      <c r="P820" s="9"/>
      <c r="Q820" s="223"/>
      <c r="R820" s="9"/>
      <c r="S820" s="223"/>
      <c r="T820" s="9"/>
      <c r="U820" s="9"/>
      <c r="V820" s="9"/>
      <c r="W820" s="9"/>
      <c r="X820" s="9"/>
      <c r="Y820" s="204"/>
      <c r="Z820" s="9"/>
      <c r="AA820" s="9"/>
      <c r="AB820" s="9"/>
      <c r="AC820" s="9"/>
    </row>
    <row r="821" ht="15.75" customHeight="1">
      <c r="A821" s="223"/>
      <c r="B821" s="223"/>
      <c r="C821" s="223"/>
      <c r="D821" s="9"/>
      <c r="E821" s="223"/>
      <c r="F821" s="971"/>
      <c r="G821" s="9"/>
      <c r="H821" s="9"/>
      <c r="I821" s="9"/>
      <c r="J821" s="9"/>
      <c r="K821" s="9"/>
      <c r="L821" s="223"/>
      <c r="M821" s="223"/>
      <c r="N821" s="9"/>
      <c r="O821" s="9"/>
      <c r="P821" s="9"/>
      <c r="Q821" s="223"/>
      <c r="R821" s="9"/>
      <c r="S821" s="223"/>
      <c r="T821" s="9"/>
      <c r="U821" s="9"/>
      <c r="V821" s="9"/>
      <c r="W821" s="9"/>
      <c r="X821" s="9"/>
      <c r="Y821" s="204"/>
      <c r="Z821" s="9"/>
      <c r="AA821" s="9"/>
      <c r="AB821" s="9"/>
      <c r="AC821" s="9"/>
    </row>
    <row r="822" ht="15.75" customHeight="1">
      <c r="A822" s="223"/>
      <c r="B822" s="223"/>
      <c r="C822" s="223"/>
      <c r="D822" s="9"/>
      <c r="E822" s="223"/>
      <c r="F822" s="971"/>
      <c r="G822" s="9"/>
      <c r="H822" s="9"/>
      <c r="I822" s="9"/>
      <c r="J822" s="9"/>
      <c r="K822" s="9"/>
      <c r="L822" s="223"/>
      <c r="M822" s="223"/>
      <c r="N822" s="9"/>
      <c r="O822" s="9"/>
      <c r="P822" s="9"/>
      <c r="Q822" s="223"/>
      <c r="R822" s="9"/>
      <c r="S822" s="223"/>
      <c r="T822" s="9"/>
      <c r="U822" s="9"/>
      <c r="V822" s="9"/>
      <c r="W822" s="9"/>
      <c r="X822" s="9"/>
      <c r="Y822" s="204"/>
      <c r="Z822" s="9"/>
      <c r="AA822" s="9"/>
      <c r="AB822" s="9"/>
      <c r="AC822" s="9"/>
    </row>
    <row r="823" ht="15.75" customHeight="1">
      <c r="A823" s="223"/>
      <c r="B823" s="223"/>
      <c r="C823" s="223"/>
      <c r="D823" s="9"/>
      <c r="E823" s="223"/>
      <c r="F823" s="971"/>
      <c r="G823" s="9"/>
      <c r="H823" s="9"/>
      <c r="I823" s="9"/>
      <c r="J823" s="9"/>
      <c r="K823" s="9"/>
      <c r="L823" s="223"/>
      <c r="M823" s="223"/>
      <c r="N823" s="9"/>
      <c r="O823" s="9"/>
      <c r="P823" s="9"/>
      <c r="Q823" s="223"/>
      <c r="R823" s="9"/>
      <c r="S823" s="223"/>
      <c r="T823" s="9"/>
      <c r="U823" s="9"/>
      <c r="V823" s="9"/>
      <c r="W823" s="9"/>
      <c r="X823" s="9"/>
      <c r="Y823" s="204"/>
      <c r="Z823" s="9"/>
      <c r="AA823" s="9"/>
      <c r="AB823" s="9"/>
      <c r="AC823" s="9"/>
    </row>
    <row r="824" ht="15.75" customHeight="1">
      <c r="A824" s="223"/>
      <c r="B824" s="223"/>
      <c r="C824" s="223"/>
      <c r="D824" s="9"/>
      <c r="E824" s="223"/>
      <c r="F824" s="971"/>
      <c r="G824" s="9"/>
      <c r="H824" s="9"/>
      <c r="I824" s="9"/>
      <c r="J824" s="9"/>
      <c r="K824" s="9"/>
      <c r="L824" s="223"/>
      <c r="M824" s="223"/>
      <c r="N824" s="9"/>
      <c r="O824" s="9"/>
      <c r="P824" s="9"/>
      <c r="Q824" s="223"/>
      <c r="R824" s="9"/>
      <c r="S824" s="223"/>
      <c r="T824" s="9"/>
      <c r="U824" s="9"/>
      <c r="V824" s="9"/>
      <c r="W824" s="9"/>
      <c r="X824" s="9"/>
      <c r="Y824" s="204"/>
      <c r="Z824" s="9"/>
      <c r="AA824" s="9"/>
      <c r="AB824" s="9"/>
      <c r="AC824" s="9"/>
    </row>
    <row r="825" ht="15.75" customHeight="1">
      <c r="A825" s="223"/>
      <c r="B825" s="223"/>
      <c r="C825" s="223"/>
      <c r="D825" s="9"/>
      <c r="E825" s="223"/>
      <c r="F825" s="971"/>
      <c r="G825" s="9"/>
      <c r="H825" s="9"/>
      <c r="I825" s="9"/>
      <c r="J825" s="9"/>
      <c r="K825" s="9"/>
      <c r="L825" s="223"/>
      <c r="M825" s="223"/>
      <c r="N825" s="9"/>
      <c r="O825" s="9"/>
      <c r="P825" s="9"/>
      <c r="Q825" s="223"/>
      <c r="R825" s="9"/>
      <c r="S825" s="223"/>
      <c r="T825" s="9"/>
      <c r="U825" s="9"/>
      <c r="V825" s="9"/>
      <c r="W825" s="9"/>
      <c r="X825" s="9"/>
      <c r="Y825" s="204"/>
      <c r="Z825" s="9"/>
      <c r="AA825" s="9"/>
      <c r="AB825" s="9"/>
      <c r="AC825" s="9"/>
    </row>
    <row r="826" ht="15.75" customHeight="1">
      <c r="A826" s="223"/>
      <c r="B826" s="223"/>
      <c r="C826" s="223"/>
      <c r="D826" s="9"/>
      <c r="E826" s="223"/>
      <c r="F826" s="971"/>
      <c r="G826" s="9"/>
      <c r="H826" s="9"/>
      <c r="I826" s="9"/>
      <c r="J826" s="9"/>
      <c r="K826" s="9"/>
      <c r="L826" s="223"/>
      <c r="M826" s="223"/>
      <c r="N826" s="9"/>
      <c r="O826" s="9"/>
      <c r="P826" s="9"/>
      <c r="Q826" s="223"/>
      <c r="R826" s="9"/>
      <c r="S826" s="223"/>
      <c r="T826" s="9"/>
      <c r="U826" s="9"/>
      <c r="V826" s="9"/>
      <c r="W826" s="9"/>
      <c r="X826" s="9"/>
      <c r="Y826" s="204"/>
      <c r="Z826" s="9"/>
      <c r="AA826" s="9"/>
      <c r="AB826" s="9"/>
      <c r="AC826" s="9"/>
    </row>
    <row r="827" ht="15.75" customHeight="1">
      <c r="A827" s="223"/>
      <c r="B827" s="223"/>
      <c r="C827" s="223"/>
      <c r="D827" s="9"/>
      <c r="E827" s="223"/>
      <c r="F827" s="971"/>
      <c r="G827" s="9"/>
      <c r="H827" s="9"/>
      <c r="I827" s="9"/>
      <c r="J827" s="9"/>
      <c r="K827" s="9"/>
      <c r="L827" s="223"/>
      <c r="M827" s="223"/>
      <c r="N827" s="9"/>
      <c r="O827" s="9"/>
      <c r="P827" s="9"/>
      <c r="Q827" s="223"/>
      <c r="R827" s="9"/>
      <c r="S827" s="223"/>
      <c r="T827" s="9"/>
      <c r="U827" s="9"/>
      <c r="V827" s="9"/>
      <c r="W827" s="9"/>
      <c r="X827" s="9"/>
      <c r="Y827" s="204"/>
      <c r="Z827" s="9"/>
      <c r="AA827" s="9"/>
      <c r="AB827" s="9"/>
      <c r="AC827" s="9"/>
    </row>
    <row r="828" ht="15.75" customHeight="1">
      <c r="A828" s="223"/>
      <c r="B828" s="223"/>
      <c r="C828" s="223"/>
      <c r="D828" s="9"/>
      <c r="E828" s="223"/>
      <c r="F828" s="971"/>
      <c r="G828" s="9"/>
      <c r="H828" s="9"/>
      <c r="I828" s="9"/>
      <c r="J828" s="9"/>
      <c r="K828" s="9"/>
      <c r="L828" s="223"/>
      <c r="M828" s="223"/>
      <c r="N828" s="9"/>
      <c r="O828" s="9"/>
      <c r="P828" s="9"/>
      <c r="Q828" s="223"/>
      <c r="R828" s="9"/>
      <c r="S828" s="223"/>
      <c r="T828" s="9"/>
      <c r="U828" s="9"/>
      <c r="V828" s="9"/>
      <c r="W828" s="9"/>
      <c r="X828" s="9"/>
      <c r="Y828" s="204"/>
      <c r="Z828" s="9"/>
      <c r="AA828" s="9"/>
      <c r="AB828" s="9"/>
      <c r="AC828" s="9"/>
    </row>
    <row r="829" ht="15.75" customHeight="1">
      <c r="A829" s="223"/>
      <c r="B829" s="223"/>
      <c r="C829" s="223"/>
      <c r="D829" s="9"/>
      <c r="E829" s="223"/>
      <c r="F829" s="971"/>
      <c r="G829" s="9"/>
      <c r="H829" s="9"/>
      <c r="I829" s="9"/>
      <c r="J829" s="9"/>
      <c r="K829" s="9"/>
      <c r="L829" s="223"/>
      <c r="M829" s="223"/>
      <c r="N829" s="9"/>
      <c r="O829" s="9"/>
      <c r="P829" s="9"/>
      <c r="Q829" s="223"/>
      <c r="R829" s="9"/>
      <c r="S829" s="223"/>
      <c r="T829" s="9"/>
      <c r="U829" s="9"/>
      <c r="V829" s="9"/>
      <c r="W829" s="9"/>
      <c r="X829" s="9"/>
      <c r="Y829" s="204"/>
      <c r="Z829" s="9"/>
      <c r="AA829" s="9"/>
      <c r="AB829" s="9"/>
      <c r="AC829" s="9"/>
    </row>
    <row r="830" ht="15.75" customHeight="1">
      <c r="A830" s="223"/>
      <c r="B830" s="223"/>
      <c r="C830" s="223"/>
      <c r="D830" s="9"/>
      <c r="E830" s="223"/>
      <c r="F830" s="971"/>
      <c r="G830" s="9"/>
      <c r="H830" s="9"/>
      <c r="I830" s="9"/>
      <c r="J830" s="9"/>
      <c r="K830" s="9"/>
      <c r="L830" s="223"/>
      <c r="M830" s="223"/>
      <c r="N830" s="9"/>
      <c r="O830" s="9"/>
      <c r="P830" s="9"/>
      <c r="Q830" s="223"/>
      <c r="R830" s="9"/>
      <c r="S830" s="223"/>
      <c r="T830" s="9"/>
      <c r="U830" s="9"/>
      <c r="V830" s="9"/>
      <c r="W830" s="9"/>
      <c r="X830" s="9"/>
      <c r="Y830" s="204"/>
      <c r="Z830" s="9"/>
      <c r="AA830" s="9"/>
      <c r="AB830" s="9"/>
      <c r="AC830" s="9"/>
    </row>
    <row r="831" ht="15.75" customHeight="1">
      <c r="A831" s="223"/>
      <c r="B831" s="223"/>
      <c r="C831" s="223"/>
      <c r="D831" s="9"/>
      <c r="E831" s="223"/>
      <c r="F831" s="971"/>
      <c r="G831" s="9"/>
      <c r="H831" s="9"/>
      <c r="I831" s="9"/>
      <c r="J831" s="9"/>
      <c r="K831" s="9"/>
      <c r="L831" s="223"/>
      <c r="M831" s="223"/>
      <c r="N831" s="9"/>
      <c r="O831" s="9"/>
      <c r="P831" s="9"/>
      <c r="Q831" s="223"/>
      <c r="R831" s="9"/>
      <c r="S831" s="223"/>
      <c r="T831" s="9"/>
      <c r="U831" s="9"/>
      <c r="V831" s="9"/>
      <c r="W831" s="9"/>
      <c r="X831" s="9"/>
      <c r="Y831" s="204"/>
      <c r="Z831" s="9"/>
      <c r="AA831" s="9"/>
      <c r="AB831" s="9"/>
      <c r="AC831" s="9"/>
    </row>
    <row r="832" ht="15.75" customHeight="1">
      <c r="A832" s="223"/>
      <c r="B832" s="223"/>
      <c r="C832" s="223"/>
      <c r="D832" s="9"/>
      <c r="E832" s="223"/>
      <c r="F832" s="971"/>
      <c r="G832" s="9"/>
      <c r="H832" s="9"/>
      <c r="I832" s="9"/>
      <c r="J832" s="9"/>
      <c r="K832" s="9"/>
      <c r="L832" s="223"/>
      <c r="M832" s="223"/>
      <c r="N832" s="9"/>
      <c r="O832" s="9"/>
      <c r="P832" s="9"/>
      <c r="Q832" s="223"/>
      <c r="R832" s="9"/>
      <c r="S832" s="223"/>
      <c r="T832" s="9"/>
      <c r="U832" s="9"/>
      <c r="V832" s="9"/>
      <c r="W832" s="9"/>
      <c r="X832" s="9"/>
      <c r="Y832" s="204"/>
      <c r="Z832" s="9"/>
      <c r="AA832" s="9"/>
      <c r="AB832" s="9"/>
      <c r="AC832" s="9"/>
    </row>
    <row r="833" ht="15.75" customHeight="1">
      <c r="A833" s="223"/>
      <c r="B833" s="223"/>
      <c r="C833" s="223"/>
      <c r="D833" s="9"/>
      <c r="E833" s="223"/>
      <c r="F833" s="971"/>
      <c r="G833" s="9"/>
      <c r="H833" s="9"/>
      <c r="I833" s="9"/>
      <c r="J833" s="9"/>
      <c r="K833" s="9"/>
      <c r="L833" s="223"/>
      <c r="M833" s="223"/>
      <c r="N833" s="9"/>
      <c r="O833" s="9"/>
      <c r="P833" s="9"/>
      <c r="Q833" s="223"/>
      <c r="R833" s="9"/>
      <c r="S833" s="223"/>
      <c r="T833" s="9"/>
      <c r="U833" s="9"/>
      <c r="V833" s="9"/>
      <c r="W833" s="9"/>
      <c r="X833" s="9"/>
      <c r="Y833" s="204"/>
      <c r="Z833" s="9"/>
      <c r="AA833" s="9"/>
      <c r="AB833" s="9"/>
      <c r="AC833" s="9"/>
    </row>
    <row r="834" ht="15.75" customHeight="1">
      <c r="A834" s="223"/>
      <c r="B834" s="223"/>
      <c r="C834" s="223"/>
      <c r="D834" s="9"/>
      <c r="E834" s="223"/>
      <c r="F834" s="971"/>
      <c r="G834" s="9"/>
      <c r="H834" s="9"/>
      <c r="I834" s="9"/>
      <c r="J834" s="9"/>
      <c r="K834" s="9"/>
      <c r="L834" s="223"/>
      <c r="M834" s="223"/>
      <c r="N834" s="9"/>
      <c r="O834" s="9"/>
      <c r="P834" s="9"/>
      <c r="Q834" s="223"/>
      <c r="R834" s="9"/>
      <c r="S834" s="223"/>
      <c r="T834" s="9"/>
      <c r="U834" s="9"/>
      <c r="V834" s="9"/>
      <c r="W834" s="9"/>
      <c r="X834" s="9"/>
      <c r="Y834" s="204"/>
      <c r="Z834" s="9"/>
      <c r="AA834" s="9"/>
      <c r="AB834" s="9"/>
      <c r="AC834" s="9"/>
    </row>
    <row r="835" ht="15.75" customHeight="1">
      <c r="A835" s="223"/>
      <c r="B835" s="223"/>
      <c r="C835" s="223"/>
      <c r="D835" s="9"/>
      <c r="E835" s="223"/>
      <c r="F835" s="971"/>
      <c r="G835" s="9"/>
      <c r="H835" s="9"/>
      <c r="I835" s="9"/>
      <c r="J835" s="9"/>
      <c r="K835" s="9"/>
      <c r="L835" s="223"/>
      <c r="M835" s="223"/>
      <c r="N835" s="9"/>
      <c r="O835" s="9"/>
      <c r="P835" s="9"/>
      <c r="Q835" s="223"/>
      <c r="R835" s="9"/>
      <c r="S835" s="223"/>
      <c r="T835" s="9"/>
      <c r="U835" s="9"/>
      <c r="V835" s="9"/>
      <c r="W835" s="9"/>
      <c r="X835" s="9"/>
      <c r="Y835" s="204"/>
      <c r="Z835" s="9"/>
      <c r="AA835" s="9"/>
      <c r="AB835" s="9"/>
      <c r="AC835" s="9"/>
    </row>
    <row r="836" ht="15.75" customHeight="1">
      <c r="A836" s="223"/>
      <c r="B836" s="223"/>
      <c r="C836" s="223"/>
      <c r="D836" s="9"/>
      <c r="E836" s="223"/>
      <c r="F836" s="971"/>
      <c r="G836" s="9"/>
      <c r="H836" s="9"/>
      <c r="I836" s="9"/>
      <c r="J836" s="9"/>
      <c r="K836" s="9"/>
      <c r="L836" s="223"/>
      <c r="M836" s="223"/>
      <c r="N836" s="9"/>
      <c r="O836" s="9"/>
      <c r="P836" s="9"/>
      <c r="Q836" s="223"/>
      <c r="R836" s="9"/>
      <c r="S836" s="223"/>
      <c r="T836" s="9"/>
      <c r="U836" s="9"/>
      <c r="V836" s="9"/>
      <c r="W836" s="9"/>
      <c r="X836" s="9"/>
      <c r="Y836" s="204"/>
      <c r="Z836" s="9"/>
      <c r="AA836" s="9"/>
      <c r="AB836" s="9"/>
      <c r="AC836" s="9"/>
    </row>
    <row r="837" ht="15.75" customHeight="1">
      <c r="A837" s="223"/>
      <c r="B837" s="223"/>
      <c r="C837" s="223"/>
      <c r="D837" s="9"/>
      <c r="E837" s="223"/>
      <c r="F837" s="971"/>
      <c r="G837" s="9"/>
      <c r="H837" s="9"/>
      <c r="I837" s="9"/>
      <c r="J837" s="9"/>
      <c r="K837" s="9"/>
      <c r="L837" s="223"/>
      <c r="M837" s="223"/>
      <c r="N837" s="9"/>
      <c r="O837" s="9"/>
      <c r="P837" s="9"/>
      <c r="Q837" s="223"/>
      <c r="R837" s="9"/>
      <c r="S837" s="223"/>
      <c r="T837" s="9"/>
      <c r="U837" s="9"/>
      <c r="V837" s="9"/>
      <c r="W837" s="9"/>
      <c r="X837" s="9"/>
      <c r="Y837" s="204"/>
      <c r="Z837" s="9"/>
      <c r="AA837" s="9"/>
      <c r="AB837" s="9"/>
      <c r="AC837" s="9"/>
    </row>
    <row r="838" ht="15.75" customHeight="1">
      <c r="A838" s="223"/>
      <c r="B838" s="223"/>
      <c r="C838" s="223"/>
      <c r="D838" s="9"/>
      <c r="E838" s="223"/>
      <c r="F838" s="971"/>
      <c r="G838" s="9"/>
      <c r="H838" s="9"/>
      <c r="I838" s="9"/>
      <c r="J838" s="9"/>
      <c r="K838" s="9"/>
      <c r="L838" s="223"/>
      <c r="M838" s="223"/>
      <c r="N838" s="9"/>
      <c r="O838" s="9"/>
      <c r="P838" s="9"/>
      <c r="Q838" s="223"/>
      <c r="R838" s="9"/>
      <c r="S838" s="223"/>
      <c r="T838" s="9"/>
      <c r="U838" s="9"/>
      <c r="V838" s="9"/>
      <c r="W838" s="9"/>
      <c r="X838" s="9"/>
      <c r="Y838" s="204"/>
      <c r="Z838" s="9"/>
      <c r="AA838" s="9"/>
      <c r="AB838" s="9"/>
      <c r="AC838" s="9"/>
    </row>
    <row r="839" ht="15.75" customHeight="1">
      <c r="A839" s="223"/>
      <c r="B839" s="223"/>
      <c r="C839" s="223"/>
      <c r="D839" s="9"/>
      <c r="E839" s="223"/>
      <c r="F839" s="971"/>
      <c r="G839" s="9"/>
      <c r="H839" s="9"/>
      <c r="I839" s="9"/>
      <c r="J839" s="9"/>
      <c r="K839" s="9"/>
      <c r="L839" s="223"/>
      <c r="M839" s="223"/>
      <c r="N839" s="9"/>
      <c r="O839" s="9"/>
      <c r="P839" s="9"/>
      <c r="Q839" s="223"/>
      <c r="R839" s="9"/>
      <c r="S839" s="223"/>
      <c r="T839" s="9"/>
      <c r="U839" s="9"/>
      <c r="V839" s="9"/>
      <c r="W839" s="9"/>
      <c r="X839" s="9"/>
      <c r="Y839" s="204"/>
      <c r="Z839" s="9"/>
      <c r="AA839" s="9"/>
      <c r="AB839" s="9"/>
      <c r="AC839" s="9"/>
    </row>
    <row r="840" ht="15.75" customHeight="1">
      <c r="A840" s="223"/>
      <c r="B840" s="223"/>
      <c r="C840" s="223"/>
      <c r="D840" s="9"/>
      <c r="E840" s="223"/>
      <c r="F840" s="971"/>
      <c r="G840" s="9"/>
      <c r="H840" s="9"/>
      <c r="I840" s="9"/>
      <c r="J840" s="9"/>
      <c r="K840" s="9"/>
      <c r="L840" s="223"/>
      <c r="M840" s="223"/>
      <c r="N840" s="9"/>
      <c r="O840" s="9"/>
      <c r="P840" s="9"/>
      <c r="Q840" s="223"/>
      <c r="R840" s="9"/>
      <c r="S840" s="223"/>
      <c r="T840" s="9"/>
      <c r="U840" s="9"/>
      <c r="V840" s="9"/>
      <c r="W840" s="9"/>
      <c r="X840" s="9"/>
      <c r="Y840" s="204"/>
      <c r="Z840" s="9"/>
      <c r="AA840" s="9"/>
      <c r="AB840" s="9"/>
      <c r="AC840" s="9"/>
    </row>
    <row r="841" ht="15.75" customHeight="1">
      <c r="A841" s="223"/>
      <c r="B841" s="223"/>
      <c r="C841" s="223"/>
      <c r="D841" s="9"/>
      <c r="E841" s="223"/>
      <c r="F841" s="971"/>
      <c r="G841" s="9"/>
      <c r="H841" s="9"/>
      <c r="I841" s="9"/>
      <c r="J841" s="9"/>
      <c r="K841" s="9"/>
      <c r="L841" s="223"/>
      <c r="M841" s="223"/>
      <c r="N841" s="9"/>
      <c r="O841" s="9"/>
      <c r="P841" s="9"/>
      <c r="Q841" s="223"/>
      <c r="R841" s="9"/>
      <c r="S841" s="223"/>
      <c r="T841" s="9"/>
      <c r="U841" s="9"/>
      <c r="V841" s="9"/>
      <c r="W841" s="9"/>
      <c r="X841" s="9"/>
      <c r="Y841" s="204"/>
      <c r="Z841" s="9"/>
      <c r="AA841" s="9"/>
      <c r="AB841" s="9"/>
      <c r="AC841" s="9"/>
    </row>
    <row r="842" ht="15.75" customHeight="1">
      <c r="A842" s="223"/>
      <c r="B842" s="223"/>
      <c r="C842" s="223"/>
      <c r="D842" s="9"/>
      <c r="E842" s="223"/>
      <c r="F842" s="971"/>
      <c r="G842" s="9"/>
      <c r="H842" s="9"/>
      <c r="I842" s="9"/>
      <c r="J842" s="9"/>
      <c r="K842" s="9"/>
      <c r="L842" s="223"/>
      <c r="M842" s="223"/>
      <c r="N842" s="9"/>
      <c r="O842" s="9"/>
      <c r="P842" s="9"/>
      <c r="Q842" s="223"/>
      <c r="R842" s="9"/>
      <c r="S842" s="223"/>
      <c r="T842" s="9"/>
      <c r="U842" s="9"/>
      <c r="V842" s="9"/>
      <c r="W842" s="9"/>
      <c r="X842" s="9"/>
      <c r="Y842" s="204"/>
      <c r="Z842" s="9"/>
      <c r="AA842" s="9"/>
      <c r="AB842" s="9"/>
      <c r="AC842" s="9"/>
    </row>
    <row r="843" ht="15.75" customHeight="1">
      <c r="A843" s="223"/>
      <c r="B843" s="223"/>
      <c r="C843" s="223"/>
      <c r="D843" s="9"/>
      <c r="E843" s="223"/>
      <c r="F843" s="971"/>
      <c r="G843" s="9"/>
      <c r="H843" s="9"/>
      <c r="I843" s="9"/>
      <c r="J843" s="9"/>
      <c r="K843" s="9"/>
      <c r="L843" s="223"/>
      <c r="M843" s="223"/>
      <c r="N843" s="9"/>
      <c r="O843" s="9"/>
      <c r="P843" s="9"/>
      <c r="Q843" s="223"/>
      <c r="R843" s="9"/>
      <c r="S843" s="223"/>
      <c r="T843" s="9"/>
      <c r="U843" s="9"/>
      <c r="V843" s="9"/>
      <c r="W843" s="9"/>
      <c r="X843" s="9"/>
      <c r="Y843" s="204"/>
      <c r="Z843" s="9"/>
      <c r="AA843" s="9"/>
      <c r="AB843" s="9"/>
      <c r="AC843" s="9"/>
    </row>
    <row r="844" ht="15.75" customHeight="1">
      <c r="A844" s="223"/>
      <c r="B844" s="223"/>
      <c r="C844" s="223"/>
      <c r="D844" s="9"/>
      <c r="E844" s="223"/>
      <c r="F844" s="971"/>
      <c r="G844" s="9"/>
      <c r="H844" s="9"/>
      <c r="I844" s="9"/>
      <c r="J844" s="9"/>
      <c r="K844" s="9"/>
      <c r="L844" s="223"/>
      <c r="M844" s="223"/>
      <c r="N844" s="9"/>
      <c r="O844" s="9"/>
      <c r="P844" s="9"/>
      <c r="Q844" s="223"/>
      <c r="R844" s="9"/>
      <c r="S844" s="223"/>
      <c r="T844" s="9"/>
      <c r="U844" s="9"/>
      <c r="V844" s="9"/>
      <c r="W844" s="9"/>
      <c r="X844" s="9"/>
      <c r="Y844" s="204"/>
      <c r="Z844" s="9"/>
      <c r="AA844" s="9"/>
      <c r="AB844" s="9"/>
      <c r="AC844" s="9"/>
    </row>
    <row r="845" ht="15.75" customHeight="1">
      <c r="A845" s="223"/>
      <c r="B845" s="223"/>
      <c r="C845" s="223"/>
      <c r="D845" s="9"/>
      <c r="E845" s="223"/>
      <c r="F845" s="971"/>
      <c r="G845" s="9"/>
      <c r="H845" s="9"/>
      <c r="I845" s="9"/>
      <c r="J845" s="9"/>
      <c r="K845" s="9"/>
      <c r="L845" s="223"/>
      <c r="M845" s="223"/>
      <c r="N845" s="9"/>
      <c r="O845" s="9"/>
      <c r="P845" s="9"/>
      <c r="Q845" s="223"/>
      <c r="R845" s="9"/>
      <c r="S845" s="223"/>
      <c r="T845" s="9"/>
      <c r="U845" s="9"/>
      <c r="V845" s="9"/>
      <c r="W845" s="9"/>
      <c r="X845" s="9"/>
      <c r="Y845" s="204"/>
      <c r="Z845" s="9"/>
      <c r="AA845" s="9"/>
      <c r="AB845" s="9"/>
      <c r="AC845" s="9"/>
    </row>
    <row r="846" ht="15.75" customHeight="1">
      <c r="A846" s="223"/>
      <c r="B846" s="223"/>
      <c r="C846" s="223"/>
      <c r="D846" s="9"/>
      <c r="E846" s="223"/>
      <c r="F846" s="971"/>
      <c r="G846" s="9"/>
      <c r="H846" s="9"/>
      <c r="I846" s="9"/>
      <c r="J846" s="9"/>
      <c r="K846" s="9"/>
      <c r="L846" s="223"/>
      <c r="M846" s="223"/>
      <c r="N846" s="9"/>
      <c r="O846" s="9"/>
      <c r="P846" s="9"/>
      <c r="Q846" s="223"/>
      <c r="R846" s="9"/>
      <c r="S846" s="223"/>
      <c r="T846" s="9"/>
      <c r="U846" s="9"/>
      <c r="V846" s="9"/>
      <c r="W846" s="9"/>
      <c r="X846" s="9"/>
      <c r="Y846" s="204"/>
      <c r="Z846" s="9"/>
      <c r="AA846" s="9"/>
      <c r="AB846" s="9"/>
      <c r="AC846" s="9"/>
    </row>
    <row r="847" ht="15.75" customHeight="1">
      <c r="A847" s="223"/>
      <c r="B847" s="223"/>
      <c r="C847" s="223"/>
      <c r="D847" s="9"/>
      <c r="E847" s="223"/>
      <c r="F847" s="971"/>
      <c r="G847" s="9"/>
      <c r="H847" s="9"/>
      <c r="I847" s="9"/>
      <c r="J847" s="9"/>
      <c r="K847" s="9"/>
      <c r="L847" s="223"/>
      <c r="M847" s="223"/>
      <c r="N847" s="9"/>
      <c r="O847" s="9"/>
      <c r="P847" s="9"/>
      <c r="Q847" s="223"/>
      <c r="R847" s="9"/>
      <c r="S847" s="223"/>
      <c r="T847" s="9"/>
      <c r="U847" s="9"/>
      <c r="V847" s="9"/>
      <c r="W847" s="9"/>
      <c r="X847" s="9"/>
      <c r="Y847" s="204"/>
      <c r="Z847" s="9"/>
      <c r="AA847" s="9"/>
      <c r="AB847" s="9"/>
      <c r="AC847" s="9"/>
    </row>
    <row r="848" ht="15.75" customHeight="1">
      <c r="A848" s="223"/>
      <c r="B848" s="223"/>
      <c r="C848" s="223"/>
      <c r="D848" s="9"/>
      <c r="E848" s="223"/>
      <c r="F848" s="971"/>
      <c r="G848" s="9"/>
      <c r="H848" s="9"/>
      <c r="I848" s="9"/>
      <c r="J848" s="9"/>
      <c r="K848" s="9"/>
      <c r="L848" s="223"/>
      <c r="M848" s="223"/>
      <c r="N848" s="9"/>
      <c r="O848" s="9"/>
      <c r="P848" s="9"/>
      <c r="Q848" s="223"/>
      <c r="R848" s="9"/>
      <c r="S848" s="223"/>
      <c r="T848" s="9"/>
      <c r="U848" s="9"/>
      <c r="V848" s="9"/>
      <c r="W848" s="9"/>
      <c r="X848" s="9"/>
      <c r="Y848" s="204"/>
      <c r="Z848" s="9"/>
      <c r="AA848" s="9"/>
      <c r="AB848" s="9"/>
      <c r="AC848" s="9"/>
    </row>
    <row r="849" ht="15.75" customHeight="1">
      <c r="A849" s="223"/>
      <c r="B849" s="223"/>
      <c r="C849" s="223"/>
      <c r="D849" s="9"/>
      <c r="E849" s="223"/>
      <c r="F849" s="971"/>
      <c r="G849" s="9"/>
      <c r="H849" s="9"/>
      <c r="I849" s="9"/>
      <c r="J849" s="9"/>
      <c r="K849" s="9"/>
      <c r="L849" s="223"/>
      <c r="M849" s="223"/>
      <c r="N849" s="9"/>
      <c r="O849" s="9"/>
      <c r="P849" s="9"/>
      <c r="Q849" s="223"/>
      <c r="R849" s="9"/>
      <c r="S849" s="223"/>
      <c r="T849" s="9"/>
      <c r="U849" s="9"/>
      <c r="V849" s="9"/>
      <c r="W849" s="9"/>
      <c r="X849" s="9"/>
      <c r="Y849" s="204"/>
      <c r="Z849" s="9"/>
      <c r="AA849" s="9"/>
      <c r="AB849" s="9"/>
      <c r="AC849" s="9"/>
    </row>
    <row r="850" ht="15.75" customHeight="1">
      <c r="A850" s="223"/>
      <c r="B850" s="223"/>
      <c r="C850" s="223"/>
      <c r="D850" s="9"/>
      <c r="E850" s="223"/>
      <c r="F850" s="971"/>
      <c r="G850" s="9"/>
      <c r="H850" s="9"/>
      <c r="I850" s="9"/>
      <c r="J850" s="9"/>
      <c r="K850" s="9"/>
      <c r="L850" s="223"/>
      <c r="M850" s="223"/>
      <c r="N850" s="9"/>
      <c r="O850" s="9"/>
      <c r="P850" s="9"/>
      <c r="Q850" s="223"/>
      <c r="R850" s="9"/>
      <c r="S850" s="223"/>
      <c r="T850" s="9"/>
      <c r="U850" s="9"/>
      <c r="V850" s="9"/>
      <c r="W850" s="9"/>
      <c r="X850" s="9"/>
      <c r="Y850" s="204"/>
      <c r="Z850" s="9"/>
      <c r="AA850" s="9"/>
      <c r="AB850" s="9"/>
      <c r="AC850" s="9"/>
    </row>
    <row r="851" ht="15.75" customHeight="1">
      <c r="A851" s="223"/>
      <c r="B851" s="223"/>
      <c r="C851" s="223"/>
      <c r="D851" s="9"/>
      <c r="E851" s="223"/>
      <c r="F851" s="971"/>
      <c r="G851" s="9"/>
      <c r="H851" s="9"/>
      <c r="I851" s="9"/>
      <c r="J851" s="9"/>
      <c r="K851" s="9"/>
      <c r="L851" s="223"/>
      <c r="M851" s="223"/>
      <c r="N851" s="9"/>
      <c r="O851" s="9"/>
      <c r="P851" s="9"/>
      <c r="Q851" s="223"/>
      <c r="R851" s="9"/>
      <c r="S851" s="223"/>
      <c r="T851" s="9"/>
      <c r="U851" s="9"/>
      <c r="V851" s="9"/>
      <c r="W851" s="9"/>
      <c r="X851" s="9"/>
      <c r="Y851" s="204"/>
      <c r="Z851" s="9"/>
      <c r="AA851" s="9"/>
      <c r="AB851" s="9"/>
      <c r="AC851" s="9"/>
    </row>
    <row r="852" ht="15.75" customHeight="1">
      <c r="A852" s="223"/>
      <c r="B852" s="223"/>
      <c r="C852" s="223"/>
      <c r="D852" s="9"/>
      <c r="E852" s="223"/>
      <c r="F852" s="971"/>
      <c r="G852" s="9"/>
      <c r="H852" s="9"/>
      <c r="I852" s="9"/>
      <c r="J852" s="9"/>
      <c r="K852" s="9"/>
      <c r="L852" s="223"/>
      <c r="M852" s="223"/>
      <c r="N852" s="9"/>
      <c r="O852" s="9"/>
      <c r="P852" s="9"/>
      <c r="Q852" s="223"/>
      <c r="R852" s="9"/>
      <c r="S852" s="223"/>
      <c r="T852" s="9"/>
      <c r="U852" s="9"/>
      <c r="V852" s="9"/>
      <c r="W852" s="9"/>
      <c r="X852" s="9"/>
      <c r="Y852" s="204"/>
      <c r="Z852" s="9"/>
      <c r="AA852" s="9"/>
      <c r="AB852" s="9"/>
      <c r="AC852" s="9"/>
    </row>
    <row r="853" ht="15.75" customHeight="1">
      <c r="A853" s="223"/>
      <c r="B853" s="223"/>
      <c r="C853" s="223"/>
      <c r="D853" s="9"/>
      <c r="E853" s="223"/>
      <c r="F853" s="971"/>
      <c r="G853" s="9"/>
      <c r="H853" s="9"/>
      <c r="I853" s="9"/>
      <c r="J853" s="9"/>
      <c r="K853" s="9"/>
      <c r="L853" s="223"/>
      <c r="M853" s="223"/>
      <c r="N853" s="9"/>
      <c r="O853" s="9"/>
      <c r="P853" s="9"/>
      <c r="Q853" s="223"/>
      <c r="R853" s="9"/>
      <c r="S853" s="223"/>
      <c r="T853" s="9"/>
      <c r="U853" s="9"/>
      <c r="V853" s="9"/>
      <c r="W853" s="9"/>
      <c r="X853" s="9"/>
      <c r="Y853" s="204"/>
      <c r="Z853" s="9"/>
      <c r="AA853" s="9"/>
      <c r="AB853" s="9"/>
      <c r="AC853" s="9"/>
    </row>
    <row r="854" ht="15.75" customHeight="1">
      <c r="A854" s="223"/>
      <c r="B854" s="223"/>
      <c r="C854" s="223"/>
      <c r="D854" s="9"/>
      <c r="E854" s="223"/>
      <c r="F854" s="971"/>
      <c r="G854" s="9"/>
      <c r="H854" s="9"/>
      <c r="I854" s="9"/>
      <c r="J854" s="9"/>
      <c r="K854" s="9"/>
      <c r="L854" s="223"/>
      <c r="M854" s="223"/>
      <c r="N854" s="9"/>
      <c r="O854" s="9"/>
      <c r="P854" s="9"/>
      <c r="Q854" s="223"/>
      <c r="R854" s="9"/>
      <c r="S854" s="223"/>
      <c r="T854" s="9"/>
      <c r="U854" s="9"/>
      <c r="V854" s="9"/>
      <c r="W854" s="9"/>
      <c r="X854" s="9"/>
      <c r="Y854" s="204"/>
      <c r="Z854" s="9"/>
      <c r="AA854" s="9"/>
      <c r="AB854" s="9"/>
      <c r="AC854" s="9"/>
    </row>
    <row r="855" ht="15.75" customHeight="1">
      <c r="A855" s="223"/>
      <c r="B855" s="223"/>
      <c r="C855" s="223"/>
      <c r="D855" s="9"/>
      <c r="E855" s="223"/>
      <c r="F855" s="971"/>
      <c r="G855" s="9"/>
      <c r="H855" s="9"/>
      <c r="I855" s="9"/>
      <c r="J855" s="9"/>
      <c r="K855" s="9"/>
      <c r="L855" s="223"/>
      <c r="M855" s="223"/>
      <c r="N855" s="9"/>
      <c r="O855" s="9"/>
      <c r="P855" s="9"/>
      <c r="Q855" s="223"/>
      <c r="R855" s="9"/>
      <c r="S855" s="223"/>
      <c r="T855" s="9"/>
      <c r="U855" s="9"/>
      <c r="V855" s="9"/>
      <c r="W855" s="9"/>
      <c r="X855" s="9"/>
      <c r="Y855" s="204"/>
      <c r="Z855" s="9"/>
      <c r="AA855" s="9"/>
      <c r="AB855" s="9"/>
      <c r="AC855" s="9"/>
    </row>
    <row r="856" ht="15.75" customHeight="1">
      <c r="A856" s="223"/>
      <c r="B856" s="223"/>
      <c r="C856" s="223"/>
      <c r="D856" s="9"/>
      <c r="E856" s="223"/>
      <c r="F856" s="971"/>
      <c r="G856" s="9"/>
      <c r="H856" s="9"/>
      <c r="I856" s="9"/>
      <c r="J856" s="9"/>
      <c r="K856" s="9"/>
      <c r="L856" s="223"/>
      <c r="M856" s="223"/>
      <c r="N856" s="9"/>
      <c r="O856" s="9"/>
      <c r="P856" s="9"/>
      <c r="Q856" s="223"/>
      <c r="R856" s="9"/>
      <c r="S856" s="223"/>
      <c r="T856" s="9"/>
      <c r="U856" s="9"/>
      <c r="V856" s="9"/>
      <c r="W856" s="9"/>
      <c r="X856" s="9"/>
      <c r="Y856" s="204"/>
      <c r="Z856" s="9"/>
      <c r="AA856" s="9"/>
      <c r="AB856" s="9"/>
      <c r="AC856" s="9"/>
    </row>
    <row r="857" ht="15.75" customHeight="1">
      <c r="A857" s="223"/>
      <c r="B857" s="223"/>
      <c r="C857" s="223"/>
      <c r="D857" s="9"/>
      <c r="E857" s="223"/>
      <c r="F857" s="971"/>
      <c r="G857" s="9"/>
      <c r="H857" s="9"/>
      <c r="I857" s="9"/>
      <c r="J857" s="9"/>
      <c r="K857" s="9"/>
      <c r="L857" s="223"/>
      <c r="M857" s="223"/>
      <c r="N857" s="9"/>
      <c r="O857" s="9"/>
      <c r="P857" s="9"/>
      <c r="Q857" s="223"/>
      <c r="R857" s="9"/>
      <c r="S857" s="223"/>
      <c r="T857" s="9"/>
      <c r="U857" s="9"/>
      <c r="V857" s="9"/>
      <c r="W857" s="9"/>
      <c r="X857" s="9"/>
      <c r="Y857" s="204"/>
      <c r="Z857" s="9"/>
      <c r="AA857" s="9"/>
      <c r="AB857" s="9"/>
      <c r="AC857" s="9"/>
    </row>
    <row r="858" ht="15.75" customHeight="1">
      <c r="A858" s="223"/>
      <c r="B858" s="223"/>
      <c r="C858" s="223"/>
      <c r="D858" s="9"/>
      <c r="E858" s="223"/>
      <c r="F858" s="971"/>
      <c r="G858" s="9"/>
      <c r="H858" s="9"/>
      <c r="I858" s="9"/>
      <c r="J858" s="9"/>
      <c r="K858" s="9"/>
      <c r="L858" s="223"/>
      <c r="M858" s="223"/>
      <c r="N858" s="9"/>
      <c r="O858" s="9"/>
      <c r="P858" s="9"/>
      <c r="Q858" s="223"/>
      <c r="R858" s="9"/>
      <c r="S858" s="223"/>
      <c r="T858" s="9"/>
      <c r="U858" s="9"/>
      <c r="V858" s="9"/>
      <c r="W858" s="9"/>
      <c r="X858" s="9"/>
      <c r="Y858" s="204"/>
      <c r="Z858" s="9"/>
      <c r="AA858" s="9"/>
      <c r="AB858" s="9"/>
      <c r="AC858" s="9"/>
    </row>
    <row r="859" ht="15.75" customHeight="1">
      <c r="A859" s="223"/>
      <c r="B859" s="223"/>
      <c r="C859" s="223"/>
      <c r="D859" s="9"/>
      <c r="E859" s="223"/>
      <c r="F859" s="971"/>
      <c r="G859" s="9"/>
      <c r="H859" s="9"/>
      <c r="I859" s="9"/>
      <c r="J859" s="9"/>
      <c r="K859" s="9"/>
      <c r="L859" s="223"/>
      <c r="M859" s="223"/>
      <c r="N859" s="9"/>
      <c r="O859" s="9"/>
      <c r="P859" s="9"/>
      <c r="Q859" s="223"/>
      <c r="R859" s="9"/>
      <c r="S859" s="223"/>
      <c r="T859" s="9"/>
      <c r="U859" s="9"/>
      <c r="V859" s="9"/>
      <c r="W859" s="9"/>
      <c r="X859" s="9"/>
      <c r="Y859" s="204"/>
      <c r="Z859" s="9"/>
      <c r="AA859" s="9"/>
      <c r="AB859" s="9"/>
      <c r="AC859" s="9"/>
    </row>
    <row r="860" ht="15.75" customHeight="1">
      <c r="A860" s="223"/>
      <c r="B860" s="223"/>
      <c r="C860" s="223"/>
      <c r="D860" s="9"/>
      <c r="E860" s="223"/>
      <c r="F860" s="971"/>
      <c r="G860" s="9"/>
      <c r="H860" s="9"/>
      <c r="I860" s="9"/>
      <c r="J860" s="9"/>
      <c r="K860" s="9"/>
      <c r="L860" s="223"/>
      <c r="M860" s="223"/>
      <c r="N860" s="9"/>
      <c r="O860" s="9"/>
      <c r="P860" s="9"/>
      <c r="Q860" s="223"/>
      <c r="R860" s="9"/>
      <c r="S860" s="223"/>
      <c r="T860" s="9"/>
      <c r="U860" s="9"/>
      <c r="V860" s="9"/>
      <c r="W860" s="9"/>
      <c r="X860" s="9"/>
      <c r="Y860" s="204"/>
      <c r="Z860" s="9"/>
      <c r="AA860" s="9"/>
      <c r="AB860" s="9"/>
      <c r="AC860" s="9"/>
    </row>
    <row r="861" ht="15.75" customHeight="1">
      <c r="A861" s="223"/>
      <c r="B861" s="223"/>
      <c r="C861" s="223"/>
      <c r="D861" s="9"/>
      <c r="E861" s="223"/>
      <c r="F861" s="971"/>
      <c r="G861" s="9"/>
      <c r="H861" s="9"/>
      <c r="I861" s="9"/>
      <c r="J861" s="9"/>
      <c r="K861" s="9"/>
      <c r="L861" s="223"/>
      <c r="M861" s="223"/>
      <c r="N861" s="9"/>
      <c r="O861" s="9"/>
      <c r="P861" s="9"/>
      <c r="Q861" s="223"/>
      <c r="R861" s="9"/>
      <c r="S861" s="223"/>
      <c r="T861" s="9"/>
      <c r="U861" s="9"/>
      <c r="V861" s="9"/>
      <c r="W861" s="9"/>
      <c r="X861" s="9"/>
      <c r="Y861" s="204"/>
      <c r="Z861" s="9"/>
      <c r="AA861" s="9"/>
      <c r="AB861" s="9"/>
      <c r="AC861" s="9"/>
    </row>
    <row r="862" ht="15.75" customHeight="1">
      <c r="A862" s="223"/>
      <c r="B862" s="223"/>
      <c r="C862" s="223"/>
      <c r="D862" s="9"/>
      <c r="E862" s="223"/>
      <c r="F862" s="971"/>
      <c r="G862" s="9"/>
      <c r="H862" s="9"/>
      <c r="I862" s="9"/>
      <c r="J862" s="9"/>
      <c r="K862" s="9"/>
      <c r="L862" s="223"/>
      <c r="M862" s="223"/>
      <c r="N862" s="9"/>
      <c r="O862" s="9"/>
      <c r="P862" s="9"/>
      <c r="Q862" s="223"/>
      <c r="R862" s="9"/>
      <c r="S862" s="223"/>
      <c r="T862" s="9"/>
      <c r="U862" s="9"/>
      <c r="V862" s="9"/>
      <c r="W862" s="9"/>
      <c r="X862" s="9"/>
      <c r="Y862" s="204"/>
      <c r="Z862" s="9"/>
      <c r="AA862" s="9"/>
      <c r="AB862" s="9"/>
      <c r="AC862" s="9"/>
    </row>
    <row r="863" ht="15.75" customHeight="1">
      <c r="A863" s="223"/>
      <c r="B863" s="223"/>
      <c r="C863" s="223"/>
      <c r="D863" s="9"/>
      <c r="E863" s="223"/>
      <c r="F863" s="971"/>
      <c r="G863" s="9"/>
      <c r="H863" s="9"/>
      <c r="I863" s="9"/>
      <c r="J863" s="9"/>
      <c r="K863" s="9"/>
      <c r="L863" s="223"/>
      <c r="M863" s="223"/>
      <c r="N863" s="9"/>
      <c r="O863" s="9"/>
      <c r="P863" s="9"/>
      <c r="Q863" s="223"/>
      <c r="R863" s="9"/>
      <c r="S863" s="223"/>
      <c r="T863" s="9"/>
      <c r="U863" s="9"/>
      <c r="V863" s="9"/>
      <c r="W863" s="9"/>
      <c r="X863" s="9"/>
      <c r="Y863" s="204"/>
      <c r="Z863" s="9"/>
      <c r="AA863" s="9"/>
      <c r="AB863" s="9"/>
      <c r="AC863" s="9"/>
    </row>
    <row r="864" ht="15.75" customHeight="1">
      <c r="A864" s="223"/>
      <c r="B864" s="223"/>
      <c r="C864" s="223"/>
      <c r="D864" s="9"/>
      <c r="E864" s="223"/>
      <c r="F864" s="971"/>
      <c r="G864" s="9"/>
      <c r="H864" s="9"/>
      <c r="I864" s="9"/>
      <c r="J864" s="9"/>
      <c r="K864" s="9"/>
      <c r="L864" s="223"/>
      <c r="M864" s="223"/>
      <c r="N864" s="9"/>
      <c r="O864" s="9"/>
      <c r="P864" s="9"/>
      <c r="Q864" s="223"/>
      <c r="R864" s="9"/>
      <c r="S864" s="223"/>
      <c r="T864" s="9"/>
      <c r="U864" s="9"/>
      <c r="V864" s="9"/>
      <c r="W864" s="9"/>
      <c r="X864" s="9"/>
      <c r="Y864" s="204"/>
      <c r="Z864" s="9"/>
      <c r="AA864" s="9"/>
      <c r="AB864" s="9"/>
      <c r="AC864" s="9"/>
    </row>
    <row r="865" ht="15.75" customHeight="1">
      <c r="A865" s="223"/>
      <c r="B865" s="223"/>
      <c r="C865" s="223"/>
      <c r="D865" s="9"/>
      <c r="E865" s="223"/>
      <c r="F865" s="971"/>
      <c r="G865" s="9"/>
      <c r="H865" s="9"/>
      <c r="I865" s="9"/>
      <c r="J865" s="9"/>
      <c r="K865" s="9"/>
      <c r="L865" s="223"/>
      <c r="M865" s="223"/>
      <c r="N865" s="9"/>
      <c r="O865" s="9"/>
      <c r="P865" s="9"/>
      <c r="Q865" s="223"/>
      <c r="R865" s="9"/>
      <c r="S865" s="223"/>
      <c r="T865" s="9"/>
      <c r="U865" s="9"/>
      <c r="V865" s="9"/>
      <c r="W865" s="9"/>
      <c r="X865" s="9"/>
      <c r="Y865" s="204"/>
      <c r="Z865" s="9"/>
      <c r="AA865" s="9"/>
      <c r="AB865" s="9"/>
      <c r="AC865" s="9"/>
    </row>
    <row r="866" ht="15.75" customHeight="1">
      <c r="A866" s="223"/>
      <c r="B866" s="223"/>
      <c r="C866" s="223"/>
      <c r="D866" s="9"/>
      <c r="E866" s="223"/>
      <c r="F866" s="971"/>
      <c r="G866" s="9"/>
      <c r="H866" s="9"/>
      <c r="I866" s="9"/>
      <c r="J866" s="9"/>
      <c r="K866" s="9"/>
      <c r="L866" s="223"/>
      <c r="M866" s="223"/>
      <c r="N866" s="9"/>
      <c r="O866" s="9"/>
      <c r="P866" s="9"/>
      <c r="Q866" s="223"/>
      <c r="R866" s="9"/>
      <c r="S866" s="223"/>
      <c r="T866" s="9"/>
      <c r="U866" s="9"/>
      <c r="V866" s="9"/>
      <c r="W866" s="9"/>
      <c r="X866" s="9"/>
      <c r="Y866" s="204"/>
      <c r="Z866" s="9"/>
      <c r="AA866" s="9"/>
      <c r="AB866" s="9"/>
      <c r="AC866" s="9"/>
    </row>
    <row r="867" ht="15.75" customHeight="1">
      <c r="A867" s="223"/>
      <c r="B867" s="223"/>
      <c r="C867" s="223"/>
      <c r="D867" s="9"/>
      <c r="E867" s="223"/>
      <c r="F867" s="971"/>
      <c r="G867" s="9"/>
      <c r="H867" s="9"/>
      <c r="I867" s="9"/>
      <c r="J867" s="9"/>
      <c r="K867" s="9"/>
      <c r="L867" s="223"/>
      <c r="M867" s="223"/>
      <c r="N867" s="9"/>
      <c r="O867" s="9"/>
      <c r="P867" s="9"/>
      <c r="Q867" s="223"/>
      <c r="R867" s="9"/>
      <c r="S867" s="223"/>
      <c r="T867" s="9"/>
      <c r="U867" s="9"/>
      <c r="V867" s="9"/>
      <c r="W867" s="9"/>
      <c r="X867" s="9"/>
      <c r="Y867" s="204"/>
      <c r="Z867" s="9"/>
      <c r="AA867" s="9"/>
      <c r="AB867" s="9"/>
      <c r="AC867" s="9"/>
    </row>
    <row r="868" ht="15.75" customHeight="1">
      <c r="A868" s="223"/>
      <c r="B868" s="223"/>
      <c r="C868" s="223"/>
      <c r="D868" s="9"/>
      <c r="E868" s="223"/>
      <c r="F868" s="971"/>
      <c r="G868" s="9"/>
      <c r="H868" s="9"/>
      <c r="I868" s="9"/>
      <c r="J868" s="9"/>
      <c r="K868" s="9"/>
      <c r="L868" s="223"/>
      <c r="M868" s="223"/>
      <c r="N868" s="9"/>
      <c r="O868" s="9"/>
      <c r="P868" s="9"/>
      <c r="Q868" s="223"/>
      <c r="R868" s="9"/>
      <c r="S868" s="223"/>
      <c r="T868" s="9"/>
      <c r="U868" s="9"/>
      <c r="V868" s="9"/>
      <c r="W868" s="9"/>
      <c r="X868" s="9"/>
      <c r="Y868" s="204"/>
      <c r="Z868" s="9"/>
      <c r="AA868" s="9"/>
      <c r="AB868" s="9"/>
      <c r="AC868" s="9"/>
    </row>
    <row r="869" ht="15.75" customHeight="1">
      <c r="A869" s="223"/>
      <c r="B869" s="223"/>
      <c r="C869" s="223"/>
      <c r="D869" s="9"/>
      <c r="E869" s="223"/>
      <c r="F869" s="971"/>
      <c r="G869" s="9"/>
      <c r="H869" s="9"/>
      <c r="I869" s="9"/>
      <c r="J869" s="9"/>
      <c r="K869" s="9"/>
      <c r="L869" s="223"/>
      <c r="M869" s="223"/>
      <c r="N869" s="9"/>
      <c r="O869" s="9"/>
      <c r="P869" s="9"/>
      <c r="Q869" s="223"/>
      <c r="R869" s="9"/>
      <c r="S869" s="223"/>
      <c r="T869" s="9"/>
      <c r="U869" s="9"/>
      <c r="V869" s="9"/>
      <c r="W869" s="9"/>
      <c r="X869" s="9"/>
      <c r="Y869" s="204"/>
      <c r="Z869" s="9"/>
      <c r="AA869" s="9"/>
      <c r="AB869" s="9"/>
      <c r="AC869" s="9"/>
    </row>
    <row r="870" ht="15.75" customHeight="1">
      <c r="A870" s="223"/>
      <c r="B870" s="223"/>
      <c r="C870" s="223"/>
      <c r="D870" s="9"/>
      <c r="E870" s="223"/>
      <c r="F870" s="971"/>
      <c r="G870" s="9"/>
      <c r="H870" s="9"/>
      <c r="I870" s="9"/>
      <c r="J870" s="9"/>
      <c r="K870" s="9"/>
      <c r="L870" s="223"/>
      <c r="M870" s="223"/>
      <c r="N870" s="9"/>
      <c r="O870" s="9"/>
      <c r="P870" s="9"/>
      <c r="Q870" s="223"/>
      <c r="R870" s="9"/>
      <c r="S870" s="223"/>
      <c r="T870" s="9"/>
      <c r="U870" s="9"/>
      <c r="V870" s="9"/>
      <c r="W870" s="9"/>
      <c r="X870" s="9"/>
      <c r="Y870" s="204"/>
      <c r="Z870" s="9"/>
      <c r="AA870" s="9"/>
      <c r="AB870" s="9"/>
      <c r="AC870" s="9"/>
    </row>
    <row r="871" ht="15.75" customHeight="1">
      <c r="A871" s="223"/>
      <c r="B871" s="223"/>
      <c r="C871" s="223"/>
      <c r="D871" s="9"/>
      <c r="E871" s="223"/>
      <c r="F871" s="971"/>
      <c r="G871" s="9"/>
      <c r="H871" s="9"/>
      <c r="I871" s="9"/>
      <c r="J871" s="9"/>
      <c r="K871" s="9"/>
      <c r="L871" s="223"/>
      <c r="M871" s="223"/>
      <c r="N871" s="9"/>
      <c r="O871" s="9"/>
      <c r="P871" s="9"/>
      <c r="Q871" s="223"/>
      <c r="R871" s="9"/>
      <c r="S871" s="223"/>
      <c r="T871" s="9"/>
      <c r="U871" s="9"/>
      <c r="V871" s="9"/>
      <c r="W871" s="9"/>
      <c r="X871" s="9"/>
      <c r="Y871" s="204"/>
      <c r="Z871" s="9"/>
      <c r="AA871" s="9"/>
      <c r="AB871" s="9"/>
      <c r="AC871" s="9"/>
    </row>
    <row r="872" ht="15.75" customHeight="1">
      <c r="A872" s="223"/>
      <c r="B872" s="223"/>
      <c r="C872" s="223"/>
      <c r="D872" s="9"/>
      <c r="E872" s="223"/>
      <c r="F872" s="971"/>
      <c r="G872" s="9"/>
      <c r="H872" s="9"/>
      <c r="I872" s="9"/>
      <c r="J872" s="9"/>
      <c r="K872" s="9"/>
      <c r="L872" s="223"/>
      <c r="M872" s="223"/>
      <c r="N872" s="9"/>
      <c r="O872" s="9"/>
      <c r="P872" s="9"/>
      <c r="Q872" s="223"/>
      <c r="R872" s="9"/>
      <c r="S872" s="223"/>
      <c r="T872" s="9"/>
      <c r="U872" s="9"/>
      <c r="V872" s="9"/>
      <c r="W872" s="9"/>
      <c r="X872" s="9"/>
      <c r="Y872" s="204"/>
      <c r="Z872" s="9"/>
      <c r="AA872" s="9"/>
      <c r="AB872" s="9"/>
      <c r="AC872" s="9"/>
    </row>
    <row r="873" ht="15.75" customHeight="1">
      <c r="A873" s="223"/>
      <c r="B873" s="223"/>
      <c r="C873" s="223"/>
      <c r="D873" s="9"/>
      <c r="E873" s="223"/>
      <c r="F873" s="971"/>
      <c r="G873" s="9"/>
      <c r="H873" s="9"/>
      <c r="I873" s="9"/>
      <c r="J873" s="9"/>
      <c r="K873" s="9"/>
      <c r="L873" s="223"/>
      <c r="M873" s="223"/>
      <c r="N873" s="9"/>
      <c r="O873" s="9"/>
      <c r="P873" s="9"/>
      <c r="Q873" s="223"/>
      <c r="R873" s="9"/>
      <c r="S873" s="223"/>
      <c r="T873" s="9"/>
      <c r="U873" s="9"/>
      <c r="V873" s="9"/>
      <c r="W873" s="9"/>
      <c r="X873" s="9"/>
      <c r="Y873" s="204"/>
      <c r="Z873" s="9"/>
      <c r="AA873" s="9"/>
      <c r="AB873" s="9"/>
      <c r="AC873" s="9"/>
    </row>
    <row r="874" ht="15.75" customHeight="1">
      <c r="A874" s="223"/>
      <c r="B874" s="223"/>
      <c r="C874" s="223"/>
      <c r="D874" s="9"/>
      <c r="E874" s="223"/>
      <c r="F874" s="971"/>
      <c r="G874" s="9"/>
      <c r="H874" s="9"/>
      <c r="I874" s="9"/>
      <c r="J874" s="9"/>
      <c r="K874" s="9"/>
      <c r="L874" s="223"/>
      <c r="M874" s="223"/>
      <c r="N874" s="9"/>
      <c r="O874" s="9"/>
      <c r="P874" s="9"/>
      <c r="Q874" s="223"/>
      <c r="R874" s="9"/>
      <c r="S874" s="223"/>
      <c r="T874" s="9"/>
      <c r="U874" s="9"/>
      <c r="V874" s="9"/>
      <c r="W874" s="9"/>
      <c r="X874" s="9"/>
      <c r="Y874" s="204"/>
      <c r="Z874" s="9"/>
      <c r="AA874" s="9"/>
      <c r="AB874" s="9"/>
      <c r="AC874" s="9"/>
    </row>
    <row r="875" ht="15.75" customHeight="1">
      <c r="A875" s="223"/>
      <c r="B875" s="223"/>
      <c r="C875" s="223"/>
      <c r="D875" s="9"/>
      <c r="E875" s="223"/>
      <c r="F875" s="971"/>
      <c r="G875" s="9"/>
      <c r="H875" s="9"/>
      <c r="I875" s="9"/>
      <c r="J875" s="9"/>
      <c r="K875" s="9"/>
      <c r="L875" s="223"/>
      <c r="M875" s="223"/>
      <c r="N875" s="9"/>
      <c r="O875" s="9"/>
      <c r="P875" s="9"/>
      <c r="Q875" s="223"/>
      <c r="R875" s="9"/>
      <c r="S875" s="223"/>
      <c r="T875" s="9"/>
      <c r="U875" s="9"/>
      <c r="V875" s="9"/>
      <c r="W875" s="9"/>
      <c r="X875" s="9"/>
      <c r="Y875" s="204"/>
      <c r="Z875" s="9"/>
      <c r="AA875" s="9"/>
      <c r="AB875" s="9"/>
      <c r="AC875" s="9"/>
    </row>
    <row r="876" ht="15.75" customHeight="1">
      <c r="A876" s="223"/>
      <c r="B876" s="223"/>
      <c r="C876" s="223"/>
      <c r="D876" s="9"/>
      <c r="E876" s="223"/>
      <c r="F876" s="971"/>
      <c r="G876" s="9"/>
      <c r="H876" s="9"/>
      <c r="I876" s="9"/>
      <c r="J876" s="9"/>
      <c r="K876" s="9"/>
      <c r="L876" s="223"/>
      <c r="M876" s="223"/>
      <c r="N876" s="9"/>
      <c r="O876" s="9"/>
      <c r="P876" s="9"/>
      <c r="Q876" s="223"/>
      <c r="R876" s="9"/>
      <c r="S876" s="223"/>
      <c r="T876" s="9"/>
      <c r="U876" s="9"/>
      <c r="V876" s="9"/>
      <c r="W876" s="9"/>
      <c r="X876" s="9"/>
      <c r="Y876" s="204"/>
      <c r="Z876" s="9"/>
      <c r="AA876" s="9"/>
      <c r="AB876" s="9"/>
      <c r="AC876" s="9"/>
    </row>
    <row r="877" ht="15.75" customHeight="1">
      <c r="A877" s="223"/>
      <c r="B877" s="223"/>
      <c r="C877" s="223"/>
      <c r="D877" s="9"/>
      <c r="E877" s="223"/>
      <c r="F877" s="971"/>
      <c r="G877" s="9"/>
      <c r="H877" s="9"/>
      <c r="I877" s="9"/>
      <c r="J877" s="9"/>
      <c r="K877" s="9"/>
      <c r="L877" s="223"/>
      <c r="M877" s="223"/>
      <c r="N877" s="9"/>
      <c r="O877" s="9"/>
      <c r="P877" s="9"/>
      <c r="Q877" s="223"/>
      <c r="R877" s="9"/>
      <c r="S877" s="223"/>
      <c r="T877" s="9"/>
      <c r="U877" s="9"/>
      <c r="V877" s="9"/>
      <c r="W877" s="9"/>
      <c r="X877" s="9"/>
      <c r="Y877" s="204"/>
      <c r="Z877" s="9"/>
      <c r="AA877" s="9"/>
      <c r="AB877" s="9"/>
      <c r="AC877" s="9"/>
    </row>
    <row r="878" ht="15.75" customHeight="1">
      <c r="A878" s="223"/>
      <c r="B878" s="223"/>
      <c r="C878" s="223"/>
      <c r="D878" s="9"/>
      <c r="E878" s="223"/>
      <c r="F878" s="971"/>
      <c r="G878" s="9"/>
      <c r="H878" s="9"/>
      <c r="I878" s="9"/>
      <c r="J878" s="9"/>
      <c r="K878" s="9"/>
      <c r="L878" s="223"/>
      <c r="M878" s="223"/>
      <c r="N878" s="9"/>
      <c r="O878" s="9"/>
      <c r="P878" s="9"/>
      <c r="Q878" s="223"/>
      <c r="R878" s="9"/>
      <c r="S878" s="223"/>
      <c r="T878" s="9"/>
      <c r="U878" s="9"/>
      <c r="V878" s="9"/>
      <c r="W878" s="9"/>
      <c r="X878" s="9"/>
      <c r="Y878" s="204"/>
      <c r="Z878" s="9"/>
      <c r="AA878" s="9"/>
      <c r="AB878" s="9"/>
      <c r="AC878" s="9"/>
    </row>
    <row r="879" ht="15.75" customHeight="1">
      <c r="A879" s="223"/>
      <c r="B879" s="223"/>
      <c r="C879" s="223"/>
      <c r="D879" s="9"/>
      <c r="E879" s="223"/>
      <c r="F879" s="971"/>
      <c r="G879" s="9"/>
      <c r="H879" s="9"/>
      <c r="I879" s="9"/>
      <c r="J879" s="9"/>
      <c r="K879" s="9"/>
      <c r="L879" s="223"/>
      <c r="M879" s="223"/>
      <c r="N879" s="9"/>
      <c r="O879" s="9"/>
      <c r="P879" s="9"/>
      <c r="Q879" s="223"/>
      <c r="R879" s="9"/>
      <c r="S879" s="223"/>
      <c r="T879" s="9"/>
      <c r="U879" s="9"/>
      <c r="V879" s="9"/>
      <c r="W879" s="9"/>
      <c r="X879" s="9"/>
      <c r="Y879" s="204"/>
      <c r="Z879" s="9"/>
      <c r="AA879" s="9"/>
      <c r="AB879" s="9"/>
      <c r="AC879" s="9"/>
    </row>
    <row r="880" ht="15.75" customHeight="1">
      <c r="A880" s="223"/>
      <c r="B880" s="223"/>
      <c r="C880" s="223"/>
      <c r="D880" s="9"/>
      <c r="E880" s="223"/>
      <c r="F880" s="971"/>
      <c r="G880" s="9"/>
      <c r="H880" s="9"/>
      <c r="I880" s="9"/>
      <c r="J880" s="9"/>
      <c r="K880" s="9"/>
      <c r="L880" s="223"/>
      <c r="M880" s="223"/>
      <c r="N880" s="9"/>
      <c r="O880" s="9"/>
      <c r="P880" s="9"/>
      <c r="Q880" s="223"/>
      <c r="R880" s="9"/>
      <c r="S880" s="223"/>
      <c r="T880" s="9"/>
      <c r="U880" s="9"/>
      <c r="V880" s="9"/>
      <c r="W880" s="9"/>
      <c r="X880" s="9"/>
      <c r="Y880" s="204"/>
      <c r="Z880" s="9"/>
      <c r="AA880" s="9"/>
      <c r="AB880" s="9"/>
      <c r="AC880" s="9"/>
    </row>
    <row r="881" ht="15.75" customHeight="1">
      <c r="A881" s="223"/>
      <c r="B881" s="223"/>
      <c r="C881" s="223"/>
      <c r="D881" s="9"/>
      <c r="E881" s="223"/>
      <c r="F881" s="971"/>
      <c r="G881" s="9"/>
      <c r="H881" s="9"/>
      <c r="I881" s="9"/>
      <c r="J881" s="9"/>
      <c r="K881" s="9"/>
      <c r="L881" s="223"/>
      <c r="M881" s="223"/>
      <c r="N881" s="9"/>
      <c r="O881" s="9"/>
      <c r="P881" s="9"/>
      <c r="Q881" s="223"/>
      <c r="R881" s="9"/>
      <c r="S881" s="223"/>
      <c r="T881" s="9"/>
      <c r="U881" s="9"/>
      <c r="V881" s="9"/>
      <c r="W881" s="9"/>
      <c r="X881" s="9"/>
      <c r="Y881" s="204"/>
      <c r="Z881" s="9"/>
      <c r="AA881" s="9"/>
      <c r="AB881" s="9"/>
      <c r="AC881" s="9"/>
    </row>
    <row r="882" ht="15.75" customHeight="1">
      <c r="A882" s="223"/>
      <c r="B882" s="223"/>
      <c r="C882" s="223"/>
      <c r="D882" s="9"/>
      <c r="E882" s="223"/>
      <c r="F882" s="971"/>
      <c r="G882" s="9"/>
      <c r="H882" s="9"/>
      <c r="I882" s="9"/>
      <c r="J882" s="9"/>
      <c r="K882" s="9"/>
      <c r="L882" s="223"/>
      <c r="M882" s="223"/>
      <c r="N882" s="9"/>
      <c r="O882" s="9"/>
      <c r="P882" s="9"/>
      <c r="Q882" s="223"/>
      <c r="R882" s="9"/>
      <c r="S882" s="223"/>
      <c r="T882" s="9"/>
      <c r="U882" s="9"/>
      <c r="V882" s="9"/>
      <c r="W882" s="9"/>
      <c r="X882" s="9"/>
      <c r="Y882" s="204"/>
      <c r="Z882" s="9"/>
      <c r="AA882" s="9"/>
      <c r="AB882" s="9"/>
      <c r="AC882" s="9"/>
    </row>
    <row r="883" ht="15.75" customHeight="1">
      <c r="A883" s="223"/>
      <c r="B883" s="223"/>
      <c r="C883" s="223"/>
      <c r="D883" s="9"/>
      <c r="E883" s="223"/>
      <c r="F883" s="971"/>
      <c r="G883" s="9"/>
      <c r="H883" s="9"/>
      <c r="I883" s="9"/>
      <c r="J883" s="9"/>
      <c r="K883" s="9"/>
      <c r="L883" s="223"/>
      <c r="M883" s="223"/>
      <c r="N883" s="9"/>
      <c r="O883" s="9"/>
      <c r="P883" s="9"/>
      <c r="Q883" s="223"/>
      <c r="R883" s="9"/>
      <c r="S883" s="223"/>
      <c r="T883" s="9"/>
      <c r="U883" s="9"/>
      <c r="V883" s="9"/>
      <c r="W883" s="9"/>
      <c r="X883" s="9"/>
      <c r="Y883" s="204"/>
      <c r="Z883" s="9"/>
      <c r="AA883" s="9"/>
      <c r="AB883" s="9"/>
      <c r="AC883" s="9"/>
    </row>
    <row r="884" ht="15.75" customHeight="1">
      <c r="A884" s="223"/>
      <c r="B884" s="223"/>
      <c r="C884" s="223"/>
      <c r="D884" s="9"/>
      <c r="E884" s="223"/>
      <c r="F884" s="971"/>
      <c r="G884" s="9"/>
      <c r="H884" s="9"/>
      <c r="I884" s="9"/>
      <c r="J884" s="9"/>
      <c r="K884" s="9"/>
      <c r="L884" s="223"/>
      <c r="M884" s="223"/>
      <c r="N884" s="9"/>
      <c r="O884" s="9"/>
      <c r="P884" s="9"/>
      <c r="Q884" s="223"/>
      <c r="R884" s="9"/>
      <c r="S884" s="223"/>
      <c r="T884" s="9"/>
      <c r="U884" s="9"/>
      <c r="V884" s="9"/>
      <c r="W884" s="9"/>
      <c r="X884" s="9"/>
      <c r="Y884" s="204"/>
      <c r="Z884" s="9"/>
      <c r="AA884" s="9"/>
      <c r="AB884" s="9"/>
      <c r="AC884" s="9"/>
    </row>
    <row r="885" ht="15.75" customHeight="1">
      <c r="A885" s="223"/>
      <c r="B885" s="223"/>
      <c r="C885" s="223"/>
      <c r="D885" s="9"/>
      <c r="E885" s="223"/>
      <c r="F885" s="971"/>
      <c r="G885" s="9"/>
      <c r="H885" s="9"/>
      <c r="I885" s="9"/>
      <c r="J885" s="9"/>
      <c r="K885" s="9"/>
      <c r="L885" s="223"/>
      <c r="M885" s="223"/>
      <c r="N885" s="9"/>
      <c r="O885" s="9"/>
      <c r="P885" s="9"/>
      <c r="Q885" s="223"/>
      <c r="R885" s="9"/>
      <c r="S885" s="223"/>
      <c r="T885" s="9"/>
      <c r="U885" s="9"/>
      <c r="V885" s="9"/>
      <c r="W885" s="9"/>
      <c r="X885" s="9"/>
      <c r="Y885" s="204"/>
      <c r="Z885" s="9"/>
      <c r="AA885" s="9"/>
      <c r="AB885" s="9"/>
      <c r="AC885" s="9"/>
    </row>
    <row r="886" ht="15.75" customHeight="1">
      <c r="A886" s="223"/>
      <c r="B886" s="223"/>
      <c r="C886" s="223"/>
      <c r="D886" s="9"/>
      <c r="E886" s="223"/>
      <c r="F886" s="971"/>
      <c r="G886" s="9"/>
      <c r="H886" s="9"/>
      <c r="I886" s="9"/>
      <c r="J886" s="9"/>
      <c r="K886" s="9"/>
      <c r="L886" s="223"/>
      <c r="M886" s="223"/>
      <c r="N886" s="9"/>
      <c r="O886" s="9"/>
      <c r="P886" s="9"/>
      <c r="Q886" s="223"/>
      <c r="R886" s="9"/>
      <c r="S886" s="223"/>
      <c r="T886" s="9"/>
      <c r="U886" s="9"/>
      <c r="V886" s="9"/>
      <c r="W886" s="9"/>
      <c r="X886" s="9"/>
      <c r="Y886" s="204"/>
      <c r="Z886" s="9"/>
      <c r="AA886" s="9"/>
      <c r="AB886" s="9"/>
      <c r="AC886" s="9"/>
    </row>
    <row r="887" ht="15.75" customHeight="1">
      <c r="A887" s="223"/>
      <c r="B887" s="223"/>
      <c r="C887" s="223"/>
      <c r="D887" s="9"/>
      <c r="E887" s="223"/>
      <c r="F887" s="971"/>
      <c r="G887" s="9"/>
      <c r="H887" s="9"/>
      <c r="I887" s="9"/>
      <c r="J887" s="9"/>
      <c r="K887" s="9"/>
      <c r="L887" s="223"/>
      <c r="M887" s="223"/>
      <c r="N887" s="9"/>
      <c r="O887" s="9"/>
      <c r="P887" s="9"/>
      <c r="Q887" s="223"/>
      <c r="R887" s="9"/>
      <c r="S887" s="223"/>
      <c r="T887" s="9"/>
      <c r="U887" s="9"/>
      <c r="V887" s="9"/>
      <c r="W887" s="9"/>
      <c r="X887" s="9"/>
      <c r="Y887" s="204"/>
      <c r="Z887" s="9"/>
      <c r="AA887" s="9"/>
      <c r="AB887" s="9"/>
      <c r="AC887" s="9"/>
    </row>
    <row r="888" ht="15.75" customHeight="1">
      <c r="A888" s="223"/>
      <c r="B888" s="223"/>
      <c r="C888" s="223"/>
      <c r="D888" s="9"/>
      <c r="E888" s="223"/>
      <c r="F888" s="971"/>
      <c r="G888" s="9"/>
      <c r="H888" s="9"/>
      <c r="I888" s="9"/>
      <c r="J888" s="9"/>
      <c r="K888" s="9"/>
      <c r="L888" s="223"/>
      <c r="M888" s="223"/>
      <c r="N888" s="9"/>
      <c r="O888" s="9"/>
      <c r="P888" s="9"/>
      <c r="Q888" s="223"/>
      <c r="R888" s="9"/>
      <c r="S888" s="223"/>
      <c r="T888" s="9"/>
      <c r="U888" s="9"/>
      <c r="V888" s="9"/>
      <c r="W888" s="9"/>
      <c r="X888" s="9"/>
      <c r="Y888" s="204"/>
      <c r="Z888" s="9"/>
      <c r="AA888" s="9"/>
      <c r="AB888" s="9"/>
      <c r="AC888" s="9"/>
    </row>
    <row r="889" ht="15.75" customHeight="1">
      <c r="A889" s="223"/>
      <c r="B889" s="223"/>
      <c r="C889" s="223"/>
      <c r="D889" s="9"/>
      <c r="E889" s="223"/>
      <c r="F889" s="971"/>
      <c r="G889" s="9"/>
      <c r="H889" s="9"/>
      <c r="I889" s="9"/>
      <c r="J889" s="9"/>
      <c r="K889" s="9"/>
      <c r="L889" s="223"/>
      <c r="M889" s="223"/>
      <c r="N889" s="9"/>
      <c r="O889" s="9"/>
      <c r="P889" s="9"/>
      <c r="Q889" s="223"/>
      <c r="R889" s="9"/>
      <c r="S889" s="223"/>
      <c r="T889" s="9"/>
      <c r="U889" s="9"/>
      <c r="V889" s="9"/>
      <c r="W889" s="9"/>
      <c r="X889" s="9"/>
      <c r="Y889" s="204"/>
      <c r="Z889" s="9"/>
      <c r="AA889" s="9"/>
      <c r="AB889" s="9"/>
      <c r="AC889" s="9"/>
    </row>
    <row r="890" ht="15.75" customHeight="1">
      <c r="A890" s="223"/>
      <c r="B890" s="223"/>
      <c r="C890" s="223"/>
      <c r="D890" s="9"/>
      <c r="E890" s="223"/>
      <c r="F890" s="971"/>
      <c r="G890" s="9"/>
      <c r="H890" s="9"/>
      <c r="I890" s="9"/>
      <c r="J890" s="9"/>
      <c r="K890" s="9"/>
      <c r="L890" s="223"/>
      <c r="M890" s="223"/>
      <c r="N890" s="9"/>
      <c r="O890" s="9"/>
      <c r="P890" s="9"/>
      <c r="Q890" s="223"/>
      <c r="R890" s="9"/>
      <c r="S890" s="223"/>
      <c r="T890" s="9"/>
      <c r="U890" s="9"/>
      <c r="V890" s="9"/>
      <c r="W890" s="9"/>
      <c r="X890" s="9"/>
      <c r="Y890" s="204"/>
      <c r="Z890" s="9"/>
      <c r="AA890" s="9"/>
      <c r="AB890" s="9"/>
      <c r="AC890" s="9"/>
    </row>
    <row r="891" ht="15.75" customHeight="1">
      <c r="A891" s="223"/>
      <c r="B891" s="223"/>
      <c r="C891" s="223"/>
      <c r="D891" s="9"/>
      <c r="E891" s="223"/>
      <c r="F891" s="971"/>
      <c r="G891" s="9"/>
      <c r="H891" s="9"/>
      <c r="I891" s="9"/>
      <c r="J891" s="9"/>
      <c r="K891" s="9"/>
      <c r="L891" s="223"/>
      <c r="M891" s="223"/>
      <c r="N891" s="9"/>
      <c r="O891" s="9"/>
      <c r="P891" s="9"/>
      <c r="Q891" s="223"/>
      <c r="R891" s="9"/>
      <c r="S891" s="223"/>
      <c r="T891" s="9"/>
      <c r="U891" s="9"/>
      <c r="V891" s="9"/>
      <c r="W891" s="9"/>
      <c r="X891" s="9"/>
      <c r="Y891" s="204"/>
      <c r="Z891" s="9"/>
      <c r="AA891" s="9"/>
      <c r="AB891" s="9"/>
      <c r="AC891" s="9"/>
    </row>
    <row r="892" ht="15.75" customHeight="1">
      <c r="A892" s="223"/>
      <c r="B892" s="223"/>
      <c r="C892" s="223"/>
      <c r="D892" s="9"/>
      <c r="E892" s="223"/>
      <c r="F892" s="971"/>
      <c r="G892" s="9"/>
      <c r="H892" s="9"/>
      <c r="I892" s="9"/>
      <c r="J892" s="9"/>
      <c r="K892" s="9"/>
      <c r="L892" s="223"/>
      <c r="M892" s="223"/>
      <c r="N892" s="9"/>
      <c r="O892" s="9"/>
      <c r="P892" s="9"/>
      <c r="Q892" s="223"/>
      <c r="R892" s="9"/>
      <c r="S892" s="223"/>
      <c r="T892" s="9"/>
      <c r="U892" s="9"/>
      <c r="V892" s="9"/>
      <c r="W892" s="9"/>
      <c r="X892" s="9"/>
      <c r="Y892" s="204"/>
      <c r="Z892" s="9"/>
      <c r="AA892" s="9"/>
      <c r="AB892" s="9"/>
      <c r="AC892" s="9"/>
    </row>
    <row r="893" ht="15.75" customHeight="1">
      <c r="A893" s="223"/>
      <c r="B893" s="223"/>
      <c r="C893" s="223"/>
      <c r="D893" s="9"/>
      <c r="E893" s="223"/>
      <c r="F893" s="971"/>
      <c r="G893" s="9"/>
      <c r="H893" s="9"/>
      <c r="I893" s="9"/>
      <c r="J893" s="9"/>
      <c r="K893" s="9"/>
      <c r="L893" s="223"/>
      <c r="M893" s="223"/>
      <c r="N893" s="9"/>
      <c r="O893" s="9"/>
      <c r="P893" s="9"/>
      <c r="Q893" s="223"/>
      <c r="R893" s="9"/>
      <c r="S893" s="223"/>
      <c r="T893" s="9"/>
      <c r="U893" s="9"/>
      <c r="V893" s="9"/>
      <c r="W893" s="9"/>
      <c r="X893" s="9"/>
      <c r="Y893" s="204"/>
      <c r="Z893" s="9"/>
      <c r="AA893" s="9"/>
      <c r="AB893" s="9"/>
      <c r="AC893" s="9"/>
    </row>
    <row r="894" ht="15.75" customHeight="1">
      <c r="A894" s="223"/>
      <c r="B894" s="223"/>
      <c r="C894" s="223"/>
      <c r="D894" s="9"/>
      <c r="E894" s="223"/>
      <c r="F894" s="971"/>
      <c r="G894" s="9"/>
      <c r="H894" s="9"/>
      <c r="I894" s="9"/>
      <c r="J894" s="9"/>
      <c r="K894" s="9"/>
      <c r="L894" s="223"/>
      <c r="M894" s="223"/>
      <c r="N894" s="9"/>
      <c r="O894" s="9"/>
      <c r="P894" s="9"/>
      <c r="Q894" s="223"/>
      <c r="R894" s="9"/>
      <c r="S894" s="223"/>
      <c r="T894" s="9"/>
      <c r="U894" s="9"/>
      <c r="V894" s="9"/>
      <c r="W894" s="9"/>
      <c r="X894" s="9"/>
      <c r="Y894" s="204"/>
      <c r="Z894" s="9"/>
      <c r="AA894" s="9"/>
      <c r="AB894" s="9"/>
      <c r="AC894" s="9"/>
    </row>
    <row r="895" ht="15.75" customHeight="1">
      <c r="A895" s="223"/>
      <c r="B895" s="223"/>
      <c r="C895" s="223"/>
      <c r="D895" s="9"/>
      <c r="E895" s="223"/>
      <c r="F895" s="971"/>
      <c r="G895" s="9"/>
      <c r="H895" s="9"/>
      <c r="I895" s="9"/>
      <c r="J895" s="9"/>
      <c r="K895" s="9"/>
      <c r="L895" s="223"/>
      <c r="M895" s="223"/>
      <c r="N895" s="9"/>
      <c r="O895" s="9"/>
      <c r="P895" s="9"/>
      <c r="Q895" s="223"/>
      <c r="R895" s="9"/>
      <c r="S895" s="223"/>
      <c r="T895" s="9"/>
      <c r="U895" s="9"/>
      <c r="V895" s="9"/>
      <c r="W895" s="9"/>
      <c r="X895" s="9"/>
      <c r="Y895" s="204"/>
      <c r="Z895" s="9"/>
      <c r="AA895" s="9"/>
      <c r="AB895" s="9"/>
      <c r="AC895" s="9"/>
    </row>
    <row r="896" ht="15.75" customHeight="1">
      <c r="A896" s="223"/>
      <c r="B896" s="223"/>
      <c r="C896" s="223"/>
      <c r="D896" s="9"/>
      <c r="E896" s="223"/>
      <c r="F896" s="971"/>
      <c r="G896" s="9"/>
      <c r="H896" s="9"/>
      <c r="I896" s="9"/>
      <c r="J896" s="9"/>
      <c r="K896" s="9"/>
      <c r="L896" s="223"/>
      <c r="M896" s="223"/>
      <c r="N896" s="9"/>
      <c r="O896" s="9"/>
      <c r="P896" s="9"/>
      <c r="Q896" s="223"/>
      <c r="R896" s="9"/>
      <c r="S896" s="223"/>
      <c r="T896" s="9"/>
      <c r="U896" s="9"/>
      <c r="V896" s="9"/>
      <c r="W896" s="9"/>
      <c r="X896" s="9"/>
      <c r="Y896" s="204"/>
      <c r="Z896" s="9"/>
      <c r="AA896" s="9"/>
      <c r="AB896" s="9"/>
      <c r="AC896" s="9"/>
    </row>
    <row r="897" ht="15.75" customHeight="1">
      <c r="A897" s="223"/>
      <c r="B897" s="223"/>
      <c r="C897" s="223"/>
      <c r="D897" s="9"/>
      <c r="E897" s="223"/>
      <c r="F897" s="971"/>
      <c r="G897" s="9"/>
      <c r="H897" s="9"/>
      <c r="I897" s="9"/>
      <c r="J897" s="9"/>
      <c r="K897" s="9"/>
      <c r="L897" s="223"/>
      <c r="M897" s="223"/>
      <c r="N897" s="9"/>
      <c r="O897" s="9"/>
      <c r="P897" s="9"/>
      <c r="Q897" s="223"/>
      <c r="R897" s="9"/>
      <c r="S897" s="223"/>
      <c r="T897" s="9"/>
      <c r="U897" s="9"/>
      <c r="V897" s="9"/>
      <c r="W897" s="9"/>
      <c r="X897" s="9"/>
      <c r="Y897" s="204"/>
      <c r="Z897" s="9"/>
      <c r="AA897" s="9"/>
      <c r="AB897" s="9"/>
      <c r="AC897" s="9"/>
    </row>
    <row r="898" ht="15.75" customHeight="1">
      <c r="A898" s="223"/>
      <c r="B898" s="223"/>
      <c r="C898" s="223"/>
      <c r="D898" s="9"/>
      <c r="E898" s="223"/>
      <c r="F898" s="971"/>
      <c r="G898" s="9"/>
      <c r="H898" s="9"/>
      <c r="I898" s="9"/>
      <c r="J898" s="9"/>
      <c r="K898" s="9"/>
      <c r="L898" s="223"/>
      <c r="M898" s="223"/>
      <c r="N898" s="9"/>
      <c r="O898" s="9"/>
      <c r="P898" s="9"/>
      <c r="Q898" s="223"/>
      <c r="R898" s="9"/>
      <c r="S898" s="223"/>
      <c r="T898" s="9"/>
      <c r="U898" s="9"/>
      <c r="V898" s="9"/>
      <c r="W898" s="9"/>
      <c r="X898" s="9"/>
      <c r="Y898" s="204"/>
      <c r="Z898" s="9"/>
      <c r="AA898" s="9"/>
      <c r="AB898" s="9"/>
      <c r="AC898" s="9"/>
    </row>
    <row r="899" ht="15.75" customHeight="1">
      <c r="A899" s="223"/>
      <c r="B899" s="223"/>
      <c r="C899" s="223"/>
      <c r="D899" s="9"/>
      <c r="E899" s="223"/>
      <c r="F899" s="971"/>
      <c r="G899" s="9"/>
      <c r="H899" s="9"/>
      <c r="I899" s="9"/>
      <c r="J899" s="9"/>
      <c r="K899" s="9"/>
      <c r="L899" s="223"/>
      <c r="M899" s="223"/>
      <c r="N899" s="9"/>
      <c r="O899" s="9"/>
      <c r="P899" s="9"/>
      <c r="Q899" s="223"/>
      <c r="R899" s="9"/>
      <c r="S899" s="223"/>
      <c r="T899" s="9"/>
      <c r="U899" s="9"/>
      <c r="V899" s="9"/>
      <c r="W899" s="9"/>
      <c r="X899" s="9"/>
      <c r="Y899" s="204"/>
      <c r="Z899" s="9"/>
      <c r="AA899" s="9"/>
      <c r="AB899" s="9"/>
      <c r="AC899" s="9"/>
    </row>
    <row r="900" ht="15.75" customHeight="1">
      <c r="A900" s="223"/>
      <c r="B900" s="223"/>
      <c r="C900" s="223"/>
      <c r="D900" s="9"/>
      <c r="E900" s="223"/>
      <c r="F900" s="971"/>
      <c r="G900" s="9"/>
      <c r="H900" s="9"/>
      <c r="I900" s="9"/>
      <c r="J900" s="9"/>
      <c r="K900" s="9"/>
      <c r="L900" s="223"/>
      <c r="M900" s="223"/>
      <c r="N900" s="9"/>
      <c r="O900" s="9"/>
      <c r="P900" s="9"/>
      <c r="Q900" s="223"/>
      <c r="R900" s="9"/>
      <c r="S900" s="223"/>
      <c r="T900" s="9"/>
      <c r="U900" s="9"/>
      <c r="V900" s="9"/>
      <c r="W900" s="9"/>
      <c r="X900" s="9"/>
      <c r="Y900" s="204"/>
      <c r="Z900" s="9"/>
      <c r="AA900" s="9"/>
      <c r="AB900" s="9"/>
      <c r="AC900" s="9"/>
    </row>
    <row r="901" ht="15.75" customHeight="1">
      <c r="A901" s="223"/>
      <c r="B901" s="223"/>
      <c r="C901" s="223"/>
      <c r="D901" s="9"/>
      <c r="E901" s="223"/>
      <c r="F901" s="971"/>
      <c r="G901" s="9"/>
      <c r="H901" s="9"/>
      <c r="I901" s="9"/>
      <c r="J901" s="9"/>
      <c r="K901" s="9"/>
      <c r="L901" s="223"/>
      <c r="M901" s="223"/>
      <c r="N901" s="9"/>
      <c r="O901" s="9"/>
      <c r="P901" s="9"/>
      <c r="Q901" s="223"/>
      <c r="R901" s="9"/>
      <c r="S901" s="223"/>
      <c r="T901" s="9"/>
      <c r="U901" s="9"/>
      <c r="V901" s="9"/>
      <c r="W901" s="9"/>
      <c r="X901" s="9"/>
      <c r="Y901" s="204"/>
      <c r="Z901" s="9"/>
      <c r="AA901" s="9"/>
      <c r="AB901" s="9"/>
      <c r="AC901" s="9"/>
    </row>
    <row r="902" ht="15.75" customHeight="1">
      <c r="A902" s="223"/>
      <c r="B902" s="223"/>
      <c r="C902" s="223"/>
      <c r="D902" s="9"/>
      <c r="E902" s="223"/>
      <c r="F902" s="971"/>
      <c r="G902" s="9"/>
      <c r="H902" s="9"/>
      <c r="I902" s="9"/>
      <c r="J902" s="9"/>
      <c r="K902" s="9"/>
      <c r="L902" s="223"/>
      <c r="M902" s="223"/>
      <c r="N902" s="9"/>
      <c r="O902" s="9"/>
      <c r="P902" s="9"/>
      <c r="Q902" s="223"/>
      <c r="R902" s="9"/>
      <c r="S902" s="223"/>
      <c r="T902" s="9"/>
      <c r="U902" s="9"/>
      <c r="V902" s="9"/>
      <c r="W902" s="9"/>
      <c r="X902" s="9"/>
      <c r="Y902" s="204"/>
      <c r="Z902" s="9"/>
      <c r="AA902" s="9"/>
      <c r="AB902" s="9"/>
      <c r="AC902" s="9"/>
    </row>
    <row r="903" ht="15.75" customHeight="1">
      <c r="A903" s="223"/>
      <c r="B903" s="223"/>
      <c r="C903" s="223"/>
      <c r="D903" s="9"/>
      <c r="E903" s="223"/>
      <c r="F903" s="971"/>
      <c r="G903" s="9"/>
      <c r="H903" s="9"/>
      <c r="I903" s="9"/>
      <c r="J903" s="9"/>
      <c r="K903" s="9"/>
      <c r="L903" s="223"/>
      <c r="M903" s="223"/>
      <c r="N903" s="9"/>
      <c r="O903" s="9"/>
      <c r="P903" s="9"/>
      <c r="Q903" s="223"/>
      <c r="R903" s="9"/>
      <c r="S903" s="223"/>
      <c r="T903" s="9"/>
      <c r="U903" s="9"/>
      <c r="V903" s="9"/>
      <c r="W903" s="9"/>
      <c r="X903" s="9"/>
      <c r="Y903" s="204"/>
      <c r="Z903" s="9"/>
      <c r="AA903" s="9"/>
      <c r="AB903" s="9"/>
      <c r="AC903" s="9"/>
    </row>
    <row r="904" ht="15.75" customHeight="1">
      <c r="A904" s="223"/>
      <c r="B904" s="223"/>
      <c r="C904" s="223"/>
      <c r="D904" s="9"/>
      <c r="E904" s="223"/>
      <c r="F904" s="971"/>
      <c r="G904" s="9"/>
      <c r="H904" s="9"/>
      <c r="I904" s="9"/>
      <c r="J904" s="9"/>
      <c r="K904" s="9"/>
      <c r="L904" s="223"/>
      <c r="M904" s="223"/>
      <c r="N904" s="9"/>
      <c r="O904" s="9"/>
      <c r="P904" s="9"/>
      <c r="Q904" s="223"/>
      <c r="R904" s="9"/>
      <c r="S904" s="223"/>
      <c r="T904" s="9"/>
      <c r="U904" s="9"/>
      <c r="V904" s="9"/>
      <c r="W904" s="9"/>
      <c r="X904" s="9"/>
      <c r="Y904" s="204"/>
      <c r="Z904" s="9"/>
      <c r="AA904" s="9"/>
      <c r="AB904" s="9"/>
      <c r="AC904" s="9"/>
    </row>
    <row r="905" ht="15.75" customHeight="1">
      <c r="A905" s="223"/>
      <c r="B905" s="223"/>
      <c r="C905" s="223"/>
      <c r="D905" s="9"/>
      <c r="E905" s="223"/>
      <c r="F905" s="971"/>
      <c r="G905" s="9"/>
      <c r="H905" s="9"/>
      <c r="I905" s="9"/>
      <c r="J905" s="9"/>
      <c r="K905" s="9"/>
      <c r="L905" s="223"/>
      <c r="M905" s="223"/>
      <c r="N905" s="9"/>
      <c r="O905" s="9"/>
      <c r="P905" s="9"/>
      <c r="Q905" s="223"/>
      <c r="R905" s="9"/>
      <c r="S905" s="223"/>
      <c r="T905" s="9"/>
      <c r="U905" s="9"/>
      <c r="V905" s="9"/>
      <c r="W905" s="9"/>
      <c r="X905" s="9"/>
      <c r="Y905" s="204"/>
      <c r="Z905" s="9"/>
      <c r="AA905" s="9"/>
      <c r="AB905" s="9"/>
      <c r="AC905" s="9"/>
    </row>
    <row r="906" ht="15.75" customHeight="1">
      <c r="A906" s="223"/>
      <c r="B906" s="223"/>
      <c r="C906" s="223"/>
      <c r="D906" s="9"/>
      <c r="E906" s="223"/>
      <c r="F906" s="971"/>
      <c r="G906" s="9"/>
      <c r="H906" s="9"/>
      <c r="I906" s="9"/>
      <c r="J906" s="9"/>
      <c r="K906" s="9"/>
      <c r="L906" s="223"/>
      <c r="M906" s="223"/>
      <c r="N906" s="9"/>
      <c r="O906" s="9"/>
      <c r="P906" s="9"/>
      <c r="Q906" s="223"/>
      <c r="R906" s="9"/>
      <c r="S906" s="223"/>
      <c r="T906" s="9"/>
      <c r="U906" s="9"/>
      <c r="V906" s="9"/>
      <c r="W906" s="9"/>
      <c r="X906" s="9"/>
      <c r="Y906" s="204"/>
      <c r="Z906" s="9"/>
      <c r="AA906" s="9"/>
      <c r="AB906" s="9"/>
      <c r="AC906" s="9"/>
    </row>
    <row r="907" ht="15.75" customHeight="1">
      <c r="A907" s="223"/>
      <c r="B907" s="223"/>
      <c r="C907" s="223"/>
      <c r="D907" s="9"/>
      <c r="E907" s="223"/>
      <c r="F907" s="971"/>
      <c r="G907" s="9"/>
      <c r="H907" s="9"/>
      <c r="I907" s="9"/>
      <c r="J907" s="9"/>
      <c r="K907" s="9"/>
      <c r="L907" s="223"/>
      <c r="M907" s="223"/>
      <c r="N907" s="9"/>
      <c r="O907" s="9"/>
      <c r="P907" s="9"/>
      <c r="Q907" s="223"/>
      <c r="R907" s="9"/>
      <c r="S907" s="223"/>
      <c r="T907" s="9"/>
      <c r="U907" s="9"/>
      <c r="V907" s="9"/>
      <c r="W907" s="9"/>
      <c r="X907" s="9"/>
      <c r="Y907" s="204"/>
      <c r="Z907" s="9"/>
      <c r="AA907" s="9"/>
      <c r="AB907" s="9"/>
      <c r="AC907" s="9"/>
    </row>
    <row r="908" ht="15.75" customHeight="1">
      <c r="A908" s="223"/>
      <c r="B908" s="223"/>
      <c r="C908" s="223"/>
      <c r="D908" s="9"/>
      <c r="E908" s="223"/>
      <c r="F908" s="971"/>
      <c r="G908" s="9"/>
      <c r="H908" s="9"/>
      <c r="I908" s="9"/>
      <c r="J908" s="9"/>
      <c r="K908" s="9"/>
      <c r="L908" s="223"/>
      <c r="M908" s="223"/>
      <c r="N908" s="9"/>
      <c r="O908" s="9"/>
      <c r="P908" s="9"/>
      <c r="Q908" s="223"/>
      <c r="R908" s="9"/>
      <c r="S908" s="223"/>
      <c r="T908" s="9"/>
      <c r="U908" s="9"/>
      <c r="V908" s="9"/>
      <c r="W908" s="9"/>
      <c r="X908" s="9"/>
      <c r="Y908" s="204"/>
      <c r="Z908" s="9"/>
      <c r="AA908" s="9"/>
      <c r="AB908" s="9"/>
      <c r="AC908" s="9"/>
    </row>
    <row r="909" ht="15.75" customHeight="1">
      <c r="A909" s="223"/>
      <c r="B909" s="223"/>
      <c r="C909" s="223"/>
      <c r="D909" s="9"/>
      <c r="E909" s="223"/>
      <c r="F909" s="971"/>
      <c r="G909" s="9"/>
      <c r="H909" s="9"/>
      <c r="I909" s="9"/>
      <c r="J909" s="9"/>
      <c r="K909" s="9"/>
      <c r="L909" s="223"/>
      <c r="M909" s="223"/>
      <c r="N909" s="9"/>
      <c r="O909" s="9"/>
      <c r="P909" s="9"/>
      <c r="Q909" s="223"/>
      <c r="R909" s="9"/>
      <c r="S909" s="223"/>
      <c r="T909" s="9"/>
      <c r="U909" s="9"/>
      <c r="V909" s="9"/>
      <c r="W909" s="9"/>
      <c r="X909" s="9"/>
      <c r="Y909" s="204"/>
      <c r="Z909" s="9"/>
      <c r="AA909" s="9"/>
      <c r="AB909" s="9"/>
      <c r="AC909" s="9"/>
    </row>
    <row r="910" ht="15.75" customHeight="1">
      <c r="A910" s="223"/>
      <c r="B910" s="223"/>
      <c r="C910" s="223"/>
      <c r="D910" s="9"/>
      <c r="E910" s="223"/>
      <c r="F910" s="971"/>
      <c r="G910" s="9"/>
      <c r="H910" s="9"/>
      <c r="I910" s="9"/>
      <c r="J910" s="9"/>
      <c r="K910" s="9"/>
      <c r="L910" s="223"/>
      <c r="M910" s="223"/>
      <c r="N910" s="9"/>
      <c r="O910" s="9"/>
      <c r="P910" s="9"/>
      <c r="Q910" s="223"/>
      <c r="R910" s="9"/>
      <c r="S910" s="223"/>
      <c r="T910" s="9"/>
      <c r="U910" s="9"/>
      <c r="V910" s="9"/>
      <c r="W910" s="9"/>
      <c r="X910" s="9"/>
      <c r="Y910" s="204"/>
      <c r="Z910" s="9"/>
      <c r="AA910" s="9"/>
      <c r="AB910" s="9"/>
      <c r="AC910" s="9"/>
    </row>
    <row r="911" ht="15.75" customHeight="1">
      <c r="A911" s="223"/>
      <c r="B911" s="223"/>
      <c r="C911" s="223"/>
      <c r="D911" s="9"/>
      <c r="E911" s="223"/>
      <c r="F911" s="971"/>
      <c r="G911" s="9"/>
      <c r="H911" s="9"/>
      <c r="I911" s="9"/>
      <c r="J911" s="9"/>
      <c r="K911" s="9"/>
      <c r="L911" s="223"/>
      <c r="M911" s="223"/>
      <c r="N911" s="9"/>
      <c r="O911" s="9"/>
      <c r="P911" s="9"/>
      <c r="Q911" s="223"/>
      <c r="R911" s="9"/>
      <c r="S911" s="223"/>
      <c r="T911" s="9"/>
      <c r="U911" s="9"/>
      <c r="V911" s="9"/>
      <c r="W911" s="9"/>
      <c r="X911" s="9"/>
      <c r="Y911" s="204"/>
      <c r="Z911" s="9"/>
      <c r="AA911" s="9"/>
      <c r="AB911" s="9"/>
      <c r="AC911" s="9"/>
    </row>
    <row r="912" ht="15.75" customHeight="1">
      <c r="A912" s="223"/>
      <c r="B912" s="223"/>
      <c r="C912" s="223"/>
      <c r="D912" s="9"/>
      <c r="E912" s="223"/>
      <c r="F912" s="971"/>
      <c r="G912" s="9"/>
      <c r="H912" s="9"/>
      <c r="I912" s="9"/>
      <c r="J912" s="9"/>
      <c r="K912" s="9"/>
      <c r="L912" s="223"/>
      <c r="M912" s="223"/>
      <c r="N912" s="9"/>
      <c r="O912" s="9"/>
      <c r="P912" s="9"/>
      <c r="Q912" s="223"/>
      <c r="R912" s="9"/>
      <c r="S912" s="223"/>
      <c r="T912" s="9"/>
      <c r="U912" s="9"/>
      <c r="V912" s="9"/>
      <c r="W912" s="9"/>
      <c r="X912" s="9"/>
      <c r="Y912" s="204"/>
      <c r="Z912" s="9"/>
      <c r="AA912" s="9"/>
      <c r="AB912" s="9"/>
      <c r="AC912" s="9"/>
    </row>
    <row r="913" ht="15.75" customHeight="1">
      <c r="A913" s="223"/>
      <c r="B913" s="223"/>
      <c r="C913" s="223"/>
      <c r="D913" s="9"/>
      <c r="E913" s="223"/>
      <c r="F913" s="971"/>
      <c r="G913" s="9"/>
      <c r="H913" s="9"/>
      <c r="I913" s="9"/>
      <c r="J913" s="9"/>
      <c r="K913" s="9"/>
      <c r="L913" s="223"/>
      <c r="M913" s="223"/>
      <c r="N913" s="9"/>
      <c r="O913" s="9"/>
      <c r="P913" s="9"/>
      <c r="Q913" s="223"/>
      <c r="R913" s="9"/>
      <c r="S913" s="223"/>
      <c r="T913" s="9"/>
      <c r="U913" s="9"/>
      <c r="V913" s="9"/>
      <c r="W913" s="9"/>
      <c r="X913" s="9"/>
      <c r="Y913" s="204"/>
      <c r="Z913" s="9"/>
      <c r="AA913" s="9"/>
      <c r="AB913" s="9"/>
      <c r="AC913" s="9"/>
    </row>
    <row r="914" ht="15.75" customHeight="1">
      <c r="A914" s="223"/>
      <c r="B914" s="223"/>
      <c r="C914" s="223"/>
      <c r="D914" s="9"/>
      <c r="E914" s="223"/>
      <c r="F914" s="971"/>
      <c r="G914" s="9"/>
      <c r="H914" s="9"/>
      <c r="I914" s="9"/>
      <c r="J914" s="9"/>
      <c r="K914" s="9"/>
      <c r="L914" s="223"/>
      <c r="M914" s="223"/>
      <c r="N914" s="9"/>
      <c r="O914" s="9"/>
      <c r="P914" s="9"/>
      <c r="Q914" s="223"/>
      <c r="R914" s="9"/>
      <c r="S914" s="223"/>
      <c r="T914" s="9"/>
      <c r="U914" s="9"/>
      <c r="V914" s="9"/>
      <c r="W914" s="9"/>
      <c r="X914" s="9"/>
      <c r="Y914" s="204"/>
      <c r="Z914" s="9"/>
      <c r="AA914" s="9"/>
      <c r="AB914" s="9"/>
      <c r="AC914" s="9"/>
    </row>
    <row r="915" ht="15.75" customHeight="1">
      <c r="A915" s="223"/>
      <c r="B915" s="223"/>
      <c r="C915" s="223"/>
      <c r="D915" s="9"/>
      <c r="E915" s="223"/>
      <c r="F915" s="971"/>
      <c r="G915" s="9"/>
      <c r="H915" s="9"/>
      <c r="I915" s="9"/>
      <c r="J915" s="9"/>
      <c r="K915" s="9"/>
      <c r="L915" s="223"/>
      <c r="M915" s="223"/>
      <c r="N915" s="9"/>
      <c r="O915" s="9"/>
      <c r="P915" s="9"/>
      <c r="Q915" s="223"/>
      <c r="R915" s="9"/>
      <c r="S915" s="223"/>
      <c r="T915" s="9"/>
      <c r="U915" s="9"/>
      <c r="V915" s="9"/>
      <c r="W915" s="9"/>
      <c r="X915" s="9"/>
      <c r="Y915" s="204"/>
      <c r="Z915" s="9"/>
      <c r="AA915" s="9"/>
      <c r="AB915" s="9"/>
      <c r="AC915" s="9"/>
    </row>
    <row r="916" ht="15.75" customHeight="1">
      <c r="A916" s="223"/>
      <c r="B916" s="223"/>
      <c r="C916" s="223"/>
      <c r="D916" s="9"/>
      <c r="E916" s="223"/>
      <c r="F916" s="971"/>
      <c r="G916" s="9"/>
      <c r="H916" s="9"/>
      <c r="I916" s="9"/>
      <c r="J916" s="9"/>
      <c r="K916" s="9"/>
      <c r="L916" s="223"/>
      <c r="M916" s="223"/>
      <c r="N916" s="9"/>
      <c r="O916" s="9"/>
      <c r="P916" s="9"/>
      <c r="Q916" s="223"/>
      <c r="R916" s="9"/>
      <c r="S916" s="223"/>
      <c r="T916" s="9"/>
      <c r="U916" s="9"/>
      <c r="V916" s="9"/>
      <c r="W916" s="9"/>
      <c r="X916" s="9"/>
      <c r="Y916" s="204"/>
      <c r="Z916" s="9"/>
      <c r="AA916" s="9"/>
      <c r="AB916" s="9"/>
      <c r="AC916" s="9"/>
    </row>
    <row r="917" ht="15.75" customHeight="1">
      <c r="A917" s="223"/>
      <c r="B917" s="223"/>
      <c r="C917" s="223"/>
      <c r="D917" s="9"/>
      <c r="E917" s="223"/>
      <c r="F917" s="971"/>
      <c r="G917" s="9"/>
      <c r="H917" s="9"/>
      <c r="I917" s="9"/>
      <c r="J917" s="9"/>
      <c r="K917" s="9"/>
      <c r="L917" s="223"/>
      <c r="M917" s="223"/>
      <c r="N917" s="9"/>
      <c r="O917" s="9"/>
      <c r="P917" s="9"/>
      <c r="Q917" s="223"/>
      <c r="R917" s="9"/>
      <c r="S917" s="223"/>
      <c r="T917" s="9"/>
      <c r="U917" s="9"/>
      <c r="V917" s="9"/>
      <c r="W917" s="9"/>
      <c r="X917" s="9"/>
      <c r="Y917" s="204"/>
      <c r="Z917" s="9"/>
      <c r="AA917" s="9"/>
      <c r="AB917" s="9"/>
      <c r="AC917" s="9"/>
    </row>
    <row r="918" ht="15.75" customHeight="1">
      <c r="A918" s="223"/>
      <c r="B918" s="223"/>
      <c r="C918" s="223"/>
      <c r="D918" s="9"/>
      <c r="E918" s="223"/>
      <c r="F918" s="971"/>
      <c r="G918" s="9"/>
      <c r="H918" s="9"/>
      <c r="I918" s="9"/>
      <c r="J918" s="9"/>
      <c r="K918" s="9"/>
      <c r="L918" s="223"/>
      <c r="M918" s="223"/>
      <c r="N918" s="9"/>
      <c r="O918" s="9"/>
      <c r="P918" s="9"/>
      <c r="Q918" s="223"/>
      <c r="R918" s="9"/>
      <c r="S918" s="223"/>
      <c r="T918" s="9"/>
      <c r="U918" s="9"/>
      <c r="V918" s="9"/>
      <c r="W918" s="9"/>
      <c r="X918" s="9"/>
      <c r="Y918" s="204"/>
      <c r="Z918" s="9"/>
      <c r="AA918" s="9"/>
      <c r="AB918" s="9"/>
      <c r="AC918" s="9"/>
    </row>
    <row r="919" ht="15.75" customHeight="1">
      <c r="A919" s="223"/>
      <c r="B919" s="223"/>
      <c r="C919" s="223"/>
      <c r="D919" s="9"/>
      <c r="E919" s="223"/>
      <c r="F919" s="971"/>
      <c r="G919" s="9"/>
      <c r="H919" s="9"/>
      <c r="I919" s="9"/>
      <c r="J919" s="9"/>
      <c r="K919" s="9"/>
      <c r="L919" s="223"/>
      <c r="M919" s="223"/>
      <c r="N919" s="9"/>
      <c r="O919" s="9"/>
      <c r="P919" s="9"/>
      <c r="Q919" s="223"/>
      <c r="R919" s="9"/>
      <c r="S919" s="223"/>
      <c r="T919" s="9"/>
      <c r="U919" s="9"/>
      <c r="V919" s="9"/>
      <c r="W919" s="9"/>
      <c r="X919" s="9"/>
      <c r="Y919" s="204"/>
      <c r="Z919" s="9"/>
      <c r="AA919" s="9"/>
      <c r="AB919" s="9"/>
      <c r="AC919" s="9"/>
    </row>
    <row r="920" ht="15.75" customHeight="1">
      <c r="A920" s="223"/>
      <c r="B920" s="223"/>
      <c r="C920" s="223"/>
      <c r="D920" s="9"/>
      <c r="E920" s="223"/>
      <c r="F920" s="971"/>
      <c r="G920" s="9"/>
      <c r="H920" s="9"/>
      <c r="I920" s="9"/>
      <c r="J920" s="9"/>
      <c r="K920" s="9"/>
      <c r="L920" s="223"/>
      <c r="M920" s="223"/>
      <c r="N920" s="9"/>
      <c r="O920" s="9"/>
      <c r="P920" s="9"/>
      <c r="Q920" s="223"/>
      <c r="R920" s="9"/>
      <c r="S920" s="223"/>
      <c r="T920" s="9"/>
      <c r="U920" s="9"/>
      <c r="V920" s="9"/>
      <c r="W920" s="9"/>
      <c r="X920" s="9"/>
      <c r="Y920" s="204"/>
      <c r="Z920" s="9"/>
      <c r="AA920" s="9"/>
      <c r="AB920" s="9"/>
      <c r="AC920" s="9"/>
    </row>
    <row r="921" ht="15.75" customHeight="1">
      <c r="A921" s="223"/>
      <c r="B921" s="223"/>
      <c r="C921" s="223"/>
      <c r="D921" s="9"/>
      <c r="E921" s="223"/>
      <c r="F921" s="971"/>
      <c r="G921" s="9"/>
      <c r="H921" s="9"/>
      <c r="I921" s="9"/>
      <c r="J921" s="9"/>
      <c r="K921" s="9"/>
      <c r="L921" s="223"/>
      <c r="M921" s="223"/>
      <c r="N921" s="9"/>
      <c r="O921" s="9"/>
      <c r="P921" s="9"/>
      <c r="Q921" s="223"/>
      <c r="R921" s="9"/>
      <c r="S921" s="223"/>
      <c r="T921" s="9"/>
      <c r="U921" s="9"/>
      <c r="V921" s="9"/>
      <c r="W921" s="9"/>
      <c r="X921" s="9"/>
      <c r="Y921" s="204"/>
      <c r="Z921" s="9"/>
      <c r="AA921" s="9"/>
      <c r="AB921" s="9"/>
      <c r="AC921" s="9"/>
    </row>
    <row r="922" ht="15.75" customHeight="1">
      <c r="A922" s="223"/>
      <c r="B922" s="223"/>
      <c r="C922" s="223"/>
      <c r="D922" s="9"/>
      <c r="E922" s="223"/>
      <c r="F922" s="971"/>
      <c r="G922" s="9"/>
      <c r="H922" s="9"/>
      <c r="I922" s="9"/>
      <c r="J922" s="9"/>
      <c r="K922" s="9"/>
      <c r="L922" s="223"/>
      <c r="M922" s="223"/>
      <c r="N922" s="9"/>
      <c r="O922" s="9"/>
      <c r="P922" s="9"/>
      <c r="Q922" s="223"/>
      <c r="R922" s="9"/>
      <c r="S922" s="223"/>
      <c r="T922" s="9"/>
      <c r="U922" s="9"/>
      <c r="V922" s="9"/>
      <c r="W922" s="9"/>
      <c r="X922" s="9"/>
      <c r="Y922" s="204"/>
      <c r="Z922" s="9"/>
      <c r="AA922" s="9"/>
      <c r="AB922" s="9"/>
      <c r="AC922" s="9"/>
    </row>
    <row r="923" ht="15.75" customHeight="1">
      <c r="A923" s="223"/>
      <c r="B923" s="223"/>
      <c r="C923" s="223"/>
      <c r="D923" s="9"/>
      <c r="E923" s="223"/>
      <c r="F923" s="971"/>
      <c r="G923" s="9"/>
      <c r="H923" s="9"/>
      <c r="I923" s="9"/>
      <c r="J923" s="9"/>
      <c r="K923" s="9"/>
      <c r="L923" s="223"/>
      <c r="M923" s="223"/>
      <c r="N923" s="9"/>
      <c r="O923" s="9"/>
      <c r="P923" s="9"/>
      <c r="Q923" s="223"/>
      <c r="R923" s="9"/>
      <c r="S923" s="223"/>
      <c r="T923" s="9"/>
      <c r="U923" s="9"/>
      <c r="V923" s="9"/>
      <c r="W923" s="9"/>
      <c r="X923" s="9"/>
      <c r="Y923" s="204"/>
      <c r="Z923" s="9"/>
      <c r="AA923" s="9"/>
      <c r="AB923" s="9"/>
      <c r="AC923" s="9"/>
    </row>
    <row r="924" ht="15.75" customHeight="1">
      <c r="A924" s="223"/>
      <c r="B924" s="223"/>
      <c r="C924" s="223"/>
      <c r="D924" s="9"/>
      <c r="E924" s="223"/>
      <c r="F924" s="971"/>
      <c r="G924" s="9"/>
      <c r="H924" s="9"/>
      <c r="I924" s="9"/>
      <c r="J924" s="9"/>
      <c r="K924" s="9"/>
      <c r="L924" s="223"/>
      <c r="M924" s="223"/>
      <c r="N924" s="9"/>
      <c r="O924" s="9"/>
      <c r="P924" s="9"/>
      <c r="Q924" s="223"/>
      <c r="R924" s="9"/>
      <c r="S924" s="223"/>
      <c r="T924" s="9"/>
      <c r="U924" s="9"/>
      <c r="V924" s="9"/>
      <c r="W924" s="9"/>
      <c r="X924" s="9"/>
      <c r="Y924" s="204"/>
      <c r="Z924" s="9"/>
      <c r="AA924" s="9"/>
      <c r="AB924" s="9"/>
      <c r="AC924" s="9"/>
    </row>
    <row r="925" ht="15.75" customHeight="1">
      <c r="A925" s="223"/>
      <c r="B925" s="223"/>
      <c r="C925" s="223"/>
      <c r="D925" s="9"/>
      <c r="E925" s="223"/>
      <c r="F925" s="971"/>
      <c r="G925" s="9"/>
      <c r="H925" s="9"/>
      <c r="I925" s="9"/>
      <c r="J925" s="9"/>
      <c r="K925" s="9"/>
      <c r="L925" s="223"/>
      <c r="M925" s="223"/>
      <c r="N925" s="9"/>
      <c r="O925" s="9"/>
      <c r="P925" s="9"/>
      <c r="Q925" s="223"/>
      <c r="R925" s="9"/>
      <c r="S925" s="223"/>
      <c r="T925" s="9"/>
      <c r="U925" s="9"/>
      <c r="V925" s="9"/>
      <c r="W925" s="9"/>
      <c r="X925" s="9"/>
      <c r="Y925" s="204"/>
      <c r="Z925" s="9"/>
      <c r="AA925" s="9"/>
      <c r="AB925" s="9"/>
      <c r="AC925" s="9"/>
    </row>
    <row r="926" ht="15.75" customHeight="1">
      <c r="A926" s="223"/>
      <c r="B926" s="223"/>
      <c r="C926" s="223"/>
      <c r="D926" s="9"/>
      <c r="E926" s="223"/>
      <c r="F926" s="971"/>
      <c r="G926" s="9"/>
      <c r="H926" s="9"/>
      <c r="I926" s="9"/>
      <c r="J926" s="9"/>
      <c r="K926" s="9"/>
      <c r="L926" s="223"/>
      <c r="M926" s="223"/>
      <c r="N926" s="9"/>
      <c r="O926" s="9"/>
      <c r="P926" s="9"/>
      <c r="Q926" s="223"/>
      <c r="R926" s="9"/>
      <c r="S926" s="223"/>
      <c r="T926" s="9"/>
      <c r="U926" s="9"/>
      <c r="V926" s="9"/>
      <c r="W926" s="9"/>
      <c r="X926" s="9"/>
      <c r="Y926" s="204"/>
      <c r="Z926" s="9"/>
      <c r="AA926" s="9"/>
      <c r="AB926" s="9"/>
      <c r="AC926" s="9"/>
    </row>
    <row r="927" ht="15.75" customHeight="1">
      <c r="A927" s="223"/>
      <c r="B927" s="223"/>
      <c r="C927" s="223"/>
      <c r="D927" s="9"/>
      <c r="E927" s="223"/>
      <c r="F927" s="971"/>
      <c r="G927" s="9"/>
      <c r="H927" s="9"/>
      <c r="I927" s="9"/>
      <c r="J927" s="9"/>
      <c r="K927" s="9"/>
      <c r="L927" s="223"/>
      <c r="M927" s="223"/>
      <c r="N927" s="9"/>
      <c r="O927" s="9"/>
      <c r="P927" s="9"/>
      <c r="Q927" s="223"/>
      <c r="R927" s="9"/>
      <c r="S927" s="223"/>
      <c r="T927" s="9"/>
      <c r="U927" s="9"/>
      <c r="V927" s="9"/>
      <c r="W927" s="9"/>
      <c r="X927" s="9"/>
      <c r="Y927" s="204"/>
      <c r="Z927" s="9"/>
      <c r="AA927" s="9"/>
      <c r="AB927" s="9"/>
      <c r="AC927" s="9"/>
    </row>
    <row r="928" ht="15.75" customHeight="1">
      <c r="A928" s="223"/>
      <c r="B928" s="223"/>
      <c r="C928" s="223"/>
      <c r="D928" s="9"/>
      <c r="E928" s="223"/>
      <c r="F928" s="971"/>
      <c r="G928" s="9"/>
      <c r="H928" s="9"/>
      <c r="I928" s="9"/>
      <c r="J928" s="9"/>
      <c r="K928" s="9"/>
      <c r="L928" s="223"/>
      <c r="M928" s="223"/>
      <c r="N928" s="9"/>
      <c r="O928" s="9"/>
      <c r="P928" s="9"/>
      <c r="Q928" s="223"/>
      <c r="R928" s="9"/>
      <c r="S928" s="223"/>
      <c r="T928" s="9"/>
      <c r="U928" s="9"/>
      <c r="V928" s="9"/>
      <c r="W928" s="9"/>
      <c r="X928" s="9"/>
      <c r="Y928" s="204"/>
      <c r="Z928" s="9"/>
      <c r="AA928" s="9"/>
      <c r="AB928" s="9"/>
      <c r="AC928" s="9"/>
    </row>
    <row r="929" ht="15.75" customHeight="1">
      <c r="A929" s="223"/>
      <c r="B929" s="223"/>
      <c r="C929" s="223"/>
      <c r="D929" s="9"/>
      <c r="E929" s="223"/>
      <c r="F929" s="971"/>
      <c r="G929" s="9"/>
      <c r="H929" s="9"/>
      <c r="I929" s="9"/>
      <c r="J929" s="9"/>
      <c r="K929" s="9"/>
      <c r="L929" s="223"/>
      <c r="M929" s="223"/>
      <c r="N929" s="9"/>
      <c r="O929" s="9"/>
      <c r="P929" s="9"/>
      <c r="Q929" s="223"/>
      <c r="R929" s="9"/>
      <c r="S929" s="223"/>
      <c r="T929" s="9"/>
      <c r="U929" s="9"/>
      <c r="V929" s="9"/>
      <c r="W929" s="9"/>
      <c r="X929" s="9"/>
      <c r="Y929" s="204"/>
      <c r="Z929" s="9"/>
      <c r="AA929" s="9"/>
      <c r="AB929" s="9"/>
      <c r="AC929" s="9"/>
    </row>
    <row r="930" ht="15.75" customHeight="1">
      <c r="A930" s="223"/>
      <c r="B930" s="223"/>
      <c r="C930" s="223"/>
      <c r="D930" s="9"/>
      <c r="E930" s="223"/>
      <c r="F930" s="971"/>
      <c r="G930" s="9"/>
      <c r="H930" s="9"/>
      <c r="I930" s="9"/>
      <c r="J930" s="9"/>
      <c r="K930" s="9"/>
      <c r="L930" s="223"/>
      <c r="M930" s="223"/>
      <c r="N930" s="9"/>
      <c r="O930" s="9"/>
      <c r="P930" s="9"/>
      <c r="Q930" s="223"/>
      <c r="R930" s="9"/>
      <c r="S930" s="223"/>
      <c r="T930" s="9"/>
      <c r="U930" s="9"/>
      <c r="V930" s="9"/>
      <c r="W930" s="9"/>
      <c r="X930" s="9"/>
      <c r="Y930" s="204"/>
      <c r="Z930" s="9"/>
      <c r="AA930" s="9"/>
      <c r="AB930" s="9"/>
      <c r="AC930" s="9"/>
    </row>
    <row r="931" ht="15.75" customHeight="1">
      <c r="A931" s="223"/>
      <c r="B931" s="223"/>
      <c r="C931" s="223"/>
      <c r="D931" s="9"/>
      <c r="E931" s="223"/>
      <c r="F931" s="971"/>
      <c r="G931" s="9"/>
      <c r="H931" s="9"/>
      <c r="I931" s="9"/>
      <c r="J931" s="9"/>
      <c r="K931" s="9"/>
      <c r="L931" s="223"/>
      <c r="M931" s="223"/>
      <c r="N931" s="9"/>
      <c r="O931" s="9"/>
      <c r="P931" s="9"/>
      <c r="Q931" s="223"/>
      <c r="R931" s="9"/>
      <c r="S931" s="223"/>
      <c r="T931" s="9"/>
      <c r="U931" s="9"/>
      <c r="V931" s="9"/>
      <c r="W931" s="9"/>
      <c r="X931" s="9"/>
      <c r="Y931" s="204"/>
      <c r="Z931" s="9"/>
      <c r="AA931" s="9"/>
      <c r="AB931" s="9"/>
      <c r="AC931" s="9"/>
    </row>
    <row r="932" ht="15.75" customHeight="1">
      <c r="A932" s="223"/>
      <c r="B932" s="223"/>
      <c r="C932" s="223"/>
      <c r="D932" s="9"/>
      <c r="E932" s="223"/>
      <c r="F932" s="971"/>
      <c r="G932" s="9"/>
      <c r="H932" s="9"/>
      <c r="I932" s="9"/>
      <c r="J932" s="9"/>
      <c r="K932" s="9"/>
      <c r="L932" s="223"/>
      <c r="M932" s="223"/>
      <c r="N932" s="9"/>
      <c r="O932" s="9"/>
      <c r="P932" s="9"/>
      <c r="Q932" s="223"/>
      <c r="R932" s="9"/>
      <c r="S932" s="223"/>
      <c r="T932" s="9"/>
      <c r="U932" s="9"/>
      <c r="V932" s="9"/>
      <c r="W932" s="9"/>
      <c r="X932" s="9"/>
      <c r="Y932" s="204"/>
      <c r="Z932" s="9"/>
      <c r="AA932" s="9"/>
      <c r="AB932" s="9"/>
      <c r="AC932" s="9"/>
    </row>
    <row r="933" ht="15.75" customHeight="1">
      <c r="A933" s="223"/>
      <c r="B933" s="223"/>
      <c r="C933" s="223"/>
      <c r="D933" s="9"/>
      <c r="E933" s="223"/>
      <c r="F933" s="971"/>
      <c r="G933" s="9"/>
      <c r="H933" s="9"/>
      <c r="I933" s="9"/>
      <c r="J933" s="9"/>
      <c r="K933" s="9"/>
      <c r="L933" s="223"/>
      <c r="M933" s="223"/>
      <c r="N933" s="9"/>
      <c r="O933" s="9"/>
      <c r="P933" s="9"/>
      <c r="Q933" s="223"/>
      <c r="R933" s="9"/>
      <c r="S933" s="223"/>
      <c r="T933" s="9"/>
      <c r="U933" s="9"/>
      <c r="V933" s="9"/>
      <c r="W933" s="9"/>
      <c r="X933" s="9"/>
      <c r="Y933" s="204"/>
      <c r="Z933" s="9"/>
      <c r="AA933" s="9"/>
      <c r="AB933" s="9"/>
      <c r="AC933" s="9"/>
    </row>
    <row r="934" ht="15.75" customHeight="1">
      <c r="A934" s="223"/>
      <c r="B934" s="223"/>
      <c r="C934" s="223"/>
      <c r="D934" s="9"/>
      <c r="E934" s="223"/>
      <c r="F934" s="971"/>
      <c r="G934" s="9"/>
      <c r="H934" s="9"/>
      <c r="I934" s="9"/>
      <c r="J934" s="9"/>
      <c r="K934" s="9"/>
      <c r="L934" s="223"/>
      <c r="M934" s="223"/>
      <c r="N934" s="9"/>
      <c r="O934" s="9"/>
      <c r="P934" s="9"/>
      <c r="Q934" s="223"/>
      <c r="R934" s="9"/>
      <c r="S934" s="223"/>
      <c r="T934" s="9"/>
      <c r="U934" s="9"/>
      <c r="V934" s="9"/>
      <c r="W934" s="9"/>
      <c r="X934" s="9"/>
      <c r="Y934" s="204"/>
      <c r="Z934" s="9"/>
      <c r="AA934" s="9"/>
      <c r="AB934" s="9"/>
      <c r="AC934" s="9"/>
    </row>
    <row r="935" ht="15.75" customHeight="1">
      <c r="A935" s="223"/>
      <c r="B935" s="223"/>
      <c r="C935" s="223"/>
      <c r="D935" s="9"/>
      <c r="E935" s="223"/>
      <c r="F935" s="971"/>
      <c r="G935" s="9"/>
      <c r="H935" s="9"/>
      <c r="I935" s="9"/>
      <c r="J935" s="9"/>
      <c r="K935" s="9"/>
      <c r="L935" s="223"/>
      <c r="M935" s="223"/>
      <c r="N935" s="9"/>
      <c r="O935" s="9"/>
      <c r="P935" s="9"/>
      <c r="Q935" s="223"/>
      <c r="R935" s="9"/>
      <c r="S935" s="223"/>
      <c r="T935" s="9"/>
      <c r="U935" s="9"/>
      <c r="V935" s="9"/>
      <c r="W935" s="9"/>
      <c r="X935" s="9"/>
      <c r="Y935" s="204"/>
      <c r="Z935" s="9"/>
      <c r="AA935" s="9"/>
      <c r="AB935" s="9"/>
      <c r="AC935" s="9"/>
    </row>
    <row r="936" ht="15.75" customHeight="1">
      <c r="A936" s="223"/>
      <c r="B936" s="223"/>
      <c r="C936" s="223"/>
      <c r="D936" s="9"/>
      <c r="E936" s="223"/>
      <c r="F936" s="971"/>
      <c r="G936" s="9"/>
      <c r="H936" s="9"/>
      <c r="I936" s="9"/>
      <c r="J936" s="9"/>
      <c r="K936" s="9"/>
      <c r="L936" s="223"/>
      <c r="M936" s="223"/>
      <c r="N936" s="9"/>
      <c r="O936" s="9"/>
      <c r="P936" s="9"/>
      <c r="Q936" s="223"/>
      <c r="R936" s="9"/>
      <c r="S936" s="223"/>
      <c r="T936" s="9"/>
      <c r="U936" s="9"/>
      <c r="V936" s="9"/>
      <c r="W936" s="9"/>
      <c r="X936" s="9"/>
      <c r="Y936" s="204"/>
      <c r="Z936" s="9"/>
      <c r="AA936" s="9"/>
      <c r="AB936" s="9"/>
      <c r="AC936" s="9"/>
    </row>
    <row r="937" ht="15.75" customHeight="1">
      <c r="A937" s="223"/>
      <c r="B937" s="223"/>
      <c r="C937" s="223"/>
      <c r="D937" s="9"/>
      <c r="E937" s="223"/>
      <c r="F937" s="971"/>
      <c r="G937" s="9"/>
      <c r="H937" s="9"/>
      <c r="I937" s="9"/>
      <c r="J937" s="9"/>
      <c r="K937" s="9"/>
      <c r="L937" s="223"/>
      <c r="M937" s="223"/>
      <c r="N937" s="9"/>
      <c r="O937" s="9"/>
      <c r="P937" s="9"/>
      <c r="Q937" s="223"/>
      <c r="R937" s="9"/>
      <c r="S937" s="223"/>
      <c r="T937" s="9"/>
      <c r="U937" s="9"/>
      <c r="V937" s="9"/>
      <c r="W937" s="9"/>
      <c r="X937" s="9"/>
      <c r="Y937" s="204"/>
      <c r="Z937" s="9"/>
      <c r="AA937" s="9"/>
      <c r="AB937" s="9"/>
      <c r="AC937" s="9"/>
    </row>
    <row r="938" ht="15.75" customHeight="1">
      <c r="A938" s="223"/>
      <c r="B938" s="223"/>
      <c r="C938" s="223"/>
      <c r="D938" s="9"/>
      <c r="E938" s="223"/>
      <c r="F938" s="971"/>
      <c r="G938" s="9"/>
      <c r="H938" s="9"/>
      <c r="I938" s="9"/>
      <c r="J938" s="9"/>
      <c r="K938" s="9"/>
      <c r="L938" s="223"/>
      <c r="M938" s="223"/>
      <c r="N938" s="9"/>
      <c r="O938" s="9"/>
      <c r="P938" s="9"/>
      <c r="Q938" s="223"/>
      <c r="R938" s="9"/>
      <c r="S938" s="223"/>
      <c r="T938" s="9"/>
      <c r="U938" s="9"/>
      <c r="V938" s="9"/>
      <c r="W938" s="9"/>
      <c r="X938" s="9"/>
      <c r="Y938" s="204"/>
      <c r="Z938" s="9"/>
      <c r="AA938" s="9"/>
      <c r="AB938" s="9"/>
      <c r="AC938" s="9"/>
    </row>
    <row r="939" ht="15.75" customHeight="1">
      <c r="A939" s="223"/>
      <c r="B939" s="223"/>
      <c r="C939" s="223"/>
      <c r="D939" s="9"/>
      <c r="E939" s="223"/>
      <c r="F939" s="971"/>
      <c r="G939" s="9"/>
      <c r="H939" s="9"/>
      <c r="I939" s="9"/>
      <c r="J939" s="9"/>
      <c r="K939" s="9"/>
      <c r="L939" s="223"/>
      <c r="M939" s="223"/>
      <c r="N939" s="9"/>
      <c r="O939" s="9"/>
      <c r="P939" s="9"/>
      <c r="Q939" s="223"/>
      <c r="R939" s="9"/>
      <c r="S939" s="223"/>
      <c r="T939" s="9"/>
      <c r="U939" s="9"/>
      <c r="V939" s="9"/>
      <c r="W939" s="9"/>
      <c r="X939" s="9"/>
      <c r="Y939" s="204"/>
      <c r="Z939" s="9"/>
      <c r="AA939" s="9"/>
      <c r="AB939" s="9"/>
      <c r="AC939" s="9"/>
    </row>
    <row r="940" ht="15.75" customHeight="1">
      <c r="A940" s="223"/>
      <c r="B940" s="223"/>
      <c r="C940" s="223"/>
      <c r="D940" s="9"/>
      <c r="E940" s="223"/>
      <c r="F940" s="971"/>
      <c r="G940" s="9"/>
      <c r="H940" s="9"/>
      <c r="I940" s="9"/>
      <c r="J940" s="9"/>
      <c r="K940" s="9"/>
      <c r="L940" s="223"/>
      <c r="M940" s="223"/>
      <c r="N940" s="9"/>
      <c r="O940" s="9"/>
      <c r="P940" s="9"/>
      <c r="Q940" s="223"/>
      <c r="R940" s="9"/>
      <c r="S940" s="223"/>
      <c r="T940" s="9"/>
      <c r="U940" s="9"/>
      <c r="V940" s="9"/>
      <c r="W940" s="9"/>
      <c r="X940" s="9"/>
      <c r="Y940" s="204"/>
      <c r="Z940" s="9"/>
      <c r="AA940" s="9"/>
      <c r="AB940" s="9"/>
      <c r="AC940" s="9"/>
    </row>
    <row r="941" ht="15.75" customHeight="1">
      <c r="A941" s="223"/>
      <c r="B941" s="223"/>
      <c r="C941" s="223"/>
      <c r="D941" s="9"/>
      <c r="E941" s="223"/>
      <c r="F941" s="971"/>
      <c r="G941" s="9"/>
      <c r="H941" s="9"/>
      <c r="I941" s="9"/>
      <c r="J941" s="9"/>
      <c r="K941" s="9"/>
      <c r="L941" s="223"/>
      <c r="M941" s="223"/>
      <c r="N941" s="9"/>
      <c r="O941" s="9"/>
      <c r="P941" s="9"/>
      <c r="Q941" s="223"/>
      <c r="R941" s="9"/>
      <c r="S941" s="223"/>
      <c r="T941" s="9"/>
      <c r="U941" s="9"/>
      <c r="V941" s="9"/>
      <c r="W941" s="9"/>
      <c r="X941" s="9"/>
      <c r="Y941" s="204"/>
      <c r="Z941" s="9"/>
      <c r="AA941" s="9"/>
      <c r="AB941" s="9"/>
      <c r="AC941" s="9"/>
    </row>
    <row r="942" ht="15.75" customHeight="1">
      <c r="A942" s="223"/>
      <c r="B942" s="223"/>
      <c r="C942" s="223"/>
      <c r="D942" s="9"/>
      <c r="E942" s="223"/>
      <c r="F942" s="971"/>
      <c r="G942" s="9"/>
      <c r="H942" s="9"/>
      <c r="I942" s="9"/>
      <c r="J942" s="9"/>
      <c r="K942" s="9"/>
      <c r="L942" s="223"/>
      <c r="M942" s="223"/>
      <c r="N942" s="9"/>
      <c r="O942" s="9"/>
      <c r="P942" s="9"/>
      <c r="Q942" s="223"/>
      <c r="R942" s="9"/>
      <c r="S942" s="223"/>
      <c r="T942" s="9"/>
      <c r="U942" s="9"/>
      <c r="V942" s="9"/>
      <c r="W942" s="9"/>
      <c r="X942" s="9"/>
      <c r="Y942" s="204"/>
      <c r="Z942" s="9"/>
      <c r="AA942" s="9"/>
      <c r="AB942" s="9"/>
      <c r="AC942" s="9"/>
    </row>
    <row r="943" ht="15.75" customHeight="1">
      <c r="A943" s="223"/>
      <c r="B943" s="223"/>
      <c r="C943" s="223"/>
      <c r="D943" s="9"/>
      <c r="E943" s="223"/>
      <c r="F943" s="971"/>
      <c r="G943" s="9"/>
      <c r="H943" s="9"/>
      <c r="I943" s="9"/>
      <c r="J943" s="9"/>
      <c r="K943" s="9"/>
      <c r="L943" s="223"/>
      <c r="M943" s="223"/>
      <c r="N943" s="9"/>
      <c r="O943" s="9"/>
      <c r="P943" s="9"/>
      <c r="Q943" s="223"/>
      <c r="R943" s="9"/>
      <c r="S943" s="223"/>
      <c r="T943" s="9"/>
      <c r="U943" s="9"/>
      <c r="V943" s="9"/>
      <c r="W943" s="9"/>
      <c r="X943" s="9"/>
      <c r="Y943" s="204"/>
      <c r="Z943" s="9"/>
      <c r="AA943" s="9"/>
      <c r="AB943" s="9"/>
      <c r="AC943" s="9"/>
    </row>
    <row r="944" ht="15.75" customHeight="1">
      <c r="A944" s="223"/>
      <c r="B944" s="223"/>
      <c r="C944" s="223"/>
      <c r="D944" s="9"/>
      <c r="E944" s="223"/>
      <c r="F944" s="971"/>
      <c r="G944" s="9"/>
      <c r="H944" s="9"/>
      <c r="I944" s="9"/>
      <c r="J944" s="9"/>
      <c r="K944" s="9"/>
      <c r="L944" s="223"/>
      <c r="M944" s="223"/>
      <c r="N944" s="9"/>
      <c r="O944" s="9"/>
      <c r="P944" s="9"/>
      <c r="Q944" s="223"/>
      <c r="R944" s="9"/>
      <c r="S944" s="223"/>
      <c r="T944" s="9"/>
      <c r="U944" s="9"/>
      <c r="V944" s="9"/>
      <c r="W944" s="9"/>
      <c r="X944" s="9"/>
      <c r="Y944" s="204"/>
      <c r="Z944" s="9"/>
      <c r="AA944" s="9"/>
      <c r="AB944" s="9"/>
      <c r="AC944" s="9"/>
    </row>
    <row r="945" ht="15.75" customHeight="1">
      <c r="A945" s="223"/>
      <c r="B945" s="223"/>
      <c r="C945" s="223"/>
      <c r="D945" s="9"/>
      <c r="E945" s="223"/>
      <c r="F945" s="971"/>
      <c r="G945" s="9"/>
      <c r="H945" s="9"/>
      <c r="I945" s="9"/>
      <c r="J945" s="9"/>
      <c r="K945" s="9"/>
      <c r="L945" s="223"/>
      <c r="M945" s="223"/>
      <c r="N945" s="9"/>
      <c r="O945" s="9"/>
      <c r="P945" s="9"/>
      <c r="Q945" s="223"/>
      <c r="R945" s="9"/>
      <c r="S945" s="223"/>
      <c r="T945" s="9"/>
      <c r="U945" s="9"/>
      <c r="V945" s="9"/>
      <c r="W945" s="9"/>
      <c r="X945" s="9"/>
      <c r="Y945" s="204"/>
      <c r="Z945" s="9"/>
      <c r="AA945" s="9"/>
      <c r="AB945" s="9"/>
      <c r="AC945" s="9"/>
    </row>
    <row r="946" ht="15.75" customHeight="1">
      <c r="A946" s="223"/>
      <c r="B946" s="223"/>
      <c r="C946" s="223"/>
      <c r="D946" s="9"/>
      <c r="E946" s="223"/>
      <c r="F946" s="971"/>
      <c r="G946" s="9"/>
      <c r="H946" s="9"/>
      <c r="I946" s="9"/>
      <c r="J946" s="9"/>
      <c r="K946" s="9"/>
      <c r="L946" s="223"/>
      <c r="M946" s="223"/>
      <c r="N946" s="9"/>
      <c r="O946" s="9"/>
      <c r="P946" s="9"/>
      <c r="Q946" s="223"/>
      <c r="R946" s="9"/>
      <c r="S946" s="223"/>
      <c r="T946" s="9"/>
      <c r="U946" s="9"/>
      <c r="V946" s="9"/>
      <c r="W946" s="9"/>
      <c r="X946" s="9"/>
      <c r="Y946" s="204"/>
      <c r="Z946" s="9"/>
      <c r="AA946" s="9"/>
      <c r="AB946" s="9"/>
      <c r="AC946" s="9"/>
    </row>
    <row r="947" ht="15.75" customHeight="1">
      <c r="A947" s="223"/>
      <c r="B947" s="223"/>
      <c r="C947" s="223"/>
      <c r="D947" s="9"/>
      <c r="E947" s="223"/>
      <c r="F947" s="971"/>
      <c r="G947" s="9"/>
      <c r="H947" s="9"/>
      <c r="I947" s="9"/>
      <c r="J947" s="9"/>
      <c r="K947" s="9"/>
      <c r="L947" s="223"/>
      <c r="M947" s="223"/>
      <c r="N947" s="9"/>
      <c r="O947" s="9"/>
      <c r="P947" s="9"/>
      <c r="Q947" s="223"/>
      <c r="R947" s="9"/>
      <c r="S947" s="223"/>
      <c r="T947" s="9"/>
      <c r="U947" s="9"/>
      <c r="V947" s="9"/>
      <c r="W947" s="9"/>
      <c r="X947" s="9"/>
      <c r="Y947" s="204"/>
      <c r="Z947" s="9"/>
      <c r="AA947" s="9"/>
      <c r="AB947" s="9"/>
      <c r="AC947" s="9"/>
    </row>
    <row r="948" ht="15.75" customHeight="1">
      <c r="A948" s="223"/>
      <c r="B948" s="223"/>
      <c r="C948" s="223"/>
      <c r="D948" s="9"/>
      <c r="E948" s="223"/>
      <c r="F948" s="971"/>
      <c r="G948" s="9"/>
      <c r="H948" s="9"/>
      <c r="I948" s="9"/>
      <c r="J948" s="9"/>
      <c r="K948" s="9"/>
      <c r="L948" s="223"/>
      <c r="M948" s="223"/>
      <c r="N948" s="9"/>
      <c r="O948" s="9"/>
      <c r="P948" s="9"/>
      <c r="Q948" s="223"/>
      <c r="R948" s="9"/>
      <c r="S948" s="223"/>
      <c r="T948" s="9"/>
      <c r="U948" s="9"/>
      <c r="V948" s="9"/>
      <c r="W948" s="9"/>
      <c r="X948" s="9"/>
      <c r="Y948" s="204"/>
      <c r="Z948" s="9"/>
      <c r="AA948" s="9"/>
      <c r="AB948" s="9"/>
      <c r="AC948" s="9"/>
    </row>
    <row r="949" ht="15.75" customHeight="1">
      <c r="A949" s="223"/>
      <c r="B949" s="223"/>
      <c r="C949" s="223"/>
      <c r="D949" s="9"/>
      <c r="E949" s="223"/>
      <c r="F949" s="971"/>
      <c r="G949" s="9"/>
      <c r="H949" s="9"/>
      <c r="I949" s="9"/>
      <c r="J949" s="9"/>
      <c r="K949" s="9"/>
      <c r="L949" s="223"/>
      <c r="M949" s="223"/>
      <c r="N949" s="9"/>
      <c r="O949" s="9"/>
      <c r="P949" s="9"/>
      <c r="Q949" s="223"/>
      <c r="R949" s="9"/>
      <c r="S949" s="223"/>
      <c r="T949" s="9"/>
      <c r="U949" s="9"/>
      <c r="V949" s="9"/>
      <c r="W949" s="9"/>
      <c r="X949" s="9"/>
      <c r="Y949" s="204"/>
      <c r="Z949" s="9"/>
      <c r="AA949" s="9"/>
      <c r="AB949" s="9"/>
      <c r="AC949" s="9"/>
    </row>
    <row r="950" ht="15.75" customHeight="1">
      <c r="A950" s="223"/>
      <c r="B950" s="223"/>
      <c r="C950" s="223"/>
      <c r="D950" s="9"/>
      <c r="E950" s="223"/>
      <c r="F950" s="971"/>
      <c r="G950" s="9"/>
      <c r="H950" s="9"/>
      <c r="I950" s="9"/>
      <c r="J950" s="9"/>
      <c r="K950" s="9"/>
      <c r="L950" s="223"/>
      <c r="M950" s="223"/>
      <c r="N950" s="9"/>
      <c r="O950" s="9"/>
      <c r="P950" s="9"/>
      <c r="Q950" s="223"/>
      <c r="R950" s="9"/>
      <c r="S950" s="223"/>
      <c r="T950" s="9"/>
      <c r="U950" s="9"/>
      <c r="V950" s="9"/>
      <c r="W950" s="9"/>
      <c r="X950" s="9"/>
      <c r="Y950" s="204"/>
      <c r="Z950" s="9"/>
      <c r="AA950" s="9"/>
      <c r="AB950" s="9"/>
      <c r="AC950" s="9"/>
    </row>
    <row r="951" ht="15.75" customHeight="1">
      <c r="A951" s="223"/>
      <c r="B951" s="223"/>
      <c r="C951" s="223"/>
      <c r="D951" s="9"/>
      <c r="E951" s="223"/>
      <c r="F951" s="971"/>
      <c r="G951" s="9"/>
      <c r="H951" s="9"/>
      <c r="I951" s="9"/>
      <c r="J951" s="9"/>
      <c r="K951" s="9"/>
      <c r="L951" s="223"/>
      <c r="M951" s="223"/>
      <c r="N951" s="9"/>
      <c r="O951" s="9"/>
      <c r="P951" s="9"/>
      <c r="Q951" s="223"/>
      <c r="R951" s="9"/>
      <c r="S951" s="223"/>
      <c r="T951" s="9"/>
      <c r="U951" s="9"/>
      <c r="V951" s="9"/>
      <c r="W951" s="9"/>
      <c r="X951" s="9"/>
      <c r="Y951" s="204"/>
      <c r="Z951" s="9"/>
      <c r="AA951" s="9"/>
      <c r="AB951" s="9"/>
      <c r="AC951" s="9"/>
    </row>
    <row r="952" ht="15.75" customHeight="1">
      <c r="A952" s="223"/>
      <c r="B952" s="223"/>
      <c r="C952" s="223"/>
      <c r="D952" s="9"/>
      <c r="E952" s="223"/>
      <c r="F952" s="971"/>
      <c r="G952" s="9"/>
      <c r="H952" s="9"/>
      <c r="I952" s="9"/>
      <c r="J952" s="9"/>
      <c r="K952" s="9"/>
      <c r="L952" s="223"/>
      <c r="M952" s="223"/>
      <c r="N952" s="9"/>
      <c r="O952" s="9"/>
      <c r="P952" s="9"/>
      <c r="Q952" s="223"/>
      <c r="R952" s="9"/>
      <c r="S952" s="223"/>
      <c r="T952" s="9"/>
      <c r="U952" s="9"/>
      <c r="V952" s="9"/>
      <c r="W952" s="9"/>
      <c r="X952" s="9"/>
      <c r="Y952" s="204"/>
      <c r="Z952" s="9"/>
      <c r="AA952" s="9"/>
      <c r="AB952" s="9"/>
      <c r="AC952" s="9"/>
    </row>
    <row r="953" ht="15.75" customHeight="1">
      <c r="A953" s="223"/>
      <c r="B953" s="223"/>
      <c r="C953" s="223"/>
      <c r="D953" s="9"/>
      <c r="E953" s="223"/>
      <c r="F953" s="971"/>
      <c r="G953" s="9"/>
      <c r="H953" s="9"/>
      <c r="I953" s="9"/>
      <c r="J953" s="9"/>
      <c r="K953" s="9"/>
      <c r="L953" s="223"/>
      <c r="M953" s="223"/>
      <c r="N953" s="9"/>
      <c r="O953" s="9"/>
      <c r="P953" s="9"/>
      <c r="Q953" s="223"/>
      <c r="R953" s="9"/>
      <c r="S953" s="223"/>
      <c r="T953" s="9"/>
      <c r="U953" s="9"/>
      <c r="V953" s="9"/>
      <c r="W953" s="9"/>
      <c r="X953" s="9"/>
      <c r="Y953" s="204"/>
      <c r="Z953" s="9"/>
      <c r="AA953" s="9"/>
      <c r="AB953" s="9"/>
      <c r="AC953" s="9"/>
    </row>
    <row r="954" ht="15.75" customHeight="1">
      <c r="A954" s="223"/>
      <c r="B954" s="223"/>
      <c r="C954" s="223"/>
      <c r="D954" s="9"/>
      <c r="E954" s="223"/>
      <c r="F954" s="971"/>
      <c r="G954" s="9"/>
      <c r="H954" s="9"/>
      <c r="I954" s="9"/>
      <c r="J954" s="9"/>
      <c r="K954" s="9"/>
      <c r="L954" s="223"/>
      <c r="M954" s="223"/>
      <c r="N954" s="9"/>
      <c r="O954" s="9"/>
      <c r="P954" s="9"/>
      <c r="Q954" s="223"/>
      <c r="R954" s="9"/>
      <c r="S954" s="223"/>
      <c r="T954" s="9"/>
      <c r="U954" s="9"/>
      <c r="V954" s="9"/>
      <c r="W954" s="9"/>
      <c r="X954" s="9"/>
      <c r="Y954" s="204"/>
      <c r="Z954" s="9"/>
      <c r="AA954" s="9"/>
      <c r="AB954" s="9"/>
      <c r="AC954" s="9"/>
    </row>
    <row r="955" ht="15.75" customHeight="1">
      <c r="A955" s="223"/>
      <c r="B955" s="223"/>
      <c r="C955" s="223"/>
      <c r="D955" s="9"/>
      <c r="E955" s="223"/>
      <c r="F955" s="971"/>
      <c r="G955" s="9"/>
      <c r="H955" s="9"/>
      <c r="I955" s="9"/>
      <c r="J955" s="9"/>
      <c r="K955" s="9"/>
      <c r="L955" s="223"/>
      <c r="M955" s="223"/>
      <c r="N955" s="9"/>
      <c r="O955" s="9"/>
      <c r="P955" s="9"/>
      <c r="Q955" s="223"/>
      <c r="R955" s="9"/>
      <c r="S955" s="223"/>
      <c r="T955" s="9"/>
      <c r="U955" s="9"/>
      <c r="V955" s="9"/>
      <c r="W955" s="9"/>
      <c r="X955" s="9"/>
      <c r="Y955" s="204"/>
      <c r="Z955" s="9"/>
      <c r="AA955" s="9"/>
      <c r="AB955" s="9"/>
      <c r="AC955" s="9"/>
    </row>
    <row r="956" ht="15.75" customHeight="1">
      <c r="A956" s="223"/>
      <c r="B956" s="223"/>
      <c r="C956" s="223"/>
      <c r="D956" s="9"/>
      <c r="E956" s="223"/>
      <c r="F956" s="971"/>
      <c r="G956" s="9"/>
      <c r="H956" s="9"/>
      <c r="I956" s="9"/>
      <c r="J956" s="9"/>
      <c r="K956" s="9"/>
      <c r="L956" s="223"/>
      <c r="M956" s="223"/>
      <c r="N956" s="9"/>
      <c r="O956" s="9"/>
      <c r="P956" s="9"/>
      <c r="Q956" s="223"/>
      <c r="R956" s="9"/>
      <c r="S956" s="223"/>
      <c r="T956" s="9"/>
      <c r="U956" s="9"/>
      <c r="V956" s="9"/>
      <c r="W956" s="9"/>
      <c r="X956" s="9"/>
      <c r="Y956" s="204"/>
      <c r="Z956" s="9"/>
      <c r="AA956" s="9"/>
      <c r="AB956" s="9"/>
      <c r="AC956" s="9"/>
    </row>
    <row r="957" ht="15.75" customHeight="1">
      <c r="A957" s="223"/>
      <c r="B957" s="223"/>
      <c r="C957" s="223"/>
      <c r="D957" s="9"/>
      <c r="E957" s="223"/>
      <c r="F957" s="971"/>
      <c r="G957" s="9"/>
      <c r="H957" s="9"/>
      <c r="I957" s="9"/>
      <c r="J957" s="9"/>
      <c r="K957" s="9"/>
      <c r="L957" s="223"/>
      <c r="M957" s="223"/>
      <c r="N957" s="9"/>
      <c r="O957" s="9"/>
      <c r="P957" s="9"/>
      <c r="Q957" s="223"/>
      <c r="R957" s="9"/>
      <c r="S957" s="223"/>
      <c r="T957" s="9"/>
      <c r="U957" s="9"/>
      <c r="V957" s="9"/>
      <c r="W957" s="9"/>
      <c r="X957" s="9"/>
      <c r="Y957" s="204"/>
      <c r="Z957" s="9"/>
      <c r="AA957" s="9"/>
      <c r="AB957" s="9"/>
      <c r="AC957" s="9"/>
    </row>
    <row r="958" ht="15.75" customHeight="1">
      <c r="A958" s="223"/>
      <c r="B958" s="223"/>
      <c r="C958" s="223"/>
      <c r="D958" s="9"/>
      <c r="E958" s="223"/>
      <c r="F958" s="971"/>
      <c r="G958" s="9"/>
      <c r="H958" s="9"/>
      <c r="I958" s="9"/>
      <c r="J958" s="9"/>
      <c r="K958" s="9"/>
      <c r="L958" s="223"/>
      <c r="M958" s="223"/>
      <c r="N958" s="9"/>
      <c r="O958" s="9"/>
      <c r="P958" s="9"/>
      <c r="Q958" s="223"/>
      <c r="R958" s="9"/>
      <c r="S958" s="223"/>
      <c r="T958" s="9"/>
      <c r="U958" s="9"/>
      <c r="V958" s="9"/>
      <c r="W958" s="9"/>
      <c r="X958" s="9"/>
      <c r="Y958" s="204"/>
      <c r="Z958" s="9"/>
      <c r="AA958" s="9"/>
      <c r="AB958" s="9"/>
      <c r="AC958" s="9"/>
    </row>
    <row r="959" ht="15.75" customHeight="1">
      <c r="A959" s="223"/>
      <c r="B959" s="223"/>
      <c r="C959" s="223"/>
      <c r="D959" s="9"/>
      <c r="E959" s="223"/>
      <c r="F959" s="971"/>
      <c r="G959" s="9"/>
      <c r="H959" s="9"/>
      <c r="I959" s="9"/>
      <c r="J959" s="9"/>
      <c r="K959" s="9"/>
      <c r="L959" s="223"/>
      <c r="M959" s="223"/>
      <c r="N959" s="9"/>
      <c r="O959" s="9"/>
      <c r="P959" s="9"/>
      <c r="Q959" s="223"/>
      <c r="R959" s="9"/>
      <c r="S959" s="223"/>
      <c r="T959" s="9"/>
      <c r="U959" s="9"/>
      <c r="V959" s="9"/>
      <c r="W959" s="9"/>
      <c r="X959" s="9"/>
      <c r="Y959" s="204"/>
      <c r="Z959" s="9"/>
      <c r="AA959" s="9"/>
      <c r="AB959" s="9"/>
      <c r="AC959" s="9"/>
    </row>
    <row r="960" ht="15.75" customHeight="1">
      <c r="A960" s="223"/>
      <c r="B960" s="223"/>
      <c r="C960" s="223"/>
      <c r="D960" s="9"/>
      <c r="E960" s="223"/>
      <c r="F960" s="971"/>
      <c r="G960" s="9"/>
      <c r="H960" s="9"/>
      <c r="I960" s="9"/>
      <c r="J960" s="9"/>
      <c r="K960" s="9"/>
      <c r="L960" s="223"/>
      <c r="M960" s="223"/>
      <c r="N960" s="9"/>
      <c r="O960" s="9"/>
      <c r="P960" s="9"/>
      <c r="Q960" s="223"/>
      <c r="R960" s="9"/>
      <c r="S960" s="223"/>
      <c r="T960" s="9"/>
      <c r="U960" s="9"/>
      <c r="V960" s="9"/>
      <c r="W960" s="9"/>
      <c r="X960" s="9"/>
      <c r="Y960" s="204"/>
      <c r="Z960" s="9"/>
      <c r="AA960" s="9"/>
      <c r="AB960" s="9"/>
      <c r="AC960" s="9"/>
    </row>
    <row r="961" ht="15.75" customHeight="1">
      <c r="A961" s="223"/>
      <c r="B961" s="223"/>
      <c r="C961" s="223"/>
      <c r="D961" s="9"/>
      <c r="E961" s="223"/>
      <c r="F961" s="971"/>
      <c r="G961" s="9"/>
      <c r="H961" s="9"/>
      <c r="I961" s="9"/>
      <c r="J961" s="9"/>
      <c r="K961" s="9"/>
      <c r="L961" s="223"/>
      <c r="M961" s="223"/>
      <c r="N961" s="9"/>
      <c r="O961" s="9"/>
      <c r="P961" s="9"/>
      <c r="Q961" s="223"/>
      <c r="R961" s="9"/>
      <c r="S961" s="223"/>
      <c r="T961" s="9"/>
      <c r="U961" s="9"/>
      <c r="V961" s="9"/>
      <c r="W961" s="9"/>
      <c r="X961" s="9"/>
      <c r="Y961" s="204"/>
      <c r="Z961" s="9"/>
      <c r="AA961" s="9"/>
      <c r="AB961" s="9"/>
      <c r="AC961" s="9"/>
    </row>
    <row r="962" ht="15.75" customHeight="1">
      <c r="A962" s="223"/>
      <c r="B962" s="223"/>
      <c r="C962" s="223"/>
      <c r="D962" s="9"/>
      <c r="E962" s="223"/>
      <c r="F962" s="971"/>
      <c r="G962" s="9"/>
      <c r="H962" s="9"/>
      <c r="I962" s="9"/>
      <c r="J962" s="9"/>
      <c r="K962" s="9"/>
      <c r="L962" s="223"/>
      <c r="M962" s="223"/>
      <c r="N962" s="9"/>
      <c r="O962" s="9"/>
      <c r="P962" s="9"/>
      <c r="Q962" s="223"/>
      <c r="R962" s="9"/>
      <c r="S962" s="223"/>
      <c r="T962" s="9"/>
      <c r="U962" s="9"/>
      <c r="V962" s="9"/>
      <c r="W962" s="9"/>
      <c r="X962" s="9"/>
      <c r="Y962" s="204"/>
      <c r="Z962" s="9"/>
      <c r="AA962" s="9"/>
      <c r="AB962" s="9"/>
      <c r="AC962" s="9"/>
    </row>
    <row r="963" ht="15.75" customHeight="1">
      <c r="A963" s="223"/>
      <c r="B963" s="223"/>
      <c r="C963" s="223"/>
      <c r="D963" s="9"/>
      <c r="E963" s="223"/>
      <c r="F963" s="971"/>
      <c r="G963" s="9"/>
      <c r="H963" s="9"/>
      <c r="I963" s="9"/>
      <c r="J963" s="9"/>
      <c r="K963" s="9"/>
      <c r="L963" s="223"/>
      <c r="M963" s="223"/>
      <c r="N963" s="9"/>
      <c r="O963" s="9"/>
      <c r="P963" s="9"/>
      <c r="Q963" s="223"/>
      <c r="R963" s="9"/>
      <c r="S963" s="223"/>
      <c r="T963" s="9"/>
      <c r="U963" s="9"/>
      <c r="V963" s="9"/>
      <c r="W963" s="9"/>
      <c r="X963" s="9"/>
      <c r="Y963" s="204"/>
      <c r="Z963" s="9"/>
      <c r="AA963" s="9"/>
      <c r="AB963" s="9"/>
      <c r="AC963" s="9"/>
    </row>
    <row r="964" ht="15.75" customHeight="1">
      <c r="A964" s="223"/>
      <c r="B964" s="223"/>
      <c r="C964" s="223"/>
      <c r="D964" s="9"/>
      <c r="E964" s="223"/>
      <c r="F964" s="971"/>
      <c r="G964" s="9"/>
      <c r="H964" s="9"/>
      <c r="I964" s="9"/>
      <c r="J964" s="9"/>
      <c r="K964" s="9"/>
      <c r="L964" s="223"/>
      <c r="M964" s="223"/>
      <c r="N964" s="9"/>
      <c r="O964" s="9"/>
      <c r="P964" s="9"/>
      <c r="Q964" s="223"/>
      <c r="R964" s="9"/>
      <c r="S964" s="223"/>
      <c r="T964" s="9"/>
      <c r="U964" s="9"/>
      <c r="V964" s="9"/>
      <c r="W964" s="9"/>
      <c r="X964" s="9"/>
      <c r="Y964" s="204"/>
      <c r="Z964" s="9"/>
      <c r="AA964" s="9"/>
      <c r="AB964" s="9"/>
      <c r="AC964" s="9"/>
    </row>
    <row r="965" ht="15.75" customHeight="1">
      <c r="A965" s="223"/>
      <c r="B965" s="223"/>
      <c r="C965" s="223"/>
      <c r="D965" s="9"/>
      <c r="E965" s="223"/>
      <c r="F965" s="971"/>
      <c r="G965" s="9"/>
      <c r="H965" s="9"/>
      <c r="I965" s="9"/>
      <c r="J965" s="9"/>
      <c r="K965" s="9"/>
      <c r="L965" s="223"/>
      <c r="M965" s="223"/>
      <c r="N965" s="9"/>
      <c r="O965" s="9"/>
      <c r="P965" s="9"/>
      <c r="Q965" s="223"/>
      <c r="R965" s="9"/>
      <c r="S965" s="223"/>
      <c r="T965" s="9"/>
      <c r="U965" s="9"/>
      <c r="V965" s="9"/>
      <c r="W965" s="9"/>
      <c r="X965" s="9"/>
      <c r="Y965" s="204"/>
      <c r="Z965" s="9"/>
      <c r="AA965" s="9"/>
      <c r="AB965" s="9"/>
      <c r="AC965" s="9"/>
    </row>
    <row r="966" ht="15.75" customHeight="1">
      <c r="A966" s="223"/>
      <c r="B966" s="223"/>
      <c r="C966" s="223"/>
      <c r="D966" s="9"/>
      <c r="E966" s="223"/>
      <c r="F966" s="971"/>
      <c r="G966" s="9"/>
      <c r="H966" s="9"/>
      <c r="I966" s="9"/>
      <c r="J966" s="9"/>
      <c r="K966" s="9"/>
      <c r="L966" s="223"/>
      <c r="M966" s="223"/>
      <c r="N966" s="9"/>
      <c r="O966" s="9"/>
      <c r="P966" s="9"/>
      <c r="Q966" s="223"/>
      <c r="R966" s="9"/>
      <c r="S966" s="223"/>
      <c r="T966" s="9"/>
      <c r="U966" s="9"/>
      <c r="V966" s="9"/>
      <c r="W966" s="9"/>
      <c r="X966" s="9"/>
      <c r="Y966" s="204"/>
      <c r="Z966" s="9"/>
      <c r="AA966" s="9"/>
      <c r="AB966" s="9"/>
      <c r="AC966" s="9"/>
    </row>
    <row r="967" ht="15.75" customHeight="1">
      <c r="A967" s="223"/>
      <c r="B967" s="223"/>
      <c r="C967" s="223"/>
      <c r="D967" s="9"/>
      <c r="E967" s="223"/>
      <c r="F967" s="971"/>
      <c r="G967" s="9"/>
      <c r="H967" s="9"/>
      <c r="I967" s="9"/>
      <c r="J967" s="9"/>
      <c r="K967" s="9"/>
      <c r="L967" s="223"/>
      <c r="M967" s="223"/>
      <c r="N967" s="9"/>
      <c r="O967" s="9"/>
      <c r="P967" s="9"/>
      <c r="Q967" s="223"/>
      <c r="R967" s="9"/>
      <c r="S967" s="223"/>
      <c r="T967" s="9"/>
      <c r="U967" s="9"/>
      <c r="V967" s="9"/>
      <c r="W967" s="9"/>
      <c r="X967" s="9"/>
      <c r="Y967" s="204"/>
      <c r="Z967" s="9"/>
      <c r="AA967" s="9"/>
      <c r="AB967" s="9"/>
      <c r="AC967" s="9"/>
    </row>
    <row r="968" ht="15.75" customHeight="1">
      <c r="A968" s="223"/>
      <c r="B968" s="223"/>
      <c r="C968" s="223"/>
      <c r="D968" s="9"/>
      <c r="E968" s="223"/>
      <c r="F968" s="971"/>
      <c r="G968" s="9"/>
      <c r="H968" s="9"/>
      <c r="I968" s="9"/>
      <c r="J968" s="9"/>
      <c r="K968" s="9"/>
      <c r="L968" s="223"/>
      <c r="M968" s="223"/>
      <c r="N968" s="9"/>
      <c r="O968" s="9"/>
      <c r="P968" s="9"/>
      <c r="Q968" s="223"/>
      <c r="R968" s="9"/>
      <c r="S968" s="223"/>
      <c r="T968" s="9"/>
      <c r="U968" s="9"/>
      <c r="V968" s="9"/>
      <c r="W968" s="9"/>
      <c r="X968" s="9"/>
      <c r="Y968" s="204"/>
      <c r="Z968" s="9"/>
      <c r="AA968" s="9"/>
      <c r="AB968" s="9"/>
      <c r="AC968" s="9"/>
    </row>
    <row r="969" ht="15.75" customHeight="1">
      <c r="A969" s="223"/>
      <c r="B969" s="223"/>
      <c r="C969" s="223"/>
      <c r="D969" s="9"/>
      <c r="E969" s="223"/>
      <c r="F969" s="971"/>
      <c r="G969" s="9"/>
      <c r="H969" s="9"/>
      <c r="I969" s="9"/>
      <c r="J969" s="9"/>
      <c r="K969" s="9"/>
      <c r="L969" s="223"/>
      <c r="M969" s="223"/>
      <c r="N969" s="9"/>
      <c r="O969" s="9"/>
      <c r="P969" s="9"/>
      <c r="Q969" s="223"/>
      <c r="R969" s="9"/>
      <c r="S969" s="223"/>
      <c r="T969" s="9"/>
      <c r="U969" s="9"/>
      <c r="V969" s="9"/>
      <c r="W969" s="9"/>
      <c r="X969" s="9"/>
      <c r="Y969" s="204"/>
      <c r="Z969" s="9"/>
      <c r="AA969" s="9"/>
      <c r="AB969" s="9"/>
      <c r="AC969" s="9"/>
    </row>
    <row r="970" ht="15.75" customHeight="1">
      <c r="A970" s="223"/>
      <c r="B970" s="223"/>
      <c r="C970" s="223"/>
      <c r="D970" s="9"/>
      <c r="E970" s="223"/>
      <c r="F970" s="971"/>
      <c r="G970" s="9"/>
      <c r="H970" s="9"/>
      <c r="I970" s="9"/>
      <c r="J970" s="9"/>
      <c r="K970" s="9"/>
      <c r="L970" s="223"/>
      <c r="M970" s="223"/>
      <c r="N970" s="9"/>
      <c r="O970" s="9"/>
      <c r="P970" s="9"/>
      <c r="Q970" s="223"/>
      <c r="R970" s="9"/>
      <c r="S970" s="223"/>
      <c r="T970" s="9"/>
      <c r="U970" s="9"/>
      <c r="V970" s="9"/>
      <c r="W970" s="9"/>
      <c r="X970" s="9"/>
      <c r="Y970" s="204"/>
      <c r="Z970" s="9"/>
      <c r="AA970" s="9"/>
      <c r="AB970" s="9"/>
      <c r="AC970" s="9"/>
    </row>
    <row r="971" ht="15.75" customHeight="1">
      <c r="A971" s="223"/>
      <c r="B971" s="223"/>
      <c r="C971" s="223"/>
      <c r="D971" s="9"/>
      <c r="E971" s="223"/>
      <c r="F971" s="971"/>
      <c r="G971" s="9"/>
      <c r="H971" s="9"/>
      <c r="I971" s="9"/>
      <c r="J971" s="9"/>
      <c r="K971" s="9"/>
      <c r="L971" s="223"/>
      <c r="M971" s="223"/>
      <c r="N971" s="9"/>
      <c r="O971" s="9"/>
      <c r="P971" s="9"/>
      <c r="Q971" s="223"/>
      <c r="R971" s="9"/>
      <c r="S971" s="223"/>
      <c r="T971" s="9"/>
      <c r="U971" s="9"/>
      <c r="V971" s="9"/>
      <c r="W971" s="9"/>
      <c r="X971" s="9"/>
      <c r="Y971" s="204"/>
      <c r="Z971" s="9"/>
      <c r="AA971" s="9"/>
      <c r="AB971" s="9"/>
      <c r="AC971" s="9"/>
    </row>
    <row r="972" ht="15.75" customHeight="1">
      <c r="A972" s="223"/>
      <c r="B972" s="223"/>
      <c r="C972" s="223"/>
      <c r="D972" s="9"/>
      <c r="E972" s="223"/>
      <c r="F972" s="971"/>
      <c r="G972" s="9"/>
      <c r="H972" s="9"/>
      <c r="I972" s="9"/>
      <c r="J972" s="9"/>
      <c r="K972" s="9"/>
      <c r="L972" s="223"/>
      <c r="M972" s="223"/>
      <c r="N972" s="9"/>
      <c r="O972" s="9"/>
      <c r="P972" s="9"/>
      <c r="Q972" s="223"/>
      <c r="R972" s="9"/>
      <c r="S972" s="223"/>
      <c r="T972" s="9"/>
      <c r="U972" s="9"/>
      <c r="V972" s="9"/>
      <c r="W972" s="9"/>
      <c r="X972" s="9"/>
      <c r="Y972" s="204"/>
      <c r="Z972" s="9"/>
      <c r="AA972" s="9"/>
      <c r="AB972" s="9"/>
      <c r="AC972" s="9"/>
    </row>
    <row r="973" ht="15.75" customHeight="1">
      <c r="A973" s="223"/>
      <c r="B973" s="223"/>
      <c r="C973" s="223"/>
      <c r="D973" s="9"/>
      <c r="E973" s="223"/>
      <c r="F973" s="971"/>
      <c r="G973" s="9"/>
      <c r="H973" s="9"/>
      <c r="I973" s="9"/>
      <c r="J973" s="9"/>
      <c r="K973" s="9"/>
      <c r="L973" s="223"/>
      <c r="M973" s="223"/>
      <c r="N973" s="9"/>
      <c r="O973" s="9"/>
      <c r="P973" s="9"/>
      <c r="Q973" s="223"/>
      <c r="R973" s="9"/>
      <c r="S973" s="223"/>
      <c r="T973" s="9"/>
      <c r="U973" s="9"/>
      <c r="V973" s="9"/>
      <c r="W973" s="9"/>
      <c r="X973" s="9"/>
      <c r="Y973" s="204"/>
      <c r="Z973" s="9"/>
      <c r="AA973" s="9"/>
      <c r="AB973" s="9"/>
      <c r="AC973" s="9"/>
    </row>
    <row r="974" ht="15.75" customHeight="1">
      <c r="A974" s="223"/>
      <c r="B974" s="223"/>
      <c r="C974" s="223"/>
      <c r="D974" s="9"/>
      <c r="E974" s="223"/>
      <c r="F974" s="971"/>
      <c r="G974" s="9"/>
      <c r="H974" s="9"/>
      <c r="I974" s="9"/>
      <c r="J974" s="9"/>
      <c r="K974" s="9"/>
      <c r="L974" s="223"/>
      <c r="M974" s="223"/>
      <c r="N974" s="9"/>
      <c r="O974" s="9"/>
      <c r="P974" s="9"/>
      <c r="Q974" s="223"/>
      <c r="R974" s="9"/>
      <c r="S974" s="223"/>
      <c r="T974" s="9"/>
      <c r="U974" s="9"/>
      <c r="V974" s="9"/>
      <c r="W974" s="9"/>
      <c r="X974" s="9"/>
      <c r="Y974" s="204"/>
      <c r="Z974" s="9"/>
      <c r="AA974" s="9"/>
      <c r="AB974" s="9"/>
      <c r="AC974" s="9"/>
    </row>
    <row r="975" ht="15.75" customHeight="1">
      <c r="A975" s="223"/>
      <c r="B975" s="223"/>
      <c r="C975" s="223"/>
      <c r="D975" s="9"/>
      <c r="E975" s="223"/>
      <c r="F975" s="971"/>
      <c r="G975" s="9"/>
      <c r="H975" s="9"/>
      <c r="I975" s="9"/>
      <c r="J975" s="9"/>
      <c r="K975" s="9"/>
      <c r="L975" s="223"/>
      <c r="M975" s="223"/>
      <c r="N975" s="9"/>
      <c r="O975" s="9"/>
      <c r="P975" s="9"/>
      <c r="Q975" s="223"/>
      <c r="R975" s="9"/>
      <c r="S975" s="223"/>
      <c r="T975" s="9"/>
      <c r="U975" s="9"/>
      <c r="V975" s="9"/>
      <c r="W975" s="9"/>
      <c r="X975" s="9"/>
      <c r="Y975" s="204"/>
      <c r="Z975" s="9"/>
      <c r="AA975" s="9"/>
      <c r="AB975" s="9"/>
      <c r="AC975" s="9"/>
    </row>
    <row r="976" ht="15.75" customHeight="1">
      <c r="A976" s="223"/>
      <c r="B976" s="223"/>
      <c r="C976" s="223"/>
      <c r="D976" s="9"/>
      <c r="E976" s="223"/>
      <c r="F976" s="971"/>
      <c r="G976" s="9"/>
      <c r="H976" s="9"/>
      <c r="I976" s="9"/>
      <c r="J976" s="9"/>
      <c r="K976" s="9"/>
      <c r="L976" s="223"/>
      <c r="M976" s="223"/>
      <c r="N976" s="9"/>
      <c r="O976" s="9"/>
      <c r="P976" s="9"/>
      <c r="Q976" s="223"/>
      <c r="R976" s="9"/>
      <c r="S976" s="223"/>
      <c r="T976" s="9"/>
      <c r="U976" s="9"/>
      <c r="V976" s="9"/>
      <c r="W976" s="9"/>
      <c r="X976" s="9"/>
      <c r="Y976" s="204"/>
      <c r="Z976" s="9"/>
      <c r="AA976" s="9"/>
      <c r="AB976" s="9"/>
      <c r="AC976" s="9"/>
    </row>
    <row r="977" ht="15.75" customHeight="1">
      <c r="A977" s="223"/>
      <c r="B977" s="223"/>
      <c r="C977" s="223"/>
      <c r="D977" s="9"/>
      <c r="E977" s="223"/>
      <c r="F977" s="971"/>
      <c r="G977" s="9"/>
      <c r="H977" s="9"/>
      <c r="I977" s="9"/>
      <c r="J977" s="9"/>
      <c r="K977" s="9"/>
      <c r="L977" s="223"/>
      <c r="M977" s="223"/>
      <c r="N977" s="9"/>
      <c r="O977" s="9"/>
      <c r="P977" s="9"/>
      <c r="Q977" s="223"/>
      <c r="R977" s="9"/>
      <c r="S977" s="223"/>
      <c r="T977" s="9"/>
      <c r="U977" s="9"/>
      <c r="V977" s="9"/>
      <c r="W977" s="9"/>
      <c r="X977" s="9"/>
      <c r="Y977" s="204"/>
      <c r="Z977" s="9"/>
      <c r="AA977" s="9"/>
      <c r="AB977" s="9"/>
      <c r="AC977" s="9"/>
    </row>
    <row r="978" ht="15.75" customHeight="1">
      <c r="A978" s="223"/>
      <c r="B978" s="223"/>
      <c r="C978" s="223"/>
      <c r="D978" s="9"/>
      <c r="E978" s="223"/>
      <c r="F978" s="971"/>
      <c r="G978" s="9"/>
      <c r="H978" s="9"/>
      <c r="I978" s="9"/>
      <c r="J978" s="9"/>
      <c r="K978" s="9"/>
      <c r="L978" s="223"/>
      <c r="M978" s="223"/>
      <c r="N978" s="9"/>
      <c r="O978" s="9"/>
      <c r="P978" s="9"/>
      <c r="Q978" s="223"/>
      <c r="R978" s="9"/>
      <c r="S978" s="223"/>
      <c r="T978" s="9"/>
      <c r="U978" s="9"/>
      <c r="V978" s="9"/>
      <c r="W978" s="9"/>
      <c r="X978" s="9"/>
      <c r="Y978" s="204"/>
      <c r="Z978" s="9"/>
      <c r="AA978" s="9"/>
      <c r="AB978" s="9"/>
      <c r="AC978" s="9"/>
    </row>
    <row r="979" ht="15.75" customHeight="1">
      <c r="A979" s="223"/>
      <c r="B979" s="223"/>
      <c r="C979" s="223"/>
      <c r="D979" s="9"/>
      <c r="E979" s="223"/>
      <c r="F979" s="971"/>
      <c r="G979" s="9"/>
      <c r="H979" s="9"/>
      <c r="I979" s="9"/>
      <c r="J979" s="9"/>
      <c r="K979" s="9"/>
      <c r="L979" s="223"/>
      <c r="M979" s="223"/>
      <c r="N979" s="9"/>
      <c r="O979" s="9"/>
      <c r="P979" s="9"/>
      <c r="Q979" s="223"/>
      <c r="R979" s="9"/>
      <c r="S979" s="223"/>
      <c r="T979" s="9"/>
      <c r="U979" s="9"/>
      <c r="V979" s="9"/>
      <c r="W979" s="9"/>
      <c r="X979" s="9"/>
      <c r="Y979" s="204"/>
      <c r="Z979" s="9"/>
      <c r="AA979" s="9"/>
      <c r="AB979" s="9"/>
      <c r="AC979" s="9"/>
    </row>
    <row r="980" ht="15.75" customHeight="1">
      <c r="A980" s="223"/>
      <c r="B980" s="223"/>
      <c r="C980" s="223"/>
      <c r="D980" s="9"/>
      <c r="E980" s="223"/>
      <c r="F980" s="971"/>
      <c r="G980" s="9"/>
      <c r="H980" s="9"/>
      <c r="I980" s="9"/>
      <c r="J980" s="9"/>
      <c r="K980" s="9"/>
      <c r="L980" s="223"/>
      <c r="M980" s="223"/>
      <c r="N980" s="9"/>
      <c r="O980" s="9"/>
      <c r="P980" s="9"/>
      <c r="Q980" s="223"/>
      <c r="R980" s="9"/>
      <c r="S980" s="223"/>
      <c r="T980" s="9"/>
      <c r="U980" s="9"/>
      <c r="V980" s="9"/>
      <c r="W980" s="9"/>
      <c r="X980" s="9"/>
      <c r="Y980" s="204"/>
      <c r="Z980" s="9"/>
      <c r="AA980" s="9"/>
      <c r="AB980" s="9"/>
      <c r="AC980" s="9"/>
    </row>
    <row r="981" ht="15.75" customHeight="1">
      <c r="A981" s="223"/>
      <c r="B981" s="223"/>
      <c r="C981" s="223"/>
      <c r="D981" s="9"/>
      <c r="E981" s="223"/>
      <c r="F981" s="971"/>
      <c r="G981" s="9"/>
      <c r="H981" s="9"/>
      <c r="I981" s="9"/>
      <c r="J981" s="9"/>
      <c r="K981" s="9"/>
      <c r="L981" s="223"/>
      <c r="M981" s="223"/>
      <c r="N981" s="9"/>
      <c r="O981" s="9"/>
      <c r="P981" s="9"/>
      <c r="Q981" s="223"/>
      <c r="R981" s="9"/>
      <c r="S981" s="223"/>
      <c r="T981" s="9"/>
      <c r="U981" s="9"/>
      <c r="V981" s="9"/>
      <c r="W981" s="9"/>
      <c r="X981" s="9"/>
      <c r="Y981" s="204"/>
      <c r="Z981" s="9"/>
      <c r="AA981" s="9"/>
      <c r="AB981" s="9"/>
      <c r="AC981" s="9"/>
    </row>
    <row r="982" ht="15.75" customHeight="1">
      <c r="A982" s="223"/>
      <c r="B982" s="223"/>
      <c r="C982" s="223"/>
      <c r="D982" s="9"/>
      <c r="E982" s="223"/>
      <c r="F982" s="971"/>
      <c r="G982" s="9"/>
      <c r="H982" s="9"/>
      <c r="I982" s="9"/>
      <c r="J982" s="9"/>
      <c r="K982" s="9"/>
      <c r="L982" s="223"/>
      <c r="M982" s="223"/>
      <c r="N982" s="9"/>
      <c r="O982" s="9"/>
      <c r="P982" s="9"/>
      <c r="Q982" s="223"/>
      <c r="R982" s="9"/>
      <c r="S982" s="223"/>
      <c r="T982" s="9"/>
      <c r="U982" s="9"/>
      <c r="V982" s="9"/>
      <c r="W982" s="9"/>
      <c r="X982" s="9"/>
      <c r="Y982" s="204"/>
      <c r="Z982" s="9"/>
      <c r="AA982" s="9"/>
      <c r="AB982" s="9"/>
      <c r="AC982" s="9"/>
    </row>
    <row r="983" ht="15.75" customHeight="1">
      <c r="A983" s="223"/>
      <c r="B983" s="223"/>
      <c r="C983" s="223"/>
      <c r="D983" s="9"/>
      <c r="E983" s="223"/>
      <c r="F983" s="971"/>
      <c r="G983" s="9"/>
      <c r="H983" s="9"/>
      <c r="I983" s="9"/>
      <c r="J983" s="9"/>
      <c r="K983" s="9"/>
      <c r="L983" s="223"/>
      <c r="M983" s="223"/>
      <c r="N983" s="9"/>
      <c r="O983" s="9"/>
      <c r="P983" s="9"/>
      <c r="Q983" s="223"/>
      <c r="R983" s="9"/>
      <c r="S983" s="223"/>
      <c r="T983" s="9"/>
      <c r="U983" s="9"/>
      <c r="V983" s="9"/>
      <c r="W983" s="9"/>
      <c r="X983" s="9"/>
      <c r="Y983" s="204"/>
      <c r="Z983" s="9"/>
      <c r="AA983" s="9"/>
      <c r="AB983" s="9"/>
      <c r="AC983" s="9"/>
    </row>
    <row r="984" ht="15.75" customHeight="1">
      <c r="A984" s="223"/>
      <c r="B984" s="223"/>
      <c r="C984" s="223"/>
      <c r="D984" s="9"/>
      <c r="E984" s="223"/>
      <c r="F984" s="971"/>
      <c r="G984" s="9"/>
      <c r="H984" s="9"/>
      <c r="I984" s="9"/>
      <c r="J984" s="9"/>
      <c r="K984" s="9"/>
      <c r="L984" s="223"/>
      <c r="M984" s="223"/>
      <c r="N984" s="9"/>
      <c r="O984" s="9"/>
      <c r="P984" s="9"/>
      <c r="Q984" s="223"/>
      <c r="R984" s="9"/>
      <c r="S984" s="223"/>
      <c r="T984" s="9"/>
      <c r="U984" s="9"/>
      <c r="V984" s="9"/>
      <c r="W984" s="9"/>
      <c r="X984" s="9"/>
      <c r="Y984" s="204"/>
      <c r="Z984" s="9"/>
      <c r="AA984" s="9"/>
      <c r="AB984" s="9"/>
      <c r="AC984" s="9"/>
    </row>
    <row r="985" ht="15.75" customHeight="1">
      <c r="A985" s="223"/>
      <c r="B985" s="223"/>
      <c r="C985" s="223"/>
      <c r="D985" s="9"/>
      <c r="E985" s="223"/>
      <c r="F985" s="971"/>
      <c r="G985" s="9"/>
      <c r="H985" s="9"/>
      <c r="I985" s="9"/>
      <c r="J985" s="9"/>
      <c r="K985" s="9"/>
      <c r="L985" s="223"/>
      <c r="M985" s="223"/>
      <c r="N985" s="9"/>
      <c r="O985" s="9"/>
      <c r="P985" s="9"/>
      <c r="Q985" s="223"/>
      <c r="R985" s="9"/>
      <c r="S985" s="223"/>
      <c r="T985" s="9"/>
      <c r="U985" s="9"/>
      <c r="V985" s="9"/>
      <c r="W985" s="9"/>
      <c r="X985" s="9"/>
      <c r="Y985" s="204"/>
      <c r="Z985" s="9"/>
      <c r="AA985" s="9"/>
      <c r="AB985" s="9"/>
      <c r="AC985" s="9"/>
    </row>
    <row r="986" ht="15.75" customHeight="1">
      <c r="A986" s="223"/>
      <c r="B986" s="223"/>
      <c r="C986" s="223"/>
      <c r="D986" s="9"/>
      <c r="E986" s="223"/>
      <c r="F986" s="971"/>
      <c r="G986" s="9"/>
      <c r="H986" s="9"/>
      <c r="I986" s="9"/>
      <c r="J986" s="9"/>
      <c r="K986" s="9"/>
      <c r="L986" s="223"/>
      <c r="M986" s="223"/>
      <c r="N986" s="9"/>
      <c r="O986" s="9"/>
      <c r="P986" s="9"/>
      <c r="Q986" s="223"/>
      <c r="R986" s="9"/>
      <c r="S986" s="223"/>
      <c r="T986" s="9"/>
      <c r="U986" s="9"/>
      <c r="V986" s="9"/>
      <c r="W986" s="9"/>
      <c r="X986" s="9"/>
      <c r="Y986" s="204"/>
      <c r="Z986" s="9"/>
      <c r="AA986" s="9"/>
      <c r="AB986" s="9"/>
      <c r="AC986" s="9"/>
    </row>
    <row r="987" ht="15.75" customHeight="1">
      <c r="A987" s="223"/>
      <c r="B987" s="223"/>
      <c r="C987" s="223"/>
      <c r="D987" s="9"/>
      <c r="E987" s="223"/>
      <c r="F987" s="971"/>
      <c r="G987" s="9"/>
      <c r="H987" s="9"/>
      <c r="I987" s="9"/>
      <c r="J987" s="9"/>
      <c r="K987" s="9"/>
      <c r="L987" s="223"/>
      <c r="M987" s="223"/>
      <c r="N987" s="9"/>
      <c r="O987" s="9"/>
      <c r="P987" s="9"/>
      <c r="Q987" s="223"/>
      <c r="R987" s="9"/>
      <c r="S987" s="223"/>
      <c r="T987" s="9"/>
      <c r="U987" s="9"/>
      <c r="V987" s="9"/>
      <c r="W987" s="9"/>
      <c r="X987" s="9"/>
      <c r="Y987" s="204"/>
      <c r="Z987" s="9"/>
      <c r="AA987" s="9"/>
      <c r="AB987" s="9"/>
      <c r="AC987" s="9"/>
    </row>
    <row r="988" ht="15.75" customHeight="1">
      <c r="A988" s="223"/>
      <c r="B988" s="223"/>
      <c r="C988" s="223"/>
      <c r="D988" s="9"/>
      <c r="E988" s="223"/>
      <c r="F988" s="971"/>
      <c r="G988" s="9"/>
      <c r="H988" s="9"/>
      <c r="I988" s="9"/>
      <c r="J988" s="9"/>
      <c r="K988" s="9"/>
      <c r="L988" s="223"/>
      <c r="M988" s="223"/>
      <c r="N988" s="9"/>
      <c r="O988" s="9"/>
      <c r="P988" s="9"/>
      <c r="Q988" s="223"/>
      <c r="R988" s="9"/>
      <c r="S988" s="223"/>
      <c r="T988" s="9"/>
      <c r="U988" s="9"/>
      <c r="V988" s="9"/>
      <c r="W988" s="9"/>
      <c r="X988" s="9"/>
      <c r="Y988" s="204"/>
      <c r="Z988" s="9"/>
      <c r="AA988" s="9"/>
      <c r="AB988" s="9"/>
      <c r="AC988" s="9"/>
    </row>
    <row r="989" ht="15.75" customHeight="1">
      <c r="A989" s="223"/>
      <c r="B989" s="223"/>
      <c r="C989" s="223"/>
      <c r="D989" s="9"/>
      <c r="E989" s="223"/>
      <c r="F989" s="971"/>
      <c r="G989" s="9"/>
      <c r="H989" s="9"/>
      <c r="I989" s="9"/>
      <c r="J989" s="9"/>
      <c r="K989" s="9"/>
      <c r="L989" s="223"/>
      <c r="M989" s="223"/>
      <c r="N989" s="9"/>
      <c r="O989" s="9"/>
      <c r="P989" s="9"/>
      <c r="Q989" s="223"/>
      <c r="R989" s="9"/>
      <c r="S989" s="223"/>
      <c r="T989" s="9"/>
      <c r="U989" s="9"/>
      <c r="V989" s="9"/>
      <c r="W989" s="9"/>
      <c r="X989" s="9"/>
      <c r="Y989" s="204"/>
      <c r="Z989" s="9"/>
      <c r="AA989" s="9"/>
      <c r="AB989" s="9"/>
      <c r="AC989" s="9"/>
    </row>
    <row r="990" ht="15.75" customHeight="1">
      <c r="A990" s="223"/>
      <c r="B990" s="223"/>
      <c r="C990" s="223"/>
      <c r="D990" s="9"/>
      <c r="E990" s="223"/>
      <c r="F990" s="971"/>
      <c r="G990" s="9"/>
      <c r="H990" s="9"/>
      <c r="I990" s="9"/>
      <c r="J990" s="9"/>
      <c r="K990" s="9"/>
      <c r="L990" s="223"/>
      <c r="M990" s="223"/>
      <c r="N990" s="9"/>
      <c r="O990" s="9"/>
      <c r="P990" s="9"/>
      <c r="Q990" s="223"/>
      <c r="R990" s="9"/>
      <c r="S990" s="223"/>
      <c r="T990" s="9"/>
      <c r="U990" s="9"/>
      <c r="V990" s="9"/>
      <c r="W990" s="9"/>
      <c r="X990" s="9"/>
      <c r="Y990" s="204"/>
      <c r="Z990" s="9"/>
      <c r="AA990" s="9"/>
      <c r="AB990" s="9"/>
      <c r="AC990" s="9"/>
    </row>
    <row r="991" ht="15.75" customHeight="1">
      <c r="A991" s="223"/>
      <c r="B991" s="223"/>
      <c r="C991" s="223"/>
      <c r="D991" s="9"/>
      <c r="E991" s="223"/>
      <c r="F991" s="971"/>
      <c r="G991" s="9"/>
      <c r="H991" s="9"/>
      <c r="I991" s="9"/>
      <c r="J991" s="9"/>
      <c r="K991" s="9"/>
      <c r="L991" s="223"/>
      <c r="M991" s="223"/>
      <c r="N991" s="9"/>
      <c r="O991" s="9"/>
      <c r="P991" s="9"/>
      <c r="Q991" s="223"/>
      <c r="R991" s="9"/>
      <c r="S991" s="223"/>
      <c r="T991" s="9"/>
      <c r="U991" s="9"/>
      <c r="V991" s="9"/>
      <c r="W991" s="9"/>
      <c r="X991" s="9"/>
      <c r="Y991" s="204"/>
      <c r="Z991" s="9"/>
      <c r="AA991" s="9"/>
      <c r="AB991" s="9"/>
      <c r="AC991" s="9"/>
    </row>
    <row r="992" ht="15.75" customHeight="1">
      <c r="A992" s="223"/>
      <c r="B992" s="223"/>
      <c r="C992" s="223"/>
      <c r="D992" s="9"/>
      <c r="E992" s="223"/>
      <c r="F992" s="971"/>
      <c r="G992" s="9"/>
      <c r="H992" s="9"/>
      <c r="I992" s="9"/>
      <c r="J992" s="9"/>
      <c r="K992" s="9"/>
      <c r="L992" s="223"/>
      <c r="M992" s="223"/>
      <c r="N992" s="9"/>
      <c r="O992" s="9"/>
      <c r="P992" s="9"/>
      <c r="Q992" s="223"/>
      <c r="R992" s="9"/>
      <c r="S992" s="223"/>
      <c r="T992" s="9"/>
      <c r="U992" s="9"/>
      <c r="V992" s="9"/>
      <c r="W992" s="9"/>
      <c r="X992" s="9"/>
      <c r="Y992" s="204"/>
      <c r="Z992" s="9"/>
      <c r="AA992" s="9"/>
      <c r="AB992" s="9"/>
      <c r="AC992" s="9"/>
    </row>
    <row r="993" ht="15.75" customHeight="1">
      <c r="A993" s="223"/>
      <c r="B993" s="223"/>
      <c r="C993" s="223"/>
      <c r="D993" s="9"/>
      <c r="E993" s="223"/>
      <c r="F993" s="971"/>
      <c r="G993" s="9"/>
      <c r="H993" s="9"/>
      <c r="I993" s="9"/>
      <c r="J993" s="9"/>
      <c r="K993" s="9"/>
      <c r="L993" s="223"/>
      <c r="M993" s="223"/>
      <c r="N993" s="9"/>
      <c r="O993" s="9"/>
      <c r="P993" s="9"/>
      <c r="Q993" s="223"/>
      <c r="R993" s="9"/>
      <c r="S993" s="223"/>
      <c r="T993" s="9"/>
      <c r="U993" s="9"/>
      <c r="V993" s="9"/>
      <c r="W993" s="9"/>
      <c r="X993" s="9"/>
      <c r="Y993" s="204"/>
      <c r="Z993" s="9"/>
      <c r="AA993" s="9"/>
      <c r="AB993" s="9"/>
      <c r="AC993" s="9"/>
    </row>
    <row r="994" ht="15.75" customHeight="1">
      <c r="A994" s="223"/>
      <c r="B994" s="223"/>
      <c r="C994" s="223"/>
      <c r="D994" s="9"/>
      <c r="E994" s="223"/>
      <c r="F994" s="971"/>
      <c r="G994" s="9"/>
      <c r="H994" s="9"/>
      <c r="I994" s="9"/>
      <c r="J994" s="9"/>
      <c r="K994" s="9"/>
      <c r="L994" s="223"/>
      <c r="M994" s="223"/>
      <c r="N994" s="9"/>
      <c r="O994" s="9"/>
      <c r="P994" s="9"/>
      <c r="Q994" s="223"/>
      <c r="R994" s="9"/>
      <c r="S994" s="223"/>
      <c r="T994" s="9"/>
      <c r="U994" s="9"/>
      <c r="V994" s="9"/>
      <c r="W994" s="9"/>
      <c r="X994" s="9"/>
      <c r="Y994" s="204"/>
      <c r="Z994" s="9"/>
      <c r="AA994" s="9"/>
      <c r="AB994" s="9"/>
      <c r="AC994" s="9"/>
    </row>
    <row r="995" ht="15.75" customHeight="1">
      <c r="A995" s="223"/>
      <c r="B995" s="223"/>
      <c r="C995" s="223"/>
      <c r="D995" s="9"/>
      <c r="E995" s="223"/>
      <c r="F995" s="971"/>
      <c r="G995" s="9"/>
      <c r="H995" s="9"/>
      <c r="I995" s="9"/>
      <c r="J995" s="9"/>
      <c r="K995" s="9"/>
      <c r="L995" s="223"/>
      <c r="M995" s="223"/>
      <c r="N995" s="9"/>
      <c r="O995" s="9"/>
      <c r="P995" s="9"/>
      <c r="Q995" s="223"/>
      <c r="R995" s="9"/>
      <c r="S995" s="223"/>
      <c r="T995" s="9"/>
      <c r="U995" s="9"/>
      <c r="V995" s="9"/>
      <c r="W995" s="9"/>
      <c r="X995" s="9"/>
      <c r="Y995" s="204"/>
      <c r="Z995" s="9"/>
      <c r="AA995" s="9"/>
      <c r="AB995" s="9"/>
      <c r="AC995" s="9"/>
    </row>
    <row r="996" ht="15.75" customHeight="1">
      <c r="A996" s="223"/>
      <c r="B996" s="223"/>
      <c r="C996" s="223"/>
      <c r="D996" s="9"/>
      <c r="E996" s="223"/>
      <c r="F996" s="971"/>
      <c r="G996" s="9"/>
      <c r="H996" s="9"/>
      <c r="I996" s="9"/>
      <c r="J996" s="9"/>
      <c r="K996" s="9"/>
      <c r="L996" s="223"/>
      <c r="M996" s="223"/>
      <c r="N996" s="9"/>
      <c r="O996" s="9"/>
      <c r="P996" s="9"/>
      <c r="Q996" s="223"/>
      <c r="R996" s="9"/>
      <c r="S996" s="223"/>
      <c r="T996" s="9"/>
      <c r="U996" s="9"/>
      <c r="V996" s="9"/>
      <c r="W996" s="9"/>
      <c r="X996" s="9"/>
      <c r="Y996" s="204"/>
      <c r="Z996" s="9"/>
      <c r="AA996" s="9"/>
      <c r="AB996" s="9"/>
      <c r="AC996" s="9"/>
    </row>
    <row r="997" ht="15.75" customHeight="1">
      <c r="A997" s="223"/>
      <c r="B997" s="223"/>
      <c r="C997" s="223"/>
      <c r="D997" s="9"/>
      <c r="E997" s="223"/>
      <c r="F997" s="971"/>
      <c r="G997" s="9"/>
      <c r="H997" s="9"/>
      <c r="I997" s="9"/>
      <c r="J997" s="9"/>
      <c r="K997" s="9"/>
      <c r="L997" s="223"/>
      <c r="M997" s="223"/>
      <c r="N997" s="9"/>
      <c r="O997" s="9"/>
      <c r="P997" s="9"/>
      <c r="Q997" s="223"/>
      <c r="R997" s="9"/>
      <c r="S997" s="223"/>
      <c r="T997" s="9"/>
      <c r="U997" s="9"/>
      <c r="V997" s="9"/>
      <c r="W997" s="9"/>
      <c r="X997" s="9"/>
      <c r="Y997" s="204"/>
      <c r="Z997" s="9"/>
      <c r="AA997" s="9"/>
      <c r="AB997" s="9"/>
      <c r="AC997" s="9"/>
    </row>
    <row r="998" ht="15.75" customHeight="1">
      <c r="A998" s="223"/>
      <c r="B998" s="223"/>
      <c r="C998" s="223"/>
      <c r="D998" s="9"/>
      <c r="E998" s="223"/>
      <c r="F998" s="971"/>
      <c r="G998" s="9"/>
      <c r="H998" s="9"/>
      <c r="I998" s="9"/>
      <c r="J998" s="9"/>
      <c r="K998" s="9"/>
      <c r="L998" s="223"/>
      <c r="M998" s="223"/>
      <c r="N998" s="9"/>
      <c r="O998" s="9"/>
      <c r="P998" s="9"/>
      <c r="Q998" s="223"/>
      <c r="R998" s="9"/>
      <c r="S998" s="223"/>
      <c r="T998" s="9"/>
      <c r="U998" s="9"/>
      <c r="V998" s="9"/>
      <c r="W998" s="9"/>
      <c r="X998" s="9"/>
      <c r="Y998" s="204"/>
      <c r="Z998" s="9"/>
      <c r="AA998" s="9"/>
      <c r="AB998" s="9"/>
      <c r="AC998" s="9"/>
    </row>
    <row r="999" ht="15.75" customHeight="1">
      <c r="A999" s="223"/>
      <c r="B999" s="223"/>
      <c r="C999" s="223"/>
      <c r="D999" s="9"/>
      <c r="E999" s="223"/>
      <c r="F999" s="971"/>
      <c r="G999" s="9"/>
      <c r="H999" s="9"/>
      <c r="I999" s="9"/>
      <c r="J999" s="9"/>
      <c r="K999" s="9"/>
      <c r="L999" s="223"/>
      <c r="M999" s="223"/>
      <c r="N999" s="9"/>
      <c r="O999" s="9"/>
      <c r="P999" s="9"/>
      <c r="Q999" s="223"/>
      <c r="R999" s="9"/>
      <c r="S999" s="223"/>
      <c r="T999" s="9"/>
      <c r="U999" s="9"/>
      <c r="V999" s="9"/>
      <c r="W999" s="9"/>
      <c r="X999" s="9"/>
      <c r="Y999" s="204"/>
      <c r="Z999" s="9"/>
      <c r="AA999" s="9"/>
      <c r="AB999" s="9"/>
      <c r="AC999" s="9"/>
    </row>
    <row r="1000" ht="15.75" customHeight="1">
      <c r="A1000" s="223"/>
      <c r="B1000" s="223"/>
      <c r="C1000" s="223"/>
      <c r="D1000" s="9"/>
      <c r="E1000" s="223"/>
      <c r="F1000" s="971"/>
      <c r="G1000" s="9"/>
      <c r="H1000" s="9"/>
      <c r="I1000" s="9"/>
      <c r="J1000" s="9"/>
      <c r="K1000" s="9"/>
      <c r="L1000" s="223"/>
      <c r="M1000" s="223"/>
      <c r="N1000" s="9"/>
      <c r="O1000" s="9"/>
      <c r="P1000" s="9"/>
      <c r="Q1000" s="223"/>
      <c r="R1000" s="9"/>
      <c r="S1000" s="223"/>
      <c r="T1000" s="9"/>
      <c r="U1000" s="9"/>
      <c r="V1000" s="9"/>
      <c r="W1000" s="9"/>
      <c r="X1000" s="9"/>
      <c r="Y1000" s="204"/>
      <c r="Z1000" s="9"/>
      <c r="AA1000" s="9"/>
      <c r="AB1000" s="9"/>
      <c r="AC1000" s="9"/>
    </row>
    <row r="1001" ht="15.75" customHeight="1">
      <c r="A1001" s="223"/>
      <c r="B1001" s="223"/>
      <c r="C1001" s="223"/>
      <c r="D1001" s="9"/>
      <c r="E1001" s="223"/>
      <c r="F1001" s="971"/>
      <c r="G1001" s="9"/>
      <c r="H1001" s="9"/>
      <c r="I1001" s="9"/>
      <c r="J1001" s="9"/>
      <c r="K1001" s="9"/>
      <c r="L1001" s="223"/>
      <c r="M1001" s="223"/>
      <c r="N1001" s="9"/>
      <c r="O1001" s="9"/>
      <c r="P1001" s="9"/>
      <c r="Q1001" s="223"/>
      <c r="R1001" s="9"/>
      <c r="S1001" s="223"/>
      <c r="T1001" s="9"/>
      <c r="U1001" s="9"/>
      <c r="V1001" s="9"/>
      <c r="W1001" s="9"/>
      <c r="X1001" s="9"/>
      <c r="Y1001" s="204"/>
      <c r="Z1001" s="9"/>
      <c r="AA1001" s="9"/>
      <c r="AB1001" s="9"/>
      <c r="AC1001" s="9"/>
    </row>
    <row r="1002" ht="15.75" customHeight="1">
      <c r="A1002" s="223"/>
      <c r="B1002" s="223"/>
      <c r="C1002" s="223"/>
      <c r="D1002" s="9"/>
      <c r="E1002" s="223"/>
      <c r="F1002" s="971"/>
      <c r="G1002" s="9"/>
      <c r="H1002" s="9"/>
      <c r="I1002" s="9"/>
      <c r="J1002" s="9"/>
      <c r="K1002" s="9"/>
      <c r="L1002" s="223"/>
      <c r="M1002" s="223"/>
      <c r="N1002" s="9"/>
      <c r="O1002" s="9"/>
      <c r="P1002" s="9"/>
      <c r="Q1002" s="223"/>
      <c r="R1002" s="9"/>
      <c r="S1002" s="223"/>
      <c r="T1002" s="9"/>
      <c r="U1002" s="9"/>
      <c r="V1002" s="9"/>
      <c r="W1002" s="9"/>
      <c r="X1002" s="9"/>
      <c r="Y1002" s="204"/>
      <c r="Z1002" s="9"/>
      <c r="AA1002" s="9"/>
      <c r="AB1002" s="9"/>
      <c r="AC1002" s="9"/>
    </row>
    <row r="1003" ht="15.75" customHeight="1">
      <c r="A1003" s="223"/>
      <c r="B1003" s="223"/>
      <c r="C1003" s="223"/>
      <c r="D1003" s="9"/>
      <c r="E1003" s="223"/>
      <c r="F1003" s="971"/>
      <c r="G1003" s="9"/>
      <c r="H1003" s="9"/>
      <c r="I1003" s="9"/>
      <c r="J1003" s="9"/>
      <c r="K1003" s="9"/>
      <c r="L1003" s="223"/>
      <c r="M1003" s="223"/>
      <c r="N1003" s="9"/>
      <c r="O1003" s="9"/>
      <c r="P1003" s="9"/>
      <c r="Q1003" s="223"/>
      <c r="R1003" s="9"/>
      <c r="S1003" s="223"/>
      <c r="T1003" s="9"/>
      <c r="U1003" s="9"/>
      <c r="V1003" s="9"/>
      <c r="W1003" s="9"/>
      <c r="X1003" s="9"/>
      <c r="Y1003" s="204"/>
      <c r="Z1003" s="9"/>
      <c r="AA1003" s="9"/>
      <c r="AB1003" s="9"/>
      <c r="AC1003" s="9"/>
    </row>
    <row r="1004" ht="15.75" customHeight="1">
      <c r="A1004" s="223"/>
      <c r="B1004" s="223"/>
      <c r="C1004" s="223"/>
      <c r="D1004" s="9"/>
      <c r="E1004" s="223"/>
      <c r="F1004" s="971"/>
      <c r="G1004" s="9"/>
      <c r="H1004" s="9"/>
      <c r="I1004" s="9"/>
      <c r="J1004" s="9"/>
      <c r="K1004" s="9"/>
      <c r="L1004" s="223"/>
      <c r="M1004" s="223"/>
      <c r="N1004" s="9"/>
      <c r="O1004" s="9"/>
      <c r="P1004" s="9"/>
      <c r="Q1004" s="223"/>
      <c r="R1004" s="9"/>
      <c r="S1004" s="223"/>
      <c r="T1004" s="9"/>
      <c r="U1004" s="9"/>
      <c r="V1004" s="9"/>
      <c r="W1004" s="9"/>
      <c r="X1004" s="9"/>
      <c r="Y1004" s="204"/>
      <c r="Z1004" s="9"/>
      <c r="AA1004" s="9"/>
      <c r="AB1004" s="9"/>
      <c r="AC1004" s="9"/>
    </row>
    <row r="1005" ht="15.75" customHeight="1">
      <c r="A1005" s="223"/>
      <c r="B1005" s="223"/>
      <c r="C1005" s="223"/>
      <c r="D1005" s="9"/>
      <c r="E1005" s="223"/>
      <c r="F1005" s="971"/>
      <c r="G1005" s="9"/>
      <c r="H1005" s="9"/>
      <c r="I1005" s="9"/>
      <c r="J1005" s="9"/>
      <c r="K1005" s="9"/>
      <c r="L1005" s="223"/>
      <c r="M1005" s="223"/>
      <c r="N1005" s="9"/>
      <c r="O1005" s="9"/>
      <c r="P1005" s="9"/>
      <c r="Q1005" s="223"/>
      <c r="R1005" s="9"/>
      <c r="S1005" s="223"/>
      <c r="T1005" s="9"/>
      <c r="U1005" s="9"/>
      <c r="V1005" s="9"/>
      <c r="W1005" s="9"/>
      <c r="X1005" s="9"/>
      <c r="Y1005" s="204"/>
      <c r="Z1005" s="9"/>
      <c r="AA1005" s="9"/>
      <c r="AB1005" s="9"/>
      <c r="AC1005" s="9"/>
    </row>
    <row r="1006" ht="15.75" customHeight="1">
      <c r="A1006" s="223"/>
      <c r="B1006" s="223"/>
      <c r="C1006" s="223"/>
      <c r="D1006" s="9"/>
      <c r="E1006" s="223"/>
      <c r="F1006" s="971"/>
      <c r="G1006" s="9"/>
      <c r="H1006" s="9"/>
      <c r="I1006" s="9"/>
      <c r="J1006" s="9"/>
      <c r="K1006" s="9"/>
      <c r="L1006" s="223"/>
      <c r="M1006" s="223"/>
      <c r="N1006" s="9"/>
      <c r="O1006" s="9"/>
      <c r="P1006" s="9"/>
      <c r="Q1006" s="223"/>
      <c r="R1006" s="9"/>
      <c r="S1006" s="223"/>
      <c r="T1006" s="9"/>
      <c r="U1006" s="9"/>
      <c r="V1006" s="9"/>
      <c r="W1006" s="9"/>
      <c r="X1006" s="9"/>
      <c r="Y1006" s="204"/>
      <c r="Z1006" s="9"/>
      <c r="AA1006" s="9"/>
      <c r="AB1006" s="9"/>
      <c r="AC1006" s="9"/>
    </row>
    <row r="1007" ht="15.75" customHeight="1">
      <c r="A1007" s="223"/>
      <c r="B1007" s="223"/>
      <c r="C1007" s="223"/>
      <c r="D1007" s="9"/>
      <c r="E1007" s="223"/>
      <c r="F1007" s="971"/>
      <c r="G1007" s="9"/>
      <c r="H1007" s="9"/>
      <c r="I1007" s="9"/>
      <c r="J1007" s="9"/>
      <c r="K1007" s="9"/>
      <c r="L1007" s="223"/>
      <c r="M1007" s="223"/>
      <c r="N1007" s="9"/>
      <c r="O1007" s="9"/>
      <c r="P1007" s="9"/>
      <c r="Q1007" s="223"/>
      <c r="R1007" s="9"/>
      <c r="S1007" s="223"/>
      <c r="T1007" s="9"/>
      <c r="U1007" s="9"/>
      <c r="V1007" s="9"/>
      <c r="W1007" s="9"/>
      <c r="X1007" s="9"/>
      <c r="Y1007" s="204"/>
      <c r="Z1007" s="9"/>
      <c r="AA1007" s="9"/>
      <c r="AB1007" s="9"/>
      <c r="AC1007" s="9"/>
    </row>
    <row r="1008" ht="15.75" customHeight="1">
      <c r="A1008" s="223"/>
      <c r="B1008" s="223"/>
      <c r="C1008" s="223"/>
      <c r="D1008" s="9"/>
      <c r="E1008" s="223"/>
      <c r="F1008" s="971"/>
      <c r="G1008" s="9"/>
      <c r="H1008" s="9"/>
      <c r="I1008" s="9"/>
      <c r="J1008" s="9"/>
      <c r="K1008" s="9"/>
      <c r="L1008" s="223"/>
      <c r="M1008" s="223"/>
      <c r="N1008" s="9"/>
      <c r="O1008" s="9"/>
      <c r="P1008" s="9"/>
      <c r="Q1008" s="223"/>
      <c r="R1008" s="9"/>
      <c r="S1008" s="223"/>
      <c r="T1008" s="9"/>
      <c r="U1008" s="9"/>
      <c r="V1008" s="9"/>
      <c r="W1008" s="9"/>
      <c r="X1008" s="9"/>
      <c r="Y1008" s="204"/>
      <c r="Z1008" s="9"/>
      <c r="AA1008" s="9"/>
      <c r="AB1008" s="9"/>
      <c r="AC1008" s="9"/>
    </row>
    <row r="1009" ht="15.75" customHeight="1">
      <c r="A1009" s="223"/>
      <c r="B1009" s="223"/>
      <c r="C1009" s="223"/>
      <c r="D1009" s="9"/>
      <c r="E1009" s="223"/>
      <c r="F1009" s="971"/>
      <c r="G1009" s="9"/>
      <c r="H1009" s="9"/>
      <c r="I1009" s="9"/>
      <c r="J1009" s="9"/>
      <c r="K1009" s="9"/>
      <c r="L1009" s="223"/>
      <c r="M1009" s="223"/>
      <c r="N1009" s="9"/>
      <c r="O1009" s="9"/>
      <c r="P1009" s="9"/>
      <c r="Q1009" s="223"/>
      <c r="R1009" s="9"/>
      <c r="S1009" s="223"/>
      <c r="T1009" s="9"/>
      <c r="U1009" s="9"/>
      <c r="V1009" s="9"/>
      <c r="W1009" s="9"/>
      <c r="X1009" s="9"/>
      <c r="Y1009" s="204"/>
      <c r="Z1009" s="9"/>
      <c r="AA1009" s="9"/>
      <c r="AB1009" s="9"/>
      <c r="AC1009" s="9"/>
    </row>
    <row r="1010" ht="15.75" customHeight="1">
      <c r="A1010" s="223"/>
      <c r="B1010" s="223"/>
      <c r="C1010" s="223"/>
      <c r="D1010" s="9"/>
      <c r="E1010" s="223"/>
      <c r="F1010" s="971"/>
      <c r="G1010" s="9"/>
      <c r="H1010" s="9"/>
      <c r="I1010" s="9"/>
      <c r="J1010" s="9"/>
      <c r="K1010" s="9"/>
      <c r="L1010" s="223"/>
      <c r="M1010" s="223"/>
      <c r="N1010" s="9"/>
      <c r="O1010" s="9"/>
      <c r="P1010" s="9"/>
      <c r="Q1010" s="223"/>
      <c r="R1010" s="9"/>
      <c r="S1010" s="223"/>
      <c r="T1010" s="9"/>
      <c r="U1010" s="9"/>
      <c r="V1010" s="9"/>
      <c r="W1010" s="9"/>
      <c r="X1010" s="9"/>
      <c r="Y1010" s="204"/>
      <c r="Z1010" s="9"/>
      <c r="AA1010" s="9"/>
      <c r="AB1010" s="9"/>
      <c r="AC1010" s="9"/>
    </row>
    <row r="1011" ht="15.75" customHeight="1">
      <c r="A1011" s="223"/>
      <c r="B1011" s="223"/>
      <c r="C1011" s="223"/>
      <c r="D1011" s="9"/>
      <c r="E1011" s="223"/>
      <c r="F1011" s="971"/>
      <c r="G1011" s="9"/>
      <c r="H1011" s="9"/>
      <c r="I1011" s="9"/>
      <c r="J1011" s="9"/>
      <c r="K1011" s="9"/>
      <c r="L1011" s="223"/>
      <c r="M1011" s="223"/>
      <c r="N1011" s="9"/>
      <c r="O1011" s="9"/>
      <c r="P1011" s="9"/>
      <c r="Q1011" s="223"/>
      <c r="R1011" s="9"/>
      <c r="S1011" s="223"/>
      <c r="T1011" s="9"/>
      <c r="U1011" s="9"/>
      <c r="V1011" s="9"/>
      <c r="W1011" s="9"/>
      <c r="X1011" s="9"/>
      <c r="Y1011" s="204"/>
      <c r="Z1011" s="9"/>
      <c r="AA1011" s="9"/>
      <c r="AB1011" s="9"/>
      <c r="AC1011" s="9"/>
    </row>
    <row r="1012" ht="15.75" customHeight="1">
      <c r="A1012" s="223"/>
      <c r="B1012" s="223"/>
      <c r="C1012" s="223"/>
      <c r="D1012" s="9"/>
      <c r="E1012" s="223"/>
      <c r="F1012" s="971"/>
      <c r="G1012" s="9"/>
      <c r="H1012" s="9"/>
      <c r="I1012" s="9"/>
      <c r="J1012" s="9"/>
      <c r="K1012" s="9"/>
      <c r="L1012" s="223"/>
      <c r="M1012" s="223"/>
      <c r="N1012" s="9"/>
      <c r="O1012" s="9"/>
      <c r="P1012" s="9"/>
      <c r="Q1012" s="223"/>
      <c r="R1012" s="9"/>
      <c r="S1012" s="223"/>
      <c r="T1012" s="9"/>
      <c r="U1012" s="9"/>
      <c r="V1012" s="9"/>
      <c r="W1012" s="9"/>
      <c r="X1012" s="9"/>
      <c r="Y1012" s="204"/>
      <c r="Z1012" s="9"/>
      <c r="AA1012" s="9"/>
      <c r="AB1012" s="9"/>
      <c r="AC1012" s="9"/>
    </row>
    <row r="1013" ht="15.75" customHeight="1">
      <c r="A1013" s="223"/>
      <c r="B1013" s="223"/>
      <c r="C1013" s="223"/>
      <c r="D1013" s="9"/>
      <c r="E1013" s="223"/>
      <c r="F1013" s="971"/>
      <c r="G1013" s="9"/>
      <c r="H1013" s="9"/>
      <c r="I1013" s="9"/>
      <c r="J1013" s="9"/>
      <c r="K1013" s="9"/>
      <c r="L1013" s="223"/>
      <c r="M1013" s="223"/>
      <c r="N1013" s="9"/>
      <c r="O1013" s="9"/>
      <c r="P1013" s="9"/>
      <c r="Q1013" s="223"/>
      <c r="R1013" s="9"/>
      <c r="S1013" s="223"/>
      <c r="T1013" s="9"/>
      <c r="U1013" s="9"/>
      <c r="V1013" s="9"/>
      <c r="W1013" s="9"/>
      <c r="X1013" s="9"/>
      <c r="Y1013" s="204"/>
      <c r="Z1013" s="9"/>
      <c r="AA1013" s="9"/>
      <c r="AB1013" s="9"/>
      <c r="AC1013" s="9"/>
    </row>
    <row r="1014" ht="15.75" customHeight="1">
      <c r="A1014" s="223"/>
      <c r="B1014" s="223"/>
      <c r="C1014" s="223"/>
      <c r="D1014" s="9"/>
      <c r="E1014" s="223"/>
      <c r="F1014" s="971"/>
      <c r="G1014" s="9"/>
      <c r="H1014" s="9"/>
      <c r="I1014" s="9"/>
      <c r="J1014" s="9"/>
      <c r="K1014" s="9"/>
      <c r="L1014" s="223"/>
      <c r="M1014" s="223"/>
      <c r="N1014" s="9"/>
      <c r="O1014" s="9"/>
      <c r="P1014" s="9"/>
      <c r="Q1014" s="223"/>
      <c r="R1014" s="9"/>
      <c r="S1014" s="223"/>
      <c r="T1014" s="9"/>
      <c r="U1014" s="9"/>
      <c r="V1014" s="9"/>
      <c r="W1014" s="9"/>
      <c r="X1014" s="9"/>
      <c r="Y1014" s="204"/>
      <c r="Z1014" s="9"/>
      <c r="AA1014" s="9"/>
      <c r="AB1014" s="9"/>
      <c r="AC1014" s="9"/>
    </row>
    <row r="1015" ht="15.75" customHeight="1">
      <c r="A1015" s="223"/>
      <c r="B1015" s="223"/>
      <c r="C1015" s="223"/>
      <c r="D1015" s="9"/>
      <c r="E1015" s="223"/>
      <c r="F1015" s="971"/>
      <c r="G1015" s="9"/>
      <c r="H1015" s="9"/>
      <c r="I1015" s="9"/>
      <c r="J1015" s="9"/>
      <c r="K1015" s="9"/>
      <c r="L1015" s="223"/>
      <c r="M1015" s="223"/>
      <c r="N1015" s="9"/>
      <c r="O1015" s="9"/>
      <c r="P1015" s="9"/>
      <c r="Q1015" s="223"/>
      <c r="R1015" s="9"/>
      <c r="S1015" s="223"/>
      <c r="T1015" s="9"/>
      <c r="U1015" s="9"/>
      <c r="V1015" s="9"/>
      <c r="W1015" s="9"/>
      <c r="X1015" s="9"/>
      <c r="Y1015" s="204"/>
      <c r="Z1015" s="9"/>
      <c r="AA1015" s="9"/>
      <c r="AB1015" s="9"/>
      <c r="AC1015" s="9"/>
    </row>
  </sheetData>
  <mergeCells count="306">
    <mergeCell ref="S28:S29"/>
    <mergeCell ref="T28:T29"/>
    <mergeCell ref="U28:U29"/>
    <mergeCell ref="V28:V29"/>
    <mergeCell ref="W28:W29"/>
    <mergeCell ref="L28:L29"/>
    <mergeCell ref="M28:M29"/>
    <mergeCell ref="N28:N29"/>
    <mergeCell ref="O28:O29"/>
    <mergeCell ref="P28:P29"/>
    <mergeCell ref="Q28:Q29"/>
    <mergeCell ref="R28:R29"/>
    <mergeCell ref="A28:A29"/>
    <mergeCell ref="B28:B29"/>
    <mergeCell ref="C28:C29"/>
    <mergeCell ref="D28:D29"/>
    <mergeCell ref="E28:E29"/>
    <mergeCell ref="F28:F29"/>
    <mergeCell ref="K28:K29"/>
    <mergeCell ref="S32:S33"/>
    <mergeCell ref="T32:T33"/>
    <mergeCell ref="U32:U33"/>
    <mergeCell ref="V32:V33"/>
    <mergeCell ref="W32:W33"/>
    <mergeCell ref="L32:L33"/>
    <mergeCell ref="M32:M33"/>
    <mergeCell ref="N32:N33"/>
    <mergeCell ref="O32:O33"/>
    <mergeCell ref="P32:P33"/>
    <mergeCell ref="Q32:Q33"/>
    <mergeCell ref="R32:R33"/>
    <mergeCell ref="A32:A33"/>
    <mergeCell ref="B32:B33"/>
    <mergeCell ref="C32:C33"/>
    <mergeCell ref="D32:D33"/>
    <mergeCell ref="E32:E33"/>
    <mergeCell ref="F32:F33"/>
    <mergeCell ref="K32:K33"/>
    <mergeCell ref="U37:U39"/>
    <mergeCell ref="V37:V39"/>
    <mergeCell ref="A37:A39"/>
    <mergeCell ref="B37:B39"/>
    <mergeCell ref="C37:C39"/>
    <mergeCell ref="D37:D39"/>
    <mergeCell ref="E37:E39"/>
    <mergeCell ref="F37:F39"/>
    <mergeCell ref="K37:K39"/>
    <mergeCell ref="S40:S41"/>
    <mergeCell ref="T40:T41"/>
    <mergeCell ref="U40:U41"/>
    <mergeCell ref="V40:V41"/>
    <mergeCell ref="W40:W41"/>
    <mergeCell ref="L40:L41"/>
    <mergeCell ref="M40:M41"/>
    <mergeCell ref="N40:N41"/>
    <mergeCell ref="O40:O41"/>
    <mergeCell ref="P40:P41"/>
    <mergeCell ref="Q40:Q41"/>
    <mergeCell ref="R40:R41"/>
    <mergeCell ref="A40:A41"/>
    <mergeCell ref="B40:B41"/>
    <mergeCell ref="C40:C41"/>
    <mergeCell ref="D40:D41"/>
    <mergeCell ref="E40:E41"/>
    <mergeCell ref="F40:F41"/>
    <mergeCell ref="K40:K41"/>
    <mergeCell ref="S42:S43"/>
    <mergeCell ref="T42:T43"/>
    <mergeCell ref="U42:U43"/>
    <mergeCell ref="V42:V43"/>
    <mergeCell ref="W42:W43"/>
    <mergeCell ref="L42:L43"/>
    <mergeCell ref="M42:M43"/>
    <mergeCell ref="N42:N43"/>
    <mergeCell ref="O42:O43"/>
    <mergeCell ref="P42:P43"/>
    <mergeCell ref="Q42:Q43"/>
    <mergeCell ref="R42:R43"/>
    <mergeCell ref="A42:A43"/>
    <mergeCell ref="B42:B43"/>
    <mergeCell ref="C42:C43"/>
    <mergeCell ref="D42:D43"/>
    <mergeCell ref="E42:E43"/>
    <mergeCell ref="F42:F43"/>
    <mergeCell ref="K42:K43"/>
    <mergeCell ref="L14:L15"/>
    <mergeCell ref="M14:M15"/>
    <mergeCell ref="N14:N15"/>
    <mergeCell ref="O14:O15"/>
    <mergeCell ref="P14:P15"/>
    <mergeCell ref="Q14:Q15"/>
    <mergeCell ref="R14:R15"/>
    <mergeCell ref="A14:A15"/>
    <mergeCell ref="B14:B15"/>
    <mergeCell ref="C14:C15"/>
    <mergeCell ref="D14:D15"/>
    <mergeCell ref="E14:E15"/>
    <mergeCell ref="F14:F15"/>
    <mergeCell ref="K14:K15"/>
    <mergeCell ref="S17:S18"/>
    <mergeCell ref="T17:T18"/>
    <mergeCell ref="L17:L18"/>
    <mergeCell ref="M17:M18"/>
    <mergeCell ref="N17:N18"/>
    <mergeCell ref="O17:O18"/>
    <mergeCell ref="P17:P18"/>
    <mergeCell ref="Q17:Q18"/>
    <mergeCell ref="R17:R18"/>
    <mergeCell ref="G2:J2"/>
    <mergeCell ref="K2:P2"/>
    <mergeCell ref="Q2:S2"/>
    <mergeCell ref="T2:U2"/>
    <mergeCell ref="V2:V3"/>
    <mergeCell ref="W2:W3"/>
    <mergeCell ref="O3:P3"/>
    <mergeCell ref="A1:G1"/>
    <mergeCell ref="A2:A3"/>
    <mergeCell ref="B2:B3"/>
    <mergeCell ref="C2:C3"/>
    <mergeCell ref="D2:D3"/>
    <mergeCell ref="E2:E3"/>
    <mergeCell ref="F2:F3"/>
    <mergeCell ref="S11:S12"/>
    <mergeCell ref="T11:T12"/>
    <mergeCell ref="U11:U12"/>
    <mergeCell ref="V11:V12"/>
    <mergeCell ref="W11:W12"/>
    <mergeCell ref="L11:L12"/>
    <mergeCell ref="M11:M12"/>
    <mergeCell ref="N11:N12"/>
    <mergeCell ref="O11:O12"/>
    <mergeCell ref="P11:P12"/>
    <mergeCell ref="Q11:Q12"/>
    <mergeCell ref="R11:R12"/>
    <mergeCell ref="A11:A12"/>
    <mergeCell ref="B11:B12"/>
    <mergeCell ref="C11:C12"/>
    <mergeCell ref="D11:D12"/>
    <mergeCell ref="E11:E12"/>
    <mergeCell ref="F11:F12"/>
    <mergeCell ref="K11:K12"/>
    <mergeCell ref="S14:S15"/>
    <mergeCell ref="T14:T15"/>
    <mergeCell ref="U14:U15"/>
    <mergeCell ref="V14:V15"/>
    <mergeCell ref="W14:W15"/>
    <mergeCell ref="U17:U18"/>
    <mergeCell ref="V17:V18"/>
    <mergeCell ref="W17:W18"/>
    <mergeCell ref="A17:A18"/>
    <mergeCell ref="B17:B18"/>
    <mergeCell ref="C17:C18"/>
    <mergeCell ref="D17:D18"/>
    <mergeCell ref="E17:E18"/>
    <mergeCell ref="F17:F18"/>
    <mergeCell ref="K17:K18"/>
    <mergeCell ref="S25:S26"/>
    <mergeCell ref="T25:T26"/>
    <mergeCell ref="L25:L26"/>
    <mergeCell ref="M25:M26"/>
    <mergeCell ref="N25:N26"/>
    <mergeCell ref="O25:O26"/>
    <mergeCell ref="P25:P26"/>
    <mergeCell ref="Q25:Q26"/>
    <mergeCell ref="R25:R26"/>
    <mergeCell ref="S20:S21"/>
    <mergeCell ref="T20:T21"/>
    <mergeCell ref="U20:U21"/>
    <mergeCell ref="V20:V21"/>
    <mergeCell ref="W20:W21"/>
    <mergeCell ref="L20:L21"/>
    <mergeCell ref="M20:M21"/>
    <mergeCell ref="N20:N21"/>
    <mergeCell ref="O20:O21"/>
    <mergeCell ref="P20:P21"/>
    <mergeCell ref="Q20:Q21"/>
    <mergeCell ref="R20:R21"/>
    <mergeCell ref="A20:A21"/>
    <mergeCell ref="B20:B21"/>
    <mergeCell ref="C20:C21"/>
    <mergeCell ref="D20:D21"/>
    <mergeCell ref="E20:E21"/>
    <mergeCell ref="F20:F21"/>
    <mergeCell ref="K20:K21"/>
    <mergeCell ref="S22:S24"/>
    <mergeCell ref="T22:T24"/>
    <mergeCell ref="U22:U24"/>
    <mergeCell ref="V22:V24"/>
    <mergeCell ref="W22:W24"/>
    <mergeCell ref="U25:U26"/>
    <mergeCell ref="V25:V26"/>
    <mergeCell ref="W25:W26"/>
    <mergeCell ref="L22:L24"/>
    <mergeCell ref="M22:M24"/>
    <mergeCell ref="N22:N24"/>
    <mergeCell ref="O22:O24"/>
    <mergeCell ref="P22:P24"/>
    <mergeCell ref="Q22:Q24"/>
    <mergeCell ref="R22:R24"/>
    <mergeCell ref="A22:A24"/>
    <mergeCell ref="B22:B24"/>
    <mergeCell ref="C22:C24"/>
    <mergeCell ref="D22:D24"/>
    <mergeCell ref="E22:E24"/>
    <mergeCell ref="F22:F24"/>
    <mergeCell ref="K22:K24"/>
    <mergeCell ref="A25:A26"/>
    <mergeCell ref="B25:B26"/>
    <mergeCell ref="C25:C26"/>
    <mergeCell ref="D25:D26"/>
    <mergeCell ref="E25:E26"/>
    <mergeCell ref="F25:F26"/>
    <mergeCell ref="K25:K26"/>
    <mergeCell ref="S37:S39"/>
    <mergeCell ref="T37:T39"/>
    <mergeCell ref="L37:L39"/>
    <mergeCell ref="M37:M39"/>
    <mergeCell ref="N37:N39"/>
    <mergeCell ref="O37:O39"/>
    <mergeCell ref="P37:P39"/>
    <mergeCell ref="Q37:Q39"/>
    <mergeCell ref="R37:R39"/>
    <mergeCell ref="S65:S67"/>
    <mergeCell ref="T65:T67"/>
    <mergeCell ref="L65:L67"/>
    <mergeCell ref="M65:M67"/>
    <mergeCell ref="N65:N67"/>
    <mergeCell ref="O65:O67"/>
    <mergeCell ref="P65:P67"/>
    <mergeCell ref="Q65:Q67"/>
    <mergeCell ref="R65:R67"/>
    <mergeCell ref="B81:I81"/>
    <mergeCell ref="B82:I82"/>
    <mergeCell ref="B83:I83"/>
    <mergeCell ref="B84:I84"/>
    <mergeCell ref="B85:I85"/>
    <mergeCell ref="E88:J88"/>
    <mergeCell ref="M88:S88"/>
    <mergeCell ref="B88:D88"/>
    <mergeCell ref="B90:B105"/>
    <mergeCell ref="B106:B128"/>
    <mergeCell ref="B129:H129"/>
    <mergeCell ref="B130:H130"/>
    <mergeCell ref="K130:M130"/>
    <mergeCell ref="B131:H131"/>
    <mergeCell ref="A139:D139"/>
    <mergeCell ref="N141:O141"/>
    <mergeCell ref="N142:O142"/>
    <mergeCell ref="B143:J143"/>
    <mergeCell ref="N143:O143"/>
    <mergeCell ref="B147:D147"/>
    <mergeCell ref="B132:D132"/>
    <mergeCell ref="E132:H132"/>
    <mergeCell ref="B133:H133"/>
    <mergeCell ref="B134:H134"/>
    <mergeCell ref="B135:H135"/>
    <mergeCell ref="B136:H136"/>
    <mergeCell ref="B137:H137"/>
    <mergeCell ref="S46:S55"/>
    <mergeCell ref="T46:T55"/>
    <mergeCell ref="U46:U55"/>
    <mergeCell ref="V46:V55"/>
    <mergeCell ref="W46:W55"/>
    <mergeCell ref="L46:L55"/>
    <mergeCell ref="M46:M55"/>
    <mergeCell ref="N46:N55"/>
    <mergeCell ref="O46:O55"/>
    <mergeCell ref="P46:P55"/>
    <mergeCell ref="Q46:Q55"/>
    <mergeCell ref="R46:R55"/>
    <mergeCell ref="A46:A55"/>
    <mergeCell ref="B46:B55"/>
    <mergeCell ref="C46:C55"/>
    <mergeCell ref="D46:D55"/>
    <mergeCell ref="E46:E55"/>
    <mergeCell ref="F46:F55"/>
    <mergeCell ref="K46:K55"/>
    <mergeCell ref="S56:S64"/>
    <mergeCell ref="T56:T64"/>
    <mergeCell ref="U56:U64"/>
    <mergeCell ref="V56:V64"/>
    <mergeCell ref="W56:W64"/>
    <mergeCell ref="U65:U67"/>
    <mergeCell ref="V65:V67"/>
    <mergeCell ref="W65:W67"/>
    <mergeCell ref="L56:L64"/>
    <mergeCell ref="M56:M64"/>
    <mergeCell ref="N56:N64"/>
    <mergeCell ref="O56:O64"/>
    <mergeCell ref="P56:P64"/>
    <mergeCell ref="Q56:Q64"/>
    <mergeCell ref="R56:R64"/>
    <mergeCell ref="A56:A64"/>
    <mergeCell ref="B56:B64"/>
    <mergeCell ref="C56:C64"/>
    <mergeCell ref="D56:D64"/>
    <mergeCell ref="E56:E64"/>
    <mergeCell ref="F56:F64"/>
    <mergeCell ref="K56:K64"/>
    <mergeCell ref="A65:A67"/>
    <mergeCell ref="B65:B67"/>
    <mergeCell ref="C65:C67"/>
    <mergeCell ref="D65:D67"/>
    <mergeCell ref="E65:E67"/>
    <mergeCell ref="F65:F67"/>
    <mergeCell ref="K65:K67"/>
  </mergeCells>
  <dataValidations>
    <dataValidation type="list" allowBlank="1" showErrorMessage="1" sqref="R4:R11 R13:R14 R16:R17 R19:R20 R22 R25 R27:R28 R30:R32 R34:R37 R40 R42 R44:R46 R56 R65 R68:R80">
      <formula1>"Cty trả ship"</formula1>
    </dataValidation>
    <dataValidation type="list" allowBlank="1" showErrorMessage="1" sqref="P4:P11 P13:P14 P16:P17 P19:P20 P22 P25 P27:P28 P30:P32 P34:P37 P40 P42 P44:P46 P56 P65 P68:P80">
      <formula1>"Chưa thu,Đã thu"</formula1>
    </dataValidation>
    <dataValidation type="list" allowBlank="1" showErrorMessage="1" sqref="O4:O11 O13:O14 O16:O17 O19:O20 O22 O25 O27:O28 O30:O32 O34:O37 O40 O42 O44:O46 O56 O65 O68:O80">
      <formula1>"Chưa giao,Đã giao"</formula1>
    </dataValidation>
  </dataValidation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4.0" ySplit="3.0" topLeftCell="E4" activePane="bottomRight" state="frozen"/>
      <selection activeCell="E1" sqref="E1" pane="topRight"/>
      <selection activeCell="A4" sqref="A4" pane="bottomLeft"/>
      <selection activeCell="E4" sqref="E4" pane="bottomRight"/>
    </sheetView>
  </sheetViews>
  <sheetFormatPr customHeight="1" defaultColWidth="12.63" defaultRowHeight="15.0"/>
  <cols>
    <col customWidth="1" min="1" max="1" width="7.63"/>
    <col customWidth="1" min="2" max="2" width="12.63"/>
    <col customWidth="1" min="3" max="3" width="19.75"/>
    <col customWidth="1" min="4" max="4" width="25.13"/>
    <col customWidth="1" min="5" max="5" width="18.75"/>
    <col customWidth="1" min="6" max="6" width="59.0"/>
    <col customWidth="1" min="7" max="7" width="22.0"/>
    <col customWidth="1" min="8" max="8" width="16.63"/>
    <col customWidth="1" min="9" max="9" width="17.38"/>
    <col customWidth="1" min="10" max="10" width="16.88"/>
    <col customWidth="1" min="11" max="11" width="16.13"/>
    <col customWidth="1" min="12" max="13" width="18.75"/>
    <col customWidth="1" min="14" max="14" width="21.38"/>
    <col customWidth="1" min="15" max="15" width="18.13"/>
    <col customWidth="1" min="16" max="16" width="19.75"/>
    <col customWidth="1" min="17" max="17" width="17.88"/>
    <col customWidth="1" min="18" max="18" width="17.25"/>
    <col customWidth="1" min="19" max="19" width="24.0"/>
    <col customWidth="1" min="20" max="20" width="20.38"/>
    <col customWidth="1" min="21" max="21" width="15.63"/>
    <col customWidth="1" min="22" max="22" width="32.75"/>
    <col customWidth="1" min="23" max="23" width="19.5"/>
    <col customWidth="1" min="24" max="24" width="24.13"/>
    <col customWidth="1" min="25" max="25" width="21.13"/>
    <col customWidth="1" min="26" max="26" width="16.63"/>
    <col customWidth="1" min="27" max="30" width="12.63"/>
  </cols>
  <sheetData>
    <row r="1" ht="25.5" customHeight="1">
      <c r="A1" s="1" t="s">
        <v>2082</v>
      </c>
      <c r="B1" s="2"/>
      <c r="C1" s="2"/>
      <c r="D1" s="2"/>
      <c r="E1" s="2"/>
      <c r="F1" s="2"/>
      <c r="G1" s="3"/>
      <c r="H1" s="4"/>
      <c r="I1" s="4"/>
      <c r="J1" s="4"/>
      <c r="K1" s="4"/>
      <c r="L1" s="4"/>
      <c r="M1" s="4"/>
      <c r="N1" s="4"/>
      <c r="O1" s="4"/>
      <c r="P1" s="4"/>
      <c r="Q1" s="4"/>
      <c r="R1" s="4"/>
      <c r="S1" s="4"/>
      <c r="T1" s="4"/>
      <c r="U1" s="4"/>
      <c r="V1" s="4"/>
      <c r="W1" s="1195"/>
      <c r="X1" s="6"/>
      <c r="Y1" s="6"/>
      <c r="Z1" s="7"/>
      <c r="AA1" s="8"/>
      <c r="AB1" s="8"/>
      <c r="AC1" s="8"/>
      <c r="AD1" s="9"/>
    </row>
    <row r="2" ht="15.75" customHeight="1">
      <c r="A2" s="10" t="s">
        <v>1</v>
      </c>
      <c r="B2" s="11" t="s">
        <v>2</v>
      </c>
      <c r="C2" s="12" t="s">
        <v>3</v>
      </c>
      <c r="D2" s="13" t="s">
        <v>4</v>
      </c>
      <c r="E2" s="14" t="s">
        <v>5</v>
      </c>
      <c r="F2" s="13" t="s">
        <v>6</v>
      </c>
      <c r="G2" s="15" t="s">
        <v>7</v>
      </c>
      <c r="H2" s="16"/>
      <c r="I2" s="16"/>
      <c r="J2" s="17"/>
      <c r="K2" s="18" t="s">
        <v>8</v>
      </c>
      <c r="L2" s="16"/>
      <c r="M2" s="16"/>
      <c r="N2" s="16"/>
      <c r="O2" s="16"/>
      <c r="P2" s="17"/>
      <c r="Q2" s="19" t="s">
        <v>9</v>
      </c>
      <c r="R2" s="16"/>
      <c r="S2" s="17"/>
      <c r="T2" s="20" t="s">
        <v>10</v>
      </c>
      <c r="U2" s="17"/>
      <c r="V2" s="21" t="s">
        <v>11</v>
      </c>
      <c r="W2" s="1196" t="s">
        <v>1548</v>
      </c>
      <c r="X2" s="22"/>
      <c r="Y2" s="23"/>
      <c r="Z2" s="24"/>
      <c r="AA2" s="25"/>
      <c r="AB2" s="25"/>
      <c r="AC2" s="25"/>
      <c r="AD2" s="22"/>
    </row>
    <row r="3" ht="47.25" customHeight="1">
      <c r="A3" s="26"/>
      <c r="B3" s="26"/>
      <c r="C3" s="26"/>
      <c r="D3" s="26"/>
      <c r="E3" s="26"/>
      <c r="F3" s="26"/>
      <c r="G3" s="27" t="s">
        <v>12</v>
      </c>
      <c r="H3" s="27" t="s">
        <v>13</v>
      </c>
      <c r="I3" s="28" t="s">
        <v>14</v>
      </c>
      <c r="J3" s="29" t="s">
        <v>15</v>
      </c>
      <c r="K3" s="30" t="s">
        <v>16</v>
      </c>
      <c r="L3" s="31" t="s">
        <v>17</v>
      </c>
      <c r="M3" s="33" t="s">
        <v>19</v>
      </c>
      <c r="N3" s="34" t="s">
        <v>20</v>
      </c>
      <c r="O3" s="558" t="s">
        <v>21</v>
      </c>
      <c r="P3" s="408"/>
      <c r="Q3" s="36" t="s">
        <v>22</v>
      </c>
      <c r="R3" s="37" t="s">
        <v>23</v>
      </c>
      <c r="S3" s="37" t="s">
        <v>2083</v>
      </c>
      <c r="T3" s="38" t="s">
        <v>25</v>
      </c>
      <c r="U3" s="38" t="s">
        <v>26</v>
      </c>
      <c r="V3" s="26"/>
      <c r="W3" s="67"/>
      <c r="X3" s="22"/>
      <c r="Y3" s="23"/>
      <c r="Z3" s="24"/>
      <c r="AA3" s="25"/>
      <c r="AB3" s="25"/>
      <c r="AC3" s="25"/>
      <c r="AD3" s="22"/>
    </row>
    <row r="4" ht="23.25" customHeight="1">
      <c r="A4" s="39">
        <v>1.0</v>
      </c>
      <c r="B4" s="1197">
        <v>44984.0</v>
      </c>
      <c r="C4" s="41">
        <v>1.701326736806E12</v>
      </c>
      <c r="D4" s="42" t="s">
        <v>2084</v>
      </c>
      <c r="E4" s="43" t="s">
        <v>2085</v>
      </c>
      <c r="F4" s="44" t="s">
        <v>2086</v>
      </c>
      <c r="G4" s="45" t="s">
        <v>122</v>
      </c>
      <c r="H4" s="46">
        <v>1.0</v>
      </c>
      <c r="I4" s="847">
        <f>VLOOKUP(G4,$Y$4:$Z$40,2,0)</f>
        <v>220000</v>
      </c>
      <c r="J4" s="48">
        <f t="shared" ref="J4:J44" si="1">I4*H4</f>
        <v>220000</v>
      </c>
      <c r="K4" s="49">
        <f>SUM(J4:J5)</f>
        <v>310000</v>
      </c>
      <c r="L4" s="116">
        <v>48000.0</v>
      </c>
      <c r="M4" s="117">
        <v>18000.0</v>
      </c>
      <c r="N4" s="53">
        <f>K4+L4-M4</f>
        <v>340000</v>
      </c>
      <c r="O4" s="99" t="s">
        <v>449</v>
      </c>
      <c r="P4" s="99" t="s">
        <v>31</v>
      </c>
      <c r="Q4" s="563"/>
      <c r="R4" s="119"/>
      <c r="S4" s="57" t="s">
        <v>33</v>
      </c>
      <c r="T4" s="59"/>
      <c r="U4" s="59"/>
      <c r="V4" s="59"/>
      <c r="W4" s="58"/>
      <c r="X4" s="22"/>
      <c r="Y4" s="60" t="s">
        <v>34</v>
      </c>
      <c r="Z4" s="61">
        <v>65000.0</v>
      </c>
      <c r="AA4" s="25"/>
      <c r="AB4" s="25"/>
      <c r="AC4" s="25"/>
      <c r="AD4" s="22"/>
    </row>
    <row r="5" ht="23.25" customHeight="1">
      <c r="A5" s="67"/>
      <c r="B5" s="67"/>
      <c r="C5" s="67"/>
      <c r="D5" s="67"/>
      <c r="E5" s="67"/>
      <c r="F5" s="67"/>
      <c r="G5" s="701" t="s">
        <v>76</v>
      </c>
      <c r="H5" s="702">
        <v>1.0</v>
      </c>
      <c r="I5" s="1383">
        <v>90000.0</v>
      </c>
      <c r="J5" s="704">
        <f t="shared" si="1"/>
        <v>90000</v>
      </c>
      <c r="K5" s="67"/>
      <c r="L5" s="67"/>
      <c r="M5" s="67"/>
      <c r="N5" s="67"/>
      <c r="O5" s="67"/>
      <c r="P5" s="67"/>
      <c r="Q5" s="67"/>
      <c r="R5" s="67"/>
      <c r="S5" s="67"/>
      <c r="T5" s="67"/>
      <c r="U5" s="67"/>
      <c r="V5" s="67"/>
      <c r="W5" s="67"/>
      <c r="X5" s="22"/>
      <c r="Y5" s="65" t="s">
        <v>36</v>
      </c>
      <c r="Z5" s="66">
        <v>180000.0</v>
      </c>
      <c r="AA5" s="25"/>
      <c r="AB5" s="25"/>
      <c r="AC5" s="25"/>
      <c r="AD5" s="22"/>
    </row>
    <row r="6" ht="23.25" customHeight="1">
      <c r="A6" s="69">
        <v>2.0</v>
      </c>
      <c r="B6" s="70">
        <v>44985.0</v>
      </c>
      <c r="C6" s="93">
        <v>1.678821912623E12</v>
      </c>
      <c r="D6" s="68" t="s">
        <v>2087</v>
      </c>
      <c r="E6" s="105" t="s">
        <v>45</v>
      </c>
      <c r="F6" s="1140" t="s">
        <v>324</v>
      </c>
      <c r="G6" s="68" t="s">
        <v>30</v>
      </c>
      <c r="H6" s="69">
        <v>10.0</v>
      </c>
      <c r="I6" s="847">
        <f t="shared" ref="I6:I19" si="2">VLOOKUP(G6,$Y$6:$Z$105,2,0)</f>
        <v>220000</v>
      </c>
      <c r="J6" s="48">
        <f t="shared" si="1"/>
        <v>2200000</v>
      </c>
      <c r="K6" s="76">
        <f>SUM(J6)</f>
        <v>2200000</v>
      </c>
      <c r="L6" s="1384"/>
      <c r="M6" s="1385">
        <v>1782000.0</v>
      </c>
      <c r="N6" s="80">
        <f t="shared" ref="N6:N7" si="3">K6+L6-M6</f>
        <v>418000</v>
      </c>
      <c r="O6" s="81" t="s">
        <v>449</v>
      </c>
      <c r="P6" s="81" t="s">
        <v>31</v>
      </c>
      <c r="Q6" s="82">
        <v>89999.0</v>
      </c>
      <c r="R6" s="83" t="s">
        <v>32</v>
      </c>
      <c r="S6" s="84" t="s">
        <v>33</v>
      </c>
      <c r="T6" s="85"/>
      <c r="U6" s="414"/>
      <c r="V6" s="774" t="s">
        <v>2088</v>
      </c>
      <c r="W6" s="774"/>
      <c r="X6" s="22"/>
      <c r="Y6" s="65" t="s">
        <v>38</v>
      </c>
      <c r="Z6" s="66">
        <v>160000.0</v>
      </c>
      <c r="AA6" s="25"/>
      <c r="AB6" s="25"/>
      <c r="AC6" s="25"/>
      <c r="AD6" s="22"/>
    </row>
    <row r="7" ht="32.25" customHeight="1">
      <c r="A7" s="94">
        <v>3.0</v>
      </c>
      <c r="B7" s="95">
        <v>44985.0</v>
      </c>
      <c r="C7" s="1141">
        <v>1.70070467874E12</v>
      </c>
      <c r="D7" s="417" t="s">
        <v>2089</v>
      </c>
      <c r="E7" s="97" t="s">
        <v>2090</v>
      </c>
      <c r="F7" s="417" t="s">
        <v>2091</v>
      </c>
      <c r="G7" s="68" t="s">
        <v>122</v>
      </c>
      <c r="H7" s="69">
        <v>1.0</v>
      </c>
      <c r="I7" s="847">
        <f t="shared" si="2"/>
        <v>220000</v>
      </c>
      <c r="J7" s="48">
        <f t="shared" si="1"/>
        <v>220000</v>
      </c>
      <c r="K7" s="49">
        <f>SUM(J7:J8)</f>
        <v>440000</v>
      </c>
      <c r="L7" s="418">
        <v>50999.0</v>
      </c>
      <c r="M7" s="117">
        <v>20999.0</v>
      </c>
      <c r="N7" s="53">
        <f t="shared" si="3"/>
        <v>470000</v>
      </c>
      <c r="O7" s="99" t="s">
        <v>449</v>
      </c>
      <c r="P7" s="99" t="s">
        <v>31</v>
      </c>
      <c r="Q7" s="118"/>
      <c r="R7" s="119"/>
      <c r="S7" s="57" t="s">
        <v>33</v>
      </c>
      <c r="T7" s="100"/>
      <c r="U7" s="977"/>
      <c r="V7" s="58"/>
      <c r="W7" s="58"/>
      <c r="X7" s="22"/>
      <c r="Y7" s="65" t="s">
        <v>43</v>
      </c>
      <c r="Z7" s="66">
        <v>80000.0</v>
      </c>
      <c r="AA7" s="25"/>
      <c r="AB7" s="25"/>
      <c r="AC7" s="25"/>
      <c r="AD7" s="22"/>
    </row>
    <row r="8" ht="27.75" customHeight="1">
      <c r="A8" s="67"/>
      <c r="B8" s="67"/>
      <c r="C8" s="67"/>
      <c r="D8" s="67"/>
      <c r="E8" s="67"/>
      <c r="F8" s="67"/>
      <c r="G8" s="68" t="s">
        <v>382</v>
      </c>
      <c r="H8" s="69">
        <v>1.0</v>
      </c>
      <c r="I8" s="847">
        <f t="shared" si="2"/>
        <v>220000</v>
      </c>
      <c r="J8" s="48">
        <f t="shared" si="1"/>
        <v>220000</v>
      </c>
      <c r="K8" s="67"/>
      <c r="L8" s="67"/>
      <c r="M8" s="67"/>
      <c r="N8" s="67"/>
      <c r="O8" s="67"/>
      <c r="P8" s="67"/>
      <c r="Q8" s="67"/>
      <c r="R8" s="67"/>
      <c r="S8" s="67"/>
      <c r="T8" s="67"/>
      <c r="U8" s="67"/>
      <c r="V8" s="67"/>
      <c r="W8" s="67"/>
      <c r="X8" s="22"/>
      <c r="Y8" s="65" t="s">
        <v>48</v>
      </c>
      <c r="Z8" s="66">
        <v>55000.0</v>
      </c>
      <c r="AA8" s="25"/>
      <c r="AB8" s="25"/>
      <c r="AC8" s="25"/>
      <c r="AD8" s="22"/>
    </row>
    <row r="9" ht="23.25" customHeight="1">
      <c r="A9" s="69">
        <v>4.0</v>
      </c>
      <c r="B9" s="70">
        <v>44985.0</v>
      </c>
      <c r="C9" s="1139">
        <v>1.701323238742E12</v>
      </c>
      <c r="D9" s="88" t="s">
        <v>1496</v>
      </c>
      <c r="E9" s="71" t="s">
        <v>1497</v>
      </c>
      <c r="F9" s="88" t="s">
        <v>2092</v>
      </c>
      <c r="G9" s="68" t="s">
        <v>30</v>
      </c>
      <c r="H9" s="69">
        <v>2.0</v>
      </c>
      <c r="I9" s="847">
        <f t="shared" si="2"/>
        <v>220000</v>
      </c>
      <c r="J9" s="48">
        <f t="shared" si="1"/>
        <v>440000</v>
      </c>
      <c r="K9" s="76">
        <f>SUM(J9)</f>
        <v>440000</v>
      </c>
      <c r="L9" s="114">
        <v>50999.0</v>
      </c>
      <c r="M9" s="115">
        <v>20999.0</v>
      </c>
      <c r="N9" s="80">
        <f t="shared" ref="N9:N10" si="4">K9+L9-M9</f>
        <v>470000</v>
      </c>
      <c r="O9" s="81" t="s">
        <v>449</v>
      </c>
      <c r="P9" s="81" t="s">
        <v>31</v>
      </c>
      <c r="Q9" s="134"/>
      <c r="R9" s="91"/>
      <c r="S9" s="84" t="s">
        <v>33</v>
      </c>
      <c r="T9" s="419"/>
      <c r="U9" s="419"/>
      <c r="V9" s="412"/>
      <c r="W9" s="86"/>
      <c r="X9" s="22"/>
      <c r="Y9" s="65" t="s">
        <v>60</v>
      </c>
      <c r="Z9" s="66">
        <v>45000.0</v>
      </c>
      <c r="AA9" s="25"/>
      <c r="AB9" s="25"/>
      <c r="AC9" s="25"/>
      <c r="AD9" s="22"/>
    </row>
    <row r="10" ht="23.25" customHeight="1">
      <c r="A10" s="111">
        <v>5.0</v>
      </c>
      <c r="B10" s="112">
        <v>44987.0</v>
      </c>
      <c r="C10" s="111">
        <v>1.691610652189E12</v>
      </c>
      <c r="D10" s="148" t="s">
        <v>550</v>
      </c>
      <c r="E10" s="143" t="s">
        <v>551</v>
      </c>
      <c r="F10" s="148" t="s">
        <v>889</v>
      </c>
      <c r="G10" s="68" t="s">
        <v>58</v>
      </c>
      <c r="H10" s="69">
        <v>20.0</v>
      </c>
      <c r="I10" s="1386">
        <f t="shared" si="2"/>
        <v>220000</v>
      </c>
      <c r="J10" s="1222">
        <f t="shared" si="1"/>
        <v>4400000</v>
      </c>
      <c r="K10" s="1387">
        <f>SUM(J10:J11)</f>
        <v>6600000</v>
      </c>
      <c r="L10" s="146"/>
      <c r="M10" s="52"/>
      <c r="N10" s="1265">
        <f t="shared" si="4"/>
        <v>6600000</v>
      </c>
      <c r="O10" s="983" t="s">
        <v>449</v>
      </c>
      <c r="P10" s="983" t="s">
        <v>31</v>
      </c>
      <c r="Q10" s="145">
        <v>274524.0</v>
      </c>
      <c r="R10" s="1388" t="s">
        <v>32</v>
      </c>
      <c r="S10" s="57" t="s">
        <v>33</v>
      </c>
      <c r="T10" s="111" t="s">
        <v>58</v>
      </c>
      <c r="U10" s="111">
        <v>2.0</v>
      </c>
      <c r="V10" s="538" t="s">
        <v>2093</v>
      </c>
      <c r="W10" s="538"/>
      <c r="X10" s="1229"/>
      <c r="Y10" s="284" t="s">
        <v>679</v>
      </c>
      <c r="Z10" s="1230">
        <v>110000.0</v>
      </c>
      <c r="AA10" s="511"/>
      <c r="AB10" s="511"/>
      <c r="AC10" s="511"/>
      <c r="AD10" s="1229"/>
    </row>
    <row r="11" ht="23.25" customHeight="1">
      <c r="A11" s="67"/>
      <c r="B11" s="67"/>
      <c r="C11" s="67"/>
      <c r="D11" s="67"/>
      <c r="E11" s="67"/>
      <c r="F11" s="67"/>
      <c r="G11" s="63" t="s">
        <v>47</v>
      </c>
      <c r="H11" s="64">
        <v>10.0</v>
      </c>
      <c r="I11" s="1386">
        <f t="shared" si="2"/>
        <v>220000</v>
      </c>
      <c r="J11" s="1222">
        <f t="shared" si="1"/>
        <v>2200000</v>
      </c>
      <c r="K11" s="67"/>
      <c r="L11" s="67"/>
      <c r="M11" s="67"/>
      <c r="N11" s="67"/>
      <c r="O11" s="67"/>
      <c r="P11" s="67"/>
      <c r="Q11" s="67"/>
      <c r="R11" s="67"/>
      <c r="S11" s="67"/>
      <c r="T11" s="67"/>
      <c r="U11" s="67"/>
      <c r="V11" s="67"/>
      <c r="W11" s="67"/>
      <c r="X11" s="1229"/>
      <c r="Y11" s="284" t="s">
        <v>66</v>
      </c>
      <c r="Z11" s="1230">
        <v>205000.0</v>
      </c>
      <c r="AA11" s="511"/>
      <c r="AB11" s="511"/>
      <c r="AC11" s="511"/>
      <c r="AD11" s="1229"/>
    </row>
    <row r="12" ht="23.25" customHeight="1">
      <c r="A12" s="111">
        <v>6.0</v>
      </c>
      <c r="B12" s="112">
        <v>44988.0</v>
      </c>
      <c r="C12" s="1135">
        <v>1.684972927588E12</v>
      </c>
      <c r="D12" s="142" t="s">
        <v>2094</v>
      </c>
      <c r="E12" s="143" t="s">
        <v>2095</v>
      </c>
      <c r="F12" s="1145" t="s">
        <v>2096</v>
      </c>
      <c r="G12" s="63" t="s">
        <v>30</v>
      </c>
      <c r="H12" s="64">
        <v>30.0</v>
      </c>
      <c r="I12" s="1386">
        <f t="shared" si="2"/>
        <v>220000</v>
      </c>
      <c r="J12" s="48">
        <f t="shared" si="1"/>
        <v>6600000</v>
      </c>
      <c r="K12" s="49">
        <f>SUM(J12:J13)</f>
        <v>7040000</v>
      </c>
      <c r="L12" s="146"/>
      <c r="M12" s="52"/>
      <c r="N12" s="53">
        <f>K12+L12-M12</f>
        <v>7040000</v>
      </c>
      <c r="O12" s="99" t="s">
        <v>449</v>
      </c>
      <c r="P12" s="99" t="s">
        <v>31</v>
      </c>
      <c r="Q12" s="145">
        <v>164013.0</v>
      </c>
      <c r="R12" s="56" t="s">
        <v>32</v>
      </c>
      <c r="S12" s="57" t="s">
        <v>33</v>
      </c>
      <c r="T12" s="111" t="s">
        <v>37</v>
      </c>
      <c r="U12" s="111">
        <v>2.0</v>
      </c>
      <c r="V12" s="142" t="s">
        <v>2097</v>
      </c>
      <c r="W12" s="111"/>
      <c r="X12" s="106"/>
      <c r="Y12" s="65" t="s">
        <v>684</v>
      </c>
      <c r="Z12" s="66">
        <v>150000.0</v>
      </c>
      <c r="AA12" s="107"/>
      <c r="AB12" s="107"/>
      <c r="AC12" s="107"/>
      <c r="AD12" s="106"/>
    </row>
    <row r="13" ht="23.25" customHeight="1">
      <c r="A13" s="67"/>
      <c r="B13" s="67"/>
      <c r="C13" s="67"/>
      <c r="D13" s="67"/>
      <c r="E13" s="67"/>
      <c r="F13" s="67"/>
      <c r="G13" s="63" t="s">
        <v>37</v>
      </c>
      <c r="H13" s="64">
        <v>2.0</v>
      </c>
      <c r="I13" s="1386">
        <f t="shared" si="2"/>
        <v>220000</v>
      </c>
      <c r="J13" s="48">
        <f t="shared" si="1"/>
        <v>440000</v>
      </c>
      <c r="K13" s="67"/>
      <c r="L13" s="67"/>
      <c r="M13" s="67"/>
      <c r="N13" s="67"/>
      <c r="O13" s="67"/>
      <c r="P13" s="67"/>
      <c r="Q13" s="67"/>
      <c r="R13" s="67"/>
      <c r="S13" s="67"/>
      <c r="T13" s="67"/>
      <c r="U13" s="67"/>
      <c r="V13" s="67"/>
      <c r="W13" s="67"/>
      <c r="X13" s="22"/>
      <c r="Y13" s="110" t="s">
        <v>71</v>
      </c>
      <c r="Z13" s="66">
        <v>85000.0</v>
      </c>
      <c r="AA13" s="25"/>
      <c r="AB13" s="25"/>
      <c r="AC13" s="25"/>
      <c r="AD13" s="22"/>
    </row>
    <row r="14" ht="23.25" customHeight="1">
      <c r="A14" s="111">
        <v>7.0</v>
      </c>
      <c r="B14" s="112">
        <v>44989.0</v>
      </c>
      <c r="C14" s="906">
        <v>1.681503035019E12</v>
      </c>
      <c r="D14" s="142" t="s">
        <v>2098</v>
      </c>
      <c r="E14" s="143" t="s">
        <v>2099</v>
      </c>
      <c r="F14" s="44" t="s">
        <v>2100</v>
      </c>
      <c r="G14" s="63" t="s">
        <v>30</v>
      </c>
      <c r="H14" s="64">
        <v>2.0</v>
      </c>
      <c r="I14" s="1386">
        <f t="shared" si="2"/>
        <v>220000</v>
      </c>
      <c r="J14" s="48">
        <f t="shared" si="1"/>
        <v>440000</v>
      </c>
      <c r="K14" s="49">
        <f>SUM(J14:J20)</f>
        <v>1630000</v>
      </c>
      <c r="L14" s="146"/>
      <c r="M14" s="52"/>
      <c r="N14" s="53">
        <f>K14+L14-M14</f>
        <v>1630000</v>
      </c>
      <c r="O14" s="99" t="s">
        <v>449</v>
      </c>
      <c r="P14" s="99" t="s">
        <v>31</v>
      </c>
      <c r="Q14" s="145">
        <v>79498.0</v>
      </c>
      <c r="R14" s="56" t="s">
        <v>32</v>
      </c>
      <c r="S14" s="57" t="s">
        <v>33</v>
      </c>
      <c r="T14" s="147"/>
      <c r="U14" s="147"/>
      <c r="V14" s="147"/>
      <c r="W14" s="146"/>
      <c r="X14" s="106"/>
      <c r="Y14" s="65" t="s">
        <v>76</v>
      </c>
      <c r="Z14" s="66">
        <v>90000.0</v>
      </c>
      <c r="AA14" s="107"/>
      <c r="AB14" s="107"/>
      <c r="AC14" s="107"/>
      <c r="AD14" s="106"/>
    </row>
    <row r="15" ht="23.25" customHeight="1">
      <c r="A15" s="62"/>
      <c r="B15" s="62"/>
      <c r="C15" s="423"/>
      <c r="D15" s="62"/>
      <c r="E15" s="62"/>
      <c r="F15" s="62"/>
      <c r="G15" s="63" t="s">
        <v>37</v>
      </c>
      <c r="H15" s="64">
        <v>1.0</v>
      </c>
      <c r="I15" s="1386">
        <f t="shared" si="2"/>
        <v>220000</v>
      </c>
      <c r="J15" s="48">
        <f t="shared" si="1"/>
        <v>220000</v>
      </c>
      <c r="K15" s="62"/>
      <c r="L15" s="62"/>
      <c r="M15" s="62"/>
      <c r="N15" s="62"/>
      <c r="O15" s="62"/>
      <c r="P15" s="62"/>
      <c r="Q15" s="62"/>
      <c r="R15" s="62"/>
      <c r="S15" s="62"/>
      <c r="T15" s="62"/>
      <c r="U15" s="62"/>
      <c r="V15" s="62"/>
      <c r="W15" s="62"/>
      <c r="X15" s="106"/>
      <c r="Y15" s="65" t="s">
        <v>80</v>
      </c>
      <c r="Z15" s="66">
        <v>85000.0</v>
      </c>
      <c r="AA15" s="107"/>
      <c r="AB15" s="107"/>
      <c r="AC15" s="107"/>
      <c r="AD15" s="106"/>
    </row>
    <row r="16" ht="23.25" customHeight="1">
      <c r="A16" s="62"/>
      <c r="B16" s="62"/>
      <c r="C16" s="423"/>
      <c r="D16" s="62"/>
      <c r="E16" s="62"/>
      <c r="F16" s="62"/>
      <c r="G16" s="63" t="s">
        <v>382</v>
      </c>
      <c r="H16" s="64">
        <v>1.0</v>
      </c>
      <c r="I16" s="1386">
        <f t="shared" si="2"/>
        <v>220000</v>
      </c>
      <c r="J16" s="48">
        <f t="shared" si="1"/>
        <v>220000</v>
      </c>
      <c r="K16" s="62"/>
      <c r="L16" s="62"/>
      <c r="M16" s="62"/>
      <c r="N16" s="62"/>
      <c r="O16" s="62"/>
      <c r="P16" s="62"/>
      <c r="Q16" s="62"/>
      <c r="R16" s="62"/>
      <c r="S16" s="62"/>
      <c r="T16" s="62"/>
      <c r="U16" s="62"/>
      <c r="V16" s="62"/>
      <c r="W16" s="62"/>
      <c r="X16" s="106"/>
      <c r="Y16" s="65" t="s">
        <v>81</v>
      </c>
      <c r="Z16" s="66">
        <v>150000.0</v>
      </c>
      <c r="AA16" s="107"/>
      <c r="AB16" s="107"/>
      <c r="AC16" s="107"/>
      <c r="AD16" s="106"/>
    </row>
    <row r="17" ht="23.25" customHeight="1">
      <c r="A17" s="62"/>
      <c r="B17" s="62"/>
      <c r="C17" s="423"/>
      <c r="D17" s="62"/>
      <c r="E17" s="62"/>
      <c r="F17" s="62"/>
      <c r="G17" s="63" t="s">
        <v>122</v>
      </c>
      <c r="H17" s="64">
        <v>1.0</v>
      </c>
      <c r="I17" s="1386">
        <f t="shared" si="2"/>
        <v>220000</v>
      </c>
      <c r="J17" s="48">
        <f t="shared" si="1"/>
        <v>220000</v>
      </c>
      <c r="K17" s="62"/>
      <c r="L17" s="62"/>
      <c r="M17" s="62"/>
      <c r="N17" s="62"/>
      <c r="O17" s="62"/>
      <c r="P17" s="62"/>
      <c r="Q17" s="62"/>
      <c r="R17" s="62"/>
      <c r="S17" s="62"/>
      <c r="T17" s="62"/>
      <c r="U17" s="62"/>
      <c r="V17" s="62"/>
      <c r="W17" s="62"/>
      <c r="X17" s="106"/>
      <c r="Y17" s="65" t="s">
        <v>85</v>
      </c>
      <c r="Z17" s="66">
        <v>125000.0</v>
      </c>
      <c r="AA17" s="107"/>
      <c r="AB17" s="107"/>
      <c r="AC17" s="107"/>
      <c r="AD17" s="106"/>
    </row>
    <row r="18" ht="23.25" customHeight="1">
      <c r="A18" s="62"/>
      <c r="B18" s="62"/>
      <c r="C18" s="423"/>
      <c r="D18" s="62"/>
      <c r="E18" s="62"/>
      <c r="F18" s="62"/>
      <c r="G18" s="63" t="s">
        <v>47</v>
      </c>
      <c r="H18" s="64">
        <v>1.0</v>
      </c>
      <c r="I18" s="1386">
        <f t="shared" si="2"/>
        <v>220000</v>
      </c>
      <c r="J18" s="48">
        <f t="shared" si="1"/>
        <v>220000</v>
      </c>
      <c r="K18" s="62"/>
      <c r="L18" s="62"/>
      <c r="M18" s="62"/>
      <c r="N18" s="62"/>
      <c r="O18" s="62"/>
      <c r="P18" s="62"/>
      <c r="Q18" s="62"/>
      <c r="R18" s="62"/>
      <c r="S18" s="62"/>
      <c r="T18" s="62"/>
      <c r="U18" s="62"/>
      <c r="V18" s="62"/>
      <c r="W18" s="62"/>
      <c r="X18" s="106"/>
      <c r="Y18" s="65" t="s">
        <v>89</v>
      </c>
      <c r="Z18" s="66">
        <v>35000.0</v>
      </c>
      <c r="AA18" s="107"/>
      <c r="AB18" s="107"/>
      <c r="AC18" s="107"/>
      <c r="AD18" s="106"/>
    </row>
    <row r="19" ht="23.25" customHeight="1">
      <c r="A19" s="62"/>
      <c r="B19" s="62"/>
      <c r="C19" s="423"/>
      <c r="D19" s="62"/>
      <c r="E19" s="62"/>
      <c r="F19" s="62"/>
      <c r="G19" s="63" t="s">
        <v>165</v>
      </c>
      <c r="H19" s="64">
        <v>1.0</v>
      </c>
      <c r="I19" s="1386">
        <f t="shared" si="2"/>
        <v>220000</v>
      </c>
      <c r="J19" s="48">
        <f t="shared" si="1"/>
        <v>220000</v>
      </c>
      <c r="K19" s="62"/>
      <c r="L19" s="62"/>
      <c r="M19" s="62"/>
      <c r="N19" s="62"/>
      <c r="O19" s="62"/>
      <c r="P19" s="62"/>
      <c r="Q19" s="62"/>
      <c r="R19" s="62"/>
      <c r="S19" s="62"/>
      <c r="T19" s="62"/>
      <c r="U19" s="62"/>
      <c r="V19" s="62"/>
      <c r="W19" s="62"/>
      <c r="X19" s="106"/>
      <c r="Y19" s="65" t="s">
        <v>93</v>
      </c>
      <c r="Z19" s="66">
        <v>90000.0</v>
      </c>
      <c r="AA19" s="107"/>
      <c r="AB19" s="107"/>
      <c r="AC19" s="107"/>
      <c r="AD19" s="106"/>
    </row>
    <row r="20" ht="23.25" customHeight="1">
      <c r="A20" s="67"/>
      <c r="B20" s="67"/>
      <c r="C20" s="102"/>
      <c r="D20" s="67"/>
      <c r="E20" s="67"/>
      <c r="F20" s="67"/>
      <c r="G20" s="701" t="s">
        <v>76</v>
      </c>
      <c r="H20" s="702">
        <v>1.0</v>
      </c>
      <c r="I20" s="1389">
        <v>90000.0</v>
      </c>
      <c r="J20" s="704">
        <f t="shared" si="1"/>
        <v>90000</v>
      </c>
      <c r="K20" s="67"/>
      <c r="L20" s="67"/>
      <c r="M20" s="67"/>
      <c r="N20" s="67"/>
      <c r="O20" s="67"/>
      <c r="P20" s="67"/>
      <c r="Q20" s="67"/>
      <c r="R20" s="67"/>
      <c r="S20" s="67"/>
      <c r="T20" s="67"/>
      <c r="U20" s="67"/>
      <c r="V20" s="67"/>
      <c r="W20" s="67"/>
      <c r="X20" s="106"/>
      <c r="Y20" s="65" t="s">
        <v>94</v>
      </c>
      <c r="Z20" s="66">
        <v>140000.0</v>
      </c>
      <c r="AA20" s="107"/>
      <c r="AB20" s="107"/>
      <c r="AC20" s="107"/>
      <c r="AD20" s="106"/>
    </row>
    <row r="21" ht="23.25" customHeight="1">
      <c r="A21" s="93">
        <v>8.0</v>
      </c>
      <c r="B21" s="103">
        <v>44989.0</v>
      </c>
      <c r="C21" s="1390">
        <v>1.700141159464E12</v>
      </c>
      <c r="D21" s="92" t="s">
        <v>2101</v>
      </c>
      <c r="E21" s="105" t="s">
        <v>2102</v>
      </c>
      <c r="F21" s="1391" t="s">
        <v>2103</v>
      </c>
      <c r="G21" s="156" t="s">
        <v>30</v>
      </c>
      <c r="H21" s="483">
        <v>1.0</v>
      </c>
      <c r="I21" s="1392">
        <v>220000.0</v>
      </c>
      <c r="J21" s="48">
        <f t="shared" si="1"/>
        <v>220000</v>
      </c>
      <c r="K21" s="76">
        <f>SUM(J21)</f>
        <v>220000</v>
      </c>
      <c r="L21" s="108">
        <v>38000.0</v>
      </c>
      <c r="M21" s="115">
        <v>18000.0</v>
      </c>
      <c r="N21" s="138">
        <f t="shared" ref="N21:N22" si="5">K21+L21-M21</f>
        <v>240000</v>
      </c>
      <c r="O21" s="81" t="s">
        <v>449</v>
      </c>
      <c r="P21" s="81" t="s">
        <v>31</v>
      </c>
      <c r="Q21" s="122"/>
      <c r="R21" s="91"/>
      <c r="S21" s="84" t="s">
        <v>33</v>
      </c>
      <c r="T21" s="122"/>
      <c r="U21" s="122"/>
      <c r="V21" s="122"/>
      <c r="W21" s="65"/>
      <c r="X21" s="107"/>
      <c r="Y21" s="65" t="s">
        <v>97</v>
      </c>
      <c r="Z21" s="66">
        <v>95000.0</v>
      </c>
      <c r="AA21" s="107"/>
      <c r="AB21" s="107"/>
      <c r="AC21" s="107"/>
      <c r="AD21" s="107"/>
    </row>
    <row r="22" ht="23.25" customHeight="1">
      <c r="A22" s="111">
        <v>9.0</v>
      </c>
      <c r="B22" s="112">
        <v>44991.0</v>
      </c>
      <c r="C22" s="1135">
        <v>1.702695314787E12</v>
      </c>
      <c r="D22" s="148" t="s">
        <v>294</v>
      </c>
      <c r="E22" s="143" t="s">
        <v>295</v>
      </c>
      <c r="F22" s="148" t="s">
        <v>1161</v>
      </c>
      <c r="G22" s="63" t="s">
        <v>122</v>
      </c>
      <c r="H22" s="64">
        <v>3.0</v>
      </c>
      <c r="I22" s="975">
        <v>220000.0</v>
      </c>
      <c r="J22" s="48">
        <f t="shared" si="1"/>
        <v>660000</v>
      </c>
      <c r="K22" s="982">
        <f>SUM(J22:J23)</f>
        <v>2200000</v>
      </c>
      <c r="L22" s="146"/>
      <c r="M22" s="52"/>
      <c r="N22" s="1393">
        <f t="shared" si="5"/>
        <v>2200000</v>
      </c>
      <c r="O22" s="983" t="s">
        <v>449</v>
      </c>
      <c r="P22" s="983" t="s">
        <v>31</v>
      </c>
      <c r="Q22" s="145">
        <v>89999.0</v>
      </c>
      <c r="R22" s="57" t="s">
        <v>32</v>
      </c>
      <c r="S22" s="57" t="s">
        <v>33</v>
      </c>
      <c r="T22" s="146"/>
      <c r="U22" s="146"/>
      <c r="V22" s="146"/>
      <c r="W22" s="146"/>
      <c r="X22" s="589"/>
      <c r="Y22" s="65" t="s">
        <v>99</v>
      </c>
      <c r="Z22" s="1320">
        <v>140000.0</v>
      </c>
      <c r="AA22" s="428"/>
      <c r="AB22" s="428"/>
      <c r="AC22" s="428"/>
      <c r="AD22" s="589"/>
    </row>
    <row r="23" ht="23.25" customHeight="1">
      <c r="A23" s="67"/>
      <c r="B23" s="67"/>
      <c r="C23" s="67"/>
      <c r="D23" s="67"/>
      <c r="E23" s="67"/>
      <c r="F23" s="67"/>
      <c r="G23" s="63" t="s">
        <v>382</v>
      </c>
      <c r="H23" s="64">
        <v>7.0</v>
      </c>
      <c r="I23" s="975">
        <v>220000.0</v>
      </c>
      <c r="J23" s="48">
        <f t="shared" si="1"/>
        <v>1540000</v>
      </c>
      <c r="K23" s="67"/>
      <c r="L23" s="67"/>
      <c r="M23" s="67"/>
      <c r="N23" s="67"/>
      <c r="O23" s="67"/>
      <c r="P23" s="67"/>
      <c r="Q23" s="67"/>
      <c r="R23" s="67"/>
      <c r="S23" s="67"/>
      <c r="T23" s="67"/>
      <c r="U23" s="67"/>
      <c r="V23" s="67"/>
      <c r="W23" s="67"/>
      <c r="X23" s="589"/>
      <c r="Y23" s="65" t="s">
        <v>101</v>
      </c>
      <c r="Z23" s="1320">
        <v>150000.0</v>
      </c>
      <c r="AA23" s="428"/>
      <c r="AB23" s="428"/>
      <c r="AC23" s="428"/>
      <c r="AD23" s="589"/>
    </row>
    <row r="24" ht="23.25" customHeight="1">
      <c r="A24" s="111">
        <v>10.0</v>
      </c>
      <c r="B24" s="112">
        <v>44992.0</v>
      </c>
      <c r="C24" s="1135">
        <v>1.688287396534E12</v>
      </c>
      <c r="D24" s="142" t="s">
        <v>1162</v>
      </c>
      <c r="E24" s="143" t="s">
        <v>1163</v>
      </c>
      <c r="F24" s="142" t="s">
        <v>2104</v>
      </c>
      <c r="G24" s="68" t="s">
        <v>30</v>
      </c>
      <c r="H24" s="69">
        <v>15.0</v>
      </c>
      <c r="I24" s="975">
        <v>220000.0</v>
      </c>
      <c r="J24" s="48">
        <f t="shared" si="1"/>
        <v>3300000</v>
      </c>
      <c r="K24" s="49">
        <f>SUM(J24:J25)</f>
        <v>6600000</v>
      </c>
      <c r="L24" s="146"/>
      <c r="M24" s="52"/>
      <c r="N24" s="53">
        <f>K24+L24-M24</f>
        <v>6600000</v>
      </c>
      <c r="O24" s="99" t="s">
        <v>449</v>
      </c>
      <c r="P24" s="99" t="s">
        <v>31</v>
      </c>
      <c r="Q24" s="145">
        <v>205805.0</v>
      </c>
      <c r="R24" s="56" t="s">
        <v>32</v>
      </c>
      <c r="S24" s="57" t="s">
        <v>33</v>
      </c>
      <c r="T24" s="111" t="s">
        <v>290</v>
      </c>
      <c r="U24" s="111">
        <v>2.0</v>
      </c>
      <c r="V24" s="92" t="s">
        <v>2105</v>
      </c>
      <c r="W24" s="111"/>
      <c r="X24" s="1394"/>
      <c r="Y24" s="65" t="s">
        <v>109</v>
      </c>
      <c r="Z24" s="66">
        <v>125000.0</v>
      </c>
      <c r="AA24" s="107"/>
      <c r="AB24" s="107"/>
      <c r="AC24" s="107"/>
      <c r="AD24" s="106"/>
    </row>
    <row r="25" ht="23.25" customHeight="1">
      <c r="A25" s="67"/>
      <c r="B25" s="67"/>
      <c r="C25" s="67"/>
      <c r="D25" s="67"/>
      <c r="E25" s="67"/>
      <c r="F25" s="67"/>
      <c r="G25" s="68" t="s">
        <v>35</v>
      </c>
      <c r="H25" s="69">
        <v>15.0</v>
      </c>
      <c r="I25" s="975">
        <v>220000.0</v>
      </c>
      <c r="J25" s="48">
        <f t="shared" si="1"/>
        <v>3300000</v>
      </c>
      <c r="K25" s="67"/>
      <c r="L25" s="67"/>
      <c r="M25" s="67"/>
      <c r="N25" s="67"/>
      <c r="O25" s="67"/>
      <c r="P25" s="67"/>
      <c r="Q25" s="67"/>
      <c r="R25" s="67"/>
      <c r="S25" s="67"/>
      <c r="T25" s="67"/>
      <c r="U25" s="67"/>
      <c r="V25" s="92" t="s">
        <v>2106</v>
      </c>
      <c r="W25" s="67"/>
      <c r="X25" s="1394"/>
      <c r="Y25" s="65" t="s">
        <v>113</v>
      </c>
      <c r="Z25" s="66">
        <v>75000.0</v>
      </c>
      <c r="AA25" s="107"/>
      <c r="AB25" s="107"/>
      <c r="AC25" s="107"/>
      <c r="AD25" s="106"/>
    </row>
    <row r="26" ht="23.25" customHeight="1">
      <c r="A26" s="93">
        <v>11.0</v>
      </c>
      <c r="B26" s="103">
        <v>44993.0</v>
      </c>
      <c r="C26" s="1152">
        <v>1.691916873755E12</v>
      </c>
      <c r="D26" s="155" t="s">
        <v>2107</v>
      </c>
      <c r="E26" s="105" t="s">
        <v>2108</v>
      </c>
      <c r="F26" s="155" t="s">
        <v>2109</v>
      </c>
      <c r="G26" s="68" t="s">
        <v>30</v>
      </c>
      <c r="H26" s="69">
        <v>1.0</v>
      </c>
      <c r="I26" s="1221">
        <v>220000.0</v>
      </c>
      <c r="J26" s="1222">
        <f t="shared" si="1"/>
        <v>220000</v>
      </c>
      <c r="K26" s="1223">
        <f t="shared" ref="K26:K29" si="6">SUM(J26)</f>
        <v>220000</v>
      </c>
      <c r="L26" s="108">
        <v>48500.0</v>
      </c>
      <c r="M26" s="115">
        <v>28500.0</v>
      </c>
      <c r="N26" s="1226">
        <f t="shared" ref="N26:N30" si="7">K26+L26-M26</f>
        <v>240000</v>
      </c>
      <c r="O26" s="981" t="s">
        <v>449</v>
      </c>
      <c r="P26" s="981" t="s">
        <v>31</v>
      </c>
      <c r="Q26" s="284"/>
      <c r="R26" s="1228"/>
      <c r="S26" s="1395" t="s">
        <v>33</v>
      </c>
      <c r="T26" s="284"/>
      <c r="U26" s="284"/>
      <c r="V26" s="284"/>
      <c r="W26" s="65"/>
      <c r="X26" s="1229"/>
      <c r="Y26" s="284" t="s">
        <v>116</v>
      </c>
      <c r="Z26" s="1230">
        <v>475000.0</v>
      </c>
      <c r="AA26" s="511"/>
      <c r="AB26" s="511"/>
      <c r="AC26" s="511"/>
      <c r="AD26" s="1229"/>
    </row>
    <row r="27" ht="35.25" customHeight="1">
      <c r="A27" s="64">
        <v>12.0</v>
      </c>
      <c r="B27" s="132">
        <v>44993.0</v>
      </c>
      <c r="C27" s="1240">
        <v>1.701967612211E12</v>
      </c>
      <c r="D27" s="63" t="s">
        <v>2110</v>
      </c>
      <c r="E27" s="131" t="s">
        <v>2111</v>
      </c>
      <c r="F27" s="63" t="s">
        <v>2112</v>
      </c>
      <c r="G27" s="63" t="s">
        <v>30</v>
      </c>
      <c r="H27" s="64">
        <v>3.0</v>
      </c>
      <c r="I27" s="1221">
        <v>220000.0</v>
      </c>
      <c r="J27" s="48">
        <f t="shared" si="1"/>
        <v>660000</v>
      </c>
      <c r="K27" s="76">
        <f t="shared" si="6"/>
        <v>660000</v>
      </c>
      <c r="L27" s="1396"/>
      <c r="M27" s="79"/>
      <c r="N27" s="80">
        <f t="shared" si="7"/>
        <v>660000</v>
      </c>
      <c r="O27" s="81" t="s">
        <v>449</v>
      </c>
      <c r="P27" s="81" t="s">
        <v>31</v>
      </c>
      <c r="Q27" s="82">
        <v>62000.0</v>
      </c>
      <c r="R27" s="83" t="s">
        <v>32</v>
      </c>
      <c r="S27" s="84" t="s">
        <v>33</v>
      </c>
      <c r="T27" s="85"/>
      <c r="U27" s="414"/>
      <c r="V27" s="86"/>
      <c r="W27" s="323">
        <v>1.0</v>
      </c>
      <c r="X27" s="22"/>
      <c r="Y27" s="85" t="s">
        <v>121</v>
      </c>
      <c r="Z27" s="128">
        <v>220000.0</v>
      </c>
      <c r="AA27" s="25"/>
      <c r="AB27" s="25"/>
      <c r="AC27" s="25"/>
      <c r="AD27" s="22"/>
    </row>
    <row r="28" ht="23.25" customHeight="1">
      <c r="A28" s="64">
        <v>13.0</v>
      </c>
      <c r="B28" s="132">
        <v>44994.0</v>
      </c>
      <c r="C28" s="1240">
        <v>1.700569494818E12</v>
      </c>
      <c r="D28" s="63" t="s">
        <v>2113</v>
      </c>
      <c r="E28" s="131" t="s">
        <v>2102</v>
      </c>
      <c r="F28" s="63" t="s">
        <v>2114</v>
      </c>
      <c r="G28" s="63" t="s">
        <v>58</v>
      </c>
      <c r="H28" s="64">
        <v>1.0</v>
      </c>
      <c r="I28" s="1221">
        <v>220000.0</v>
      </c>
      <c r="J28" s="48">
        <f t="shared" si="1"/>
        <v>220000</v>
      </c>
      <c r="K28" s="76">
        <f t="shared" si="6"/>
        <v>220000</v>
      </c>
      <c r="L28" s="568">
        <v>38000.0</v>
      </c>
      <c r="M28" s="115">
        <v>18000.0</v>
      </c>
      <c r="N28" s="80">
        <f t="shared" si="7"/>
        <v>240000</v>
      </c>
      <c r="O28" s="81" t="s">
        <v>449</v>
      </c>
      <c r="P28" s="81" t="s">
        <v>31</v>
      </c>
      <c r="Q28" s="90"/>
      <c r="R28" s="91"/>
      <c r="S28" s="84" t="s">
        <v>33</v>
      </c>
      <c r="T28" s="85"/>
      <c r="U28" s="414"/>
      <c r="V28" s="86"/>
      <c r="W28" s="86"/>
      <c r="X28" s="22"/>
      <c r="Y28" s="85" t="s">
        <v>123</v>
      </c>
      <c r="Z28" s="128">
        <v>220000.0</v>
      </c>
      <c r="AA28" s="25"/>
      <c r="AB28" s="25"/>
      <c r="AC28" s="25"/>
      <c r="AD28" s="22"/>
    </row>
    <row r="29" ht="23.25" customHeight="1">
      <c r="A29" s="64">
        <v>14.0</v>
      </c>
      <c r="B29" s="132">
        <v>44994.0</v>
      </c>
      <c r="C29" s="1240">
        <v>1.70068194084E12</v>
      </c>
      <c r="D29" s="63" t="s">
        <v>771</v>
      </c>
      <c r="E29" s="131" t="s">
        <v>772</v>
      </c>
      <c r="F29" s="63" t="s">
        <v>2115</v>
      </c>
      <c r="G29" s="63" t="s">
        <v>47</v>
      </c>
      <c r="H29" s="64">
        <v>1.0</v>
      </c>
      <c r="I29" s="1221">
        <v>220000.0</v>
      </c>
      <c r="J29" s="48">
        <f t="shared" si="1"/>
        <v>220000</v>
      </c>
      <c r="K29" s="76">
        <f t="shared" si="6"/>
        <v>220000</v>
      </c>
      <c r="L29" s="1397">
        <v>45000.0</v>
      </c>
      <c r="M29" s="115">
        <v>25000.0</v>
      </c>
      <c r="N29" s="80">
        <f t="shared" si="7"/>
        <v>240000</v>
      </c>
      <c r="O29" s="81" t="s">
        <v>449</v>
      </c>
      <c r="P29" s="81" t="s">
        <v>31</v>
      </c>
      <c r="Q29" s="90"/>
      <c r="R29" s="91"/>
      <c r="S29" s="84" t="s">
        <v>33</v>
      </c>
      <c r="T29" s="85"/>
      <c r="U29" s="414"/>
      <c r="V29" s="86"/>
      <c r="W29" s="86"/>
      <c r="X29" s="22"/>
      <c r="Y29" s="85" t="s">
        <v>124</v>
      </c>
      <c r="Z29" s="128">
        <v>220000.0</v>
      </c>
      <c r="AA29" s="25"/>
      <c r="AB29" s="25"/>
      <c r="AC29" s="25"/>
      <c r="AD29" s="22"/>
    </row>
    <row r="30" ht="23.25" customHeight="1">
      <c r="A30" s="39">
        <v>15.0</v>
      </c>
      <c r="B30" s="1398">
        <v>44995.0</v>
      </c>
      <c r="C30" s="1146">
        <v>1.68267199853E12</v>
      </c>
      <c r="D30" s="424" t="s">
        <v>1017</v>
      </c>
      <c r="E30" s="175" t="s">
        <v>1018</v>
      </c>
      <c r="F30" s="424" t="s">
        <v>1019</v>
      </c>
      <c r="G30" s="63" t="s">
        <v>30</v>
      </c>
      <c r="H30" s="64">
        <v>2.0</v>
      </c>
      <c r="I30" s="1221">
        <v>220000.0</v>
      </c>
      <c r="J30" s="48">
        <f t="shared" si="1"/>
        <v>440000</v>
      </c>
      <c r="K30" s="49">
        <f>SUM(J30:J31)</f>
        <v>660000</v>
      </c>
      <c r="L30" s="127"/>
      <c r="M30" s="52"/>
      <c r="N30" s="53">
        <f t="shared" si="7"/>
        <v>660000</v>
      </c>
      <c r="O30" s="99" t="s">
        <v>449</v>
      </c>
      <c r="P30" s="99" t="s">
        <v>31</v>
      </c>
      <c r="Q30" s="55">
        <v>53999.0</v>
      </c>
      <c r="R30" s="56" t="s">
        <v>32</v>
      </c>
      <c r="S30" s="57" t="s">
        <v>33</v>
      </c>
      <c r="T30" s="113"/>
      <c r="U30" s="113"/>
      <c r="V30" s="59"/>
      <c r="W30" s="978">
        <v>1.0</v>
      </c>
      <c r="X30" s="22"/>
      <c r="Y30" s="129" t="s">
        <v>125</v>
      </c>
      <c r="Z30" s="80">
        <v>220000.0</v>
      </c>
      <c r="AA30" s="25"/>
      <c r="AB30" s="25"/>
      <c r="AC30" s="25"/>
      <c r="AD30" s="22"/>
    </row>
    <row r="31" ht="23.25" customHeight="1">
      <c r="A31" s="67"/>
      <c r="B31" s="67"/>
      <c r="C31" s="67"/>
      <c r="D31" s="67"/>
      <c r="E31" s="67"/>
      <c r="F31" s="67"/>
      <c r="G31" s="63" t="s">
        <v>382</v>
      </c>
      <c r="H31" s="64">
        <v>1.0</v>
      </c>
      <c r="I31" s="1221">
        <v>220000.0</v>
      </c>
      <c r="J31" s="48">
        <f t="shared" si="1"/>
        <v>220000</v>
      </c>
      <c r="K31" s="67"/>
      <c r="L31" s="67"/>
      <c r="M31" s="67"/>
      <c r="N31" s="67"/>
      <c r="O31" s="67"/>
      <c r="P31" s="67"/>
      <c r="Q31" s="67"/>
      <c r="R31" s="67"/>
      <c r="S31" s="67"/>
      <c r="T31" s="67"/>
      <c r="U31" s="67"/>
      <c r="V31" s="67"/>
      <c r="W31" s="67"/>
      <c r="X31" s="22"/>
      <c r="Y31" s="129" t="s">
        <v>129</v>
      </c>
      <c r="Z31" s="80">
        <v>220000.0</v>
      </c>
      <c r="AA31" s="25"/>
      <c r="AB31" s="25"/>
      <c r="AC31" s="25"/>
      <c r="AD31" s="22"/>
    </row>
    <row r="32" ht="23.25" customHeight="1">
      <c r="A32" s="39">
        <v>16.0</v>
      </c>
      <c r="B32" s="1398">
        <v>44995.0</v>
      </c>
      <c r="C32" s="683">
        <v>1.692439415533E12</v>
      </c>
      <c r="D32" s="126" t="s">
        <v>2116</v>
      </c>
      <c r="E32" s="175" t="s">
        <v>2117</v>
      </c>
      <c r="F32" s="126" t="s">
        <v>2118</v>
      </c>
      <c r="G32" s="63" t="s">
        <v>30</v>
      </c>
      <c r="H32" s="64">
        <v>1.0</v>
      </c>
      <c r="I32" s="1221">
        <v>220000.0</v>
      </c>
      <c r="J32" s="48">
        <f t="shared" si="1"/>
        <v>220000</v>
      </c>
      <c r="K32" s="49">
        <f>SUM(J32:J34)</f>
        <v>660000</v>
      </c>
      <c r="L32" s="127"/>
      <c r="M32" s="52"/>
      <c r="N32" s="53">
        <f>K32+L32-M32</f>
        <v>660000</v>
      </c>
      <c r="O32" s="99" t="s">
        <v>449</v>
      </c>
      <c r="P32" s="99" t="s">
        <v>31</v>
      </c>
      <c r="Q32" s="55">
        <v>53999.0</v>
      </c>
      <c r="R32" s="56" t="s">
        <v>32</v>
      </c>
      <c r="S32" s="57" t="s">
        <v>33</v>
      </c>
      <c r="T32" s="100"/>
      <c r="U32" s="977"/>
      <c r="V32" s="58"/>
      <c r="W32" s="978">
        <v>1.0</v>
      </c>
      <c r="X32" s="22"/>
      <c r="Y32" s="85" t="s">
        <v>133</v>
      </c>
      <c r="Z32" s="128">
        <v>220000.0</v>
      </c>
      <c r="AA32" s="25"/>
      <c r="AB32" s="25"/>
      <c r="AC32" s="25"/>
      <c r="AD32" s="22"/>
    </row>
    <row r="33" ht="23.25" customHeight="1">
      <c r="A33" s="62"/>
      <c r="B33" s="62"/>
      <c r="C33" s="423"/>
      <c r="D33" s="62"/>
      <c r="E33" s="62"/>
      <c r="F33" s="62"/>
      <c r="G33" s="63" t="s">
        <v>382</v>
      </c>
      <c r="H33" s="64">
        <v>1.0</v>
      </c>
      <c r="I33" s="1221">
        <v>220000.0</v>
      </c>
      <c r="J33" s="48">
        <f t="shared" si="1"/>
        <v>220000</v>
      </c>
      <c r="K33" s="62"/>
      <c r="L33" s="62"/>
      <c r="M33" s="62"/>
      <c r="N33" s="62"/>
      <c r="O33" s="62"/>
      <c r="P33" s="62"/>
      <c r="Q33" s="62"/>
      <c r="R33" s="62"/>
      <c r="S33" s="62"/>
      <c r="T33" s="62"/>
      <c r="U33" s="62"/>
      <c r="V33" s="62"/>
      <c r="W33" s="62"/>
      <c r="X33" s="22"/>
      <c r="Y33" s="85" t="s">
        <v>135</v>
      </c>
      <c r="Z33" s="128">
        <v>220000.0</v>
      </c>
      <c r="AA33" s="25"/>
      <c r="AB33" s="25"/>
      <c r="AC33" s="25"/>
      <c r="AD33" s="22"/>
    </row>
    <row r="34" ht="23.25" customHeight="1">
      <c r="A34" s="67"/>
      <c r="B34" s="67"/>
      <c r="C34" s="102"/>
      <c r="D34" s="67"/>
      <c r="E34" s="67"/>
      <c r="F34" s="67"/>
      <c r="G34" s="63" t="s">
        <v>122</v>
      </c>
      <c r="H34" s="64">
        <v>1.0</v>
      </c>
      <c r="I34" s="1221">
        <v>220000.0</v>
      </c>
      <c r="J34" s="48">
        <f t="shared" si="1"/>
        <v>220000</v>
      </c>
      <c r="K34" s="67"/>
      <c r="L34" s="67"/>
      <c r="M34" s="67"/>
      <c r="N34" s="67"/>
      <c r="O34" s="67"/>
      <c r="P34" s="67"/>
      <c r="Q34" s="67"/>
      <c r="R34" s="67"/>
      <c r="S34" s="67"/>
      <c r="T34" s="67"/>
      <c r="U34" s="67"/>
      <c r="V34" s="67"/>
      <c r="W34" s="67"/>
      <c r="X34" s="22"/>
      <c r="Y34" s="85" t="s">
        <v>139</v>
      </c>
      <c r="Z34" s="128">
        <v>80000.0</v>
      </c>
      <c r="AA34" s="25"/>
      <c r="AB34" s="25"/>
      <c r="AC34" s="25"/>
      <c r="AD34" s="22"/>
    </row>
    <row r="35" ht="35.25" customHeight="1">
      <c r="A35" s="73">
        <v>17.0</v>
      </c>
      <c r="B35" s="1399">
        <v>44996.0</v>
      </c>
      <c r="C35" s="1400">
        <v>1.700766648774E12</v>
      </c>
      <c r="D35" s="888" t="s">
        <v>2107</v>
      </c>
      <c r="E35" s="1401" t="s">
        <v>2108</v>
      </c>
      <c r="F35" s="888" t="s">
        <v>2119</v>
      </c>
      <c r="G35" s="72" t="s">
        <v>35</v>
      </c>
      <c r="H35" s="73">
        <v>1.0</v>
      </c>
      <c r="I35" s="1402"/>
      <c r="J35" s="75">
        <f t="shared" si="1"/>
        <v>0</v>
      </c>
      <c r="K35" s="717">
        <f>SUM(J35)</f>
        <v>0</v>
      </c>
      <c r="L35" s="1403"/>
      <c r="M35" s="1404"/>
      <c r="N35" s="1405">
        <f t="shared" ref="N35:N36" si="8">K35+L35-M35</f>
        <v>0</v>
      </c>
      <c r="O35" s="1406" t="s">
        <v>449</v>
      </c>
      <c r="P35" s="1406" t="s">
        <v>31</v>
      </c>
      <c r="Q35" s="1407">
        <v>43501.0</v>
      </c>
      <c r="R35" s="1406" t="s">
        <v>32</v>
      </c>
      <c r="S35" s="1408" t="s">
        <v>33</v>
      </c>
      <c r="T35" s="1409"/>
      <c r="U35" s="1409"/>
      <c r="V35" s="1410" t="s">
        <v>2120</v>
      </c>
      <c r="W35" s="1411"/>
      <c r="X35" s="492"/>
      <c r="Y35" s="129" t="s">
        <v>142</v>
      </c>
      <c r="Z35" s="80">
        <v>220000.0</v>
      </c>
      <c r="AA35" s="491"/>
      <c r="AB35" s="491"/>
      <c r="AC35" s="491"/>
      <c r="AD35" s="492"/>
    </row>
    <row r="36" ht="23.25" customHeight="1">
      <c r="A36" s="111">
        <v>18.0</v>
      </c>
      <c r="B36" s="1412">
        <v>44996.0</v>
      </c>
      <c r="C36" s="1135">
        <v>1.702190782814E12</v>
      </c>
      <c r="D36" s="142" t="s">
        <v>2121</v>
      </c>
      <c r="E36" s="143" t="s">
        <v>2122</v>
      </c>
      <c r="F36" s="142" t="s">
        <v>2123</v>
      </c>
      <c r="G36" s="63" t="s">
        <v>30</v>
      </c>
      <c r="H36" s="64">
        <v>2.0</v>
      </c>
      <c r="I36" s="1221">
        <v>220000.0</v>
      </c>
      <c r="J36" s="48">
        <f t="shared" si="1"/>
        <v>440000</v>
      </c>
      <c r="K36" s="49">
        <f>SUM(J36:J37)</f>
        <v>660000</v>
      </c>
      <c r="L36" s="146"/>
      <c r="M36" s="52"/>
      <c r="N36" s="53">
        <f t="shared" si="8"/>
        <v>660000</v>
      </c>
      <c r="O36" s="99" t="s">
        <v>449</v>
      </c>
      <c r="P36" s="99" t="s">
        <v>31</v>
      </c>
      <c r="Q36" s="145">
        <v>53999.0</v>
      </c>
      <c r="R36" s="56" t="s">
        <v>32</v>
      </c>
      <c r="S36" s="57" t="s">
        <v>33</v>
      </c>
      <c r="T36" s="147"/>
      <c r="U36" s="147"/>
      <c r="V36" s="147"/>
      <c r="W36" s="111">
        <v>1.0</v>
      </c>
      <c r="X36" s="106"/>
      <c r="Y36" s="85" t="s">
        <v>145</v>
      </c>
      <c r="Z36" s="128">
        <v>220000.0</v>
      </c>
      <c r="AA36" s="107"/>
      <c r="AB36" s="107"/>
      <c r="AC36" s="107"/>
      <c r="AD36" s="106"/>
    </row>
    <row r="37" ht="23.25" customHeight="1">
      <c r="A37" s="67"/>
      <c r="B37" s="67"/>
      <c r="C37" s="67"/>
      <c r="D37" s="67"/>
      <c r="E37" s="67"/>
      <c r="F37" s="67"/>
      <c r="G37" s="63" t="s">
        <v>122</v>
      </c>
      <c r="H37" s="64">
        <v>1.0</v>
      </c>
      <c r="I37" s="1221">
        <v>220000.0</v>
      </c>
      <c r="J37" s="48">
        <f t="shared" si="1"/>
        <v>220000</v>
      </c>
      <c r="K37" s="67"/>
      <c r="L37" s="67"/>
      <c r="M37" s="67"/>
      <c r="N37" s="67"/>
      <c r="O37" s="67"/>
      <c r="P37" s="67"/>
      <c r="Q37" s="67"/>
      <c r="R37" s="67"/>
      <c r="S37" s="67"/>
      <c r="T37" s="67"/>
      <c r="U37" s="67"/>
      <c r="V37" s="67"/>
      <c r="W37" s="67"/>
      <c r="X37" s="106"/>
      <c r="Y37" s="85" t="s">
        <v>153</v>
      </c>
      <c r="Z37" s="128">
        <v>45000.0</v>
      </c>
      <c r="AA37" s="107"/>
      <c r="AB37" s="107"/>
      <c r="AC37" s="107"/>
      <c r="AD37" s="106"/>
    </row>
    <row r="38" ht="23.25" customHeight="1">
      <c r="A38" s="483">
        <v>19.0</v>
      </c>
      <c r="B38" s="1413">
        <v>44996.0</v>
      </c>
      <c r="C38" s="1414">
        <v>1.702918650013E12</v>
      </c>
      <c r="D38" s="121" t="s">
        <v>1729</v>
      </c>
      <c r="E38" s="1154" t="s">
        <v>1730</v>
      </c>
      <c r="F38" s="1415" t="s">
        <v>1731</v>
      </c>
      <c r="G38" s="156" t="s">
        <v>30</v>
      </c>
      <c r="H38" s="483">
        <v>4.0</v>
      </c>
      <c r="I38" s="1221">
        <v>220000.0</v>
      </c>
      <c r="J38" s="48">
        <f t="shared" si="1"/>
        <v>880000</v>
      </c>
      <c r="K38" s="76">
        <f t="shared" ref="K38:K39" si="9">SUM(J38)</f>
        <v>880000</v>
      </c>
      <c r="L38" s="89"/>
      <c r="M38" s="79"/>
      <c r="N38" s="138">
        <f>K38+L38-M38</f>
        <v>880000</v>
      </c>
      <c r="O38" s="81" t="s">
        <v>449</v>
      </c>
      <c r="P38" s="81" t="s">
        <v>31</v>
      </c>
      <c r="Q38" s="1416">
        <v>59998.0</v>
      </c>
      <c r="R38" s="83" t="s">
        <v>32</v>
      </c>
      <c r="S38" s="84" t="s">
        <v>33</v>
      </c>
      <c r="T38" s="673"/>
      <c r="U38" s="673"/>
      <c r="V38" s="412"/>
      <c r="W38" s="86"/>
      <c r="X38" s="107"/>
      <c r="Y38" s="86" t="s">
        <v>151</v>
      </c>
      <c r="Z38" s="66">
        <v>220000.0</v>
      </c>
      <c r="AA38" s="107"/>
      <c r="AB38" s="107"/>
      <c r="AC38" s="107"/>
      <c r="AD38" s="107"/>
    </row>
    <row r="39" ht="23.25" customHeight="1">
      <c r="A39" s="93">
        <v>20.0</v>
      </c>
      <c r="B39" s="103">
        <v>44998.0</v>
      </c>
      <c r="C39" s="1152">
        <v>1.691541350951E12</v>
      </c>
      <c r="D39" s="92" t="s">
        <v>2124</v>
      </c>
      <c r="E39" s="105" t="s">
        <v>2125</v>
      </c>
      <c r="F39" s="92" t="s">
        <v>2126</v>
      </c>
      <c r="G39" s="156" t="s">
        <v>75</v>
      </c>
      <c r="H39" s="483">
        <v>2.0</v>
      </c>
      <c r="I39" s="975">
        <v>45000.0</v>
      </c>
      <c r="J39" s="48">
        <f t="shared" si="1"/>
        <v>90000</v>
      </c>
      <c r="K39" s="76">
        <f t="shared" si="9"/>
        <v>90000</v>
      </c>
      <c r="L39" s="108"/>
      <c r="M39" s="79"/>
      <c r="N39" s="1133">
        <v>90000.0</v>
      </c>
      <c r="O39" s="81" t="s">
        <v>449</v>
      </c>
      <c r="P39" s="81" t="s">
        <v>31</v>
      </c>
      <c r="Q39" s="122"/>
      <c r="R39" s="91"/>
      <c r="S39" s="84" t="s">
        <v>33</v>
      </c>
      <c r="T39" s="122"/>
      <c r="U39" s="122"/>
      <c r="V39" s="122"/>
      <c r="W39" s="65"/>
      <c r="X39" s="107"/>
      <c r="Y39" s="65" t="s">
        <v>148</v>
      </c>
      <c r="Z39" s="66">
        <v>220000.0</v>
      </c>
      <c r="AA39" s="107"/>
      <c r="AB39" s="107"/>
      <c r="AC39" s="107"/>
      <c r="AD39" s="107"/>
    </row>
    <row r="40" ht="28.5" customHeight="1">
      <c r="A40" s="111">
        <v>21.0</v>
      </c>
      <c r="B40" s="112">
        <v>44998.0</v>
      </c>
      <c r="C40" s="1135">
        <v>1.702719772527E12</v>
      </c>
      <c r="D40" s="142" t="s">
        <v>2087</v>
      </c>
      <c r="E40" s="143" t="s">
        <v>45</v>
      </c>
      <c r="F40" s="142" t="s">
        <v>46</v>
      </c>
      <c r="G40" s="63" t="s">
        <v>30</v>
      </c>
      <c r="H40" s="64">
        <v>10.0</v>
      </c>
      <c r="I40" s="975">
        <v>220000.0</v>
      </c>
      <c r="J40" s="48">
        <f t="shared" si="1"/>
        <v>2200000</v>
      </c>
      <c r="K40" s="49">
        <f>SUM(J40:J42)</f>
        <v>3520000</v>
      </c>
      <c r="L40" s="146"/>
      <c r="M40" s="52"/>
      <c r="N40" s="53">
        <f>K40+L40-M40</f>
        <v>3520000</v>
      </c>
      <c r="O40" s="99" t="s">
        <v>449</v>
      </c>
      <c r="P40" s="99" t="s">
        <v>31</v>
      </c>
      <c r="Q40" s="145">
        <v>127575.0</v>
      </c>
      <c r="R40" s="56" t="s">
        <v>32</v>
      </c>
      <c r="S40" s="57" t="s">
        <v>33</v>
      </c>
      <c r="T40" s="147"/>
      <c r="U40" s="147"/>
      <c r="V40" s="147"/>
      <c r="W40" s="146"/>
      <c r="X40" s="106"/>
      <c r="Y40" s="93" t="s">
        <v>488</v>
      </c>
      <c r="Z40" s="87">
        <v>45000.0</v>
      </c>
      <c r="AA40" s="107"/>
      <c r="AB40" s="107"/>
      <c r="AC40" s="107"/>
      <c r="AD40" s="106"/>
    </row>
    <row r="41" ht="23.25" customHeight="1">
      <c r="A41" s="62"/>
      <c r="B41" s="62"/>
      <c r="C41" s="62"/>
      <c r="D41" s="62"/>
      <c r="E41" s="62"/>
      <c r="F41" s="62"/>
      <c r="G41" s="63" t="s">
        <v>47</v>
      </c>
      <c r="H41" s="64">
        <v>3.0</v>
      </c>
      <c r="I41" s="975">
        <v>220000.0</v>
      </c>
      <c r="J41" s="48">
        <f t="shared" si="1"/>
        <v>660000</v>
      </c>
      <c r="K41" s="62"/>
      <c r="L41" s="62"/>
      <c r="M41" s="62"/>
      <c r="N41" s="62"/>
      <c r="O41" s="62"/>
      <c r="P41" s="62"/>
      <c r="Q41" s="62"/>
      <c r="R41" s="62"/>
      <c r="S41" s="62"/>
      <c r="T41" s="62"/>
      <c r="U41" s="62"/>
      <c r="V41" s="62"/>
      <c r="W41" s="62"/>
      <c r="X41" s="106"/>
      <c r="Y41" s="93" t="s">
        <v>157</v>
      </c>
      <c r="Z41" s="87">
        <v>45000.0</v>
      </c>
      <c r="AA41" s="107"/>
      <c r="AB41" s="107"/>
      <c r="AC41" s="107"/>
      <c r="AD41" s="106"/>
    </row>
    <row r="42" ht="23.25" customHeight="1">
      <c r="A42" s="67"/>
      <c r="B42" s="67"/>
      <c r="C42" s="67"/>
      <c r="D42" s="67"/>
      <c r="E42" s="67"/>
      <c r="F42" s="67"/>
      <c r="G42" s="63" t="s">
        <v>165</v>
      </c>
      <c r="H42" s="64">
        <v>3.0</v>
      </c>
      <c r="I42" s="975">
        <v>220000.0</v>
      </c>
      <c r="J42" s="48">
        <f t="shared" si="1"/>
        <v>660000</v>
      </c>
      <c r="K42" s="67"/>
      <c r="L42" s="67"/>
      <c r="M42" s="67"/>
      <c r="N42" s="67"/>
      <c r="O42" s="67"/>
      <c r="P42" s="67"/>
      <c r="Q42" s="67"/>
      <c r="R42" s="67"/>
      <c r="S42" s="67"/>
      <c r="T42" s="67"/>
      <c r="U42" s="67"/>
      <c r="V42" s="67"/>
      <c r="W42" s="67"/>
      <c r="X42" s="106"/>
      <c r="Y42" s="93" t="s">
        <v>161</v>
      </c>
      <c r="Z42" s="87">
        <v>220000.0</v>
      </c>
      <c r="AA42" s="107"/>
      <c r="AB42" s="107"/>
      <c r="AC42" s="107"/>
      <c r="AD42" s="106"/>
    </row>
    <row r="43" ht="30.0" customHeight="1">
      <c r="A43" s="111">
        <v>22.0</v>
      </c>
      <c r="B43" s="112">
        <v>44998.0</v>
      </c>
      <c r="C43" s="683">
        <v>1.702902219279E12</v>
      </c>
      <c r="D43" s="142" t="s">
        <v>2127</v>
      </c>
      <c r="E43" s="143" t="s">
        <v>1656</v>
      </c>
      <c r="F43" s="1417" t="s">
        <v>2128</v>
      </c>
      <c r="G43" s="63" t="s">
        <v>122</v>
      </c>
      <c r="H43" s="64">
        <v>4.0</v>
      </c>
      <c r="I43" s="975">
        <v>220000.0</v>
      </c>
      <c r="J43" s="48">
        <f t="shared" si="1"/>
        <v>880000</v>
      </c>
      <c r="K43" s="49">
        <f>SUM(J43:J44)</f>
        <v>1760000</v>
      </c>
      <c r="L43" s="146"/>
      <c r="M43" s="52"/>
      <c r="N43" s="53">
        <f>K43+L43-M43</f>
        <v>1760000</v>
      </c>
      <c r="O43" s="99" t="s">
        <v>449</v>
      </c>
      <c r="P43" s="99" t="s">
        <v>31</v>
      </c>
      <c r="Q43" s="145">
        <v>79498.0</v>
      </c>
      <c r="R43" s="56" t="s">
        <v>32</v>
      </c>
      <c r="S43" s="57" t="s">
        <v>33</v>
      </c>
      <c r="T43" s="147"/>
      <c r="U43" s="147"/>
      <c r="V43" s="147"/>
      <c r="W43" s="146"/>
      <c r="X43" s="106"/>
      <c r="Y43" s="106"/>
      <c r="Z43" s="427"/>
      <c r="AA43" s="107"/>
      <c r="AB43" s="107"/>
      <c r="AC43" s="107"/>
      <c r="AD43" s="106"/>
    </row>
    <row r="44" ht="23.25" customHeight="1">
      <c r="A44" s="67"/>
      <c r="B44" s="67"/>
      <c r="C44" s="102"/>
      <c r="D44" s="67"/>
      <c r="E44" s="67"/>
      <c r="F44" s="67"/>
      <c r="G44" s="63" t="s">
        <v>37</v>
      </c>
      <c r="H44" s="64">
        <v>4.0</v>
      </c>
      <c r="I44" s="975">
        <v>220000.0</v>
      </c>
      <c r="J44" s="48">
        <f t="shared" si="1"/>
        <v>880000</v>
      </c>
      <c r="K44" s="67"/>
      <c r="L44" s="67"/>
      <c r="M44" s="67"/>
      <c r="N44" s="67"/>
      <c r="O44" s="67"/>
      <c r="P44" s="67"/>
      <c r="Q44" s="67"/>
      <c r="R44" s="67"/>
      <c r="S44" s="67"/>
      <c r="T44" s="67"/>
      <c r="U44" s="67"/>
      <c r="V44" s="67"/>
      <c r="W44" s="67"/>
      <c r="X44" s="106"/>
      <c r="Y44" s="106"/>
      <c r="Z44" s="427"/>
      <c r="AA44" s="107"/>
      <c r="AB44" s="107"/>
      <c r="AC44" s="107"/>
      <c r="AD44" s="106"/>
    </row>
    <row r="45" ht="23.25" customHeight="1">
      <c r="A45" s="93">
        <v>23.0</v>
      </c>
      <c r="B45" s="103">
        <v>44998.0</v>
      </c>
      <c r="C45" s="1152">
        <v>1.703260227243E12</v>
      </c>
      <c r="D45" s="92" t="s">
        <v>2129</v>
      </c>
      <c r="E45" s="105" t="s">
        <v>2130</v>
      </c>
      <c r="F45" s="92" t="s">
        <v>2131</v>
      </c>
      <c r="G45" s="63" t="s">
        <v>30</v>
      </c>
      <c r="H45" s="64">
        <v>3.0</v>
      </c>
      <c r="I45" s="975">
        <v>220000.0</v>
      </c>
      <c r="J45" s="48">
        <f>I45*$H$45</f>
        <v>660000</v>
      </c>
      <c r="K45" s="76">
        <f>SUM(J45)</f>
        <v>660000</v>
      </c>
      <c r="L45" s="65"/>
      <c r="M45" s="79"/>
      <c r="N45" s="80">
        <f t="shared" ref="N45:N46" si="10">K45+L45-M45</f>
        <v>660000</v>
      </c>
      <c r="O45" s="81" t="s">
        <v>449</v>
      </c>
      <c r="P45" s="81" t="s">
        <v>31</v>
      </c>
      <c r="Q45" s="108">
        <v>53999.0</v>
      </c>
      <c r="R45" s="83" t="s">
        <v>32</v>
      </c>
      <c r="S45" s="84" t="s">
        <v>33</v>
      </c>
      <c r="T45" s="122"/>
      <c r="U45" s="122"/>
      <c r="V45" s="122"/>
      <c r="W45" s="93">
        <v>1.0</v>
      </c>
      <c r="X45" s="106"/>
      <c r="Y45" s="106"/>
      <c r="Z45" s="427"/>
      <c r="AA45" s="107"/>
      <c r="AB45" s="107"/>
      <c r="AC45" s="107"/>
      <c r="AD45" s="106"/>
    </row>
    <row r="46" ht="23.25" customHeight="1">
      <c r="A46" s="111">
        <v>24.0</v>
      </c>
      <c r="B46" s="112">
        <v>44999.0</v>
      </c>
      <c r="C46" s="1135">
        <v>1.691683376374E12</v>
      </c>
      <c r="D46" s="142" t="s">
        <v>1726</v>
      </c>
      <c r="E46" s="143" t="s">
        <v>1727</v>
      </c>
      <c r="F46" s="44" t="s">
        <v>2132</v>
      </c>
      <c r="G46" s="63" t="s">
        <v>30</v>
      </c>
      <c r="H46" s="64">
        <v>1.0</v>
      </c>
      <c r="I46" s="975">
        <v>220000.0</v>
      </c>
      <c r="J46" s="48">
        <f t="shared" ref="J46:J91" si="11">I46*H46</f>
        <v>220000</v>
      </c>
      <c r="K46" s="49">
        <f>sum(J46:J47)</f>
        <v>440000</v>
      </c>
      <c r="L46" s="145">
        <v>50999.0</v>
      </c>
      <c r="M46" s="117">
        <v>20999.0</v>
      </c>
      <c r="N46" s="53">
        <f t="shared" si="10"/>
        <v>470000</v>
      </c>
      <c r="O46" s="99" t="s">
        <v>449</v>
      </c>
      <c r="P46" s="99" t="s">
        <v>31</v>
      </c>
      <c r="Q46" s="147"/>
      <c r="R46" s="119"/>
      <c r="S46" s="57" t="s">
        <v>33</v>
      </c>
      <c r="T46" s="147"/>
      <c r="U46" s="147"/>
      <c r="V46" s="147"/>
      <c r="W46" s="147"/>
      <c r="X46" s="106"/>
      <c r="Y46" s="106"/>
      <c r="Z46" s="427"/>
      <c r="AA46" s="107"/>
      <c r="AB46" s="107"/>
      <c r="AC46" s="107"/>
      <c r="AD46" s="106"/>
    </row>
    <row r="47" ht="23.25" customHeight="1">
      <c r="A47" s="67"/>
      <c r="B47" s="67"/>
      <c r="C47" s="67"/>
      <c r="D47" s="67"/>
      <c r="E47" s="67"/>
      <c r="F47" s="67"/>
      <c r="G47" s="63" t="s">
        <v>35</v>
      </c>
      <c r="H47" s="64">
        <v>1.0</v>
      </c>
      <c r="I47" s="975">
        <v>220000.0</v>
      </c>
      <c r="J47" s="48">
        <f t="shared" si="11"/>
        <v>220000</v>
      </c>
      <c r="K47" s="67"/>
      <c r="L47" s="67"/>
      <c r="M47" s="67"/>
      <c r="N47" s="67"/>
      <c r="O47" s="67"/>
      <c r="P47" s="67"/>
      <c r="Q47" s="67"/>
      <c r="R47" s="67"/>
      <c r="S47" s="67"/>
      <c r="T47" s="67"/>
      <c r="U47" s="67"/>
      <c r="V47" s="67"/>
      <c r="W47" s="67"/>
      <c r="X47" s="106"/>
      <c r="Y47" s="106"/>
      <c r="Z47" s="427"/>
      <c r="AA47" s="107"/>
      <c r="AB47" s="107"/>
      <c r="AC47" s="107"/>
      <c r="AD47" s="106"/>
    </row>
    <row r="48" ht="23.25" customHeight="1">
      <c r="A48" s="111">
        <v>25.0</v>
      </c>
      <c r="B48" s="112">
        <v>44999.0</v>
      </c>
      <c r="C48" s="1135">
        <v>1.70114477181E12</v>
      </c>
      <c r="D48" s="142" t="s">
        <v>2133</v>
      </c>
      <c r="E48" s="143" t="s">
        <v>2134</v>
      </c>
      <c r="F48" s="142" t="s">
        <v>2135</v>
      </c>
      <c r="G48" s="63" t="s">
        <v>122</v>
      </c>
      <c r="H48" s="64">
        <v>2.0</v>
      </c>
      <c r="I48" s="975">
        <v>220000.0</v>
      </c>
      <c r="J48" s="48">
        <f t="shared" si="11"/>
        <v>440000</v>
      </c>
      <c r="K48" s="49">
        <f>SUM(J48:J49)</f>
        <v>880000</v>
      </c>
      <c r="L48" s="146"/>
      <c r="M48" s="52"/>
      <c r="N48" s="53">
        <f>K48+L48-M48</f>
        <v>880000</v>
      </c>
      <c r="O48" s="99" t="s">
        <v>449</v>
      </c>
      <c r="P48" s="99" t="s">
        <v>31</v>
      </c>
      <c r="Q48" s="145">
        <v>64000.0</v>
      </c>
      <c r="R48" s="56" t="s">
        <v>32</v>
      </c>
      <c r="S48" s="57" t="s">
        <v>33</v>
      </c>
      <c r="T48" s="147"/>
      <c r="U48" s="147"/>
      <c r="V48" s="147"/>
      <c r="W48" s="147"/>
      <c r="X48" s="106"/>
      <c r="Y48" s="106"/>
      <c r="Z48" s="427"/>
      <c r="AA48" s="107"/>
      <c r="AB48" s="107"/>
      <c r="AC48" s="107"/>
      <c r="AD48" s="106"/>
    </row>
    <row r="49" ht="23.25" customHeight="1">
      <c r="A49" s="67"/>
      <c r="B49" s="67"/>
      <c r="C49" s="67"/>
      <c r="D49" s="67"/>
      <c r="E49" s="67"/>
      <c r="F49" s="67"/>
      <c r="G49" s="63" t="s">
        <v>382</v>
      </c>
      <c r="H49" s="64">
        <v>2.0</v>
      </c>
      <c r="I49" s="975">
        <v>220000.0</v>
      </c>
      <c r="J49" s="48">
        <f t="shared" si="11"/>
        <v>440000</v>
      </c>
      <c r="K49" s="67"/>
      <c r="L49" s="67"/>
      <c r="M49" s="67"/>
      <c r="N49" s="67"/>
      <c r="O49" s="67"/>
      <c r="P49" s="67"/>
      <c r="Q49" s="67"/>
      <c r="R49" s="67"/>
      <c r="S49" s="67"/>
      <c r="T49" s="67"/>
      <c r="U49" s="67"/>
      <c r="V49" s="67"/>
      <c r="W49" s="67"/>
      <c r="X49" s="106"/>
      <c r="Y49" s="106"/>
      <c r="Z49" s="427"/>
      <c r="AA49" s="107"/>
      <c r="AB49" s="107"/>
      <c r="AC49" s="107"/>
      <c r="AD49" s="106"/>
    </row>
    <row r="50" ht="23.25" customHeight="1">
      <c r="A50" s="93">
        <v>26.0</v>
      </c>
      <c r="B50" s="103">
        <v>45000.0</v>
      </c>
      <c r="C50" s="1152">
        <v>1.710968553539E12</v>
      </c>
      <c r="D50" s="92" t="s">
        <v>2136</v>
      </c>
      <c r="E50" s="105" t="s">
        <v>2137</v>
      </c>
      <c r="F50" s="92" t="s">
        <v>2138</v>
      </c>
      <c r="G50" s="63" t="s">
        <v>75</v>
      </c>
      <c r="H50" s="64">
        <v>2.0</v>
      </c>
      <c r="I50" s="975">
        <v>45000.0</v>
      </c>
      <c r="J50" s="48">
        <f t="shared" si="11"/>
        <v>90000</v>
      </c>
      <c r="K50" s="76">
        <f t="shared" ref="K50:K51" si="12">SUM(J50)</f>
        <v>90000</v>
      </c>
      <c r="L50" s="108">
        <v>42000.0</v>
      </c>
      <c r="M50" s="115">
        <v>22000.0</v>
      </c>
      <c r="N50" s="80">
        <f t="shared" ref="N50:N52" si="13">K50+L50-M50</f>
        <v>110000</v>
      </c>
      <c r="O50" s="81" t="s">
        <v>449</v>
      </c>
      <c r="P50" s="81" t="s">
        <v>31</v>
      </c>
      <c r="Q50" s="122"/>
      <c r="R50" s="91"/>
      <c r="S50" s="84" t="s">
        <v>33</v>
      </c>
      <c r="T50" s="122"/>
      <c r="U50" s="122"/>
      <c r="V50" s="122"/>
      <c r="W50" s="122"/>
      <c r="X50" s="106"/>
      <c r="Y50" s="106"/>
      <c r="Z50" s="427"/>
      <c r="AA50" s="107"/>
      <c r="AB50" s="107"/>
      <c r="AC50" s="107"/>
      <c r="AD50" s="106"/>
    </row>
    <row r="51" ht="23.25" customHeight="1">
      <c r="A51" s="93">
        <v>27.0</v>
      </c>
      <c r="B51" s="103">
        <v>45000.0</v>
      </c>
      <c r="C51" s="1152">
        <v>1.703400516906E12</v>
      </c>
      <c r="D51" s="92" t="s">
        <v>2139</v>
      </c>
      <c r="E51" s="105" t="s">
        <v>2140</v>
      </c>
      <c r="F51" s="121" t="s">
        <v>2141</v>
      </c>
      <c r="G51" s="63" t="s">
        <v>30</v>
      </c>
      <c r="H51" s="64">
        <v>1.0</v>
      </c>
      <c r="I51" s="975">
        <v>220000.0</v>
      </c>
      <c r="J51" s="48">
        <f t="shared" si="11"/>
        <v>220000</v>
      </c>
      <c r="K51" s="76">
        <f t="shared" si="12"/>
        <v>220000</v>
      </c>
      <c r="L51" s="108">
        <v>45000.0</v>
      </c>
      <c r="M51" s="115">
        <v>25000.0</v>
      </c>
      <c r="N51" s="80">
        <f t="shared" si="13"/>
        <v>240000</v>
      </c>
      <c r="O51" s="81" t="s">
        <v>449</v>
      </c>
      <c r="P51" s="81" t="s">
        <v>31</v>
      </c>
      <c r="Q51" s="122"/>
      <c r="R51" s="91"/>
      <c r="S51" s="84" t="s">
        <v>33</v>
      </c>
      <c r="T51" s="122"/>
      <c r="U51" s="122"/>
      <c r="V51" s="122"/>
      <c r="W51" s="122"/>
      <c r="X51" s="106"/>
      <c r="Y51" s="106"/>
      <c r="Z51" s="427"/>
      <c r="AA51" s="107"/>
      <c r="AB51" s="107"/>
      <c r="AC51" s="107"/>
      <c r="AD51" s="106"/>
    </row>
    <row r="52" ht="23.25" customHeight="1">
      <c r="A52" s="152">
        <v>28.0</v>
      </c>
      <c r="B52" s="190">
        <v>45001.0</v>
      </c>
      <c r="C52" s="1418">
        <v>1.680879650887E12</v>
      </c>
      <c r="D52" s="744" t="s">
        <v>2142</v>
      </c>
      <c r="E52" s="1419" t="s">
        <v>2143</v>
      </c>
      <c r="F52" s="1420" t="s">
        <v>2144</v>
      </c>
      <c r="G52" s="68" t="s">
        <v>382</v>
      </c>
      <c r="H52" s="69">
        <v>2.0</v>
      </c>
      <c r="I52" s="975">
        <v>220000.0</v>
      </c>
      <c r="J52" s="48">
        <f t="shared" si="11"/>
        <v>440000</v>
      </c>
      <c r="K52" s="49">
        <f>sum(J52:J53)</f>
        <v>880000</v>
      </c>
      <c r="L52" s="722"/>
      <c r="M52" s="52"/>
      <c r="N52" s="53">
        <f t="shared" si="13"/>
        <v>880000</v>
      </c>
      <c r="O52" s="99" t="s">
        <v>449</v>
      </c>
      <c r="P52" s="99" t="s">
        <v>31</v>
      </c>
      <c r="Q52" s="743">
        <v>137002.0</v>
      </c>
      <c r="R52" s="56" t="s">
        <v>32</v>
      </c>
      <c r="S52" s="57" t="s">
        <v>33</v>
      </c>
      <c r="T52" s="742"/>
      <c r="U52" s="742"/>
      <c r="V52" s="1421" t="s">
        <v>2145</v>
      </c>
      <c r="W52" s="152"/>
      <c r="X52" s="123"/>
      <c r="Y52" s="123"/>
      <c r="Z52" s="712"/>
      <c r="AA52" s="585"/>
      <c r="AB52" s="585"/>
      <c r="AC52" s="585"/>
      <c r="AD52" s="123"/>
    </row>
    <row r="53" ht="23.25" customHeight="1">
      <c r="A53" s="67"/>
      <c r="B53" s="67"/>
      <c r="C53" s="67"/>
      <c r="D53" s="67"/>
      <c r="E53" s="67"/>
      <c r="F53" s="67"/>
      <c r="G53" s="68" t="s">
        <v>122</v>
      </c>
      <c r="H53" s="69">
        <v>2.0</v>
      </c>
      <c r="I53" s="975">
        <v>220000.0</v>
      </c>
      <c r="J53" s="48">
        <f t="shared" si="11"/>
        <v>440000</v>
      </c>
      <c r="K53" s="67"/>
      <c r="L53" s="67"/>
      <c r="M53" s="67"/>
      <c r="N53" s="67"/>
      <c r="O53" s="67"/>
      <c r="P53" s="67"/>
      <c r="Q53" s="67"/>
      <c r="R53" s="67"/>
      <c r="S53" s="67"/>
      <c r="T53" s="67"/>
      <c r="U53" s="67"/>
      <c r="V53" s="67"/>
      <c r="W53" s="67"/>
      <c r="X53" s="123"/>
      <c r="Y53" s="123"/>
      <c r="Z53" s="712"/>
      <c r="AA53" s="585"/>
      <c r="AB53" s="585"/>
      <c r="AC53" s="585"/>
      <c r="AD53" s="123"/>
    </row>
    <row r="54" ht="23.25" customHeight="1">
      <c r="A54" s="111">
        <v>29.0</v>
      </c>
      <c r="B54" s="112">
        <v>45001.0</v>
      </c>
      <c r="C54" s="1135">
        <v>1.684003384655E12</v>
      </c>
      <c r="D54" s="142" t="s">
        <v>2089</v>
      </c>
      <c r="E54" s="143" t="s">
        <v>2090</v>
      </c>
      <c r="F54" s="44" t="s">
        <v>2091</v>
      </c>
      <c r="G54" s="63" t="s">
        <v>382</v>
      </c>
      <c r="H54" s="64">
        <v>1.0</v>
      </c>
      <c r="I54" s="975">
        <v>220000.0</v>
      </c>
      <c r="J54" s="48">
        <f t="shared" si="11"/>
        <v>220000</v>
      </c>
      <c r="K54" s="49">
        <f>sum(J54:J56)</f>
        <v>660000</v>
      </c>
      <c r="L54" s="146"/>
      <c r="M54" s="52"/>
      <c r="N54" s="53">
        <f>K54+L54-M54</f>
        <v>660000</v>
      </c>
      <c r="O54" s="99" t="s">
        <v>449</v>
      </c>
      <c r="P54" s="99" t="s">
        <v>31</v>
      </c>
      <c r="Q54" s="145">
        <v>53999.0</v>
      </c>
      <c r="R54" s="56" t="s">
        <v>32</v>
      </c>
      <c r="S54" s="57" t="s">
        <v>33</v>
      </c>
      <c r="T54" s="147"/>
      <c r="U54" s="147"/>
      <c r="V54" s="147"/>
      <c r="W54" s="111">
        <v>1.0</v>
      </c>
      <c r="X54" s="106"/>
      <c r="Y54" s="106"/>
      <c r="Z54" s="427"/>
      <c r="AA54" s="107"/>
      <c r="AB54" s="107"/>
      <c r="AC54" s="107"/>
      <c r="AD54" s="106"/>
    </row>
    <row r="55" ht="23.25" customHeight="1">
      <c r="A55" s="62"/>
      <c r="B55" s="62"/>
      <c r="C55" s="62"/>
      <c r="D55" s="62"/>
      <c r="E55" s="62"/>
      <c r="F55" s="62"/>
      <c r="G55" s="63" t="s">
        <v>122</v>
      </c>
      <c r="H55" s="64">
        <v>1.0</v>
      </c>
      <c r="I55" s="975">
        <v>220000.0</v>
      </c>
      <c r="J55" s="48">
        <f t="shared" si="11"/>
        <v>220000</v>
      </c>
      <c r="K55" s="62"/>
      <c r="L55" s="62"/>
      <c r="M55" s="62"/>
      <c r="N55" s="62"/>
      <c r="O55" s="62"/>
      <c r="P55" s="62"/>
      <c r="Q55" s="62"/>
      <c r="R55" s="62"/>
      <c r="S55" s="62"/>
      <c r="T55" s="62"/>
      <c r="U55" s="62"/>
      <c r="V55" s="62"/>
      <c r="W55" s="62"/>
      <c r="X55" s="106"/>
      <c r="Y55" s="106"/>
      <c r="Z55" s="427"/>
      <c r="AA55" s="107"/>
      <c r="AB55" s="107"/>
      <c r="AC55" s="107"/>
      <c r="AD55" s="106"/>
    </row>
    <row r="56" ht="23.25" customHeight="1">
      <c r="A56" s="67"/>
      <c r="B56" s="67"/>
      <c r="C56" s="67"/>
      <c r="D56" s="67"/>
      <c r="E56" s="67"/>
      <c r="F56" s="67"/>
      <c r="G56" s="63" t="s">
        <v>37</v>
      </c>
      <c r="H56" s="64">
        <v>1.0</v>
      </c>
      <c r="I56" s="975">
        <v>220000.0</v>
      </c>
      <c r="J56" s="48">
        <f t="shared" si="11"/>
        <v>220000</v>
      </c>
      <c r="K56" s="67"/>
      <c r="L56" s="67"/>
      <c r="M56" s="67"/>
      <c r="N56" s="67"/>
      <c r="O56" s="67"/>
      <c r="P56" s="67"/>
      <c r="Q56" s="67"/>
      <c r="R56" s="67"/>
      <c r="S56" s="67"/>
      <c r="T56" s="67"/>
      <c r="U56" s="67"/>
      <c r="V56" s="67"/>
      <c r="W56" s="67"/>
      <c r="X56" s="106"/>
      <c r="Y56" s="106"/>
      <c r="Z56" s="427"/>
      <c r="AA56" s="107"/>
      <c r="AB56" s="107"/>
      <c r="AC56" s="107"/>
      <c r="AD56" s="106"/>
    </row>
    <row r="57" ht="23.25" customHeight="1">
      <c r="A57" s="111">
        <v>30.0</v>
      </c>
      <c r="B57" s="112">
        <v>45002.0</v>
      </c>
      <c r="C57" s="683">
        <v>1.700960286754E12</v>
      </c>
      <c r="D57" s="142" t="s">
        <v>1156</v>
      </c>
      <c r="E57" s="143" t="s">
        <v>150</v>
      </c>
      <c r="F57" s="142" t="s">
        <v>1157</v>
      </c>
      <c r="G57" s="63" t="s">
        <v>30</v>
      </c>
      <c r="H57" s="64">
        <v>1.0</v>
      </c>
      <c r="I57" s="975">
        <v>220000.0</v>
      </c>
      <c r="J57" s="48">
        <f t="shared" si="11"/>
        <v>220000</v>
      </c>
      <c r="K57" s="49">
        <f>SUM(J57:J58)</f>
        <v>440000</v>
      </c>
      <c r="L57" s="145">
        <v>50999.0</v>
      </c>
      <c r="M57" s="117">
        <v>20999.0</v>
      </c>
      <c r="N57" s="53">
        <f>K57+L57-M57</f>
        <v>470000</v>
      </c>
      <c r="O57" s="99" t="s">
        <v>449</v>
      </c>
      <c r="P57" s="99" t="s">
        <v>31</v>
      </c>
      <c r="Q57" s="146"/>
      <c r="R57" s="119"/>
      <c r="S57" s="57" t="s">
        <v>33</v>
      </c>
      <c r="T57" s="147"/>
      <c r="U57" s="147"/>
      <c r="V57" s="147"/>
      <c r="W57" s="147"/>
      <c r="X57" s="106"/>
      <c r="Y57" s="106"/>
      <c r="Z57" s="427"/>
      <c r="AA57" s="107"/>
      <c r="AB57" s="107"/>
      <c r="AC57" s="107"/>
      <c r="AD57" s="106"/>
    </row>
    <row r="58" ht="23.25" customHeight="1">
      <c r="A58" s="67"/>
      <c r="B58" s="67"/>
      <c r="C58" s="102"/>
      <c r="D58" s="67"/>
      <c r="E58" s="67"/>
      <c r="F58" s="67"/>
      <c r="G58" s="63" t="s">
        <v>35</v>
      </c>
      <c r="H58" s="64">
        <v>1.0</v>
      </c>
      <c r="I58" s="975">
        <v>220000.0</v>
      </c>
      <c r="J58" s="48">
        <f t="shared" si="11"/>
        <v>220000</v>
      </c>
      <c r="K58" s="67"/>
      <c r="L58" s="67"/>
      <c r="M58" s="67"/>
      <c r="N58" s="67"/>
      <c r="O58" s="67"/>
      <c r="P58" s="67"/>
      <c r="Q58" s="67"/>
      <c r="R58" s="67"/>
      <c r="S58" s="67"/>
      <c r="T58" s="67"/>
      <c r="U58" s="67"/>
      <c r="V58" s="67"/>
      <c r="W58" s="67"/>
      <c r="X58" s="106"/>
      <c r="Y58" s="106"/>
      <c r="Z58" s="427"/>
      <c r="AA58" s="107"/>
      <c r="AB58" s="107"/>
      <c r="AC58" s="107"/>
      <c r="AD58" s="106"/>
    </row>
    <row r="59" ht="42.75" customHeight="1">
      <c r="A59" s="93">
        <v>31.0</v>
      </c>
      <c r="B59" s="103">
        <v>45002.0</v>
      </c>
      <c r="C59" s="1218">
        <v>1.701467538562E12</v>
      </c>
      <c r="D59" s="92" t="s">
        <v>2146</v>
      </c>
      <c r="E59" s="1154" t="s">
        <v>2147</v>
      </c>
      <c r="F59" s="121" t="s">
        <v>2148</v>
      </c>
      <c r="G59" s="63" t="s">
        <v>30</v>
      </c>
      <c r="H59" s="64">
        <v>1.0</v>
      </c>
      <c r="I59" s="975">
        <v>220000.0</v>
      </c>
      <c r="J59" s="48">
        <f t="shared" si="11"/>
        <v>220000</v>
      </c>
      <c r="K59" s="76">
        <f t="shared" ref="K59:K63" si="14">SUM(J59)</f>
        <v>220000</v>
      </c>
      <c r="L59" s="108">
        <v>45000.0</v>
      </c>
      <c r="M59" s="115">
        <v>25000.0</v>
      </c>
      <c r="N59" s="80">
        <f t="shared" ref="N59:N64" si="15">K59+L59-M59</f>
        <v>240000</v>
      </c>
      <c r="O59" s="81" t="s">
        <v>449</v>
      </c>
      <c r="P59" s="81" t="s">
        <v>31</v>
      </c>
      <c r="Q59" s="65"/>
      <c r="R59" s="91"/>
      <c r="S59" s="84" t="s">
        <v>33</v>
      </c>
      <c r="T59" s="122"/>
      <c r="U59" s="122"/>
      <c r="V59" s="122"/>
      <c r="W59" s="122"/>
      <c r="X59" s="106"/>
      <c r="Y59" s="106"/>
      <c r="Z59" s="427"/>
      <c r="AA59" s="107"/>
      <c r="AB59" s="107"/>
      <c r="AC59" s="107"/>
      <c r="AD59" s="106"/>
    </row>
    <row r="60" ht="23.25" customHeight="1">
      <c r="A60" s="93">
        <v>32.0</v>
      </c>
      <c r="B60" s="103">
        <v>45002.0</v>
      </c>
      <c r="C60" s="1152">
        <v>1.70231642267E12</v>
      </c>
      <c r="D60" s="92" t="s">
        <v>2142</v>
      </c>
      <c r="E60" s="105" t="s">
        <v>2143</v>
      </c>
      <c r="F60" s="92" t="s">
        <v>2149</v>
      </c>
      <c r="G60" s="63" t="s">
        <v>122</v>
      </c>
      <c r="H60" s="64">
        <v>1.0</v>
      </c>
      <c r="I60" s="975">
        <v>220000.0</v>
      </c>
      <c r="J60" s="48">
        <f t="shared" si="11"/>
        <v>220000</v>
      </c>
      <c r="K60" s="76">
        <f t="shared" si="14"/>
        <v>220000</v>
      </c>
      <c r="L60" s="108">
        <v>45000.0</v>
      </c>
      <c r="M60" s="115">
        <v>25000.0</v>
      </c>
      <c r="N60" s="80">
        <f t="shared" si="15"/>
        <v>240000</v>
      </c>
      <c r="O60" s="81" t="s">
        <v>449</v>
      </c>
      <c r="P60" s="81" t="s">
        <v>31</v>
      </c>
      <c r="Q60" s="65"/>
      <c r="R60" s="91"/>
      <c r="S60" s="84" t="s">
        <v>33</v>
      </c>
      <c r="T60" s="122"/>
      <c r="U60" s="122"/>
      <c r="V60" s="122"/>
      <c r="W60" s="122"/>
      <c r="X60" s="106"/>
      <c r="Y60" s="106"/>
      <c r="Z60" s="427"/>
      <c r="AA60" s="107"/>
      <c r="AB60" s="107"/>
      <c r="AC60" s="107"/>
      <c r="AD60" s="106"/>
    </row>
    <row r="61" ht="23.25" customHeight="1">
      <c r="A61" s="93">
        <v>33.0</v>
      </c>
      <c r="B61" s="103">
        <v>45003.0</v>
      </c>
      <c r="C61" s="1152">
        <v>1.683496943017E12</v>
      </c>
      <c r="D61" s="92" t="s">
        <v>2150</v>
      </c>
      <c r="E61" s="105" t="s">
        <v>2151</v>
      </c>
      <c r="F61" s="1422" t="s">
        <v>2152</v>
      </c>
      <c r="G61" s="63" t="s">
        <v>382</v>
      </c>
      <c r="H61" s="64">
        <v>1.0</v>
      </c>
      <c r="I61" s="975">
        <v>220000.0</v>
      </c>
      <c r="J61" s="48">
        <f t="shared" si="11"/>
        <v>220000</v>
      </c>
      <c r="K61" s="76">
        <f t="shared" si="14"/>
        <v>220000</v>
      </c>
      <c r="L61" s="108">
        <v>48500.0</v>
      </c>
      <c r="M61" s="115">
        <v>28500.0</v>
      </c>
      <c r="N61" s="80">
        <f t="shared" si="15"/>
        <v>240000</v>
      </c>
      <c r="O61" s="81" t="s">
        <v>449</v>
      </c>
      <c r="P61" s="81" t="s">
        <v>31</v>
      </c>
      <c r="Q61" s="65"/>
      <c r="R61" s="91"/>
      <c r="S61" s="84" t="s">
        <v>33</v>
      </c>
      <c r="T61" s="122"/>
      <c r="U61" s="122"/>
      <c r="V61" s="122"/>
      <c r="W61" s="122"/>
      <c r="X61" s="106"/>
      <c r="Y61" s="106"/>
      <c r="Z61" s="427"/>
      <c r="AA61" s="107"/>
      <c r="AB61" s="107"/>
      <c r="AC61" s="107"/>
      <c r="AD61" s="106"/>
    </row>
    <row r="62" ht="23.25" customHeight="1">
      <c r="A62" s="93">
        <v>34.0</v>
      </c>
      <c r="B62" s="103">
        <v>45005.0</v>
      </c>
      <c r="C62" s="1423">
        <v>1.701939555798E12</v>
      </c>
      <c r="D62" s="92" t="s">
        <v>1017</v>
      </c>
      <c r="E62" s="105" t="s">
        <v>1018</v>
      </c>
      <c r="F62" s="1153" t="s">
        <v>2153</v>
      </c>
      <c r="G62" s="63" t="s">
        <v>30</v>
      </c>
      <c r="H62" s="64">
        <v>1.0</v>
      </c>
      <c r="I62" s="975">
        <v>220000.0</v>
      </c>
      <c r="J62" s="48">
        <f t="shared" si="11"/>
        <v>220000</v>
      </c>
      <c r="K62" s="76">
        <f t="shared" si="14"/>
        <v>220000</v>
      </c>
      <c r="L62" s="108">
        <v>45000.0</v>
      </c>
      <c r="M62" s="115">
        <v>25000.0</v>
      </c>
      <c r="N62" s="80">
        <f t="shared" si="15"/>
        <v>240000</v>
      </c>
      <c r="O62" s="81" t="s">
        <v>449</v>
      </c>
      <c r="P62" s="81" t="s">
        <v>31</v>
      </c>
      <c r="Q62" s="65"/>
      <c r="R62" s="91"/>
      <c r="S62" s="84" t="s">
        <v>33</v>
      </c>
      <c r="T62" s="122"/>
      <c r="U62" s="122"/>
      <c r="V62" s="122"/>
      <c r="W62" s="122"/>
      <c r="X62" s="106"/>
      <c r="Y62" s="106"/>
      <c r="Z62" s="427"/>
      <c r="AA62" s="107"/>
      <c r="AB62" s="107"/>
      <c r="AC62" s="107"/>
      <c r="AD62" s="106"/>
    </row>
    <row r="63" ht="36.0" customHeight="1">
      <c r="A63" s="93">
        <v>35.0</v>
      </c>
      <c r="B63" s="103">
        <v>45005.0</v>
      </c>
      <c r="C63" s="1152">
        <v>1.702029748716E12</v>
      </c>
      <c r="D63" s="92" t="s">
        <v>1118</v>
      </c>
      <c r="E63" s="105" t="s">
        <v>1119</v>
      </c>
      <c r="F63" s="1132" t="s">
        <v>1120</v>
      </c>
      <c r="G63" s="63" t="s">
        <v>30</v>
      </c>
      <c r="H63" s="64">
        <v>6.0</v>
      </c>
      <c r="I63" s="975">
        <v>220000.0</v>
      </c>
      <c r="J63" s="48">
        <f t="shared" si="11"/>
        <v>1320000</v>
      </c>
      <c r="K63" s="76">
        <f t="shared" si="14"/>
        <v>1320000</v>
      </c>
      <c r="L63" s="65"/>
      <c r="M63" s="79"/>
      <c r="N63" s="80">
        <f t="shared" si="15"/>
        <v>1320000</v>
      </c>
      <c r="O63" s="81" t="s">
        <v>449</v>
      </c>
      <c r="P63" s="81" t="s">
        <v>31</v>
      </c>
      <c r="Q63" s="108">
        <v>68998.0</v>
      </c>
      <c r="R63" s="83" t="s">
        <v>32</v>
      </c>
      <c r="S63" s="84" t="s">
        <v>33</v>
      </c>
      <c r="T63" s="122"/>
      <c r="U63" s="122"/>
      <c r="V63" s="122"/>
      <c r="W63" s="122"/>
      <c r="X63" s="106"/>
      <c r="Y63" s="106"/>
      <c r="Z63" s="427"/>
      <c r="AA63" s="107"/>
      <c r="AB63" s="107"/>
      <c r="AC63" s="107"/>
      <c r="AD63" s="106"/>
    </row>
    <row r="64" ht="23.25" customHeight="1">
      <c r="A64" s="111">
        <v>36.0</v>
      </c>
      <c r="B64" s="112">
        <v>45005.0</v>
      </c>
      <c r="C64" s="1135">
        <v>1.702159846102E12</v>
      </c>
      <c r="D64" s="142" t="s">
        <v>1970</v>
      </c>
      <c r="E64" s="143" t="s">
        <v>1971</v>
      </c>
      <c r="F64" s="1136" t="s">
        <v>1972</v>
      </c>
      <c r="G64" s="63" t="s">
        <v>382</v>
      </c>
      <c r="H64" s="64">
        <v>1.0</v>
      </c>
      <c r="I64" s="975">
        <v>220000.0</v>
      </c>
      <c r="J64" s="48">
        <f t="shared" si="11"/>
        <v>220000</v>
      </c>
      <c r="K64" s="49">
        <f>SUM(J64:J65)</f>
        <v>660000</v>
      </c>
      <c r="L64" s="146"/>
      <c r="M64" s="52"/>
      <c r="N64" s="53">
        <f t="shared" si="15"/>
        <v>660000</v>
      </c>
      <c r="O64" s="99" t="s">
        <v>449</v>
      </c>
      <c r="P64" s="99" t="s">
        <v>31</v>
      </c>
      <c r="Q64" s="145">
        <v>53999.0</v>
      </c>
      <c r="R64" s="56" t="s">
        <v>32</v>
      </c>
      <c r="S64" s="57" t="s">
        <v>33</v>
      </c>
      <c r="T64" s="147"/>
      <c r="U64" s="147"/>
      <c r="V64" s="147"/>
      <c r="W64" s="111">
        <v>1.0</v>
      </c>
      <c r="X64" s="106"/>
      <c r="Y64" s="106"/>
      <c r="Z64" s="427"/>
      <c r="AA64" s="107"/>
      <c r="AB64" s="107"/>
      <c r="AC64" s="107"/>
      <c r="AD64" s="106"/>
    </row>
    <row r="65" ht="23.25" customHeight="1">
      <c r="A65" s="67"/>
      <c r="B65" s="67"/>
      <c r="C65" s="67"/>
      <c r="D65" s="67"/>
      <c r="E65" s="67"/>
      <c r="F65" s="67"/>
      <c r="G65" s="63" t="s">
        <v>122</v>
      </c>
      <c r="H65" s="64">
        <v>2.0</v>
      </c>
      <c r="I65" s="975">
        <v>220000.0</v>
      </c>
      <c r="J65" s="48">
        <f t="shared" si="11"/>
        <v>440000</v>
      </c>
      <c r="K65" s="67"/>
      <c r="L65" s="67"/>
      <c r="M65" s="67"/>
      <c r="N65" s="67"/>
      <c r="O65" s="67"/>
      <c r="P65" s="67"/>
      <c r="Q65" s="67"/>
      <c r="R65" s="67"/>
      <c r="S65" s="67"/>
      <c r="T65" s="67"/>
      <c r="U65" s="67"/>
      <c r="V65" s="67"/>
      <c r="W65" s="67"/>
      <c r="X65" s="106"/>
      <c r="Y65" s="106"/>
      <c r="Z65" s="427"/>
      <c r="AA65" s="107"/>
      <c r="AB65" s="107"/>
      <c r="AC65" s="107"/>
      <c r="AD65" s="106"/>
    </row>
    <row r="66" ht="23.25" customHeight="1">
      <c r="A66" s="111">
        <v>37.0</v>
      </c>
      <c r="B66" s="112">
        <v>45006.0</v>
      </c>
      <c r="C66" s="1424">
        <v>1.681780367356E12</v>
      </c>
      <c r="D66" s="142" t="s">
        <v>2154</v>
      </c>
      <c r="E66" s="143" t="s">
        <v>2155</v>
      </c>
      <c r="F66" s="1136" t="s">
        <v>2156</v>
      </c>
      <c r="G66" s="63" t="s">
        <v>30</v>
      </c>
      <c r="H66" s="64">
        <v>1.0</v>
      </c>
      <c r="I66" s="975">
        <v>220000.0</v>
      </c>
      <c r="J66" s="48">
        <f t="shared" si="11"/>
        <v>220000</v>
      </c>
      <c r="K66" s="49">
        <f>SUM(J66:J67)</f>
        <v>660000</v>
      </c>
      <c r="L66" s="146"/>
      <c r="M66" s="52"/>
      <c r="N66" s="53">
        <f>K66+L66-M66</f>
        <v>660000</v>
      </c>
      <c r="O66" s="99" t="s">
        <v>449</v>
      </c>
      <c r="P66" s="99" t="s">
        <v>31</v>
      </c>
      <c r="Q66" s="145">
        <v>49000.0</v>
      </c>
      <c r="R66" s="56" t="s">
        <v>32</v>
      </c>
      <c r="S66" s="57" t="s">
        <v>33</v>
      </c>
      <c r="T66" s="147"/>
      <c r="U66" s="147"/>
      <c r="V66" s="147"/>
      <c r="W66" s="111">
        <v>1.0</v>
      </c>
      <c r="X66" s="106"/>
      <c r="Y66" s="106"/>
      <c r="Z66" s="427"/>
      <c r="AA66" s="107"/>
      <c r="AB66" s="107"/>
      <c r="AC66" s="107"/>
      <c r="AD66" s="106"/>
    </row>
    <row r="67" ht="23.25" customHeight="1">
      <c r="A67" s="67"/>
      <c r="B67" s="67"/>
      <c r="C67" s="102"/>
      <c r="D67" s="67"/>
      <c r="E67" s="67"/>
      <c r="F67" s="67"/>
      <c r="G67" s="63" t="s">
        <v>35</v>
      </c>
      <c r="H67" s="64">
        <v>2.0</v>
      </c>
      <c r="I67" s="975">
        <v>220000.0</v>
      </c>
      <c r="J67" s="48">
        <f t="shared" si="11"/>
        <v>440000</v>
      </c>
      <c r="K67" s="67"/>
      <c r="L67" s="67"/>
      <c r="M67" s="67"/>
      <c r="N67" s="67"/>
      <c r="O67" s="67"/>
      <c r="P67" s="67"/>
      <c r="Q67" s="67"/>
      <c r="R67" s="67"/>
      <c r="S67" s="67"/>
      <c r="T67" s="67"/>
      <c r="U67" s="67"/>
      <c r="V67" s="67"/>
      <c r="W67" s="67"/>
      <c r="X67" s="106"/>
      <c r="Y67" s="106"/>
      <c r="Z67" s="427"/>
      <c r="AA67" s="107"/>
      <c r="AB67" s="107"/>
      <c r="AC67" s="107"/>
      <c r="AD67" s="106"/>
    </row>
    <row r="68" ht="23.25" customHeight="1">
      <c r="A68" s="93">
        <v>38.0</v>
      </c>
      <c r="B68" s="103">
        <v>45007.0</v>
      </c>
      <c r="C68" s="1425">
        <v>1.683108898711E12</v>
      </c>
      <c r="D68" s="92" t="s">
        <v>1017</v>
      </c>
      <c r="E68" s="105" t="s">
        <v>1018</v>
      </c>
      <c r="F68" s="1153" t="s">
        <v>2153</v>
      </c>
      <c r="G68" s="63" t="s">
        <v>37</v>
      </c>
      <c r="H68" s="64">
        <v>1.0</v>
      </c>
      <c r="I68" s="975">
        <v>220000.0</v>
      </c>
      <c r="J68" s="577">
        <f t="shared" si="11"/>
        <v>220000</v>
      </c>
      <c r="K68" s="76">
        <f t="shared" ref="K68:K69" si="16">SUM(J68)</f>
        <v>220000</v>
      </c>
      <c r="L68" s="108">
        <v>45000.0</v>
      </c>
      <c r="M68" s="115">
        <v>25000.0</v>
      </c>
      <c r="N68" s="80">
        <f t="shared" ref="N68:N70" si="17">K68+L68-M68</f>
        <v>240000</v>
      </c>
      <c r="O68" s="81" t="s">
        <v>449</v>
      </c>
      <c r="P68" s="176"/>
      <c r="Q68" s="65"/>
      <c r="R68" s="91"/>
      <c r="S68" s="183"/>
      <c r="T68" s="122"/>
      <c r="U68" s="122"/>
      <c r="V68" s="122"/>
      <c r="W68" s="122"/>
      <c r="X68" s="106"/>
      <c r="Y68" s="106"/>
      <c r="Z68" s="427"/>
      <c r="AA68" s="107"/>
      <c r="AB68" s="107"/>
      <c r="AC68" s="107"/>
      <c r="AD68" s="106"/>
    </row>
    <row r="69" ht="23.25" customHeight="1">
      <c r="A69" s="93">
        <v>39.0</v>
      </c>
      <c r="B69" s="103">
        <v>45007.0</v>
      </c>
      <c r="C69" s="1425">
        <v>1.692359280254E12</v>
      </c>
      <c r="D69" s="92" t="s">
        <v>2157</v>
      </c>
      <c r="E69" s="105" t="s">
        <v>2158</v>
      </c>
      <c r="F69" s="1153" t="s">
        <v>2159</v>
      </c>
      <c r="G69" s="63" t="s">
        <v>30</v>
      </c>
      <c r="H69" s="64">
        <v>1.0</v>
      </c>
      <c r="I69" s="975">
        <v>220000.0</v>
      </c>
      <c r="J69" s="577">
        <f t="shared" si="11"/>
        <v>220000</v>
      </c>
      <c r="K69" s="76">
        <f t="shared" si="16"/>
        <v>220000</v>
      </c>
      <c r="L69" s="108">
        <v>45000.0</v>
      </c>
      <c r="M69" s="115">
        <v>25000.0</v>
      </c>
      <c r="N69" s="80">
        <f t="shared" si="17"/>
        <v>240000</v>
      </c>
      <c r="O69" s="176"/>
      <c r="P69" s="176"/>
      <c r="Q69" s="65"/>
      <c r="R69" s="91"/>
      <c r="S69" s="183"/>
      <c r="T69" s="122"/>
      <c r="U69" s="122"/>
      <c r="V69" s="122"/>
      <c r="W69" s="122"/>
      <c r="X69" s="106"/>
      <c r="Y69" s="106"/>
      <c r="Z69" s="427"/>
      <c r="AA69" s="107"/>
      <c r="AB69" s="107"/>
      <c r="AC69" s="107"/>
      <c r="AD69" s="106"/>
    </row>
    <row r="70" ht="23.25" customHeight="1">
      <c r="A70" s="111">
        <v>40.0</v>
      </c>
      <c r="B70" s="112">
        <v>45007.0</v>
      </c>
      <c r="C70" s="1426">
        <v>1.701210209263E12</v>
      </c>
      <c r="D70" s="142" t="s">
        <v>510</v>
      </c>
      <c r="E70" s="143" t="s">
        <v>1861</v>
      </c>
      <c r="F70" s="1136" t="s">
        <v>1862</v>
      </c>
      <c r="G70" s="63" t="s">
        <v>37</v>
      </c>
      <c r="H70" s="64">
        <v>2.0</v>
      </c>
      <c r="I70" s="975">
        <v>220000.0</v>
      </c>
      <c r="J70" s="577">
        <f t="shared" si="11"/>
        <v>440000</v>
      </c>
      <c r="K70" s="49">
        <f>SUM(J70:J72)</f>
        <v>1120000</v>
      </c>
      <c r="L70" s="146"/>
      <c r="M70" s="52"/>
      <c r="N70" s="53">
        <f t="shared" si="17"/>
        <v>1120000</v>
      </c>
      <c r="O70" s="99" t="s">
        <v>449</v>
      </c>
      <c r="P70" s="196"/>
      <c r="Q70" s="145">
        <v>59998.0</v>
      </c>
      <c r="R70" s="56" t="s">
        <v>32</v>
      </c>
      <c r="S70" s="197"/>
      <c r="T70" s="147"/>
      <c r="U70" s="147"/>
      <c r="V70" s="142" t="s">
        <v>2106</v>
      </c>
      <c r="W70" s="147"/>
      <c r="X70" s="106"/>
      <c r="Y70" s="106"/>
      <c r="Z70" s="427"/>
      <c r="AA70" s="107"/>
      <c r="AB70" s="107"/>
      <c r="AC70" s="107"/>
      <c r="AD70" s="106"/>
    </row>
    <row r="71" ht="23.25" customHeight="1">
      <c r="A71" s="62"/>
      <c r="B71" s="62"/>
      <c r="C71" s="423"/>
      <c r="D71" s="62"/>
      <c r="E71" s="62"/>
      <c r="F71" s="62"/>
      <c r="G71" s="63" t="s">
        <v>382</v>
      </c>
      <c r="H71" s="64">
        <v>2.0</v>
      </c>
      <c r="I71" s="975">
        <v>220000.0</v>
      </c>
      <c r="J71" s="577">
        <f t="shared" si="11"/>
        <v>440000</v>
      </c>
      <c r="K71" s="62"/>
      <c r="L71" s="62"/>
      <c r="M71" s="62"/>
      <c r="N71" s="62"/>
      <c r="O71" s="62"/>
      <c r="P71" s="62"/>
      <c r="Q71" s="62"/>
      <c r="R71" s="62"/>
      <c r="S71" s="62"/>
      <c r="T71" s="62"/>
      <c r="U71" s="62"/>
      <c r="V71" s="62"/>
      <c r="W71" s="62"/>
      <c r="X71" s="106"/>
      <c r="Y71" s="106"/>
      <c r="Z71" s="427"/>
      <c r="AA71" s="107"/>
      <c r="AB71" s="107"/>
      <c r="AC71" s="107"/>
      <c r="AD71" s="106"/>
    </row>
    <row r="72" ht="23.25" customHeight="1">
      <c r="A72" s="67"/>
      <c r="B72" s="67"/>
      <c r="C72" s="102"/>
      <c r="D72" s="67"/>
      <c r="E72" s="67"/>
      <c r="F72" s="67"/>
      <c r="G72" s="63" t="s">
        <v>147</v>
      </c>
      <c r="H72" s="64">
        <v>3.0</v>
      </c>
      <c r="I72" s="975">
        <v>80000.0</v>
      </c>
      <c r="J72" s="577">
        <f t="shared" si="11"/>
        <v>240000</v>
      </c>
      <c r="K72" s="67"/>
      <c r="L72" s="67"/>
      <c r="M72" s="67"/>
      <c r="N72" s="67"/>
      <c r="O72" s="67"/>
      <c r="P72" s="67"/>
      <c r="Q72" s="67"/>
      <c r="R72" s="67"/>
      <c r="S72" s="67"/>
      <c r="T72" s="67"/>
      <c r="U72" s="67"/>
      <c r="V72" s="67"/>
      <c r="W72" s="67"/>
      <c r="X72" s="106"/>
      <c r="Y72" s="106"/>
      <c r="Z72" s="427"/>
      <c r="AA72" s="107"/>
      <c r="AB72" s="107"/>
      <c r="AC72" s="107"/>
      <c r="AD72" s="106"/>
    </row>
    <row r="73" ht="23.25" customHeight="1">
      <c r="A73" s="111">
        <v>41.0</v>
      </c>
      <c r="B73" s="112">
        <v>45007.0</v>
      </c>
      <c r="C73" s="1135">
        <v>1.692102948743E12</v>
      </c>
      <c r="D73" s="142" t="s">
        <v>2063</v>
      </c>
      <c r="E73" s="143" t="s">
        <v>2064</v>
      </c>
      <c r="F73" s="1136" t="s">
        <v>2065</v>
      </c>
      <c r="G73" s="63" t="s">
        <v>30</v>
      </c>
      <c r="H73" s="64">
        <v>2.0</v>
      </c>
      <c r="I73" s="975">
        <v>220000.0</v>
      </c>
      <c r="J73" s="577">
        <f t="shared" si="11"/>
        <v>440000</v>
      </c>
      <c r="K73" s="49">
        <f>SUM(J73:J75)</f>
        <v>1320000</v>
      </c>
      <c r="L73" s="146"/>
      <c r="M73" s="52"/>
      <c r="N73" s="53">
        <f>K73+L73-M73</f>
        <v>1320000</v>
      </c>
      <c r="O73" s="196"/>
      <c r="P73" s="196"/>
      <c r="Q73" s="145">
        <v>68998.0</v>
      </c>
      <c r="R73" s="56" t="s">
        <v>32</v>
      </c>
      <c r="S73" s="197"/>
      <c r="T73" s="147"/>
      <c r="U73" s="147"/>
      <c r="V73" s="147"/>
      <c r="W73" s="147"/>
      <c r="X73" s="106"/>
      <c r="Y73" s="106"/>
      <c r="Z73" s="427"/>
      <c r="AA73" s="107"/>
      <c r="AB73" s="107"/>
      <c r="AC73" s="107"/>
      <c r="AD73" s="106"/>
    </row>
    <row r="74" ht="23.25" customHeight="1">
      <c r="A74" s="62"/>
      <c r="B74" s="62"/>
      <c r="C74" s="62"/>
      <c r="D74" s="62"/>
      <c r="E74" s="62"/>
      <c r="F74" s="62"/>
      <c r="G74" s="63" t="s">
        <v>37</v>
      </c>
      <c r="H74" s="64">
        <v>2.0</v>
      </c>
      <c r="I74" s="975">
        <v>220000.0</v>
      </c>
      <c r="J74" s="577">
        <f t="shared" si="11"/>
        <v>440000</v>
      </c>
      <c r="K74" s="62"/>
      <c r="L74" s="62"/>
      <c r="M74" s="62"/>
      <c r="N74" s="62"/>
      <c r="O74" s="62"/>
      <c r="P74" s="62"/>
      <c r="Q74" s="62"/>
      <c r="R74" s="62"/>
      <c r="S74" s="62"/>
      <c r="T74" s="62"/>
      <c r="U74" s="62"/>
      <c r="V74" s="62"/>
      <c r="W74" s="62"/>
      <c r="X74" s="106"/>
      <c r="Y74" s="106"/>
      <c r="Z74" s="427"/>
      <c r="AA74" s="107"/>
      <c r="AB74" s="107"/>
      <c r="AC74" s="107"/>
      <c r="AD74" s="106"/>
    </row>
    <row r="75" ht="23.25" customHeight="1">
      <c r="A75" s="67"/>
      <c r="B75" s="67"/>
      <c r="C75" s="67"/>
      <c r="D75" s="67"/>
      <c r="E75" s="67"/>
      <c r="F75" s="67"/>
      <c r="G75" s="63" t="s">
        <v>122</v>
      </c>
      <c r="H75" s="64">
        <v>2.0</v>
      </c>
      <c r="I75" s="975">
        <v>220000.0</v>
      </c>
      <c r="J75" s="577">
        <f t="shared" si="11"/>
        <v>440000</v>
      </c>
      <c r="K75" s="67"/>
      <c r="L75" s="67"/>
      <c r="M75" s="67"/>
      <c r="N75" s="67"/>
      <c r="O75" s="67"/>
      <c r="P75" s="67"/>
      <c r="Q75" s="67"/>
      <c r="R75" s="67"/>
      <c r="S75" s="67"/>
      <c r="T75" s="67"/>
      <c r="U75" s="67"/>
      <c r="V75" s="67"/>
      <c r="W75" s="67"/>
      <c r="X75" s="106"/>
      <c r="Y75" s="106"/>
      <c r="Z75" s="427"/>
      <c r="AA75" s="107"/>
      <c r="AB75" s="107"/>
      <c r="AC75" s="107"/>
      <c r="AD75" s="106"/>
    </row>
    <row r="76" ht="23.25" customHeight="1">
      <c r="A76" s="111">
        <v>42.0</v>
      </c>
      <c r="B76" s="112">
        <v>45008.0</v>
      </c>
      <c r="C76" s="1135">
        <v>1.683416895899E12</v>
      </c>
      <c r="D76" s="142" t="s">
        <v>1820</v>
      </c>
      <c r="E76" s="143" t="s">
        <v>2160</v>
      </c>
      <c r="F76" s="1136" t="s">
        <v>2161</v>
      </c>
      <c r="G76" s="63" t="s">
        <v>382</v>
      </c>
      <c r="H76" s="64">
        <v>1.0</v>
      </c>
      <c r="I76" s="975">
        <v>220000.0</v>
      </c>
      <c r="J76" s="577">
        <f t="shared" si="11"/>
        <v>220000</v>
      </c>
      <c r="K76" s="49">
        <f>SUM(J76:J79)</f>
        <v>1100000</v>
      </c>
      <c r="L76" s="146"/>
      <c r="M76" s="52"/>
      <c r="N76" s="53">
        <f>K76+L76-M76</f>
        <v>1100000</v>
      </c>
      <c r="O76" s="196"/>
      <c r="P76" s="196"/>
      <c r="Q76" s="145">
        <v>62998.0</v>
      </c>
      <c r="R76" s="56" t="s">
        <v>32</v>
      </c>
      <c r="S76" s="197"/>
      <c r="T76" s="147"/>
      <c r="U76" s="147"/>
      <c r="V76" s="147"/>
      <c r="W76" s="147"/>
      <c r="X76" s="106"/>
      <c r="Y76" s="106"/>
      <c r="Z76" s="427"/>
      <c r="AA76" s="107"/>
      <c r="AB76" s="107"/>
      <c r="AC76" s="107"/>
      <c r="AD76" s="106"/>
    </row>
    <row r="77" ht="23.25" customHeight="1">
      <c r="A77" s="62"/>
      <c r="B77" s="62"/>
      <c r="C77" s="62"/>
      <c r="D77" s="62"/>
      <c r="E77" s="62"/>
      <c r="F77" s="62"/>
      <c r="G77" s="63" t="s">
        <v>122</v>
      </c>
      <c r="H77" s="64">
        <v>1.0</v>
      </c>
      <c r="I77" s="975">
        <v>220000.0</v>
      </c>
      <c r="J77" s="577">
        <f t="shared" si="11"/>
        <v>220000</v>
      </c>
      <c r="K77" s="62"/>
      <c r="L77" s="62"/>
      <c r="M77" s="62"/>
      <c r="N77" s="62"/>
      <c r="O77" s="62"/>
      <c r="P77" s="62"/>
      <c r="Q77" s="62"/>
      <c r="R77" s="62"/>
      <c r="S77" s="62"/>
      <c r="T77" s="62"/>
      <c r="U77" s="62"/>
      <c r="V77" s="62"/>
      <c r="W77" s="62"/>
      <c r="X77" s="106"/>
      <c r="Y77" s="106"/>
      <c r="Z77" s="427"/>
      <c r="AA77" s="107"/>
      <c r="AB77" s="107"/>
      <c r="AC77" s="107"/>
      <c r="AD77" s="106"/>
    </row>
    <row r="78" ht="23.25" customHeight="1">
      <c r="A78" s="62"/>
      <c r="B78" s="62"/>
      <c r="C78" s="62"/>
      <c r="D78" s="62"/>
      <c r="E78" s="62"/>
      <c r="F78" s="62"/>
      <c r="G78" s="63" t="s">
        <v>144</v>
      </c>
      <c r="H78" s="64">
        <v>1.0</v>
      </c>
      <c r="I78" s="975">
        <v>220000.0</v>
      </c>
      <c r="J78" s="577">
        <f t="shared" si="11"/>
        <v>220000</v>
      </c>
      <c r="K78" s="62"/>
      <c r="L78" s="62"/>
      <c r="M78" s="62"/>
      <c r="N78" s="62"/>
      <c r="O78" s="62"/>
      <c r="P78" s="62"/>
      <c r="Q78" s="62"/>
      <c r="R78" s="62"/>
      <c r="S78" s="62"/>
      <c r="T78" s="62"/>
      <c r="U78" s="62"/>
      <c r="V78" s="62"/>
      <c r="W78" s="62"/>
      <c r="X78" s="106"/>
      <c r="Y78" s="106"/>
      <c r="Z78" s="427"/>
      <c r="AA78" s="107"/>
      <c r="AB78" s="107"/>
      <c r="AC78" s="107"/>
      <c r="AD78" s="106"/>
    </row>
    <row r="79" ht="23.25" customHeight="1">
      <c r="A79" s="67"/>
      <c r="B79" s="67"/>
      <c r="C79" s="67"/>
      <c r="D79" s="67"/>
      <c r="E79" s="67"/>
      <c r="F79" s="67"/>
      <c r="G79" s="63" t="s">
        <v>37</v>
      </c>
      <c r="H79" s="64">
        <v>2.0</v>
      </c>
      <c r="I79" s="975">
        <v>220000.0</v>
      </c>
      <c r="J79" s="577">
        <f t="shared" si="11"/>
        <v>440000</v>
      </c>
      <c r="K79" s="67"/>
      <c r="L79" s="67"/>
      <c r="M79" s="67"/>
      <c r="N79" s="67"/>
      <c r="O79" s="67"/>
      <c r="P79" s="67"/>
      <c r="Q79" s="67"/>
      <c r="R79" s="67"/>
      <c r="S79" s="67"/>
      <c r="T79" s="67"/>
      <c r="U79" s="67"/>
      <c r="V79" s="67"/>
      <c r="W79" s="67"/>
      <c r="X79" s="106"/>
      <c r="Y79" s="106"/>
      <c r="Z79" s="427"/>
      <c r="AA79" s="107"/>
      <c r="AB79" s="107"/>
      <c r="AC79" s="107"/>
      <c r="AD79" s="106"/>
    </row>
    <row r="80" ht="23.25" customHeight="1">
      <c r="A80" s="111">
        <v>43.0</v>
      </c>
      <c r="B80" s="112">
        <v>45008.0</v>
      </c>
      <c r="C80" s="1135">
        <v>1.703796133079E12</v>
      </c>
      <c r="D80" s="142" t="s">
        <v>2162</v>
      </c>
      <c r="E80" s="143" t="s">
        <v>45</v>
      </c>
      <c r="F80" s="1136" t="s">
        <v>324</v>
      </c>
      <c r="G80" s="63" t="s">
        <v>30</v>
      </c>
      <c r="H80" s="64">
        <v>10.0</v>
      </c>
      <c r="I80" s="975">
        <v>220000.0</v>
      </c>
      <c r="J80" s="577">
        <f t="shared" si="11"/>
        <v>2200000</v>
      </c>
      <c r="K80" s="49">
        <f>SUM(J80:J82)</f>
        <v>4400000</v>
      </c>
      <c r="L80" s="146"/>
      <c r="M80" s="52"/>
      <c r="N80" s="53">
        <f>K80+L80-M80</f>
        <v>4400000</v>
      </c>
      <c r="O80" s="196"/>
      <c r="P80" s="196"/>
      <c r="Q80" s="145">
        <v>96929.0</v>
      </c>
      <c r="R80" s="56" t="s">
        <v>32</v>
      </c>
      <c r="S80" s="197"/>
      <c r="T80" s="147"/>
      <c r="U80" s="147"/>
      <c r="V80" s="147"/>
      <c r="W80" s="147"/>
      <c r="X80" s="106"/>
      <c r="Y80" s="106"/>
      <c r="Z80" s="427"/>
      <c r="AA80" s="107"/>
      <c r="AB80" s="107"/>
      <c r="AC80" s="107"/>
      <c r="AD80" s="106"/>
    </row>
    <row r="81" ht="23.25" customHeight="1">
      <c r="A81" s="62"/>
      <c r="B81" s="62"/>
      <c r="C81" s="62"/>
      <c r="D81" s="62"/>
      <c r="E81" s="62"/>
      <c r="F81" s="62"/>
      <c r="G81" s="63" t="s">
        <v>122</v>
      </c>
      <c r="H81" s="64">
        <v>5.0</v>
      </c>
      <c r="I81" s="975">
        <v>220000.0</v>
      </c>
      <c r="J81" s="577">
        <f t="shared" si="11"/>
        <v>1100000</v>
      </c>
      <c r="K81" s="62"/>
      <c r="L81" s="62"/>
      <c r="M81" s="62"/>
      <c r="N81" s="62"/>
      <c r="O81" s="62"/>
      <c r="P81" s="62"/>
      <c r="Q81" s="62"/>
      <c r="R81" s="62"/>
      <c r="S81" s="62"/>
      <c r="T81" s="62"/>
      <c r="U81" s="62"/>
      <c r="V81" s="62"/>
      <c r="W81" s="62"/>
      <c r="X81" s="106"/>
      <c r="Y81" s="106"/>
      <c r="Z81" s="427"/>
      <c r="AA81" s="107"/>
      <c r="AB81" s="107"/>
      <c r="AC81" s="107"/>
      <c r="AD81" s="106"/>
    </row>
    <row r="82" ht="23.25" customHeight="1">
      <c r="A82" s="67"/>
      <c r="B82" s="67"/>
      <c r="C82" s="67"/>
      <c r="D82" s="67"/>
      <c r="E82" s="67"/>
      <c r="F82" s="67"/>
      <c r="G82" s="63" t="s">
        <v>37</v>
      </c>
      <c r="H82" s="64">
        <v>5.0</v>
      </c>
      <c r="I82" s="975">
        <v>220000.0</v>
      </c>
      <c r="J82" s="577">
        <f t="shared" si="11"/>
        <v>1100000</v>
      </c>
      <c r="K82" s="67"/>
      <c r="L82" s="67"/>
      <c r="M82" s="67"/>
      <c r="N82" s="67"/>
      <c r="O82" s="67"/>
      <c r="P82" s="67"/>
      <c r="Q82" s="67"/>
      <c r="R82" s="67"/>
      <c r="S82" s="67"/>
      <c r="T82" s="67"/>
      <c r="U82" s="67"/>
      <c r="V82" s="67"/>
      <c r="W82" s="67"/>
      <c r="X82" s="106"/>
      <c r="Y82" s="106"/>
      <c r="Z82" s="427"/>
      <c r="AA82" s="107"/>
      <c r="AB82" s="107"/>
      <c r="AC82" s="107"/>
      <c r="AD82" s="106"/>
    </row>
    <row r="83" ht="23.25" customHeight="1">
      <c r="A83" s="111">
        <v>44.0</v>
      </c>
      <c r="B83" s="112">
        <v>45009.0</v>
      </c>
      <c r="C83" s="1135">
        <v>1.686561200054E12</v>
      </c>
      <c r="D83" s="142" t="s">
        <v>2163</v>
      </c>
      <c r="E83" s="143" t="s">
        <v>2164</v>
      </c>
      <c r="F83" s="1136" t="s">
        <v>2165</v>
      </c>
      <c r="G83" s="63" t="s">
        <v>37</v>
      </c>
      <c r="H83" s="64">
        <v>1.0</v>
      </c>
      <c r="I83" s="975">
        <v>220000.0</v>
      </c>
      <c r="J83" s="577">
        <f t="shared" si="11"/>
        <v>220000</v>
      </c>
      <c r="K83" s="49">
        <f>SUM(J83:J86)</f>
        <v>740000</v>
      </c>
      <c r="L83" s="146"/>
      <c r="M83" s="52"/>
      <c r="N83" s="53">
        <f>K83+L83-M83</f>
        <v>740000</v>
      </c>
      <c r="O83" s="196"/>
      <c r="P83" s="196"/>
      <c r="Q83" s="145">
        <v>56999.0</v>
      </c>
      <c r="R83" s="56" t="s">
        <v>32</v>
      </c>
      <c r="S83" s="197"/>
      <c r="T83" s="147"/>
      <c r="U83" s="147"/>
      <c r="V83" s="147"/>
      <c r="W83" s="147"/>
      <c r="X83" s="106"/>
      <c r="Y83" s="106"/>
      <c r="Z83" s="427"/>
      <c r="AA83" s="107"/>
      <c r="AB83" s="107"/>
      <c r="AC83" s="107"/>
      <c r="AD83" s="106"/>
    </row>
    <row r="84" ht="23.25" customHeight="1">
      <c r="A84" s="62"/>
      <c r="B84" s="62"/>
      <c r="C84" s="62"/>
      <c r="D84" s="62"/>
      <c r="E84" s="62"/>
      <c r="F84" s="62"/>
      <c r="G84" s="63" t="s">
        <v>122</v>
      </c>
      <c r="H84" s="64">
        <v>1.0</v>
      </c>
      <c r="I84" s="975">
        <v>220000.0</v>
      </c>
      <c r="J84" s="577">
        <f t="shared" si="11"/>
        <v>220000</v>
      </c>
      <c r="K84" s="62"/>
      <c r="L84" s="62"/>
      <c r="M84" s="62"/>
      <c r="N84" s="62"/>
      <c r="O84" s="62"/>
      <c r="P84" s="62"/>
      <c r="Q84" s="62"/>
      <c r="R84" s="62"/>
      <c r="S84" s="62"/>
      <c r="T84" s="62"/>
      <c r="U84" s="62"/>
      <c r="V84" s="62"/>
      <c r="W84" s="62"/>
      <c r="X84" s="106"/>
      <c r="Y84" s="106"/>
      <c r="Z84" s="427"/>
      <c r="AA84" s="107"/>
      <c r="AB84" s="107"/>
      <c r="AC84" s="107"/>
      <c r="AD84" s="106"/>
    </row>
    <row r="85" ht="23.25" customHeight="1">
      <c r="A85" s="62"/>
      <c r="B85" s="62"/>
      <c r="C85" s="62"/>
      <c r="D85" s="62"/>
      <c r="E85" s="62"/>
      <c r="F85" s="62"/>
      <c r="G85" s="63" t="s">
        <v>144</v>
      </c>
      <c r="H85" s="64">
        <v>1.0</v>
      </c>
      <c r="I85" s="975">
        <v>220000.0</v>
      </c>
      <c r="J85" s="577">
        <f t="shared" si="11"/>
        <v>220000</v>
      </c>
      <c r="K85" s="62"/>
      <c r="L85" s="62"/>
      <c r="M85" s="62"/>
      <c r="N85" s="62"/>
      <c r="O85" s="62"/>
      <c r="P85" s="62"/>
      <c r="Q85" s="62"/>
      <c r="R85" s="62"/>
      <c r="S85" s="62"/>
      <c r="T85" s="62"/>
      <c r="U85" s="62"/>
      <c r="V85" s="62"/>
      <c r="W85" s="62"/>
      <c r="X85" s="106"/>
      <c r="Y85" s="106"/>
      <c r="Z85" s="427"/>
      <c r="AA85" s="107"/>
      <c r="AB85" s="107"/>
      <c r="AC85" s="107"/>
      <c r="AD85" s="106"/>
    </row>
    <row r="86" ht="23.25" customHeight="1">
      <c r="A86" s="67"/>
      <c r="B86" s="67"/>
      <c r="C86" s="67"/>
      <c r="D86" s="67"/>
      <c r="E86" s="67"/>
      <c r="F86" s="67"/>
      <c r="G86" s="63" t="s">
        <v>147</v>
      </c>
      <c r="H86" s="64">
        <v>1.0</v>
      </c>
      <c r="I86" s="975">
        <v>80000.0</v>
      </c>
      <c r="J86" s="577">
        <f t="shared" si="11"/>
        <v>80000</v>
      </c>
      <c r="K86" s="67"/>
      <c r="L86" s="67"/>
      <c r="M86" s="67"/>
      <c r="N86" s="67"/>
      <c r="O86" s="67"/>
      <c r="P86" s="67"/>
      <c r="Q86" s="67"/>
      <c r="R86" s="67"/>
      <c r="S86" s="67"/>
      <c r="T86" s="67"/>
      <c r="U86" s="67"/>
      <c r="V86" s="67"/>
      <c r="W86" s="67"/>
      <c r="X86" s="106"/>
      <c r="Y86" s="106"/>
      <c r="Z86" s="427"/>
      <c r="AA86" s="107"/>
      <c r="AB86" s="107"/>
      <c r="AC86" s="107"/>
      <c r="AD86" s="106"/>
    </row>
    <row r="87" ht="23.25" customHeight="1">
      <c r="A87" s="93">
        <v>45.0</v>
      </c>
      <c r="B87" s="103">
        <v>45009.0</v>
      </c>
      <c r="C87" s="1152">
        <v>1.702678960983E12</v>
      </c>
      <c r="D87" s="92" t="s">
        <v>44</v>
      </c>
      <c r="E87" s="105" t="s">
        <v>45</v>
      </c>
      <c r="F87" s="1153" t="s">
        <v>324</v>
      </c>
      <c r="G87" s="63" t="s">
        <v>47</v>
      </c>
      <c r="H87" s="64">
        <v>5.0</v>
      </c>
      <c r="I87" s="975">
        <v>220000.0</v>
      </c>
      <c r="J87" s="577">
        <f t="shared" si="11"/>
        <v>1100000</v>
      </c>
      <c r="K87" s="76">
        <f>SUM(J87)</f>
        <v>1100000</v>
      </c>
      <c r="L87" s="65"/>
      <c r="M87" s="79"/>
      <c r="N87" s="80">
        <f t="shared" ref="N87:N88" si="18">K87+L87-M87</f>
        <v>1100000</v>
      </c>
      <c r="O87" s="176"/>
      <c r="P87" s="176"/>
      <c r="Q87" s="108">
        <v>62998.0</v>
      </c>
      <c r="R87" s="83" t="s">
        <v>32</v>
      </c>
      <c r="S87" s="183"/>
      <c r="T87" s="122"/>
      <c r="U87" s="122"/>
      <c r="V87" s="122"/>
      <c r="W87" s="122"/>
      <c r="X87" s="106"/>
      <c r="Y87" s="106"/>
      <c r="Z87" s="427"/>
      <c r="AA87" s="107"/>
      <c r="AB87" s="107"/>
      <c r="AC87" s="107"/>
      <c r="AD87" s="106"/>
    </row>
    <row r="88" ht="23.25" customHeight="1">
      <c r="A88" s="111">
        <v>46.0</v>
      </c>
      <c r="B88" s="112">
        <v>45010.0</v>
      </c>
      <c r="C88" s="1135">
        <v>1.682433033984E12</v>
      </c>
      <c r="D88" s="142" t="s">
        <v>247</v>
      </c>
      <c r="E88" s="143" t="s">
        <v>248</v>
      </c>
      <c r="F88" s="1145" t="s">
        <v>549</v>
      </c>
      <c r="G88" s="63" t="s">
        <v>37</v>
      </c>
      <c r="H88" s="64">
        <v>1.0</v>
      </c>
      <c r="I88" s="975">
        <v>220000.0</v>
      </c>
      <c r="J88" s="577">
        <f t="shared" si="11"/>
        <v>220000</v>
      </c>
      <c r="K88" s="49">
        <f>sum(J88:J91)</f>
        <v>740000</v>
      </c>
      <c r="L88" s="146"/>
      <c r="M88" s="52"/>
      <c r="N88" s="53">
        <f t="shared" si="18"/>
        <v>740000</v>
      </c>
      <c r="O88" s="196"/>
      <c r="P88" s="196"/>
      <c r="Q88" s="145">
        <v>56999.0</v>
      </c>
      <c r="R88" s="56" t="s">
        <v>32</v>
      </c>
      <c r="S88" s="197"/>
      <c r="T88" s="147"/>
      <c r="U88" s="147"/>
      <c r="V88" s="147"/>
      <c r="W88" s="147"/>
      <c r="X88" s="106"/>
      <c r="Y88" s="106"/>
      <c r="Z88" s="427"/>
      <c r="AA88" s="107"/>
      <c r="AB88" s="107"/>
      <c r="AC88" s="107"/>
      <c r="AD88" s="106"/>
    </row>
    <row r="89" ht="23.25" customHeight="1">
      <c r="A89" s="62"/>
      <c r="B89" s="62"/>
      <c r="C89" s="62"/>
      <c r="D89" s="62"/>
      <c r="E89" s="62"/>
      <c r="F89" s="62"/>
      <c r="G89" s="63" t="s">
        <v>122</v>
      </c>
      <c r="H89" s="64">
        <v>1.0</v>
      </c>
      <c r="I89" s="975">
        <v>220000.0</v>
      </c>
      <c r="J89" s="577">
        <f t="shared" si="11"/>
        <v>220000</v>
      </c>
      <c r="K89" s="62"/>
      <c r="L89" s="62"/>
      <c r="M89" s="62"/>
      <c r="N89" s="62"/>
      <c r="O89" s="62"/>
      <c r="P89" s="62"/>
      <c r="Q89" s="62"/>
      <c r="R89" s="62"/>
      <c r="S89" s="62"/>
      <c r="T89" s="62"/>
      <c r="U89" s="62"/>
      <c r="V89" s="62"/>
      <c r="W89" s="62"/>
      <c r="X89" s="106"/>
      <c r="Y89" s="106"/>
      <c r="Z89" s="427"/>
      <c r="AA89" s="107"/>
      <c r="AB89" s="107"/>
      <c r="AC89" s="107"/>
      <c r="AD89" s="106"/>
    </row>
    <row r="90" ht="23.25" customHeight="1">
      <c r="A90" s="62"/>
      <c r="B90" s="62"/>
      <c r="C90" s="62"/>
      <c r="D90" s="62"/>
      <c r="E90" s="62"/>
      <c r="F90" s="62"/>
      <c r="G90" s="63" t="s">
        <v>144</v>
      </c>
      <c r="H90" s="64">
        <v>1.0</v>
      </c>
      <c r="I90" s="975">
        <v>220000.0</v>
      </c>
      <c r="J90" s="577">
        <f t="shared" si="11"/>
        <v>220000</v>
      </c>
      <c r="K90" s="62"/>
      <c r="L90" s="62"/>
      <c r="M90" s="62"/>
      <c r="N90" s="62"/>
      <c r="O90" s="62"/>
      <c r="P90" s="62"/>
      <c r="Q90" s="62"/>
      <c r="R90" s="62"/>
      <c r="S90" s="62"/>
      <c r="T90" s="62"/>
      <c r="U90" s="62"/>
      <c r="V90" s="62"/>
      <c r="W90" s="62"/>
      <c r="X90" s="106"/>
      <c r="Y90" s="106"/>
      <c r="Z90" s="427"/>
      <c r="AA90" s="107"/>
      <c r="AB90" s="107"/>
      <c r="AC90" s="107"/>
      <c r="AD90" s="106"/>
    </row>
    <row r="91" ht="23.25" customHeight="1">
      <c r="A91" s="67"/>
      <c r="B91" s="67"/>
      <c r="C91" s="67"/>
      <c r="D91" s="67"/>
      <c r="E91" s="67"/>
      <c r="F91" s="67"/>
      <c r="G91" s="63" t="s">
        <v>147</v>
      </c>
      <c r="H91" s="64">
        <v>1.0</v>
      </c>
      <c r="I91" s="975">
        <v>80000.0</v>
      </c>
      <c r="J91" s="577">
        <f t="shared" si="11"/>
        <v>80000</v>
      </c>
      <c r="K91" s="67"/>
      <c r="L91" s="67"/>
      <c r="M91" s="67"/>
      <c r="N91" s="67"/>
      <c r="O91" s="67"/>
      <c r="P91" s="67"/>
      <c r="Q91" s="67"/>
      <c r="R91" s="67"/>
      <c r="S91" s="67"/>
      <c r="T91" s="67"/>
      <c r="U91" s="67"/>
      <c r="V91" s="67"/>
      <c r="W91" s="67"/>
      <c r="X91" s="106"/>
      <c r="Y91" s="106"/>
      <c r="Z91" s="427"/>
      <c r="AA91" s="107"/>
      <c r="AB91" s="107"/>
      <c r="AC91" s="107"/>
      <c r="AD91" s="106"/>
    </row>
    <row r="92" ht="24.75" customHeight="1">
      <c r="A92" s="9"/>
      <c r="B92" s="1167" t="s">
        <v>384</v>
      </c>
      <c r="C92" s="16"/>
      <c r="D92" s="16"/>
      <c r="E92" s="16"/>
      <c r="F92" s="16"/>
      <c r="G92" s="16"/>
      <c r="H92" s="16"/>
      <c r="I92" s="17"/>
      <c r="J92" s="1168">
        <f>SUM(J4:J91)</f>
        <v>55980000</v>
      </c>
      <c r="K92" s="1169">
        <f>SUM(J92)</f>
        <v>55980000</v>
      </c>
      <c r="L92" s="201">
        <f t="shared" ref="L92:M92" si="19">SUM(L4:L91)</f>
        <v>781996</v>
      </c>
      <c r="M92" s="201">
        <f t="shared" si="19"/>
        <v>2173996</v>
      </c>
      <c r="N92" s="80">
        <f>K92+L92-M92</f>
        <v>54588000</v>
      </c>
      <c r="O92" s="201"/>
      <c r="P92" s="201">
        <f t="shared" ref="P92:W92" si="20">SUM(P4:P91)</f>
        <v>0</v>
      </c>
      <c r="Q92" s="201">
        <f t="shared" si="20"/>
        <v>2385323</v>
      </c>
      <c r="R92" s="201">
        <f t="shared" si="20"/>
        <v>0</v>
      </c>
      <c r="S92" s="201">
        <f t="shared" si="20"/>
        <v>0</v>
      </c>
      <c r="T92" s="201">
        <f t="shared" si="20"/>
        <v>0</v>
      </c>
      <c r="U92" s="201">
        <f t="shared" si="20"/>
        <v>6</v>
      </c>
      <c r="V92" s="201">
        <f t="shared" si="20"/>
        <v>0</v>
      </c>
      <c r="W92" s="202">
        <f t="shared" si="20"/>
        <v>8</v>
      </c>
      <c r="X92" s="9"/>
      <c r="Y92" s="9"/>
      <c r="Z92" s="204"/>
      <c r="AA92" s="205"/>
      <c r="AB92" s="205"/>
      <c r="AC92" s="205"/>
      <c r="AD92" s="9"/>
    </row>
    <row r="93" ht="24.75" customHeight="1">
      <c r="A93" s="9"/>
      <c r="B93" s="463" t="s">
        <v>385</v>
      </c>
      <c r="C93" s="16"/>
      <c r="D93" s="16"/>
      <c r="E93" s="16"/>
      <c r="F93" s="16"/>
      <c r="G93" s="16"/>
      <c r="H93" s="16"/>
      <c r="I93" s="17"/>
      <c r="J93" s="207">
        <f>SUMIF(G4:G45, "&lt;&gt;*Omi*", J4:J45)</f>
        <v>180000</v>
      </c>
      <c r="K93" s="208"/>
      <c r="L93" s="208"/>
      <c r="M93" s="210"/>
      <c r="N93" s="211"/>
      <c r="O93" s="210"/>
      <c r="P93" s="210"/>
      <c r="Q93" s="23"/>
      <c r="R93" s="23"/>
      <c r="S93" s="23"/>
      <c r="T93" s="23"/>
      <c r="U93" s="464"/>
      <c r="V93" s="464"/>
      <c r="W93" s="278"/>
      <c r="X93" s="9"/>
      <c r="Y93" s="9"/>
      <c r="Z93" s="204"/>
      <c r="AA93" s="205"/>
      <c r="AB93" s="205"/>
      <c r="AC93" s="205"/>
      <c r="AD93" s="9"/>
    </row>
    <row r="94" ht="24.75" customHeight="1">
      <c r="A94" s="9"/>
      <c r="B94" s="214" t="s">
        <v>386</v>
      </c>
      <c r="C94" s="16"/>
      <c r="D94" s="16"/>
      <c r="E94" s="16"/>
      <c r="F94" s="16"/>
      <c r="G94" s="16"/>
      <c r="H94" s="16"/>
      <c r="I94" s="17"/>
      <c r="J94" s="215">
        <f>J92-J93</f>
        <v>55800000</v>
      </c>
      <c r="K94" s="208"/>
      <c r="L94" s="216"/>
      <c r="M94" s="216"/>
      <c r="N94" s="216"/>
      <c r="O94" s="216"/>
      <c r="P94" s="23"/>
      <c r="Q94" s="23"/>
      <c r="R94" s="23"/>
      <c r="S94" s="23"/>
      <c r="T94" s="23"/>
      <c r="U94" s="464"/>
      <c r="V94" s="464"/>
      <c r="W94" s="278"/>
      <c r="X94" s="9"/>
      <c r="Y94" s="9"/>
      <c r="Z94" s="204"/>
      <c r="AA94" s="205"/>
      <c r="AB94" s="205"/>
      <c r="AC94" s="205"/>
      <c r="AD94" s="9"/>
    </row>
    <row r="95" ht="24.75" customHeight="1">
      <c r="A95" s="9"/>
      <c r="B95" s="217" t="s">
        <v>387</v>
      </c>
      <c r="C95" s="16"/>
      <c r="D95" s="16"/>
      <c r="E95" s="16"/>
      <c r="F95" s="16"/>
      <c r="G95" s="16"/>
      <c r="H95" s="16"/>
      <c r="I95" s="17"/>
      <c r="J95" s="207">
        <f>SUMIF(R4:R45,"Cty trả ship",Q4:Q45)</f>
        <v>1492406</v>
      </c>
      <c r="K95" s="208"/>
      <c r="L95" s="216"/>
      <c r="M95" s="216"/>
      <c r="N95" s="216"/>
      <c r="O95" s="216"/>
      <c r="P95" s="23"/>
      <c r="Q95" s="23"/>
      <c r="R95" s="23"/>
      <c r="S95" s="23"/>
      <c r="T95" s="23"/>
      <c r="U95" s="464"/>
      <c r="V95" s="464"/>
      <c r="W95" s="278"/>
      <c r="X95" s="9"/>
      <c r="Y95" s="218"/>
      <c r="Z95" s="219"/>
      <c r="AA95" s="205"/>
      <c r="AB95" s="205"/>
      <c r="AC95" s="205"/>
      <c r="AD95" s="9"/>
    </row>
    <row r="96" ht="24.75" customHeight="1">
      <c r="A96" s="9"/>
      <c r="B96" s="220" t="s">
        <v>388</v>
      </c>
      <c r="C96" s="16"/>
      <c r="D96" s="16"/>
      <c r="E96" s="16"/>
      <c r="F96" s="16"/>
      <c r="G96" s="16"/>
      <c r="H96" s="16"/>
      <c r="I96" s="17"/>
      <c r="J96" s="221">
        <f>M92</f>
        <v>2173996</v>
      </c>
      <c r="K96" s="208"/>
      <c r="L96" s="208"/>
      <c r="M96" s="210"/>
      <c r="N96" s="211"/>
      <c r="O96" s="210"/>
      <c r="P96" s="210"/>
      <c r="Q96" s="23"/>
      <c r="R96" s="23"/>
      <c r="S96" s="210"/>
      <c r="T96" s="210"/>
      <c r="U96" s="466"/>
      <c r="V96" s="466"/>
      <c r="W96" s="1427"/>
      <c r="X96" s="210"/>
      <c r="Y96" s="218"/>
      <c r="Z96" s="219"/>
      <c r="AA96" s="205"/>
      <c r="AB96" s="205"/>
      <c r="AC96" s="205"/>
      <c r="AD96" s="9"/>
    </row>
    <row r="97" ht="15.75" customHeight="1">
      <c r="A97" s="9"/>
      <c r="B97" s="9"/>
      <c r="C97" s="9"/>
      <c r="D97" s="9"/>
      <c r="E97" s="9"/>
      <c r="F97" s="222"/>
      <c r="G97" s="223"/>
      <c r="H97" s="224"/>
      <c r="I97" s="225"/>
      <c r="J97" s="225"/>
      <c r="K97" s="22"/>
      <c r="L97" s="9"/>
      <c r="M97" s="9"/>
      <c r="N97" s="226"/>
      <c r="O97" s="9"/>
      <c r="P97" s="9"/>
      <c r="Q97" s="9"/>
      <c r="R97" s="9"/>
      <c r="S97" s="9"/>
      <c r="T97" s="9"/>
      <c r="U97" s="913"/>
      <c r="V97" s="913"/>
      <c r="W97" s="1428"/>
      <c r="X97" s="9"/>
      <c r="Y97" s="9"/>
      <c r="Z97" s="204"/>
      <c r="AA97" s="205"/>
      <c r="AB97" s="205"/>
      <c r="AC97" s="205"/>
      <c r="AD97" s="9"/>
    </row>
    <row r="98" ht="15.75" customHeight="1">
      <c r="A98" s="218"/>
      <c r="B98" s="227"/>
      <c r="C98" s="228"/>
      <c r="D98" s="229"/>
      <c r="E98" s="230"/>
      <c r="F98" s="229"/>
      <c r="G98" s="231"/>
      <c r="H98" s="231"/>
      <c r="I98" s="231"/>
      <c r="J98" s="232"/>
      <c r="K98" s="233"/>
      <c r="L98" s="232"/>
      <c r="M98" s="232"/>
      <c r="N98" s="234"/>
      <c r="O98" s="218"/>
      <c r="P98" s="218"/>
      <c r="Q98" s="218"/>
      <c r="R98" s="218"/>
      <c r="S98" s="218"/>
      <c r="T98" s="218"/>
      <c r="U98" s="601"/>
      <c r="V98" s="601"/>
      <c r="W98" s="275"/>
      <c r="X98" s="235"/>
      <c r="Y98" s="218"/>
      <c r="Z98" s="219"/>
      <c r="AA98" s="205"/>
      <c r="AB98" s="205"/>
      <c r="AC98" s="205"/>
      <c r="AD98" s="9"/>
    </row>
    <row r="99" ht="15.75" customHeight="1">
      <c r="A99" s="218"/>
      <c r="B99" s="236"/>
      <c r="C99" s="16"/>
      <c r="D99" s="17"/>
      <c r="E99" s="237" t="s">
        <v>389</v>
      </c>
      <c r="F99" s="16"/>
      <c r="G99" s="16"/>
      <c r="H99" s="16"/>
      <c r="I99" s="16"/>
      <c r="J99" s="17"/>
      <c r="K99" s="23"/>
      <c r="L99" s="218"/>
      <c r="M99" s="1171" t="s">
        <v>864</v>
      </c>
      <c r="N99" s="2"/>
      <c r="O99" s="2"/>
      <c r="P99" s="2"/>
      <c r="Q99" s="2"/>
      <c r="R99" s="2"/>
      <c r="S99" s="3"/>
      <c r="T99" s="218"/>
      <c r="U99" s="604"/>
      <c r="V99" s="604"/>
      <c r="W99" s="1429"/>
      <c r="X99" s="240"/>
      <c r="Y99" s="218"/>
      <c r="Z99" s="219"/>
      <c r="AA99" s="205"/>
      <c r="AB99" s="205"/>
      <c r="AC99" s="205"/>
      <c r="AD99" s="9"/>
    </row>
    <row r="100" ht="15.75" customHeight="1">
      <c r="A100" s="218"/>
      <c r="B100" s="241" t="s">
        <v>391</v>
      </c>
      <c r="C100" s="242" t="s">
        <v>392</v>
      </c>
      <c r="D100" s="243" t="s">
        <v>393</v>
      </c>
      <c r="E100" s="244" t="s">
        <v>394</v>
      </c>
      <c r="F100" s="245" t="s">
        <v>395</v>
      </c>
      <c r="G100" s="201" t="s">
        <v>396</v>
      </c>
      <c r="H100" s="243" t="s">
        <v>397</v>
      </c>
      <c r="I100" s="246" t="s">
        <v>398</v>
      </c>
      <c r="J100" s="247" t="s">
        <v>399</v>
      </c>
      <c r="K100" s="23"/>
      <c r="L100" s="218"/>
      <c r="M100" s="1172" t="s">
        <v>400</v>
      </c>
      <c r="N100" s="1173" t="s">
        <v>2166</v>
      </c>
      <c r="O100" s="1173" t="s">
        <v>2167</v>
      </c>
      <c r="P100" s="1174" t="s">
        <v>2168</v>
      </c>
      <c r="Q100" s="1174" t="s">
        <v>2008</v>
      </c>
      <c r="R100" s="252" t="s">
        <v>405</v>
      </c>
      <c r="S100" s="253" t="s">
        <v>406</v>
      </c>
      <c r="T100" s="9"/>
      <c r="U100" s="618"/>
      <c r="V100" s="608"/>
      <c r="W100" s="333"/>
      <c r="X100" s="240"/>
      <c r="Y100" s="218"/>
      <c r="Z100" s="219"/>
      <c r="AA100" s="205"/>
      <c r="AB100" s="205"/>
      <c r="AC100" s="205"/>
      <c r="AD100" s="9"/>
    </row>
    <row r="101" ht="15.75" customHeight="1">
      <c r="A101" s="218"/>
      <c r="B101" s="254" t="s">
        <v>407</v>
      </c>
      <c r="C101" s="85" t="s">
        <v>121</v>
      </c>
      <c r="D101" s="255">
        <f t="shared" ref="D101:D139" si="21">SUMIF($G$4:$G$94,C101,$H$4:$H$94)</f>
        <v>0</v>
      </c>
      <c r="E101" s="65"/>
      <c r="F101" s="255"/>
      <c r="G101" s="256">
        <f t="shared" ref="G101:G139" si="22">D101-E101-F101</f>
        <v>0</v>
      </c>
      <c r="H101" s="128">
        <v>220000.0</v>
      </c>
      <c r="I101" s="217">
        <f t="shared" ref="I101:I139" si="23">G101*H101</f>
        <v>0</v>
      </c>
      <c r="J101" s="257">
        <f t="shared" ref="J101:J139" si="24">SUMIF($T$4:$T$91,C101,$U$4:$U$91)</f>
        <v>2</v>
      </c>
      <c r="K101" s="23"/>
      <c r="L101" s="218"/>
      <c r="M101" s="103">
        <v>44984.0</v>
      </c>
      <c r="N101" s="261">
        <f>240000+1320000+660000+880000+470000+880000+1100000</f>
        <v>5550000</v>
      </c>
      <c r="O101" s="261"/>
      <c r="P101" s="1176">
        <f>52998+59998+68998+45000+50999</f>
        <v>277993</v>
      </c>
      <c r="Q101" s="1177"/>
      <c r="R101" s="1178">
        <f t="shared" ref="R101:R117" si="25">N101+O101-P101-Q101</f>
        <v>5272007</v>
      </c>
      <c r="S101" s="488"/>
      <c r="T101" s="9"/>
      <c r="U101" s="608"/>
      <c r="V101" s="611"/>
      <c r="W101" s="1430"/>
      <c r="X101" s="266"/>
      <c r="Y101" s="218"/>
      <c r="Z101" s="219"/>
      <c r="AA101" s="205"/>
      <c r="AB101" s="205"/>
      <c r="AC101" s="205"/>
      <c r="AD101" s="9"/>
    </row>
    <row r="102" ht="15.75" customHeight="1">
      <c r="A102" s="218"/>
      <c r="B102" s="62"/>
      <c r="C102" s="85" t="s">
        <v>123</v>
      </c>
      <c r="D102" s="255">
        <f t="shared" si="21"/>
        <v>3</v>
      </c>
      <c r="E102" s="65"/>
      <c r="F102" s="255"/>
      <c r="G102" s="256">
        <f t="shared" si="22"/>
        <v>3</v>
      </c>
      <c r="H102" s="128">
        <v>220000.0</v>
      </c>
      <c r="I102" s="217">
        <f t="shared" si="23"/>
        <v>660000</v>
      </c>
      <c r="J102" s="257">
        <f t="shared" si="24"/>
        <v>0</v>
      </c>
      <c r="K102" s="23"/>
      <c r="L102" s="218"/>
      <c r="M102" s="103">
        <v>44986.0</v>
      </c>
      <c r="N102" s="261">
        <f>240000</f>
        <v>240000</v>
      </c>
      <c r="O102" s="261">
        <f>N4</f>
        <v>340000</v>
      </c>
      <c r="P102" s="487">
        <f>38000</f>
        <v>38000</v>
      </c>
      <c r="Q102" s="1177"/>
      <c r="R102" s="1178">
        <f t="shared" si="25"/>
        <v>542000</v>
      </c>
      <c r="S102" s="488"/>
      <c r="T102" s="9"/>
      <c r="U102" s="608"/>
      <c r="V102" s="611"/>
      <c r="W102" s="1430"/>
      <c r="X102" s="266"/>
      <c r="Y102" s="218"/>
      <c r="Z102" s="219"/>
      <c r="AA102" s="205"/>
      <c r="AB102" s="205"/>
      <c r="AC102" s="205"/>
      <c r="AD102" s="9"/>
    </row>
    <row r="103" ht="15.75" customHeight="1">
      <c r="A103" s="218"/>
      <c r="B103" s="62"/>
      <c r="C103" s="85" t="s">
        <v>124</v>
      </c>
      <c r="D103" s="255">
        <f t="shared" si="21"/>
        <v>20</v>
      </c>
      <c r="E103" s="65"/>
      <c r="F103" s="255"/>
      <c r="G103" s="256">
        <f t="shared" si="22"/>
        <v>20</v>
      </c>
      <c r="H103" s="128">
        <v>220000.0</v>
      </c>
      <c r="I103" s="217">
        <f t="shared" si="23"/>
        <v>4400000</v>
      </c>
      <c r="J103" s="257">
        <f t="shared" si="24"/>
        <v>0</v>
      </c>
      <c r="K103" s="23"/>
      <c r="L103" s="218"/>
      <c r="M103" s="103">
        <v>44988.0</v>
      </c>
      <c r="N103" s="261"/>
      <c r="O103" s="261">
        <f>N7+N6</f>
        <v>888000</v>
      </c>
      <c r="P103" s="487"/>
      <c r="Q103" s="1177">
        <f>Q6+L9+L4+L7</f>
        <v>239997</v>
      </c>
      <c r="R103" s="1178">
        <f t="shared" si="25"/>
        <v>648003</v>
      </c>
      <c r="S103" s="488"/>
      <c r="T103" s="9"/>
      <c r="U103" s="608"/>
      <c r="V103" s="611"/>
      <c r="W103" s="1430"/>
      <c r="X103" s="266"/>
      <c r="Y103" s="218"/>
      <c r="Z103" s="219"/>
      <c r="AA103" s="205"/>
      <c r="AB103" s="205"/>
      <c r="AC103" s="205"/>
      <c r="AD103" s="9"/>
    </row>
    <row r="104" ht="15.75" customHeight="1">
      <c r="A104" s="218"/>
      <c r="B104" s="62"/>
      <c r="C104" s="129" t="s">
        <v>125</v>
      </c>
      <c r="D104" s="255">
        <f t="shared" si="21"/>
        <v>21</v>
      </c>
      <c r="E104" s="65"/>
      <c r="F104" s="255"/>
      <c r="G104" s="256">
        <f t="shared" si="22"/>
        <v>21</v>
      </c>
      <c r="H104" s="80">
        <v>220000.0</v>
      </c>
      <c r="I104" s="217">
        <f t="shared" si="23"/>
        <v>4620000</v>
      </c>
      <c r="J104" s="257">
        <f t="shared" si="24"/>
        <v>0</v>
      </c>
      <c r="K104" s="23"/>
      <c r="L104" s="218"/>
      <c r="M104" s="103">
        <v>44991.0</v>
      </c>
      <c r="N104" s="261"/>
      <c r="O104" s="261">
        <f>N9+N12</f>
        <v>7510000</v>
      </c>
      <c r="P104" s="487"/>
      <c r="Q104" s="1177">
        <f>Q12+Q10</f>
        <v>438537</v>
      </c>
      <c r="R104" s="1178">
        <f t="shared" si="25"/>
        <v>7071463</v>
      </c>
      <c r="S104" s="488"/>
      <c r="T104" s="9"/>
      <c r="U104" s="608"/>
      <c r="V104" s="611"/>
      <c r="W104" s="1430"/>
      <c r="X104" s="266"/>
      <c r="Y104" s="218"/>
      <c r="Z104" s="219"/>
      <c r="AA104" s="205"/>
      <c r="AB104" s="205"/>
      <c r="AC104" s="205"/>
      <c r="AD104" s="9"/>
    </row>
    <row r="105" ht="15.75" customHeight="1">
      <c r="A105" s="218"/>
      <c r="B105" s="62"/>
      <c r="C105" s="129" t="s">
        <v>129</v>
      </c>
      <c r="D105" s="255">
        <f t="shared" si="21"/>
        <v>30</v>
      </c>
      <c r="E105" s="268"/>
      <c r="F105" s="269"/>
      <c r="G105" s="256">
        <f t="shared" si="22"/>
        <v>30</v>
      </c>
      <c r="H105" s="80">
        <v>220000.0</v>
      </c>
      <c r="I105" s="217">
        <f t="shared" si="23"/>
        <v>6600000</v>
      </c>
      <c r="J105" s="257">
        <f t="shared" si="24"/>
        <v>0</v>
      </c>
      <c r="K105" s="23"/>
      <c r="L105" s="218"/>
      <c r="M105" s="103">
        <v>44993.0</v>
      </c>
      <c r="N105" s="261"/>
      <c r="O105" s="261">
        <f>N14+N21</f>
        <v>1870000</v>
      </c>
      <c r="P105" s="487"/>
      <c r="Q105" s="1177">
        <f>Q14+L21</f>
        <v>117498</v>
      </c>
      <c r="R105" s="1178">
        <f t="shared" si="25"/>
        <v>1752502</v>
      </c>
      <c r="S105" s="488"/>
      <c r="T105" s="9"/>
      <c r="U105" s="608"/>
      <c r="V105" s="611"/>
      <c r="W105" s="1430"/>
      <c r="X105" s="266"/>
      <c r="Y105" s="218"/>
      <c r="Z105" s="219"/>
      <c r="AA105" s="205"/>
      <c r="AB105" s="205"/>
      <c r="AC105" s="205"/>
      <c r="AD105" s="9"/>
    </row>
    <row r="106" ht="15.75" customHeight="1">
      <c r="A106" s="218"/>
      <c r="B106" s="62"/>
      <c r="C106" s="85" t="s">
        <v>133</v>
      </c>
      <c r="D106" s="255">
        <f t="shared" si="21"/>
        <v>20</v>
      </c>
      <c r="E106" s="65"/>
      <c r="F106" s="269"/>
      <c r="G106" s="256">
        <f t="shared" si="22"/>
        <v>20</v>
      </c>
      <c r="H106" s="128">
        <v>220000.0</v>
      </c>
      <c r="I106" s="217">
        <f t="shared" si="23"/>
        <v>4400000</v>
      </c>
      <c r="J106" s="257">
        <f t="shared" si="24"/>
        <v>0</v>
      </c>
      <c r="K106" s="23"/>
      <c r="L106" s="218"/>
      <c r="M106" s="103">
        <v>44995.0</v>
      </c>
      <c r="N106" s="261"/>
      <c r="O106" s="261">
        <f>N22+N24</f>
        <v>8800000</v>
      </c>
      <c r="P106" s="487"/>
      <c r="Q106" s="1177">
        <f>Q22+Q24</f>
        <v>295804</v>
      </c>
      <c r="R106" s="1178">
        <f t="shared" si="25"/>
        <v>8504196</v>
      </c>
      <c r="S106" s="488"/>
      <c r="T106" s="9"/>
      <c r="U106" s="608"/>
      <c r="V106" s="611"/>
      <c r="W106" s="1430"/>
      <c r="X106" s="266"/>
      <c r="Y106" s="218"/>
      <c r="Z106" s="219"/>
      <c r="AA106" s="205"/>
      <c r="AB106" s="205"/>
      <c r="AC106" s="205"/>
      <c r="AD106" s="9"/>
    </row>
    <row r="107" ht="15.75" customHeight="1">
      <c r="A107" s="218"/>
      <c r="B107" s="62"/>
      <c r="C107" s="85" t="s">
        <v>135</v>
      </c>
      <c r="D107" s="255">
        <f t="shared" si="21"/>
        <v>0</v>
      </c>
      <c r="E107" s="268"/>
      <c r="F107" s="269"/>
      <c r="G107" s="256">
        <f t="shared" si="22"/>
        <v>0</v>
      </c>
      <c r="H107" s="128">
        <v>220000.0</v>
      </c>
      <c r="I107" s="217">
        <f t="shared" si="23"/>
        <v>0</v>
      </c>
      <c r="J107" s="257">
        <f t="shared" si="24"/>
        <v>0</v>
      </c>
      <c r="K107" s="23"/>
      <c r="L107" s="218"/>
      <c r="M107" s="103">
        <v>44998.0</v>
      </c>
      <c r="N107" s="261"/>
      <c r="O107" s="261">
        <f>N26+N29+N32+N27+N28+N30</f>
        <v>2700000</v>
      </c>
      <c r="P107" s="487"/>
      <c r="Q107" s="1177">
        <f>Q30+L28+L26+Q32+L29+Q27</f>
        <v>301498</v>
      </c>
      <c r="R107" s="1178">
        <f t="shared" si="25"/>
        <v>2398502</v>
      </c>
      <c r="S107" s="488"/>
      <c r="T107" s="9"/>
      <c r="U107" s="608"/>
      <c r="V107" s="611"/>
      <c r="W107" s="1430"/>
      <c r="X107" s="266"/>
      <c r="Y107" s="218"/>
      <c r="Z107" s="219"/>
      <c r="AA107" s="205"/>
      <c r="AB107" s="205"/>
      <c r="AC107" s="205"/>
      <c r="AD107" s="9"/>
    </row>
    <row r="108" ht="15.75" customHeight="1">
      <c r="A108" s="218"/>
      <c r="B108" s="62"/>
      <c r="C108" s="85" t="s">
        <v>139</v>
      </c>
      <c r="D108" s="255">
        <f t="shared" si="21"/>
        <v>5</v>
      </c>
      <c r="E108" s="65"/>
      <c r="F108" s="269"/>
      <c r="G108" s="256">
        <f t="shared" si="22"/>
        <v>5</v>
      </c>
      <c r="H108" s="128">
        <v>80000.0</v>
      </c>
      <c r="I108" s="217">
        <f t="shared" si="23"/>
        <v>400000</v>
      </c>
      <c r="J108" s="257">
        <f t="shared" si="24"/>
        <v>0</v>
      </c>
      <c r="K108" s="23"/>
      <c r="L108" s="218"/>
      <c r="M108" s="103">
        <v>45000.0</v>
      </c>
      <c r="N108" s="261"/>
      <c r="O108" s="261">
        <f>N38+N36+N39</f>
        <v>1630000</v>
      </c>
      <c r="P108" s="487"/>
      <c r="Q108" s="1177">
        <f>Q35+Q36+Q38</f>
        <v>157498</v>
      </c>
      <c r="R108" s="1178">
        <f t="shared" si="25"/>
        <v>1472502</v>
      </c>
      <c r="S108" s="488"/>
      <c r="T108" s="9"/>
      <c r="U108" s="608"/>
      <c r="V108" s="611"/>
      <c r="W108" s="1430"/>
      <c r="X108" s="266"/>
      <c r="Y108" s="218"/>
      <c r="Z108" s="219"/>
      <c r="AA108" s="205"/>
      <c r="AB108" s="205"/>
      <c r="AC108" s="205"/>
      <c r="AD108" s="9"/>
    </row>
    <row r="109" ht="15.75" customHeight="1">
      <c r="A109" s="218"/>
      <c r="B109" s="62"/>
      <c r="C109" s="85" t="s">
        <v>142</v>
      </c>
      <c r="D109" s="255">
        <f t="shared" si="21"/>
        <v>0</v>
      </c>
      <c r="E109" s="65"/>
      <c r="F109" s="269"/>
      <c r="G109" s="256">
        <f t="shared" si="22"/>
        <v>0</v>
      </c>
      <c r="H109" s="128">
        <v>220000.0</v>
      </c>
      <c r="I109" s="217">
        <f t="shared" si="23"/>
        <v>0</v>
      </c>
      <c r="J109" s="257">
        <f t="shared" si="24"/>
        <v>0</v>
      </c>
      <c r="K109" s="23"/>
      <c r="L109" s="218"/>
      <c r="M109" s="103">
        <v>45002.0</v>
      </c>
      <c r="N109" s="261"/>
      <c r="O109" s="261">
        <f>N43+N45+N40</f>
        <v>5940000</v>
      </c>
      <c r="P109" s="487"/>
      <c r="Q109" s="1177">
        <f>Q48+Q43+Q45+Q40+L46</f>
        <v>376071</v>
      </c>
      <c r="R109" s="1178">
        <f t="shared" si="25"/>
        <v>5563929</v>
      </c>
      <c r="S109" s="488"/>
      <c r="T109" s="9"/>
      <c r="U109" s="608"/>
      <c r="V109" s="611"/>
      <c r="W109" s="1430"/>
      <c r="X109" s="266"/>
      <c r="Y109" s="218"/>
      <c r="Z109" s="219"/>
      <c r="AA109" s="205"/>
      <c r="AB109" s="205"/>
      <c r="AC109" s="205"/>
      <c r="AD109" s="9"/>
    </row>
    <row r="110" ht="15.75" customHeight="1">
      <c r="A110" s="218"/>
      <c r="B110" s="62"/>
      <c r="C110" s="85" t="s">
        <v>145</v>
      </c>
      <c r="D110" s="255">
        <f t="shared" si="21"/>
        <v>111</v>
      </c>
      <c r="E110" s="65"/>
      <c r="F110" s="613">
        <v>1.0</v>
      </c>
      <c r="G110" s="256">
        <f t="shared" si="22"/>
        <v>110</v>
      </c>
      <c r="H110" s="128">
        <v>220000.0</v>
      </c>
      <c r="I110" s="217">
        <f t="shared" si="23"/>
        <v>24200000</v>
      </c>
      <c r="J110" s="257">
        <f t="shared" si="24"/>
        <v>0</v>
      </c>
      <c r="K110" s="23"/>
      <c r="L110" s="218"/>
      <c r="M110" s="103">
        <v>45005.0</v>
      </c>
      <c r="N110" s="261"/>
      <c r="O110" s="261">
        <f>N51+N57+N48+N54+N50+N46</f>
        <v>2830000</v>
      </c>
      <c r="P110" s="487"/>
      <c r="Q110" s="1177">
        <f>L60+L50+Q54+L51+L59+Q52+L57</f>
        <v>419000</v>
      </c>
      <c r="R110" s="1178">
        <f t="shared" si="25"/>
        <v>2411000</v>
      </c>
      <c r="S110" s="488"/>
      <c r="T110" s="9"/>
      <c r="U110" s="608"/>
      <c r="V110" s="611"/>
      <c r="W110" s="1430"/>
      <c r="X110" s="266"/>
      <c r="Y110" s="218"/>
      <c r="Z110" s="219"/>
      <c r="AA110" s="205"/>
      <c r="AB110" s="205"/>
      <c r="AC110" s="205"/>
      <c r="AD110" s="9"/>
    </row>
    <row r="111" ht="15.75" customHeight="1">
      <c r="A111" s="218"/>
      <c r="B111" s="62"/>
      <c r="C111" s="85" t="s">
        <v>153</v>
      </c>
      <c r="D111" s="255">
        <f t="shared" si="21"/>
        <v>4</v>
      </c>
      <c r="E111" s="65"/>
      <c r="F111" s="269"/>
      <c r="G111" s="256">
        <f t="shared" si="22"/>
        <v>4</v>
      </c>
      <c r="H111" s="128">
        <v>45000.0</v>
      </c>
      <c r="I111" s="217">
        <f t="shared" si="23"/>
        <v>180000</v>
      </c>
      <c r="J111" s="257">
        <f t="shared" si="24"/>
        <v>0</v>
      </c>
      <c r="K111" s="23"/>
      <c r="L111" s="218"/>
      <c r="M111" s="103">
        <v>45007.0</v>
      </c>
      <c r="N111" s="261"/>
      <c r="O111" s="261">
        <f>N60+N59+N63</f>
        <v>1800000</v>
      </c>
      <c r="P111" s="487"/>
      <c r="Q111" s="1177">
        <f>0</f>
        <v>0</v>
      </c>
      <c r="R111" s="1178">
        <f t="shared" si="25"/>
        <v>1800000</v>
      </c>
      <c r="S111" s="488"/>
      <c r="T111" s="9"/>
      <c r="U111" s="608"/>
      <c r="V111" s="611"/>
      <c r="W111" s="1430"/>
      <c r="X111" s="266"/>
      <c r="Y111" s="218"/>
      <c r="Z111" s="219"/>
      <c r="AA111" s="205"/>
      <c r="AB111" s="205"/>
      <c r="AC111" s="205"/>
      <c r="AD111" s="9"/>
    </row>
    <row r="112" ht="15.75" customHeight="1">
      <c r="A112" s="218"/>
      <c r="B112" s="62"/>
      <c r="C112" s="273" t="s">
        <v>161</v>
      </c>
      <c r="D112" s="255">
        <f t="shared" si="21"/>
        <v>21</v>
      </c>
      <c r="E112" s="65"/>
      <c r="F112" s="269"/>
      <c r="G112" s="256">
        <f t="shared" si="22"/>
        <v>21</v>
      </c>
      <c r="H112" s="274">
        <v>220000.0</v>
      </c>
      <c r="I112" s="217">
        <f t="shared" si="23"/>
        <v>4620000</v>
      </c>
      <c r="J112" s="257">
        <f t="shared" si="24"/>
        <v>2</v>
      </c>
      <c r="K112" s="23"/>
      <c r="L112" s="218"/>
      <c r="M112" s="103">
        <v>45009.0</v>
      </c>
      <c r="N112" s="261"/>
      <c r="O112" s="261">
        <f>N66+N62+N52+N64+N61</f>
        <v>2680000</v>
      </c>
      <c r="P112" s="487"/>
      <c r="Q112" s="1177">
        <f>Q66+Q63+L62+L61+Q64+66001</f>
        <v>331498</v>
      </c>
      <c r="R112" s="1178">
        <f t="shared" si="25"/>
        <v>2348502</v>
      </c>
      <c r="S112" s="483" t="s">
        <v>2169</v>
      </c>
      <c r="T112" s="9"/>
      <c r="U112" s="608"/>
      <c r="V112" s="611"/>
      <c r="W112" s="1430"/>
      <c r="X112" s="266"/>
      <c r="Y112" s="218"/>
      <c r="Z112" s="219"/>
      <c r="AA112" s="205"/>
      <c r="AB112" s="205"/>
      <c r="AC112" s="205"/>
      <c r="AD112" s="9"/>
    </row>
    <row r="113" ht="15.75" customHeight="1">
      <c r="A113" s="218"/>
      <c r="B113" s="62"/>
      <c r="C113" s="273" t="s">
        <v>488</v>
      </c>
      <c r="D113" s="255">
        <f t="shared" si="21"/>
        <v>0</v>
      </c>
      <c r="E113" s="65"/>
      <c r="F113" s="269"/>
      <c r="G113" s="256">
        <f t="shared" si="22"/>
        <v>0</v>
      </c>
      <c r="H113" s="274">
        <v>45000.0</v>
      </c>
      <c r="I113" s="217">
        <f t="shared" si="23"/>
        <v>0</v>
      </c>
      <c r="J113" s="257">
        <f t="shared" si="24"/>
        <v>0</v>
      </c>
      <c r="K113" s="23"/>
      <c r="L113" s="218"/>
      <c r="M113" s="620"/>
      <c r="N113" s="261"/>
      <c r="O113" s="261"/>
      <c r="P113" s="487"/>
      <c r="Q113" s="1177"/>
      <c r="R113" s="1178">
        <f t="shared" si="25"/>
        <v>0</v>
      </c>
      <c r="S113" s="488"/>
      <c r="T113" s="9"/>
      <c r="U113" s="608"/>
      <c r="V113" s="611"/>
      <c r="W113" s="1430"/>
      <c r="X113" s="266"/>
      <c r="Y113" s="218"/>
      <c r="Z113" s="219"/>
      <c r="AA113" s="205"/>
      <c r="AB113" s="205"/>
      <c r="AC113" s="205"/>
      <c r="AD113" s="9"/>
    </row>
    <row r="114" ht="15.75" customHeight="1">
      <c r="A114" s="218"/>
      <c r="B114" s="62"/>
      <c r="C114" s="273" t="s">
        <v>412</v>
      </c>
      <c r="D114" s="255">
        <f t="shared" si="21"/>
        <v>0</v>
      </c>
      <c r="E114" s="65"/>
      <c r="F114" s="269"/>
      <c r="G114" s="256">
        <f t="shared" si="22"/>
        <v>0</v>
      </c>
      <c r="H114" s="274">
        <v>45000.0</v>
      </c>
      <c r="I114" s="217">
        <f t="shared" si="23"/>
        <v>0</v>
      </c>
      <c r="J114" s="257">
        <f t="shared" si="24"/>
        <v>0</v>
      </c>
      <c r="K114" s="23"/>
      <c r="L114" s="218"/>
      <c r="M114" s="620"/>
      <c r="N114" s="261"/>
      <c r="O114" s="261"/>
      <c r="P114" s="487"/>
      <c r="Q114" s="1177"/>
      <c r="R114" s="1178">
        <f t="shared" si="25"/>
        <v>0</v>
      </c>
      <c r="S114" s="488"/>
      <c r="T114" s="9"/>
      <c r="U114" s="608"/>
      <c r="V114" s="611"/>
      <c r="W114" s="1430"/>
      <c r="X114" s="266"/>
      <c r="Y114" s="218"/>
      <c r="Z114" s="219"/>
      <c r="AA114" s="205"/>
      <c r="AB114" s="205"/>
      <c r="AC114" s="205"/>
      <c r="AD114" s="9"/>
    </row>
    <row r="115" ht="15.75" customHeight="1">
      <c r="A115" s="218"/>
      <c r="B115" s="62"/>
      <c r="C115" s="273" t="s">
        <v>151</v>
      </c>
      <c r="D115" s="255">
        <f t="shared" si="21"/>
        <v>22</v>
      </c>
      <c r="E115" s="65"/>
      <c r="F115" s="269"/>
      <c r="G115" s="256">
        <f t="shared" si="22"/>
        <v>22</v>
      </c>
      <c r="H115" s="274">
        <v>220000.0</v>
      </c>
      <c r="I115" s="217">
        <f t="shared" si="23"/>
        <v>4840000</v>
      </c>
      <c r="J115" s="257">
        <f t="shared" si="24"/>
        <v>2</v>
      </c>
      <c r="K115" s="23"/>
      <c r="L115" s="218"/>
      <c r="M115" s="620"/>
      <c r="N115" s="261"/>
      <c r="O115" s="261"/>
      <c r="P115" s="487"/>
      <c r="Q115" s="1177"/>
      <c r="R115" s="1178">
        <f t="shared" si="25"/>
        <v>0</v>
      </c>
      <c r="S115" s="488"/>
      <c r="T115" s="9"/>
      <c r="U115" s="608"/>
      <c r="V115" s="611"/>
      <c r="W115" s="1430"/>
      <c r="X115" s="266"/>
      <c r="Y115" s="218"/>
      <c r="Z115" s="219"/>
      <c r="AA115" s="205"/>
      <c r="AB115" s="205"/>
      <c r="AC115" s="205"/>
      <c r="AD115" s="9"/>
    </row>
    <row r="116" ht="15.75" customHeight="1">
      <c r="A116" s="218"/>
      <c r="B116" s="62"/>
      <c r="C116" s="65" t="s">
        <v>148</v>
      </c>
      <c r="D116" s="255">
        <f t="shared" si="21"/>
        <v>4</v>
      </c>
      <c r="E116" s="65"/>
      <c r="F116" s="269"/>
      <c r="G116" s="256">
        <f t="shared" si="22"/>
        <v>4</v>
      </c>
      <c r="H116" s="66">
        <v>220000.0</v>
      </c>
      <c r="I116" s="217">
        <f t="shared" si="23"/>
        <v>880000</v>
      </c>
      <c r="J116" s="257">
        <f t="shared" si="24"/>
        <v>0</v>
      </c>
      <c r="K116" s="23"/>
      <c r="L116" s="218"/>
      <c r="M116" s="620"/>
      <c r="N116" s="261"/>
      <c r="O116" s="261"/>
      <c r="P116" s="487"/>
      <c r="Q116" s="1177"/>
      <c r="R116" s="1178">
        <f t="shared" si="25"/>
        <v>0</v>
      </c>
      <c r="S116" s="488"/>
      <c r="T116" s="9"/>
      <c r="U116" s="608"/>
      <c r="V116" s="611"/>
      <c r="W116" s="1430"/>
      <c r="X116" s="266"/>
      <c r="Y116" s="218"/>
      <c r="Z116" s="219"/>
      <c r="AA116" s="205"/>
      <c r="AB116" s="205"/>
      <c r="AC116" s="205"/>
      <c r="AD116" s="9"/>
    </row>
    <row r="117" ht="15.75" customHeight="1">
      <c r="A117" s="218"/>
      <c r="B117" s="254" t="s">
        <v>415</v>
      </c>
      <c r="C117" s="283" t="s">
        <v>34</v>
      </c>
      <c r="D117" s="255">
        <f t="shared" si="21"/>
        <v>0</v>
      </c>
      <c r="E117" s="284"/>
      <c r="F117" s="269"/>
      <c r="G117" s="256">
        <f t="shared" si="22"/>
        <v>0</v>
      </c>
      <c r="H117" s="61">
        <v>65000.0</v>
      </c>
      <c r="I117" s="217">
        <f t="shared" si="23"/>
        <v>0</v>
      </c>
      <c r="J117" s="257">
        <f t="shared" si="24"/>
        <v>0</v>
      </c>
      <c r="K117" s="23"/>
      <c r="L117" s="218"/>
      <c r="M117" s="620"/>
      <c r="N117" s="261"/>
      <c r="O117" s="261"/>
      <c r="P117" s="487"/>
      <c r="Q117" s="1177"/>
      <c r="R117" s="1178">
        <f t="shared" si="25"/>
        <v>0</v>
      </c>
      <c r="S117" s="488"/>
      <c r="T117" s="617"/>
      <c r="U117" s="618"/>
      <c r="V117" s="616"/>
      <c r="W117" s="279"/>
      <c r="X117" s="266"/>
      <c r="Y117" s="218"/>
      <c r="Z117" s="219"/>
      <c r="AA117" s="205"/>
      <c r="AB117" s="205"/>
      <c r="AC117" s="205"/>
      <c r="AD117" s="9"/>
    </row>
    <row r="118" ht="15.75" customHeight="1">
      <c r="A118" s="218"/>
      <c r="B118" s="62"/>
      <c r="C118" s="285" t="s">
        <v>36</v>
      </c>
      <c r="D118" s="255">
        <f t="shared" si="21"/>
        <v>0</v>
      </c>
      <c r="E118" s="284"/>
      <c r="F118" s="269"/>
      <c r="G118" s="256">
        <f t="shared" si="22"/>
        <v>0</v>
      </c>
      <c r="H118" s="66">
        <v>180000.0</v>
      </c>
      <c r="I118" s="217">
        <f t="shared" si="23"/>
        <v>0</v>
      </c>
      <c r="J118" s="257">
        <f t="shared" si="24"/>
        <v>0</v>
      </c>
      <c r="K118" s="23"/>
      <c r="L118" s="218"/>
      <c r="M118" s="1180" t="s">
        <v>421</v>
      </c>
      <c r="N118" s="1123">
        <f t="shared" ref="N118:R118" si="26">SUM(N101:N117)</f>
        <v>5790000</v>
      </c>
      <c r="O118" s="1123">
        <f t="shared" si="26"/>
        <v>36988000</v>
      </c>
      <c r="P118" s="1123">
        <f t="shared" si="26"/>
        <v>315993</v>
      </c>
      <c r="Q118" s="1123">
        <f t="shared" si="26"/>
        <v>2677401</v>
      </c>
      <c r="R118" s="1123">
        <f t="shared" si="26"/>
        <v>39784606</v>
      </c>
      <c r="S118" s="1181"/>
      <c r="T118" s="617"/>
      <c r="U118" s="618"/>
      <c r="V118" s="616"/>
      <c r="W118" s="279"/>
      <c r="X118" s="266"/>
      <c r="Y118" s="218"/>
      <c r="Z118" s="219"/>
      <c r="AA118" s="205"/>
      <c r="AB118" s="205"/>
      <c r="AC118" s="205"/>
      <c r="AD118" s="9"/>
    </row>
    <row r="119" ht="15.75" customHeight="1">
      <c r="A119" s="218"/>
      <c r="B119" s="62"/>
      <c r="C119" s="285" t="s">
        <v>38</v>
      </c>
      <c r="D119" s="255">
        <f t="shared" si="21"/>
        <v>0</v>
      </c>
      <c r="E119" s="284"/>
      <c r="F119" s="269"/>
      <c r="G119" s="256">
        <f t="shared" si="22"/>
        <v>0</v>
      </c>
      <c r="H119" s="66">
        <v>160000.0</v>
      </c>
      <c r="I119" s="217">
        <f t="shared" si="23"/>
        <v>0</v>
      </c>
      <c r="J119" s="257">
        <f t="shared" si="24"/>
        <v>0</v>
      </c>
      <c r="K119" s="23"/>
      <c r="L119" s="218"/>
      <c r="M119" s="218"/>
      <c r="N119" s="298"/>
      <c r="O119" s="299"/>
      <c r="P119" s="299"/>
      <c r="Q119" s="299"/>
      <c r="R119" s="299"/>
      <c r="S119" s="299"/>
      <c r="T119" s="617"/>
      <c r="U119" s="618"/>
      <c r="V119" s="616"/>
      <c r="W119" s="279"/>
      <c r="X119" s="266"/>
      <c r="Y119" s="218"/>
      <c r="Z119" s="219"/>
      <c r="AA119" s="205"/>
      <c r="AB119" s="205"/>
      <c r="AC119" s="205"/>
      <c r="AD119" s="9"/>
    </row>
    <row r="120" ht="15.75" customHeight="1">
      <c r="A120" s="218"/>
      <c r="B120" s="62"/>
      <c r="C120" s="285" t="s">
        <v>43</v>
      </c>
      <c r="D120" s="255">
        <f t="shared" si="21"/>
        <v>0</v>
      </c>
      <c r="E120" s="284"/>
      <c r="F120" s="269"/>
      <c r="G120" s="256">
        <f t="shared" si="22"/>
        <v>0</v>
      </c>
      <c r="H120" s="66">
        <v>80000.0</v>
      </c>
      <c r="I120" s="217">
        <f t="shared" si="23"/>
        <v>0</v>
      </c>
      <c r="J120" s="257">
        <f t="shared" si="24"/>
        <v>0</v>
      </c>
      <c r="K120" s="23"/>
      <c r="L120" s="218"/>
      <c r="M120" s="218"/>
      <c r="N120" s="298"/>
      <c r="O120" s="299"/>
      <c r="P120" s="299"/>
      <c r="Q120" s="299"/>
      <c r="R120" s="299"/>
      <c r="S120" s="299"/>
      <c r="T120" s="617"/>
      <c r="U120" s="618"/>
      <c r="V120" s="616"/>
      <c r="W120" s="279"/>
      <c r="X120" s="266"/>
      <c r="Y120" s="218"/>
      <c r="Z120" s="219"/>
      <c r="AA120" s="205"/>
      <c r="AB120" s="205"/>
      <c r="AC120" s="205"/>
      <c r="AD120" s="9"/>
    </row>
    <row r="121" ht="15.75" customHeight="1">
      <c r="A121" s="218"/>
      <c r="B121" s="62"/>
      <c r="C121" s="285" t="s">
        <v>48</v>
      </c>
      <c r="D121" s="255">
        <f t="shared" si="21"/>
        <v>0</v>
      </c>
      <c r="E121" s="284"/>
      <c r="F121" s="269"/>
      <c r="G121" s="256">
        <f t="shared" si="22"/>
        <v>0</v>
      </c>
      <c r="H121" s="66">
        <v>55000.0</v>
      </c>
      <c r="I121" s="217">
        <f t="shared" si="23"/>
        <v>0</v>
      </c>
      <c r="J121" s="257">
        <f t="shared" si="24"/>
        <v>0</v>
      </c>
      <c r="K121" s="23"/>
      <c r="L121" s="218"/>
      <c r="M121" s="218"/>
      <c r="N121" s="298"/>
      <c r="O121" s="299"/>
      <c r="P121" s="299"/>
      <c r="Q121" s="299"/>
      <c r="R121" s="299"/>
      <c r="S121" s="299"/>
      <c r="T121" s="617"/>
      <c r="U121" s="618"/>
      <c r="V121" s="616"/>
      <c r="W121" s="279"/>
      <c r="X121" s="266"/>
      <c r="Y121" s="218"/>
      <c r="Z121" s="219"/>
      <c r="AA121" s="205"/>
      <c r="AB121" s="205"/>
      <c r="AC121" s="205"/>
      <c r="AD121" s="9"/>
    </row>
    <row r="122" ht="15.75" customHeight="1">
      <c r="A122" s="218"/>
      <c r="B122" s="62"/>
      <c r="C122" s="285" t="s">
        <v>60</v>
      </c>
      <c r="D122" s="255">
        <f t="shared" si="21"/>
        <v>0</v>
      </c>
      <c r="E122" s="284"/>
      <c r="F122" s="269"/>
      <c r="G122" s="256">
        <f t="shared" si="22"/>
        <v>0</v>
      </c>
      <c r="H122" s="66">
        <v>45000.0</v>
      </c>
      <c r="I122" s="217">
        <f t="shared" si="23"/>
        <v>0</v>
      </c>
      <c r="J122" s="257">
        <f t="shared" si="24"/>
        <v>0</v>
      </c>
      <c r="K122" s="23"/>
      <c r="L122" s="218"/>
      <c r="M122" s="218"/>
      <c r="N122" s="298"/>
      <c r="O122" s="299"/>
      <c r="P122" s="299"/>
      <c r="Q122" s="299"/>
      <c r="R122" s="299"/>
      <c r="S122" s="299"/>
      <c r="T122" s="617"/>
      <c r="U122" s="618"/>
      <c r="V122" s="616"/>
      <c r="W122" s="279"/>
      <c r="X122" s="266"/>
      <c r="Y122" s="218"/>
      <c r="Z122" s="219"/>
      <c r="AA122" s="205"/>
      <c r="AB122" s="205"/>
      <c r="AC122" s="205"/>
      <c r="AD122" s="9"/>
    </row>
    <row r="123" ht="15.75" customHeight="1">
      <c r="A123" s="218"/>
      <c r="B123" s="62"/>
      <c r="C123" s="285" t="s">
        <v>679</v>
      </c>
      <c r="D123" s="255">
        <f t="shared" si="21"/>
        <v>0</v>
      </c>
      <c r="E123" s="284"/>
      <c r="F123" s="269"/>
      <c r="G123" s="256">
        <f t="shared" si="22"/>
        <v>0</v>
      </c>
      <c r="H123" s="66">
        <v>110000.0</v>
      </c>
      <c r="I123" s="217">
        <f t="shared" si="23"/>
        <v>0</v>
      </c>
      <c r="J123" s="257">
        <f t="shared" si="24"/>
        <v>0</v>
      </c>
      <c r="K123" s="23"/>
      <c r="L123" s="218"/>
      <c r="M123" s="218"/>
      <c r="N123" s="298"/>
      <c r="O123" s="299"/>
      <c r="P123" s="299"/>
      <c r="Q123" s="299"/>
      <c r="R123" s="299"/>
      <c r="S123" s="299"/>
      <c r="T123" s="617"/>
      <c r="U123" s="618"/>
      <c r="V123" s="616"/>
      <c r="W123" s="279"/>
      <c r="X123" s="266"/>
      <c r="Y123" s="218"/>
      <c r="Z123" s="219"/>
      <c r="AA123" s="205"/>
      <c r="AB123" s="205"/>
      <c r="AC123" s="205"/>
      <c r="AD123" s="9"/>
    </row>
    <row r="124" ht="15.75" customHeight="1">
      <c r="A124" s="218"/>
      <c r="B124" s="62"/>
      <c r="C124" s="285" t="s">
        <v>66</v>
      </c>
      <c r="D124" s="255">
        <f t="shared" si="21"/>
        <v>0</v>
      </c>
      <c r="E124" s="284"/>
      <c r="F124" s="269"/>
      <c r="G124" s="256">
        <f t="shared" si="22"/>
        <v>0</v>
      </c>
      <c r="H124" s="66">
        <v>205000.0</v>
      </c>
      <c r="I124" s="217">
        <f t="shared" si="23"/>
        <v>0</v>
      </c>
      <c r="J124" s="257">
        <f t="shared" si="24"/>
        <v>0</v>
      </c>
      <c r="K124" s="23"/>
      <c r="L124" s="218"/>
      <c r="M124" s="218"/>
      <c r="N124" s="298"/>
      <c r="O124" s="299"/>
      <c r="P124" s="299"/>
      <c r="Q124" s="299"/>
      <c r="R124" s="299"/>
      <c r="S124" s="299"/>
      <c r="T124" s="617"/>
      <c r="U124" s="618"/>
      <c r="V124" s="616"/>
      <c r="W124" s="279"/>
      <c r="X124" s="266"/>
      <c r="Y124" s="218"/>
      <c r="Z124" s="219"/>
      <c r="AA124" s="205"/>
      <c r="AB124" s="205"/>
      <c r="AC124" s="205"/>
      <c r="AD124" s="9"/>
    </row>
    <row r="125" ht="15.75" customHeight="1">
      <c r="A125" s="218"/>
      <c r="B125" s="62"/>
      <c r="C125" s="285" t="s">
        <v>684</v>
      </c>
      <c r="D125" s="255">
        <f t="shared" si="21"/>
        <v>0</v>
      </c>
      <c r="E125" s="284"/>
      <c r="F125" s="269"/>
      <c r="G125" s="256">
        <f t="shared" si="22"/>
        <v>0</v>
      </c>
      <c r="H125" s="66">
        <v>150000.0</v>
      </c>
      <c r="I125" s="217">
        <f t="shared" si="23"/>
        <v>0</v>
      </c>
      <c r="J125" s="257">
        <f t="shared" si="24"/>
        <v>0</v>
      </c>
      <c r="K125" s="23"/>
      <c r="L125" s="218"/>
      <c r="M125" s="218"/>
      <c r="N125" s="298"/>
      <c r="O125" s="299"/>
      <c r="P125" s="299"/>
      <c r="Q125" s="299"/>
      <c r="R125" s="299"/>
      <c r="S125" s="299"/>
      <c r="T125" s="617"/>
      <c r="U125" s="618"/>
      <c r="V125" s="616"/>
      <c r="W125" s="279"/>
      <c r="X125" s="266"/>
      <c r="Y125" s="218"/>
      <c r="Z125" s="219"/>
      <c r="AA125" s="205"/>
      <c r="AB125" s="205"/>
      <c r="AC125" s="205"/>
      <c r="AD125" s="9"/>
    </row>
    <row r="126" ht="15.75" customHeight="1">
      <c r="A126" s="218"/>
      <c r="B126" s="62"/>
      <c r="C126" s="288" t="s">
        <v>71</v>
      </c>
      <c r="D126" s="255">
        <f t="shared" si="21"/>
        <v>0</v>
      </c>
      <c r="E126" s="284"/>
      <c r="F126" s="269"/>
      <c r="G126" s="256">
        <f t="shared" si="22"/>
        <v>0</v>
      </c>
      <c r="H126" s="66">
        <v>85000.0</v>
      </c>
      <c r="I126" s="217">
        <f t="shared" si="23"/>
        <v>0</v>
      </c>
      <c r="J126" s="257">
        <f t="shared" si="24"/>
        <v>0</v>
      </c>
      <c r="K126" s="23"/>
      <c r="L126" s="218"/>
      <c r="M126" s="218"/>
      <c r="N126" s="298"/>
      <c r="O126" s="299"/>
      <c r="P126" s="299"/>
      <c r="Q126" s="299"/>
      <c r="R126" s="299"/>
      <c r="S126" s="299"/>
      <c r="T126" s="617"/>
      <c r="U126" s="618"/>
      <c r="V126" s="616"/>
      <c r="W126" s="279"/>
      <c r="X126" s="266"/>
      <c r="Y126" s="218"/>
      <c r="Z126" s="219"/>
      <c r="AA126" s="205"/>
      <c r="AB126" s="205"/>
      <c r="AC126" s="205"/>
      <c r="AD126" s="9"/>
    </row>
    <row r="127" ht="15.75" customHeight="1">
      <c r="A127" s="218"/>
      <c r="B127" s="62"/>
      <c r="C127" s="285" t="s">
        <v>76</v>
      </c>
      <c r="D127" s="255">
        <f t="shared" si="21"/>
        <v>2</v>
      </c>
      <c r="E127" s="284"/>
      <c r="F127" s="269"/>
      <c r="G127" s="256">
        <f t="shared" si="22"/>
        <v>2</v>
      </c>
      <c r="H127" s="66">
        <v>90000.0</v>
      </c>
      <c r="I127" s="217">
        <f t="shared" si="23"/>
        <v>180000</v>
      </c>
      <c r="J127" s="257">
        <f t="shared" si="24"/>
        <v>0</v>
      </c>
      <c r="K127" s="23"/>
      <c r="L127" s="218"/>
      <c r="M127" s="218"/>
      <c r="N127" s="298"/>
      <c r="O127" s="299"/>
      <c r="P127" s="299"/>
      <c r="Q127" s="299"/>
      <c r="R127" s="299"/>
      <c r="S127" s="299"/>
      <c r="T127" s="617"/>
      <c r="U127" s="618"/>
      <c r="V127" s="616"/>
      <c r="W127" s="279"/>
      <c r="X127" s="266"/>
      <c r="Y127" s="218"/>
      <c r="Z127" s="219"/>
      <c r="AA127" s="205"/>
      <c r="AB127" s="205"/>
      <c r="AC127" s="205"/>
      <c r="AD127" s="9"/>
    </row>
    <row r="128" ht="15.75" customHeight="1">
      <c r="A128" s="218"/>
      <c r="B128" s="62"/>
      <c r="C128" s="285" t="s">
        <v>80</v>
      </c>
      <c r="D128" s="255">
        <f t="shared" si="21"/>
        <v>0</v>
      </c>
      <c r="E128" s="284"/>
      <c r="F128" s="269"/>
      <c r="G128" s="256">
        <f t="shared" si="22"/>
        <v>0</v>
      </c>
      <c r="H128" s="66">
        <v>85000.0</v>
      </c>
      <c r="I128" s="217">
        <f t="shared" si="23"/>
        <v>0</v>
      </c>
      <c r="J128" s="257">
        <f t="shared" si="24"/>
        <v>0</v>
      </c>
      <c r="K128" s="23"/>
      <c r="L128" s="218"/>
      <c r="M128" s="218"/>
      <c r="N128" s="298"/>
      <c r="O128" s="299"/>
      <c r="P128" s="299"/>
      <c r="Q128" s="299"/>
      <c r="R128" s="299"/>
      <c r="S128" s="299"/>
      <c r="T128" s="617"/>
      <c r="U128" s="618"/>
      <c r="V128" s="616"/>
      <c r="W128" s="279"/>
      <c r="X128" s="266"/>
      <c r="Y128" s="218"/>
      <c r="Z128" s="219"/>
      <c r="AA128" s="205"/>
      <c r="AB128" s="205"/>
      <c r="AC128" s="205"/>
      <c r="AD128" s="9"/>
    </row>
    <row r="129" ht="15.75" customHeight="1">
      <c r="A129" s="218"/>
      <c r="B129" s="62"/>
      <c r="C129" s="285" t="s">
        <v>81</v>
      </c>
      <c r="D129" s="255">
        <f t="shared" si="21"/>
        <v>0</v>
      </c>
      <c r="E129" s="284"/>
      <c r="F129" s="269"/>
      <c r="G129" s="256">
        <f t="shared" si="22"/>
        <v>0</v>
      </c>
      <c r="H129" s="66">
        <v>150000.0</v>
      </c>
      <c r="I129" s="217">
        <f t="shared" si="23"/>
        <v>0</v>
      </c>
      <c r="J129" s="257">
        <f t="shared" si="24"/>
        <v>0</v>
      </c>
      <c r="K129" s="23"/>
      <c r="L129" s="218"/>
      <c r="M129" s="218"/>
      <c r="N129" s="298"/>
      <c r="O129" s="299"/>
      <c r="P129" s="299"/>
      <c r="Q129" s="299"/>
      <c r="R129" s="299"/>
      <c r="S129" s="299"/>
      <c r="T129" s="617"/>
      <c r="U129" s="618"/>
      <c r="V129" s="616"/>
      <c r="W129" s="279"/>
      <c r="X129" s="266"/>
      <c r="Y129" s="218"/>
      <c r="Z129" s="219"/>
      <c r="AA129" s="205"/>
      <c r="AB129" s="205"/>
      <c r="AC129" s="205"/>
      <c r="AD129" s="9"/>
    </row>
    <row r="130" ht="15.75" customHeight="1">
      <c r="A130" s="218"/>
      <c r="B130" s="62"/>
      <c r="C130" s="285" t="s">
        <v>85</v>
      </c>
      <c r="D130" s="255">
        <f t="shared" si="21"/>
        <v>0</v>
      </c>
      <c r="E130" s="284"/>
      <c r="F130" s="269"/>
      <c r="G130" s="256">
        <f t="shared" si="22"/>
        <v>0</v>
      </c>
      <c r="H130" s="66">
        <v>125000.0</v>
      </c>
      <c r="I130" s="217">
        <f t="shared" si="23"/>
        <v>0</v>
      </c>
      <c r="J130" s="257">
        <f t="shared" si="24"/>
        <v>0</v>
      </c>
      <c r="K130" s="23"/>
      <c r="L130" s="218"/>
      <c r="M130" s="218"/>
      <c r="N130" s="298"/>
      <c r="O130" s="299"/>
      <c r="P130" s="299"/>
      <c r="Q130" s="299"/>
      <c r="R130" s="299"/>
      <c r="S130" s="299"/>
      <c r="T130" s="617"/>
      <c r="U130" s="618"/>
      <c r="V130" s="622"/>
      <c r="W130" s="334"/>
      <c r="X130" s="235"/>
      <c r="Y130" s="218"/>
      <c r="Z130" s="219"/>
      <c r="AA130" s="205"/>
      <c r="AB130" s="205"/>
      <c r="AC130" s="205"/>
      <c r="AD130" s="9"/>
    </row>
    <row r="131" ht="15.75" customHeight="1">
      <c r="A131" s="218"/>
      <c r="B131" s="62"/>
      <c r="C131" s="285" t="s">
        <v>89</v>
      </c>
      <c r="D131" s="255">
        <f t="shared" si="21"/>
        <v>0</v>
      </c>
      <c r="E131" s="284"/>
      <c r="F131" s="269"/>
      <c r="G131" s="256">
        <f t="shared" si="22"/>
        <v>0</v>
      </c>
      <c r="H131" s="66">
        <v>35000.0</v>
      </c>
      <c r="I131" s="217">
        <f t="shared" si="23"/>
        <v>0</v>
      </c>
      <c r="J131" s="257">
        <f t="shared" si="24"/>
        <v>0</v>
      </c>
      <c r="K131" s="23"/>
      <c r="L131" s="218"/>
      <c r="M131" s="218"/>
      <c r="N131" s="298"/>
      <c r="O131" s="299"/>
      <c r="P131" s="299"/>
      <c r="Q131" s="299"/>
      <c r="R131" s="299"/>
      <c r="S131" s="299"/>
      <c r="T131" s="617"/>
      <c r="U131" s="618"/>
      <c r="V131" s="616"/>
      <c r="W131" s="279"/>
      <c r="X131" s="266"/>
      <c r="Y131" s="218"/>
      <c r="Z131" s="219"/>
      <c r="AA131" s="205"/>
      <c r="AB131" s="205"/>
      <c r="AC131" s="205"/>
      <c r="AD131" s="9"/>
    </row>
    <row r="132" ht="15.75" customHeight="1">
      <c r="A132" s="218"/>
      <c r="B132" s="62"/>
      <c r="C132" s="285" t="s">
        <v>93</v>
      </c>
      <c r="D132" s="255">
        <f t="shared" si="21"/>
        <v>0</v>
      </c>
      <c r="E132" s="284"/>
      <c r="F132" s="269"/>
      <c r="G132" s="256">
        <f t="shared" si="22"/>
        <v>0</v>
      </c>
      <c r="H132" s="66">
        <v>90000.0</v>
      </c>
      <c r="I132" s="217">
        <f t="shared" si="23"/>
        <v>0</v>
      </c>
      <c r="J132" s="257">
        <f t="shared" si="24"/>
        <v>0</v>
      </c>
      <c r="K132" s="23"/>
      <c r="L132" s="218"/>
      <c r="M132" s="218"/>
      <c r="N132" s="298"/>
      <c r="O132" s="299"/>
      <c r="P132" s="299"/>
      <c r="Q132" s="299"/>
      <c r="R132" s="299"/>
      <c r="S132" s="299"/>
      <c r="T132" s="617"/>
      <c r="U132" s="618"/>
      <c r="V132" s="616"/>
      <c r="W132" s="279"/>
      <c r="X132" s="266"/>
      <c r="Y132" s="218"/>
      <c r="Z132" s="219"/>
      <c r="AA132" s="205"/>
      <c r="AB132" s="205"/>
      <c r="AC132" s="205"/>
      <c r="AD132" s="9"/>
    </row>
    <row r="133" ht="15.75" customHeight="1">
      <c r="A133" s="218"/>
      <c r="B133" s="62"/>
      <c r="C133" s="285" t="s">
        <v>94</v>
      </c>
      <c r="D133" s="255">
        <f t="shared" si="21"/>
        <v>0</v>
      </c>
      <c r="E133" s="284"/>
      <c r="F133" s="269"/>
      <c r="G133" s="256">
        <f t="shared" si="22"/>
        <v>0</v>
      </c>
      <c r="H133" s="66">
        <v>140000.0</v>
      </c>
      <c r="I133" s="217">
        <f t="shared" si="23"/>
        <v>0</v>
      </c>
      <c r="J133" s="257">
        <f t="shared" si="24"/>
        <v>0</v>
      </c>
      <c r="K133" s="23"/>
      <c r="L133" s="218"/>
      <c r="M133" s="218"/>
      <c r="N133" s="298"/>
      <c r="O133" s="299"/>
      <c r="P133" s="299"/>
      <c r="Q133" s="299"/>
      <c r="R133" s="299"/>
      <c r="S133" s="299"/>
      <c r="T133" s="617"/>
      <c r="U133" s="618"/>
      <c r="V133" s="611"/>
      <c r="W133" s="1430"/>
      <c r="X133" s="266"/>
      <c r="Y133" s="218"/>
      <c r="Z133" s="219"/>
      <c r="AA133" s="205"/>
      <c r="AB133" s="205"/>
      <c r="AC133" s="205"/>
      <c r="AD133" s="9"/>
    </row>
    <row r="134" ht="15.75" customHeight="1">
      <c r="A134" s="218"/>
      <c r="B134" s="62"/>
      <c r="C134" s="285" t="s">
        <v>97</v>
      </c>
      <c r="D134" s="255">
        <f t="shared" si="21"/>
        <v>0</v>
      </c>
      <c r="E134" s="284"/>
      <c r="F134" s="269"/>
      <c r="G134" s="256">
        <f t="shared" si="22"/>
        <v>0</v>
      </c>
      <c r="H134" s="66">
        <v>95000.0</v>
      </c>
      <c r="I134" s="217">
        <f t="shared" si="23"/>
        <v>0</v>
      </c>
      <c r="J134" s="257">
        <f t="shared" si="24"/>
        <v>0</v>
      </c>
      <c r="K134" s="23"/>
      <c r="L134" s="218"/>
      <c r="M134" s="218"/>
      <c r="N134" s="298"/>
      <c r="O134" s="299"/>
      <c r="P134" s="299"/>
      <c r="Q134" s="299"/>
      <c r="R134" s="299"/>
      <c r="S134" s="299"/>
      <c r="T134" s="617"/>
      <c r="U134" s="608"/>
      <c r="V134" s="611"/>
      <c r="W134" s="1430"/>
      <c r="X134" s="266"/>
      <c r="Y134" s="218"/>
      <c r="Z134" s="219"/>
      <c r="AA134" s="205"/>
      <c r="AB134" s="205"/>
      <c r="AC134" s="205"/>
      <c r="AD134" s="9"/>
    </row>
    <row r="135" ht="15.75" customHeight="1">
      <c r="A135" s="218"/>
      <c r="B135" s="62"/>
      <c r="C135" s="285" t="s">
        <v>99</v>
      </c>
      <c r="D135" s="255">
        <f t="shared" si="21"/>
        <v>0</v>
      </c>
      <c r="E135" s="284"/>
      <c r="F135" s="269"/>
      <c r="G135" s="256">
        <f t="shared" si="22"/>
        <v>0</v>
      </c>
      <c r="H135" s="66">
        <v>140000.0</v>
      </c>
      <c r="I135" s="217">
        <f t="shared" si="23"/>
        <v>0</v>
      </c>
      <c r="J135" s="257">
        <f t="shared" si="24"/>
        <v>0</v>
      </c>
      <c r="K135" s="23"/>
      <c r="L135" s="218"/>
      <c r="M135" s="218"/>
      <c r="N135" s="298"/>
      <c r="O135" s="299"/>
      <c r="P135" s="299"/>
      <c r="Q135" s="299"/>
      <c r="R135" s="299"/>
      <c r="S135" s="299"/>
      <c r="T135" s="218"/>
      <c r="U135" s="608"/>
      <c r="V135" s="611"/>
      <c r="W135" s="1430"/>
      <c r="X135" s="266"/>
      <c r="Y135" s="218"/>
      <c r="Z135" s="219"/>
      <c r="AA135" s="205"/>
      <c r="AB135" s="205"/>
      <c r="AC135" s="205"/>
      <c r="AD135" s="9"/>
    </row>
    <row r="136" ht="15.75" customHeight="1">
      <c r="A136" s="218"/>
      <c r="B136" s="62"/>
      <c r="C136" s="285" t="s">
        <v>101</v>
      </c>
      <c r="D136" s="255">
        <f t="shared" si="21"/>
        <v>0</v>
      </c>
      <c r="E136" s="284"/>
      <c r="F136" s="269"/>
      <c r="G136" s="256">
        <f t="shared" si="22"/>
        <v>0</v>
      </c>
      <c r="H136" s="66">
        <v>150000.0</v>
      </c>
      <c r="I136" s="217">
        <f t="shared" si="23"/>
        <v>0</v>
      </c>
      <c r="J136" s="257">
        <f t="shared" si="24"/>
        <v>0</v>
      </c>
      <c r="K136" s="23"/>
      <c r="L136" s="218"/>
      <c r="M136" s="218"/>
      <c r="N136" s="298"/>
      <c r="O136" s="299"/>
      <c r="P136" s="299"/>
      <c r="Q136" s="299"/>
      <c r="R136" s="299"/>
      <c r="S136" s="299"/>
      <c r="T136" s="218"/>
      <c r="U136" s="608"/>
      <c r="V136" s="611"/>
      <c r="W136" s="1430"/>
      <c r="X136" s="266"/>
      <c r="Y136" s="218"/>
      <c r="Z136" s="219"/>
      <c r="AA136" s="205"/>
      <c r="AB136" s="205"/>
      <c r="AC136" s="205"/>
      <c r="AD136" s="9"/>
    </row>
    <row r="137" ht="15.75" customHeight="1">
      <c r="A137" s="218"/>
      <c r="B137" s="62"/>
      <c r="C137" s="285" t="s">
        <v>109</v>
      </c>
      <c r="D137" s="255">
        <f t="shared" si="21"/>
        <v>0</v>
      </c>
      <c r="E137" s="284"/>
      <c r="F137" s="269"/>
      <c r="G137" s="256">
        <f t="shared" si="22"/>
        <v>0</v>
      </c>
      <c r="H137" s="66">
        <v>125000.0</v>
      </c>
      <c r="I137" s="217">
        <f t="shared" si="23"/>
        <v>0</v>
      </c>
      <c r="J137" s="257">
        <f t="shared" si="24"/>
        <v>0</v>
      </c>
      <c r="K137" s="23"/>
      <c r="L137" s="218"/>
      <c r="M137" s="218"/>
      <c r="N137" s="298"/>
      <c r="O137" s="299"/>
      <c r="P137" s="299"/>
      <c r="Q137" s="299"/>
      <c r="R137" s="299"/>
      <c r="S137" s="299"/>
      <c r="T137" s="218"/>
      <c r="U137" s="608"/>
      <c r="V137" s="622"/>
      <c r="W137" s="334"/>
      <c r="X137" s="235"/>
      <c r="Y137" s="218"/>
      <c r="Z137" s="219"/>
      <c r="AA137" s="205"/>
      <c r="AB137" s="205"/>
      <c r="AC137" s="205"/>
      <c r="AD137" s="9"/>
    </row>
    <row r="138" ht="15.75" customHeight="1">
      <c r="A138" s="218"/>
      <c r="B138" s="62"/>
      <c r="C138" s="285" t="s">
        <v>113</v>
      </c>
      <c r="D138" s="255">
        <f t="shared" si="21"/>
        <v>0</v>
      </c>
      <c r="E138" s="284"/>
      <c r="F138" s="269"/>
      <c r="G138" s="256">
        <f t="shared" si="22"/>
        <v>0</v>
      </c>
      <c r="H138" s="66">
        <v>75000.0</v>
      </c>
      <c r="I138" s="217">
        <f t="shared" si="23"/>
        <v>0</v>
      </c>
      <c r="J138" s="257">
        <f t="shared" si="24"/>
        <v>0</v>
      </c>
      <c r="K138" s="23"/>
      <c r="L138" s="218"/>
      <c r="M138" s="218"/>
      <c r="N138" s="298"/>
      <c r="O138" s="299"/>
      <c r="P138" s="299"/>
      <c r="Q138" s="299"/>
      <c r="R138" s="299"/>
      <c r="S138" s="299"/>
      <c r="T138" s="218"/>
      <c r="U138" s="608"/>
      <c r="V138" s="622"/>
      <c r="W138" s="334"/>
      <c r="X138" s="235"/>
      <c r="Y138" s="218"/>
      <c r="Z138" s="219"/>
      <c r="AA138" s="205"/>
      <c r="AB138" s="205"/>
      <c r="AC138" s="205"/>
      <c r="AD138" s="9"/>
    </row>
    <row r="139" ht="15.75" customHeight="1">
      <c r="A139" s="218"/>
      <c r="B139" s="67"/>
      <c r="C139" s="300" t="s">
        <v>116</v>
      </c>
      <c r="D139" s="301">
        <f t="shared" si="21"/>
        <v>0</v>
      </c>
      <c r="E139" s="501"/>
      <c r="F139" s="305"/>
      <c r="G139" s="624">
        <f t="shared" si="22"/>
        <v>0</v>
      </c>
      <c r="H139" s="302">
        <v>475000.0</v>
      </c>
      <c r="I139" s="217">
        <f t="shared" si="23"/>
        <v>0</v>
      </c>
      <c r="J139" s="257">
        <f t="shared" si="24"/>
        <v>0</v>
      </c>
      <c r="K139" s="23"/>
      <c r="L139" s="218"/>
      <c r="M139" s="218"/>
      <c r="N139" s="298"/>
      <c r="O139" s="299"/>
      <c r="P139" s="299"/>
      <c r="Q139" s="299"/>
      <c r="R139" s="299"/>
      <c r="S139" s="299"/>
      <c r="T139" s="218"/>
      <c r="U139" s="608"/>
      <c r="V139" s="622"/>
      <c r="W139" s="334"/>
      <c r="X139" s="235"/>
      <c r="Y139" s="218"/>
      <c r="Z139" s="219"/>
      <c r="AA139" s="205"/>
      <c r="AB139" s="205"/>
      <c r="AC139" s="205"/>
      <c r="AD139" s="9"/>
    </row>
    <row r="140" ht="22.5" customHeight="1">
      <c r="A140" s="218"/>
      <c r="B140" s="308" t="s">
        <v>419</v>
      </c>
      <c r="C140" s="16"/>
      <c r="D140" s="16"/>
      <c r="E140" s="16"/>
      <c r="F140" s="16"/>
      <c r="G140" s="16"/>
      <c r="H140" s="17"/>
      <c r="I140" s="309">
        <f>SUM(I101:I116)</f>
        <v>55800000</v>
      </c>
      <c r="J140" s="23"/>
      <c r="K140" s="23"/>
      <c r="L140" s="218"/>
      <c r="M140" s="218"/>
      <c r="N140" s="298"/>
      <c r="O140" s="299"/>
      <c r="P140" s="299"/>
      <c r="Q140" s="299"/>
      <c r="R140" s="299"/>
      <c r="S140" s="299"/>
      <c r="T140" s="299"/>
      <c r="U140" s="608"/>
      <c r="V140" s="601"/>
      <c r="W140" s="275"/>
      <c r="X140" s="235"/>
      <c r="Y140" s="218"/>
      <c r="Z140" s="219"/>
      <c r="AA140" s="205"/>
      <c r="AB140" s="205"/>
      <c r="AC140" s="205"/>
      <c r="AD140" s="9"/>
    </row>
    <row r="141" ht="22.5" customHeight="1">
      <c r="A141" s="218"/>
      <c r="B141" s="308" t="s">
        <v>385</v>
      </c>
      <c r="C141" s="16"/>
      <c r="D141" s="16"/>
      <c r="E141" s="16"/>
      <c r="F141" s="16"/>
      <c r="G141" s="16"/>
      <c r="H141" s="17"/>
      <c r="I141" s="309">
        <f>SUM(I117:I139)</f>
        <v>180000</v>
      </c>
      <c r="J141" s="23"/>
      <c r="K141" s="1327" t="s">
        <v>420</v>
      </c>
      <c r="L141" s="16"/>
      <c r="M141" s="17"/>
      <c r="N141" s="298"/>
      <c r="O141" s="299"/>
      <c r="P141" s="299"/>
      <c r="Q141" s="299"/>
      <c r="R141" s="299"/>
      <c r="S141" s="299"/>
      <c r="T141" s="299"/>
      <c r="U141" s="608"/>
      <c r="V141" s="601"/>
      <c r="W141" s="275"/>
      <c r="X141" s="235"/>
      <c r="Y141" s="218"/>
      <c r="Z141" s="219"/>
      <c r="AA141" s="205"/>
      <c r="AB141" s="205"/>
      <c r="AC141" s="205"/>
      <c r="AD141" s="9"/>
    </row>
    <row r="142" ht="22.5" customHeight="1">
      <c r="A142" s="218"/>
      <c r="B142" s="312" t="s">
        <v>421</v>
      </c>
      <c r="C142" s="16"/>
      <c r="D142" s="16"/>
      <c r="E142" s="16"/>
      <c r="F142" s="16"/>
      <c r="G142" s="16"/>
      <c r="H142" s="17"/>
      <c r="I142" s="313">
        <f>SUM(I140:I141)</f>
        <v>55980000</v>
      </c>
      <c r="J142" s="23"/>
      <c r="K142" s="314" t="s">
        <v>422</v>
      </c>
      <c r="L142" s="625">
        <v>5720000.0</v>
      </c>
      <c r="M142" s="316"/>
      <c r="N142" s="234"/>
      <c r="O142" s="218"/>
      <c r="P142" s="218"/>
      <c r="Q142" s="218"/>
      <c r="R142" s="218"/>
      <c r="S142" s="218"/>
      <c r="T142" s="218"/>
      <c r="U142" s="601"/>
      <c r="V142" s="601"/>
      <c r="W142" s="275"/>
      <c r="X142" s="235"/>
      <c r="Y142" s="218"/>
      <c r="Z142" s="219"/>
      <c r="AA142" s="205"/>
      <c r="AB142" s="205"/>
      <c r="AC142" s="205"/>
      <c r="AD142" s="9"/>
    </row>
    <row r="143" ht="22.5" customHeight="1">
      <c r="A143" s="218"/>
      <c r="B143" s="317"/>
      <c r="C143" s="16"/>
      <c r="D143" s="17"/>
      <c r="E143" s="318" t="s">
        <v>423</v>
      </c>
      <c r="F143" s="16"/>
      <c r="G143" s="16"/>
      <c r="H143" s="17"/>
      <c r="I143" s="319">
        <f>N92</f>
        <v>54588000</v>
      </c>
      <c r="J143" s="23"/>
      <c r="K143" s="314" t="s">
        <v>424</v>
      </c>
      <c r="L143" s="316">
        <f>sumif(P4:P91,"Đã thu",K4:K91)</f>
        <v>45020000</v>
      </c>
      <c r="M143" s="316"/>
      <c r="N143" s="234"/>
      <c r="O143" s="623"/>
      <c r="P143" s="218"/>
      <c r="Q143" s="218"/>
      <c r="R143" s="218"/>
      <c r="S143" s="218"/>
      <c r="T143" s="218"/>
      <c r="U143" s="601"/>
      <c r="V143" s="601"/>
      <c r="W143" s="275"/>
      <c r="X143" s="235"/>
      <c r="Y143" s="218"/>
      <c r="Z143" s="219"/>
      <c r="AA143" s="205"/>
      <c r="AB143" s="205"/>
      <c r="AC143" s="205"/>
      <c r="AD143" s="9"/>
    </row>
    <row r="144" ht="22.5" customHeight="1">
      <c r="A144" s="218"/>
      <c r="B144" s="321" t="s">
        <v>425</v>
      </c>
      <c r="C144" s="16"/>
      <c r="D144" s="16"/>
      <c r="E144" s="16"/>
      <c r="F144" s="16"/>
      <c r="G144" s="16"/>
      <c r="H144" s="17"/>
      <c r="I144" s="322">
        <f>SUMIF(P4:P91,"Đã thu",N4:N91)</f>
        <v>43588000</v>
      </c>
      <c r="J144" s="23"/>
      <c r="K144" s="507" t="s">
        <v>415</v>
      </c>
      <c r="L144" s="315">
        <f>I141</f>
        <v>180000</v>
      </c>
      <c r="M144" s="324"/>
      <c r="N144" s="234"/>
      <c r="O144" s="623"/>
      <c r="P144" s="218"/>
      <c r="Q144" s="218"/>
      <c r="R144" s="218"/>
      <c r="S144" s="218"/>
      <c r="T144" s="218"/>
      <c r="U144" s="601"/>
      <c r="V144" s="601"/>
      <c r="W144" s="275"/>
      <c r="X144" s="235"/>
      <c r="Y144" s="218"/>
      <c r="Z144" s="219"/>
      <c r="AA144" s="205"/>
      <c r="AB144" s="205"/>
      <c r="AC144" s="205"/>
      <c r="AD144" s="9"/>
    </row>
    <row r="145" ht="22.5" customHeight="1">
      <c r="A145" s="325"/>
      <c r="B145" s="326" t="s">
        <v>426</v>
      </c>
      <c r="C145" s="16"/>
      <c r="D145" s="16"/>
      <c r="E145" s="16"/>
      <c r="F145" s="16"/>
      <c r="G145" s="16"/>
      <c r="H145" s="17"/>
      <c r="I145" s="327">
        <f>I143-I144</f>
        <v>11000000</v>
      </c>
      <c r="J145" s="23"/>
      <c r="K145" s="328" t="s">
        <v>407</v>
      </c>
      <c r="L145" s="315">
        <f>sum(L142:L143)-L144</f>
        <v>50560000</v>
      </c>
      <c r="M145" s="324"/>
      <c r="N145" s="234"/>
      <c r="O145" s="218"/>
      <c r="P145" s="218"/>
      <c r="Q145" s="218"/>
      <c r="R145" s="218"/>
      <c r="S145" s="218"/>
      <c r="T145" s="218"/>
      <c r="U145" s="601"/>
      <c r="V145" s="601"/>
      <c r="W145" s="275"/>
      <c r="X145" s="235"/>
      <c r="Y145" s="218"/>
      <c r="Z145" s="219"/>
      <c r="AA145" s="205"/>
      <c r="AB145" s="205"/>
      <c r="AC145" s="205"/>
      <c r="AD145" s="9"/>
    </row>
    <row r="146" ht="22.5" customHeight="1">
      <c r="A146" s="325"/>
      <c r="B146" s="330" t="s">
        <v>427</v>
      </c>
      <c r="C146" s="16"/>
      <c r="D146" s="16"/>
      <c r="E146" s="16"/>
      <c r="F146" s="16"/>
      <c r="G146" s="16"/>
      <c r="H146" s="17"/>
      <c r="I146" s="331">
        <f>L92+Q92</f>
        <v>3167319</v>
      </c>
      <c r="J146" s="23"/>
      <c r="K146" s="335"/>
      <c r="L146" s="299"/>
      <c r="M146" s="218"/>
      <c r="N146" s="234"/>
      <c r="O146" s="218"/>
      <c r="P146" s="218"/>
      <c r="Q146" s="218"/>
      <c r="R146" s="218"/>
      <c r="S146" s="218"/>
      <c r="T146" s="218"/>
      <c r="U146" s="601"/>
      <c r="V146" s="601"/>
      <c r="W146" s="275"/>
      <c r="X146" s="235"/>
      <c r="Y146" s="218"/>
      <c r="Z146" s="219"/>
      <c r="AA146" s="205"/>
      <c r="AB146" s="205"/>
      <c r="AC146" s="205"/>
      <c r="AD146" s="9"/>
    </row>
    <row r="147" ht="22.5" customHeight="1">
      <c r="A147" s="218"/>
      <c r="B147" s="321" t="s">
        <v>428</v>
      </c>
      <c r="C147" s="16"/>
      <c r="D147" s="16"/>
      <c r="E147" s="16"/>
      <c r="F147" s="16"/>
      <c r="G147" s="16"/>
      <c r="H147" s="17"/>
      <c r="I147" s="207">
        <f>SUMIF($S$4:$S$91,"x",Q4:Q91)+SUMIF($S$4:$S$91,"x",$L$4:$L$91)</f>
        <v>2611400</v>
      </c>
      <c r="J147" s="23"/>
      <c r="K147" s="335"/>
      <c r="L147" s="299">
        <f>I142-L143</f>
        <v>10960000</v>
      </c>
      <c r="M147" s="299"/>
      <c r="N147" s="234"/>
      <c r="O147" s="218"/>
      <c r="P147" s="218"/>
      <c r="Q147" s="218"/>
      <c r="R147" s="218"/>
      <c r="S147" s="218"/>
      <c r="T147" s="218"/>
      <c r="U147" s="601"/>
      <c r="V147" s="601"/>
      <c r="W147" s="275"/>
      <c r="X147" s="235"/>
      <c r="Y147" s="218"/>
      <c r="Z147" s="219"/>
      <c r="AA147" s="205"/>
      <c r="AB147" s="205"/>
      <c r="AC147" s="205"/>
      <c r="AD147" s="9"/>
    </row>
    <row r="148" ht="22.5" customHeight="1">
      <c r="A148" s="218"/>
      <c r="B148" s="326" t="s">
        <v>429</v>
      </c>
      <c r="C148" s="16"/>
      <c r="D148" s="16"/>
      <c r="E148" s="16"/>
      <c r="F148" s="16"/>
      <c r="G148" s="16"/>
      <c r="H148" s="17"/>
      <c r="I148" s="327">
        <f>I146-I147</f>
        <v>555919</v>
      </c>
      <c r="J148" s="23"/>
      <c r="K148" s="335"/>
      <c r="L148" s="299"/>
      <c r="M148" s="623" t="s">
        <v>347</v>
      </c>
      <c r="N148" s="234"/>
      <c r="O148" s="218"/>
      <c r="P148" s="218"/>
      <c r="Q148" s="218"/>
      <c r="R148" s="218"/>
      <c r="S148" s="218"/>
      <c r="T148" s="218"/>
      <c r="U148" s="601"/>
      <c r="V148" s="601"/>
      <c r="W148" s="275"/>
      <c r="X148" s="235"/>
      <c r="Y148" s="218"/>
      <c r="Z148" s="219"/>
      <c r="AA148" s="205"/>
      <c r="AB148" s="205"/>
      <c r="AC148" s="205"/>
      <c r="AD148" s="9"/>
    </row>
    <row r="149" ht="15.75" customHeight="1">
      <c r="A149" s="218"/>
      <c r="B149" s="336"/>
      <c r="C149" s="336"/>
      <c r="D149" s="336"/>
      <c r="E149" s="337"/>
      <c r="F149" s="338"/>
      <c r="G149" s="218"/>
      <c r="H149" s="218"/>
      <c r="I149" s="218"/>
      <c r="J149" s="218"/>
      <c r="K149" s="23"/>
      <c r="L149" s="218"/>
      <c r="M149" s="218"/>
      <c r="N149" s="234"/>
      <c r="O149" s="218"/>
      <c r="P149" s="218"/>
      <c r="Q149" s="218"/>
      <c r="R149" s="218"/>
      <c r="S149" s="218"/>
      <c r="T149" s="218"/>
      <c r="U149" s="601"/>
      <c r="V149" s="601"/>
      <c r="W149" s="275"/>
      <c r="X149" s="235"/>
      <c r="Y149" s="218"/>
      <c r="Z149" s="219"/>
      <c r="AA149" s="205"/>
      <c r="AB149" s="205"/>
      <c r="AC149" s="205"/>
      <c r="AD149" s="9"/>
    </row>
    <row r="150" ht="15.75" customHeight="1">
      <c r="A150" s="339" t="s">
        <v>430</v>
      </c>
      <c r="E150" s="337"/>
      <c r="F150" s="338"/>
      <c r="G150" s="218"/>
      <c r="H150" s="218"/>
      <c r="I150" s="218"/>
      <c r="J150" s="218"/>
      <c r="K150" s="23"/>
      <c r="L150" s="218"/>
      <c r="M150" s="218"/>
      <c r="N150" s="234"/>
      <c r="O150" s="218"/>
      <c r="P150" s="218"/>
      <c r="Q150" s="218"/>
      <c r="R150" s="218"/>
      <c r="S150" s="218"/>
      <c r="T150" s="218"/>
      <c r="U150" s="601"/>
      <c r="V150" s="601"/>
      <c r="W150" s="275"/>
      <c r="X150" s="235"/>
      <c r="Y150" s="218"/>
      <c r="Z150" s="219"/>
      <c r="AA150" s="205"/>
      <c r="AB150" s="205"/>
      <c r="AC150" s="205"/>
      <c r="AD150" s="9"/>
    </row>
    <row r="151" ht="15.75" customHeight="1">
      <c r="A151" s="340"/>
      <c r="B151" s="341"/>
      <c r="C151" s="341"/>
      <c r="D151" s="341"/>
      <c r="E151" s="341"/>
      <c r="F151" s="341"/>
      <c r="G151" s="341"/>
      <c r="H151" s="341"/>
      <c r="I151" s="341"/>
      <c r="J151" s="341"/>
      <c r="K151" s="341"/>
      <c r="L151" s="341"/>
      <c r="M151" s="341"/>
      <c r="N151" s="343"/>
      <c r="O151" s="344"/>
      <c r="P151" s="344"/>
      <c r="Q151" s="344"/>
      <c r="R151" s="344"/>
      <c r="S151" s="344"/>
      <c r="T151" s="344"/>
      <c r="U151" s="662"/>
      <c r="V151" s="662"/>
      <c r="W151" s="651"/>
      <c r="X151" s="344"/>
      <c r="Y151" s="344"/>
      <c r="Z151" s="219"/>
      <c r="AA151" s="205"/>
      <c r="AB151" s="205"/>
      <c r="AC151" s="205"/>
      <c r="AD151" s="9"/>
    </row>
    <row r="152" ht="15.75" customHeight="1">
      <c r="A152" s="340"/>
      <c r="B152" s="346" t="s">
        <v>431</v>
      </c>
      <c r="C152" s="347" t="s">
        <v>432</v>
      </c>
      <c r="D152" s="348" t="s">
        <v>433</v>
      </c>
      <c r="E152" s="348" t="s">
        <v>434</v>
      </c>
      <c r="F152" s="349" t="s">
        <v>5</v>
      </c>
      <c r="G152" s="348" t="s">
        <v>435</v>
      </c>
      <c r="H152" s="348" t="s">
        <v>25</v>
      </c>
      <c r="I152" s="349" t="s">
        <v>26</v>
      </c>
      <c r="J152" s="349" t="s">
        <v>436</v>
      </c>
      <c r="K152" s="349" t="s">
        <v>437</v>
      </c>
      <c r="L152" s="349" t="s">
        <v>438</v>
      </c>
      <c r="M152" s="932" t="s">
        <v>9</v>
      </c>
      <c r="N152" s="933" t="s">
        <v>439</v>
      </c>
      <c r="O152" s="17"/>
      <c r="P152" s="344"/>
      <c r="Q152" s="340"/>
      <c r="R152" s="340"/>
      <c r="S152" s="340"/>
      <c r="T152" s="340"/>
      <c r="U152" s="779"/>
      <c r="V152" s="780"/>
      <c r="W152" s="632"/>
      <c r="X152" s="340"/>
      <c r="Y152" s="299"/>
      <c r="Z152" s="353"/>
      <c r="AA152" s="205"/>
      <c r="AB152" s="205"/>
      <c r="AC152" s="205"/>
      <c r="AD152" s="9"/>
    </row>
    <row r="153" ht="50.25" customHeight="1">
      <c r="A153" s="354"/>
      <c r="B153" s="355">
        <v>3.0</v>
      </c>
      <c r="C153" s="781">
        <v>44996.0</v>
      </c>
      <c r="D153" s="1358">
        <v>1.700766648774E12</v>
      </c>
      <c r="E153" s="366" t="s">
        <v>2107</v>
      </c>
      <c r="F153" s="71" t="s">
        <v>2108</v>
      </c>
      <c r="G153" s="1431" t="s">
        <v>2170</v>
      </c>
      <c r="H153" s="366" t="s">
        <v>35</v>
      </c>
      <c r="I153" s="355">
        <v>1.0</v>
      </c>
      <c r="J153" s="367">
        <v>220000.0</v>
      </c>
      <c r="K153" s="368">
        <f t="shared" ref="K153:K155" si="27">J153*I153</f>
        <v>220000</v>
      </c>
      <c r="L153" s="358"/>
      <c r="M153" s="1432">
        <f>43501+24000</f>
        <v>67501</v>
      </c>
      <c r="N153" s="1127" t="s">
        <v>2171</v>
      </c>
      <c r="O153" s="17"/>
      <c r="P153" s="344"/>
      <c r="Q153" s="364"/>
      <c r="R153" s="364"/>
      <c r="S153" s="364"/>
      <c r="T153" s="364"/>
      <c r="U153" s="601"/>
      <c r="V153" s="622"/>
      <c r="W153" s="622"/>
      <c r="X153" s="364"/>
      <c r="Y153" s="364"/>
      <c r="Z153" s="365"/>
      <c r="AA153" s="205"/>
      <c r="AB153" s="205"/>
      <c r="AC153" s="205"/>
      <c r="AD153" s="9"/>
    </row>
    <row r="154" ht="54.75" customHeight="1">
      <c r="A154" s="354"/>
      <c r="B154" s="634">
        <v>3.0</v>
      </c>
      <c r="C154" s="635">
        <v>45001.0</v>
      </c>
      <c r="D154" s="1433">
        <v>1.680879650887E12</v>
      </c>
      <c r="E154" s="744" t="s">
        <v>2142</v>
      </c>
      <c r="F154" s="1419" t="s">
        <v>2143</v>
      </c>
      <c r="G154" s="1420" t="s">
        <v>2144</v>
      </c>
      <c r="H154" s="366" t="s">
        <v>122</v>
      </c>
      <c r="I154" s="355">
        <v>2.0</v>
      </c>
      <c r="J154" s="367">
        <v>220000.0</v>
      </c>
      <c r="K154" s="368">
        <f t="shared" si="27"/>
        <v>440000</v>
      </c>
      <c r="L154" s="935"/>
      <c r="M154" s="936">
        <v>66001.0</v>
      </c>
      <c r="N154" s="1334" t="s">
        <v>2172</v>
      </c>
      <c r="O154" s="938"/>
      <c r="P154" s="642"/>
      <c r="Q154" s="784"/>
      <c r="R154" s="364"/>
      <c r="S154" s="364"/>
      <c r="T154" s="364"/>
      <c r="U154" s="601"/>
      <c r="V154" s="601"/>
      <c r="W154" s="601"/>
      <c r="X154" s="370"/>
      <c r="Y154" s="364"/>
      <c r="Z154" s="365"/>
      <c r="AA154" s="205"/>
      <c r="AB154" s="205"/>
      <c r="AC154" s="205"/>
      <c r="AD154" s="9"/>
    </row>
    <row r="155" ht="36.75" customHeight="1">
      <c r="A155" s="354"/>
      <c r="B155" s="26"/>
      <c r="C155" s="26"/>
      <c r="D155" s="67"/>
      <c r="E155" s="67"/>
      <c r="F155" s="67"/>
      <c r="G155" s="67"/>
      <c r="H155" s="1434" t="s">
        <v>382</v>
      </c>
      <c r="I155" s="1435">
        <v>2.0</v>
      </c>
      <c r="J155" s="367">
        <v>220000.0</v>
      </c>
      <c r="K155" s="368">
        <f t="shared" si="27"/>
        <v>440000</v>
      </c>
      <c r="L155" s="67"/>
      <c r="M155" s="453"/>
      <c r="N155" s="154"/>
      <c r="O155" s="102"/>
      <c r="P155" s="642"/>
      <c r="Q155" s="784"/>
      <c r="R155" s="364"/>
      <c r="S155" s="364"/>
      <c r="T155" s="364"/>
      <c r="U155" s="601"/>
      <c r="V155" s="601"/>
      <c r="W155" s="601"/>
      <c r="X155" s="370"/>
      <c r="Y155" s="364"/>
      <c r="Z155" s="365"/>
      <c r="AA155" s="205"/>
      <c r="AB155" s="205"/>
      <c r="AC155" s="205"/>
      <c r="AD155" s="9"/>
    </row>
    <row r="156" ht="31.5" customHeight="1">
      <c r="A156" s="354"/>
      <c r="B156" s="389" t="s">
        <v>421</v>
      </c>
      <c r="C156" s="16"/>
      <c r="D156" s="16"/>
      <c r="E156" s="16"/>
      <c r="F156" s="16"/>
      <c r="G156" s="16"/>
      <c r="H156" s="16"/>
      <c r="I156" s="16"/>
      <c r="J156" s="17"/>
      <c r="K156" s="1436">
        <f>SUM(K153:K155)</f>
        <v>1100000</v>
      </c>
      <c r="L156" s="392"/>
      <c r="M156" s="967">
        <f>SUM(M153:M155)</f>
        <v>133502</v>
      </c>
      <c r="N156" s="542"/>
      <c r="O156" s="17"/>
      <c r="P156" s="344"/>
      <c r="Q156" s="364"/>
      <c r="R156" s="364"/>
      <c r="S156" s="364"/>
      <c r="T156" s="364"/>
      <c r="U156" s="601"/>
      <c r="V156" s="601"/>
      <c r="W156" s="601"/>
      <c r="X156" s="370"/>
      <c r="Y156" s="364"/>
      <c r="Z156" s="365"/>
      <c r="AA156" s="205"/>
      <c r="AB156" s="205"/>
      <c r="AC156" s="205"/>
      <c r="AD156" s="9"/>
    </row>
    <row r="157" ht="15.75" customHeight="1">
      <c r="A157" s="344"/>
      <c r="B157" s="345"/>
      <c r="C157" s="394"/>
      <c r="D157" s="395"/>
      <c r="E157" s="395"/>
      <c r="F157" s="395"/>
      <c r="G157" s="396"/>
      <c r="H157" s="345"/>
      <c r="I157" s="344"/>
      <c r="J157" s="344"/>
      <c r="K157" s="107"/>
      <c r="L157" s="344"/>
      <c r="M157" s="344"/>
      <c r="N157" s="343"/>
      <c r="O157" s="344"/>
      <c r="P157" s="344"/>
      <c r="Q157" s="344"/>
      <c r="R157" s="344"/>
      <c r="S157" s="344"/>
      <c r="T157" s="344"/>
      <c r="U157" s="662"/>
      <c r="V157" s="662"/>
      <c r="W157" s="651"/>
      <c r="X157" s="344"/>
      <c r="Y157" s="344"/>
      <c r="Z157" s="219"/>
      <c r="AA157" s="205"/>
      <c r="AB157" s="205"/>
      <c r="AC157" s="205"/>
      <c r="AD157" s="9"/>
    </row>
    <row r="158" ht="15.75" customHeight="1">
      <c r="A158" s="9"/>
      <c r="B158" s="223"/>
      <c r="C158" s="394"/>
      <c r="D158" s="395"/>
      <c r="E158" s="395"/>
      <c r="F158" s="395"/>
      <c r="G158" s="396"/>
      <c r="H158" s="224"/>
      <c r="I158" s="225"/>
      <c r="J158" s="225"/>
      <c r="K158" s="22"/>
      <c r="L158" s="9"/>
      <c r="M158" s="9"/>
      <c r="N158" s="226"/>
      <c r="O158" s="9"/>
      <c r="P158" s="9"/>
      <c r="Q158" s="9"/>
      <c r="R158" s="9"/>
      <c r="S158" s="9"/>
      <c r="T158" s="9"/>
      <c r="U158" s="913"/>
      <c r="V158" s="913"/>
      <c r="W158" s="1428"/>
      <c r="X158" s="9"/>
      <c r="Y158" s="9"/>
      <c r="Z158" s="204"/>
      <c r="AA158" s="205"/>
      <c r="AB158" s="205"/>
      <c r="AC158" s="205"/>
      <c r="AD158" s="9"/>
    </row>
    <row r="159" ht="15.75" customHeight="1">
      <c r="A159" s="9"/>
      <c r="B159" s="223"/>
      <c r="C159" s="397"/>
      <c r="D159" s="9"/>
      <c r="E159" s="9"/>
      <c r="F159" s="222"/>
      <c r="G159" s="223"/>
      <c r="H159" s="224"/>
      <c r="I159" s="225"/>
      <c r="J159" s="225"/>
      <c r="K159" s="22"/>
      <c r="L159" s="9"/>
      <c r="M159" s="9"/>
      <c r="N159" s="226"/>
      <c r="O159" s="9"/>
      <c r="P159" s="9"/>
      <c r="Q159" s="9"/>
      <c r="R159" s="9"/>
      <c r="S159" s="9"/>
      <c r="T159" s="9"/>
      <c r="U159" s="913"/>
      <c r="V159" s="913"/>
      <c r="W159" s="1428"/>
      <c r="X159" s="9"/>
      <c r="Y159" s="9"/>
      <c r="Z159" s="204"/>
      <c r="AA159" s="9"/>
      <c r="AB159" s="9"/>
      <c r="AC159" s="9"/>
      <c r="AD159" s="9"/>
    </row>
    <row r="160" ht="15.75" customHeight="1">
      <c r="A160" s="9"/>
      <c r="B160" s="794" t="s">
        <v>1302</v>
      </c>
      <c r="E160" s="9"/>
      <c r="F160" s="222"/>
      <c r="G160" s="223"/>
      <c r="H160" s="224"/>
      <c r="I160" s="225"/>
      <c r="J160" s="225"/>
      <c r="K160" s="22"/>
      <c r="L160" s="9"/>
      <c r="M160" s="9"/>
      <c r="N160" s="226"/>
      <c r="O160" s="9"/>
      <c r="P160" s="9"/>
      <c r="Q160" s="9"/>
      <c r="R160" s="9"/>
      <c r="S160" s="9"/>
      <c r="T160" s="9"/>
      <c r="U160" s="913"/>
      <c r="V160" s="913"/>
      <c r="W160" s="1428"/>
      <c r="X160" s="9"/>
      <c r="Y160" s="9"/>
      <c r="Z160" s="204"/>
      <c r="AA160" s="9"/>
      <c r="AB160" s="9"/>
      <c r="AC160" s="9"/>
      <c r="AD160" s="9"/>
    </row>
    <row r="161" ht="15.75" customHeight="1">
      <c r="A161" s="9"/>
      <c r="B161" s="223"/>
      <c r="C161" s="397"/>
      <c r="D161" s="9"/>
      <c r="E161" s="9"/>
      <c r="F161" s="222"/>
      <c r="G161" s="223"/>
      <c r="H161" s="224"/>
      <c r="I161" s="225"/>
      <c r="J161" s="225"/>
      <c r="K161" s="22"/>
      <c r="L161" s="9"/>
      <c r="M161" s="9"/>
      <c r="N161" s="226"/>
      <c r="O161" s="9"/>
      <c r="P161" s="9"/>
      <c r="Q161" s="9"/>
      <c r="R161" s="9"/>
      <c r="S161" s="9"/>
      <c r="T161" s="9"/>
      <c r="U161" s="913"/>
      <c r="V161" s="913"/>
      <c r="W161" s="1428"/>
      <c r="X161" s="9"/>
      <c r="Y161" s="9"/>
      <c r="Z161" s="204"/>
      <c r="AA161" s="9"/>
      <c r="AB161" s="9"/>
      <c r="AC161" s="9"/>
      <c r="AD161" s="9"/>
    </row>
    <row r="162" ht="15.75" customHeight="1">
      <c r="A162" s="9"/>
      <c r="B162" s="795" t="s">
        <v>431</v>
      </c>
      <c r="C162" s="796" t="s">
        <v>432</v>
      </c>
      <c r="D162" s="795" t="s">
        <v>433</v>
      </c>
      <c r="E162" s="795" t="s">
        <v>434</v>
      </c>
      <c r="F162" s="797" t="s">
        <v>435</v>
      </c>
      <c r="G162" s="795" t="s">
        <v>5</v>
      </c>
      <c r="H162" s="797" t="s">
        <v>26</v>
      </c>
      <c r="I162" s="399"/>
      <c r="J162" s="399"/>
      <c r="K162" s="968"/>
      <c r="L162" s="9"/>
      <c r="M162" s="9"/>
      <c r="N162" s="226"/>
      <c r="O162" s="9"/>
      <c r="P162" s="9"/>
      <c r="Q162" s="9"/>
      <c r="R162" s="9"/>
      <c r="S162" s="9"/>
      <c r="T162" s="9"/>
      <c r="U162" s="913"/>
      <c r="V162" s="913"/>
      <c r="W162" s="1428"/>
      <c r="X162" s="9"/>
      <c r="Y162" s="9"/>
      <c r="Z162" s="204"/>
      <c r="AA162" s="9"/>
      <c r="AB162" s="9"/>
      <c r="AC162" s="9"/>
      <c r="AD162" s="9"/>
    </row>
    <row r="163" ht="15.75" customHeight="1">
      <c r="A163" s="106"/>
      <c r="B163" s="942">
        <v>3.0</v>
      </c>
      <c r="C163" s="112">
        <v>44992.0</v>
      </c>
      <c r="D163" s="1150">
        <v>1.688287396534E12</v>
      </c>
      <c r="E163" s="142" t="s">
        <v>1162</v>
      </c>
      <c r="F163" s="142" t="s">
        <v>2104</v>
      </c>
      <c r="G163" s="143" t="s">
        <v>1163</v>
      </c>
      <c r="H163" s="111">
        <v>1.0</v>
      </c>
      <c r="I163" s="107"/>
      <c r="J163" s="107"/>
      <c r="K163" s="106"/>
      <c r="L163" s="106"/>
      <c r="M163" s="106"/>
      <c r="N163" s="801"/>
      <c r="O163" s="106"/>
      <c r="P163" s="106"/>
      <c r="Q163" s="106"/>
      <c r="R163" s="106"/>
      <c r="S163" s="106"/>
      <c r="T163" s="106"/>
      <c r="U163" s="517"/>
      <c r="V163" s="517"/>
      <c r="W163" s="585"/>
      <c r="X163" s="106"/>
      <c r="Y163" s="106"/>
      <c r="Z163" s="427"/>
      <c r="AA163" s="106"/>
      <c r="AB163" s="106"/>
      <c r="AC163" s="106"/>
      <c r="AD163" s="106"/>
    </row>
    <row r="164" ht="15.75" customHeight="1">
      <c r="A164" s="106"/>
      <c r="B164" s="67"/>
      <c r="C164" s="67"/>
      <c r="D164" s="67"/>
      <c r="E164" s="67"/>
      <c r="F164" s="67"/>
      <c r="G164" s="67"/>
      <c r="H164" s="67"/>
      <c r="I164" s="107"/>
      <c r="J164" s="107"/>
      <c r="K164" s="106"/>
      <c r="L164" s="106"/>
      <c r="M164" s="106"/>
      <c r="N164" s="801"/>
      <c r="O164" s="106"/>
      <c r="P164" s="106"/>
      <c r="Q164" s="106"/>
      <c r="R164" s="106"/>
      <c r="S164" s="106"/>
      <c r="T164" s="106"/>
      <c r="U164" s="517"/>
      <c r="V164" s="517"/>
      <c r="W164" s="585"/>
      <c r="X164" s="106"/>
      <c r="Y164" s="106"/>
      <c r="Z164" s="427"/>
      <c r="AA164" s="106"/>
      <c r="AB164" s="106"/>
      <c r="AC164" s="106"/>
      <c r="AD164" s="106"/>
    </row>
    <row r="165" ht="15.75" customHeight="1">
      <c r="A165" s="106"/>
      <c r="B165" s="694">
        <v>3.0</v>
      </c>
      <c r="C165" s="103">
        <v>45007.0</v>
      </c>
      <c r="D165" s="1437">
        <v>1.701210209263E12</v>
      </c>
      <c r="E165" s="800" t="s">
        <v>510</v>
      </c>
      <c r="F165" s="1414" t="s">
        <v>1862</v>
      </c>
      <c r="G165" s="105" t="s">
        <v>1861</v>
      </c>
      <c r="H165" s="93">
        <v>1.0</v>
      </c>
      <c r="I165" s="107"/>
      <c r="J165" s="107"/>
      <c r="K165" s="106"/>
      <c r="L165" s="106"/>
      <c r="M165" s="106"/>
      <c r="N165" s="801"/>
      <c r="O165" s="106"/>
      <c r="P165" s="106"/>
      <c r="Q165" s="106"/>
      <c r="R165" s="106"/>
      <c r="S165" s="106"/>
      <c r="T165" s="106"/>
      <c r="U165" s="517"/>
      <c r="V165" s="517"/>
      <c r="W165" s="585"/>
      <c r="X165" s="106"/>
      <c r="Y165" s="106"/>
      <c r="Z165" s="427"/>
      <c r="AA165" s="106"/>
      <c r="AB165" s="106"/>
      <c r="AC165" s="106"/>
      <c r="AD165" s="106"/>
    </row>
    <row r="166" ht="15.75" customHeight="1">
      <c r="A166" s="9"/>
      <c r="B166" s="1107"/>
      <c r="C166" s="1335"/>
      <c r="D166" s="1107"/>
      <c r="E166" s="1107"/>
      <c r="F166" s="1336"/>
      <c r="G166" s="92"/>
      <c r="H166" s="1336"/>
      <c r="I166" s="225"/>
      <c r="J166" s="225"/>
      <c r="K166" s="22"/>
      <c r="L166" s="9"/>
      <c r="M166" s="9"/>
      <c r="N166" s="226"/>
      <c r="O166" s="9"/>
      <c r="P166" s="9"/>
      <c r="Q166" s="9"/>
      <c r="R166" s="9"/>
      <c r="S166" s="9"/>
      <c r="T166" s="9"/>
      <c r="U166" s="913"/>
      <c r="V166" s="913"/>
      <c r="W166" s="1428"/>
      <c r="X166" s="9"/>
      <c r="Y166" s="9"/>
      <c r="Z166" s="204"/>
      <c r="AA166" s="9"/>
      <c r="AB166" s="9"/>
      <c r="AC166" s="9"/>
      <c r="AD166" s="9"/>
    </row>
    <row r="167" ht="15.75" customHeight="1">
      <c r="A167" s="9"/>
      <c r="B167" s="1107"/>
      <c r="C167" s="1335"/>
      <c r="D167" s="1107"/>
      <c r="E167" s="1107"/>
      <c r="F167" s="1336"/>
      <c r="G167" s="1107"/>
      <c r="H167" s="1336"/>
      <c r="I167" s="225"/>
      <c r="J167" s="225"/>
      <c r="K167" s="22"/>
      <c r="L167" s="9"/>
      <c r="M167" s="9"/>
      <c r="N167" s="226"/>
      <c r="O167" s="9"/>
      <c r="P167" s="9"/>
      <c r="Q167" s="9"/>
      <c r="R167" s="9"/>
      <c r="S167" s="9"/>
      <c r="T167" s="9"/>
      <c r="U167" s="913"/>
      <c r="V167" s="913"/>
      <c r="W167" s="1428"/>
      <c r="X167" s="9"/>
      <c r="Y167" s="9"/>
      <c r="Z167" s="204"/>
      <c r="AA167" s="9"/>
      <c r="AB167" s="9"/>
      <c r="AC167" s="9"/>
      <c r="AD167" s="9"/>
    </row>
    <row r="168" ht="15.75" customHeight="1">
      <c r="A168" s="9"/>
      <c r="B168" s="1107"/>
      <c r="C168" s="1335"/>
      <c r="D168" s="1107"/>
      <c r="E168" s="1107"/>
      <c r="F168" s="1336"/>
      <c r="G168" s="1107"/>
      <c r="H168" s="1336"/>
      <c r="I168" s="225"/>
      <c r="J168" s="225"/>
      <c r="K168" s="22"/>
      <c r="L168" s="9"/>
      <c r="M168" s="9"/>
      <c r="N168" s="226"/>
      <c r="O168" s="9"/>
      <c r="P168" s="9"/>
      <c r="Q168" s="9"/>
      <c r="R168" s="9"/>
      <c r="S168" s="9"/>
      <c r="T168" s="9"/>
      <c r="U168" s="913"/>
      <c r="V168" s="913"/>
      <c r="W168" s="1428"/>
      <c r="X168" s="9"/>
      <c r="Y168" s="9"/>
      <c r="Z168" s="204"/>
      <c r="AA168" s="9"/>
      <c r="AB168" s="9"/>
      <c r="AC168" s="9"/>
      <c r="AD168" s="9"/>
    </row>
    <row r="169" ht="15.75" customHeight="1">
      <c r="A169" s="9"/>
      <c r="B169" s="223"/>
      <c r="C169" s="397"/>
      <c r="D169" s="9"/>
      <c r="E169" s="9"/>
      <c r="F169" s="222"/>
      <c r="G169" s="223"/>
      <c r="H169" s="224"/>
      <c r="I169" s="225"/>
      <c r="J169" s="225"/>
      <c r="K169" s="22"/>
      <c r="L169" s="9"/>
      <c r="M169" s="9"/>
      <c r="N169" s="226"/>
      <c r="O169" s="9"/>
      <c r="P169" s="9"/>
      <c r="Q169" s="9"/>
      <c r="R169" s="9"/>
      <c r="S169" s="9"/>
      <c r="T169" s="9"/>
      <c r="U169" s="913"/>
      <c r="V169" s="913"/>
      <c r="W169" s="1428"/>
      <c r="X169" s="9"/>
      <c r="Y169" s="9"/>
      <c r="Z169" s="204"/>
      <c r="AA169" s="9"/>
      <c r="AB169" s="9"/>
      <c r="AC169" s="9"/>
      <c r="AD169" s="9"/>
    </row>
    <row r="170" ht="15.75" customHeight="1">
      <c r="A170" s="9"/>
      <c r="B170" s="223"/>
      <c r="C170" s="397"/>
      <c r="D170" s="9"/>
      <c r="E170" s="9"/>
      <c r="F170" s="222"/>
      <c r="G170" s="223"/>
      <c r="H170" s="224"/>
      <c r="I170" s="225"/>
      <c r="J170" s="225"/>
      <c r="K170" s="22"/>
      <c r="L170" s="9"/>
      <c r="M170" s="9"/>
      <c r="N170" s="226"/>
      <c r="O170" s="9"/>
      <c r="P170" s="9"/>
      <c r="Q170" s="9"/>
      <c r="R170" s="9"/>
      <c r="S170" s="9"/>
      <c r="T170" s="9"/>
      <c r="U170" s="913"/>
      <c r="V170" s="913"/>
      <c r="W170" s="1428"/>
      <c r="X170" s="9"/>
      <c r="Y170" s="9"/>
      <c r="Z170" s="204"/>
      <c r="AA170" s="9"/>
      <c r="AB170" s="9"/>
      <c r="AC170" s="9"/>
      <c r="AD170" s="9"/>
    </row>
    <row r="171" ht="15.75" customHeight="1">
      <c r="A171" s="9"/>
      <c r="B171" s="223"/>
      <c r="C171" s="397"/>
      <c r="D171" s="9"/>
      <c r="E171" s="9"/>
      <c r="F171" s="222"/>
      <c r="G171" s="223"/>
      <c r="H171" s="224"/>
      <c r="I171" s="225"/>
      <c r="J171" s="225"/>
      <c r="K171" s="22"/>
      <c r="L171" s="9"/>
      <c r="M171" s="9"/>
      <c r="N171" s="226"/>
      <c r="O171" s="9"/>
      <c r="P171" s="9"/>
      <c r="Q171" s="9"/>
      <c r="R171" s="9"/>
      <c r="S171" s="9"/>
      <c r="T171" s="9"/>
      <c r="U171" s="913"/>
      <c r="V171" s="913"/>
      <c r="W171" s="1428"/>
      <c r="X171" s="9"/>
      <c r="Y171" s="9"/>
      <c r="Z171" s="204"/>
      <c r="AA171" s="9"/>
      <c r="AB171" s="9"/>
      <c r="AC171" s="9"/>
      <c r="AD171" s="9"/>
    </row>
    <row r="172" ht="15.75" customHeight="1">
      <c r="A172" s="9"/>
      <c r="B172" s="223"/>
      <c r="C172" s="397"/>
      <c r="D172" s="9"/>
      <c r="E172" s="9"/>
      <c r="F172" s="222"/>
      <c r="G172" s="223"/>
      <c r="H172" s="224"/>
      <c r="I172" s="225"/>
      <c r="J172" s="225"/>
      <c r="K172" s="22"/>
      <c r="L172" s="9"/>
      <c r="M172" s="9"/>
      <c r="N172" s="226"/>
      <c r="O172" s="9"/>
      <c r="P172" s="9"/>
      <c r="Q172" s="9"/>
      <c r="R172" s="9"/>
      <c r="S172" s="9"/>
      <c r="T172" s="9"/>
      <c r="U172" s="913"/>
      <c r="V172" s="913"/>
      <c r="W172" s="1428"/>
      <c r="X172" s="9"/>
      <c r="Y172" s="9"/>
      <c r="Z172" s="204"/>
      <c r="AA172" s="9"/>
      <c r="AB172" s="9"/>
      <c r="AC172" s="9"/>
      <c r="AD172" s="9"/>
    </row>
    <row r="173" ht="15.75" customHeight="1">
      <c r="A173" s="9"/>
      <c r="B173" s="223"/>
      <c r="C173" s="397"/>
      <c r="D173" s="9"/>
      <c r="E173" s="9"/>
      <c r="F173" s="222"/>
      <c r="G173" s="223"/>
      <c r="H173" s="224"/>
      <c r="I173" s="225"/>
      <c r="J173" s="225"/>
      <c r="K173" s="22"/>
      <c r="L173" s="9"/>
      <c r="M173" s="9"/>
      <c r="N173" s="226"/>
      <c r="O173" s="9"/>
      <c r="P173" s="9"/>
      <c r="Q173" s="9"/>
      <c r="R173" s="9"/>
      <c r="S173" s="9"/>
      <c r="T173" s="9"/>
      <c r="U173" s="913"/>
      <c r="V173" s="913"/>
      <c r="W173" s="1428"/>
      <c r="X173" s="9"/>
      <c r="Y173" s="9"/>
      <c r="Z173" s="204"/>
      <c r="AA173" s="9"/>
      <c r="AB173" s="9"/>
      <c r="AC173" s="9"/>
      <c r="AD173" s="9"/>
    </row>
    <row r="174" ht="15.75" customHeight="1">
      <c r="A174" s="9"/>
      <c r="B174" s="223"/>
      <c r="C174" s="397"/>
      <c r="D174" s="9"/>
      <c r="E174" s="9"/>
      <c r="F174" s="222"/>
      <c r="G174" s="223"/>
      <c r="H174" s="224"/>
      <c r="I174" s="225"/>
      <c r="J174" s="225"/>
      <c r="K174" s="22"/>
      <c r="L174" s="9"/>
      <c r="M174" s="9"/>
      <c r="N174" s="226"/>
      <c r="O174" s="9"/>
      <c r="P174" s="9"/>
      <c r="Q174" s="9"/>
      <c r="R174" s="9"/>
      <c r="S174" s="9"/>
      <c r="T174" s="9"/>
      <c r="U174" s="913"/>
      <c r="V174" s="913"/>
      <c r="W174" s="1428"/>
      <c r="X174" s="9"/>
      <c r="Y174" s="9"/>
      <c r="Z174" s="204"/>
      <c r="AA174" s="9"/>
      <c r="AB174" s="9"/>
      <c r="AC174" s="9"/>
      <c r="AD174" s="9"/>
    </row>
    <row r="175" ht="15.75" customHeight="1">
      <c r="A175" s="9"/>
      <c r="B175" s="223"/>
      <c r="C175" s="397"/>
      <c r="D175" s="9"/>
      <c r="E175" s="9"/>
      <c r="F175" s="222"/>
      <c r="G175" s="223"/>
      <c r="H175" s="224"/>
      <c r="I175" s="225"/>
      <c r="J175" s="225"/>
      <c r="K175" s="22"/>
      <c r="L175" s="9"/>
      <c r="M175" s="9"/>
      <c r="N175" s="226"/>
      <c r="O175" s="9"/>
      <c r="P175" s="9"/>
      <c r="Q175" s="9"/>
      <c r="R175" s="9"/>
      <c r="S175" s="9"/>
      <c r="T175" s="9"/>
      <c r="U175" s="913"/>
      <c r="V175" s="913"/>
      <c r="W175" s="1428"/>
      <c r="X175" s="9"/>
      <c r="Y175" s="9"/>
      <c r="Z175" s="204"/>
      <c r="AA175" s="9"/>
      <c r="AB175" s="9"/>
      <c r="AC175" s="9"/>
      <c r="AD175" s="9"/>
    </row>
    <row r="176" ht="15.75" customHeight="1">
      <c r="A176" s="9"/>
      <c r="B176" s="223"/>
      <c r="C176" s="397"/>
      <c r="D176" s="9"/>
      <c r="E176" s="9"/>
      <c r="F176" s="222"/>
      <c r="G176" s="223"/>
      <c r="H176" s="224"/>
      <c r="I176" s="225"/>
      <c r="J176" s="225"/>
      <c r="K176" s="22"/>
      <c r="L176" s="9"/>
      <c r="M176" s="9"/>
      <c r="N176" s="226"/>
      <c r="O176" s="9"/>
      <c r="P176" s="9"/>
      <c r="Q176" s="9"/>
      <c r="R176" s="9"/>
      <c r="S176" s="9"/>
      <c r="T176" s="9"/>
      <c r="U176" s="913"/>
      <c r="V176" s="913"/>
      <c r="W176" s="1428"/>
      <c r="X176" s="9"/>
      <c r="Y176" s="9"/>
      <c r="Z176" s="204"/>
      <c r="AA176" s="9"/>
      <c r="AB176" s="9"/>
      <c r="AC176" s="9"/>
      <c r="AD176" s="9"/>
    </row>
    <row r="177" ht="15.75" customHeight="1">
      <c r="A177" s="9"/>
      <c r="B177" s="223"/>
      <c r="C177" s="397"/>
      <c r="D177" s="9"/>
      <c r="E177" s="9"/>
      <c r="F177" s="222"/>
      <c r="G177" s="223"/>
      <c r="H177" s="224"/>
      <c r="I177" s="225"/>
      <c r="J177" s="225"/>
      <c r="K177" s="22"/>
      <c r="L177" s="9"/>
      <c r="M177" s="9"/>
      <c r="N177" s="226"/>
      <c r="O177" s="9"/>
      <c r="P177" s="9"/>
      <c r="Q177" s="9"/>
      <c r="R177" s="9"/>
      <c r="S177" s="9"/>
      <c r="T177" s="9"/>
      <c r="U177" s="913"/>
      <c r="V177" s="913"/>
      <c r="W177" s="1428"/>
      <c r="X177" s="9"/>
      <c r="Y177" s="9"/>
      <c r="Z177" s="204"/>
      <c r="AA177" s="9"/>
      <c r="AB177" s="9"/>
      <c r="AC177" s="9"/>
      <c r="AD177" s="9"/>
    </row>
    <row r="178" ht="15.75" customHeight="1">
      <c r="A178" s="9"/>
      <c r="B178" s="223"/>
      <c r="C178" s="397"/>
      <c r="D178" s="9"/>
      <c r="F178" s="222"/>
      <c r="G178" s="223"/>
      <c r="H178" s="224"/>
      <c r="I178" s="225"/>
      <c r="J178" s="225"/>
      <c r="K178" s="22"/>
      <c r="L178" s="9"/>
      <c r="M178" s="9"/>
      <c r="N178" s="226"/>
      <c r="O178" s="9"/>
      <c r="P178" s="9"/>
      <c r="Q178" s="9"/>
      <c r="R178" s="9"/>
      <c r="S178" s="9"/>
      <c r="T178" s="9"/>
      <c r="U178" s="913"/>
      <c r="V178" s="913"/>
      <c r="W178" s="1428"/>
      <c r="X178" s="9"/>
      <c r="Y178" s="9"/>
      <c r="Z178" s="204"/>
      <c r="AA178" s="9"/>
      <c r="AB178" s="9"/>
      <c r="AC178" s="9"/>
      <c r="AD178" s="9"/>
    </row>
    <row r="179" ht="15.75" customHeight="1">
      <c r="A179" s="9"/>
      <c r="B179" s="223"/>
      <c r="C179" s="397"/>
      <c r="D179" s="9"/>
      <c r="E179" s="9"/>
      <c r="F179" s="222"/>
      <c r="G179" s="223"/>
      <c r="H179" s="224"/>
      <c r="I179" s="225"/>
      <c r="J179" s="225"/>
      <c r="K179" s="22"/>
      <c r="L179" s="9"/>
      <c r="M179" s="9"/>
      <c r="N179" s="226"/>
      <c r="O179" s="9"/>
      <c r="P179" s="9"/>
      <c r="Q179" s="9"/>
      <c r="R179" s="9"/>
      <c r="S179" s="9"/>
      <c r="T179" s="9"/>
      <c r="U179" s="913"/>
      <c r="V179" s="913"/>
      <c r="W179" s="1428"/>
      <c r="X179" s="9"/>
      <c r="Y179" s="9"/>
      <c r="Z179" s="204"/>
      <c r="AA179" s="9"/>
      <c r="AB179" s="9"/>
      <c r="AC179" s="9"/>
      <c r="AD179" s="9"/>
    </row>
    <row r="180" ht="15.7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204"/>
      <c r="AA180" s="9"/>
      <c r="AB180" s="9"/>
      <c r="AC180" s="9"/>
      <c r="AD180" s="9"/>
    </row>
    <row r="181" ht="15.7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204"/>
      <c r="AA181" s="9"/>
      <c r="AB181" s="9"/>
      <c r="AC181" s="9"/>
      <c r="AD181" s="9"/>
    </row>
    <row r="182" ht="15.7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204"/>
      <c r="AA182" s="9"/>
      <c r="AB182" s="9"/>
      <c r="AC182" s="9"/>
      <c r="AD182" s="9"/>
    </row>
    <row r="183" ht="15.7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204"/>
      <c r="AA183" s="9"/>
      <c r="AB183" s="9"/>
      <c r="AC183" s="9"/>
      <c r="AD183" s="9"/>
    </row>
    <row r="184" ht="15.7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204"/>
      <c r="AA184" s="9"/>
      <c r="AB184" s="9"/>
      <c r="AC184" s="9"/>
      <c r="AD184" s="9"/>
    </row>
    <row r="185" ht="15.7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204"/>
      <c r="AA185" s="9"/>
      <c r="AB185" s="9"/>
      <c r="AC185" s="9"/>
      <c r="AD185" s="9"/>
    </row>
    <row r="186" ht="15.7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204"/>
      <c r="AA186" s="9"/>
      <c r="AB186" s="9"/>
      <c r="AC186" s="9"/>
      <c r="AD186" s="9"/>
    </row>
    <row r="187" ht="15.7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204"/>
      <c r="AA187" s="9"/>
      <c r="AB187" s="9"/>
      <c r="AC187" s="9"/>
      <c r="AD187" s="9"/>
    </row>
    <row r="188" ht="15.7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204"/>
      <c r="AA188" s="9"/>
      <c r="AB188" s="9"/>
      <c r="AC188" s="9"/>
      <c r="AD188" s="9"/>
    </row>
    <row r="189" ht="15.7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204"/>
      <c r="AA189" s="9"/>
      <c r="AB189" s="9"/>
      <c r="AC189" s="9"/>
      <c r="AD189" s="9"/>
    </row>
    <row r="190" ht="15.7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204"/>
      <c r="AA190" s="9"/>
      <c r="AB190" s="9"/>
      <c r="AC190" s="9"/>
      <c r="AD190" s="9"/>
    </row>
    <row r="191" ht="15.7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204"/>
      <c r="AA191" s="9"/>
      <c r="AB191" s="9"/>
      <c r="AC191" s="9"/>
      <c r="AD191" s="9"/>
    </row>
    <row r="192" ht="15.7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204"/>
      <c r="AA192" s="9"/>
      <c r="AB192" s="9"/>
      <c r="AC192" s="9"/>
      <c r="AD192" s="9"/>
    </row>
    <row r="193" ht="15.7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204"/>
      <c r="AA193" s="9"/>
      <c r="AB193" s="9"/>
      <c r="AC193" s="9"/>
      <c r="AD193" s="9"/>
    </row>
    <row r="194" ht="15.7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204"/>
      <c r="AA194" s="9"/>
      <c r="AB194" s="9"/>
      <c r="AC194" s="9"/>
      <c r="AD194" s="9"/>
    </row>
    <row r="195" ht="15.7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204"/>
      <c r="AA195" s="9"/>
      <c r="AB195" s="9"/>
      <c r="AC195" s="9"/>
      <c r="AD195" s="9"/>
    </row>
    <row r="196" ht="15.7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204"/>
      <c r="AA196" s="9"/>
      <c r="AB196" s="9"/>
      <c r="AC196" s="9"/>
      <c r="AD196" s="9"/>
    </row>
    <row r="197" ht="15.7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204"/>
      <c r="AA197" s="9"/>
      <c r="AB197" s="9"/>
      <c r="AC197" s="9"/>
      <c r="AD197" s="9"/>
    </row>
    <row r="198" ht="15.7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204"/>
      <c r="AA198" s="9"/>
      <c r="AB198" s="9"/>
      <c r="AC198" s="9"/>
      <c r="AD198" s="9"/>
    </row>
    <row r="199" ht="15.7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204"/>
      <c r="AA199" s="9"/>
      <c r="AB199" s="9"/>
      <c r="AC199" s="9"/>
      <c r="AD199" s="9"/>
    </row>
    <row r="200" ht="15.7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204"/>
      <c r="AA200" s="9"/>
      <c r="AB200" s="9"/>
      <c r="AC200" s="9"/>
      <c r="AD200" s="9"/>
    </row>
    <row r="201" ht="15.7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204"/>
      <c r="AA201" s="9"/>
      <c r="AB201" s="9"/>
      <c r="AC201" s="9"/>
      <c r="AD201" s="9"/>
    </row>
    <row r="202" ht="15.7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204"/>
      <c r="AA202" s="9"/>
      <c r="AB202" s="9"/>
      <c r="AC202" s="9"/>
      <c r="AD202" s="9"/>
    </row>
    <row r="203" ht="15.7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204"/>
      <c r="AA203" s="9"/>
      <c r="AB203" s="9"/>
      <c r="AC203" s="9"/>
      <c r="AD203" s="9"/>
    </row>
    <row r="204" ht="15.7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204"/>
      <c r="AA204" s="9"/>
      <c r="AB204" s="9"/>
      <c r="AC204" s="9"/>
      <c r="AD204" s="9"/>
    </row>
    <row r="205" ht="15.7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204"/>
      <c r="AA205" s="9"/>
      <c r="AB205" s="9"/>
      <c r="AC205" s="9"/>
      <c r="AD205" s="9"/>
    </row>
    <row r="206" ht="15.7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204"/>
      <c r="AA206" s="9"/>
      <c r="AB206" s="9"/>
      <c r="AC206" s="9"/>
      <c r="AD206" s="9"/>
    </row>
    <row r="207" ht="15.7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204"/>
      <c r="AA207" s="9"/>
      <c r="AB207" s="9"/>
      <c r="AC207" s="9"/>
      <c r="AD207" s="9"/>
    </row>
    <row r="208" ht="15.7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204"/>
      <c r="AA208" s="9"/>
      <c r="AB208" s="9"/>
      <c r="AC208" s="9"/>
      <c r="AD208" s="9"/>
    </row>
    <row r="209" ht="15.7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204"/>
      <c r="AA209" s="9"/>
      <c r="AB209" s="9"/>
      <c r="AC209" s="9"/>
      <c r="AD209" s="9"/>
    </row>
    <row r="210" ht="15.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204"/>
      <c r="AA210" s="9"/>
      <c r="AB210" s="9"/>
      <c r="AC210" s="9"/>
      <c r="AD210" s="9"/>
    </row>
    <row r="211" ht="15.7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204"/>
      <c r="AA211" s="9"/>
      <c r="AB211" s="9"/>
      <c r="AC211" s="9"/>
      <c r="AD211" s="9"/>
    </row>
    <row r="212" ht="15.7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204"/>
      <c r="AA212" s="9"/>
      <c r="AB212" s="9"/>
      <c r="AC212" s="9"/>
      <c r="AD212" s="9"/>
    </row>
    <row r="213" ht="15.7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204"/>
      <c r="AA213" s="9"/>
      <c r="AB213" s="9"/>
      <c r="AC213" s="9"/>
      <c r="AD213" s="9"/>
    </row>
    <row r="214" ht="15.7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204"/>
      <c r="AA214" s="9"/>
      <c r="AB214" s="9"/>
      <c r="AC214" s="9"/>
      <c r="AD214" s="9"/>
    </row>
    <row r="215" ht="15.7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204"/>
      <c r="AA215" s="9"/>
      <c r="AB215" s="9"/>
      <c r="AC215" s="9"/>
      <c r="AD215" s="9"/>
    </row>
    <row r="216"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204"/>
      <c r="AA216" s="9"/>
      <c r="AB216" s="9"/>
      <c r="AC216" s="9"/>
      <c r="AD216" s="9"/>
    </row>
    <row r="217"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204"/>
      <c r="AA217" s="9"/>
      <c r="AB217" s="9"/>
      <c r="AC217" s="9"/>
      <c r="AD217" s="9"/>
    </row>
    <row r="218"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204"/>
      <c r="AA218" s="9"/>
      <c r="AB218" s="9"/>
      <c r="AC218" s="9"/>
      <c r="AD218" s="9"/>
    </row>
    <row r="219"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204"/>
      <c r="AA219" s="9"/>
      <c r="AB219" s="9"/>
      <c r="AC219" s="9"/>
      <c r="AD219" s="9"/>
    </row>
    <row r="220"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204"/>
      <c r="AA220" s="9"/>
      <c r="AB220" s="9"/>
      <c r="AC220" s="9"/>
      <c r="AD220" s="9"/>
    </row>
    <row r="221"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204"/>
      <c r="AA221" s="9"/>
      <c r="AB221" s="9"/>
      <c r="AC221" s="9"/>
      <c r="AD221" s="9"/>
    </row>
    <row r="222"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204"/>
      <c r="AA222" s="9"/>
      <c r="AB222" s="9"/>
      <c r="AC222" s="9"/>
      <c r="AD222" s="9"/>
    </row>
    <row r="223"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204"/>
      <c r="AA223" s="9"/>
      <c r="AB223" s="9"/>
      <c r="AC223" s="9"/>
      <c r="AD223" s="9"/>
    </row>
    <row r="224"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204"/>
      <c r="AA224" s="9"/>
      <c r="AB224" s="9"/>
      <c r="AC224" s="9"/>
      <c r="AD224" s="9"/>
    </row>
    <row r="225"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204"/>
      <c r="AA225" s="9"/>
      <c r="AB225" s="9"/>
      <c r="AC225" s="9"/>
      <c r="AD225" s="9"/>
    </row>
    <row r="2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204"/>
      <c r="AA226" s="9"/>
      <c r="AB226" s="9"/>
      <c r="AC226" s="9"/>
      <c r="AD226" s="9"/>
    </row>
    <row r="227"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204"/>
      <c r="AA227" s="9"/>
      <c r="AB227" s="9"/>
      <c r="AC227" s="9"/>
      <c r="AD227" s="9"/>
    </row>
    <row r="228"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204"/>
      <c r="AA228" s="9"/>
      <c r="AB228" s="9"/>
      <c r="AC228" s="9"/>
      <c r="AD228" s="9"/>
    </row>
    <row r="229"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204"/>
      <c r="AA229" s="9"/>
      <c r="AB229" s="9"/>
      <c r="AC229" s="9"/>
      <c r="AD229" s="9"/>
    </row>
    <row r="230"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204"/>
      <c r="AA230" s="9"/>
      <c r="AB230" s="9"/>
      <c r="AC230" s="9"/>
      <c r="AD230" s="9"/>
    </row>
    <row r="231"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204"/>
      <c r="AA231" s="9"/>
      <c r="AB231" s="9"/>
      <c r="AC231" s="9"/>
      <c r="AD231" s="9"/>
    </row>
    <row r="232"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204"/>
      <c r="AA232" s="9"/>
      <c r="AB232" s="9"/>
      <c r="AC232" s="9"/>
      <c r="AD232" s="9"/>
    </row>
    <row r="233"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204"/>
      <c r="AA233" s="9"/>
      <c r="AB233" s="9"/>
      <c r="AC233" s="9"/>
      <c r="AD233" s="9"/>
    </row>
    <row r="234"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204"/>
      <c r="AA234" s="9"/>
      <c r="AB234" s="9"/>
      <c r="AC234" s="9"/>
      <c r="AD234" s="9"/>
    </row>
    <row r="235"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204"/>
      <c r="AA235" s="9"/>
      <c r="AB235" s="9"/>
      <c r="AC235" s="9"/>
      <c r="AD235" s="9"/>
    </row>
    <row r="23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204"/>
      <c r="AA236" s="9"/>
      <c r="AB236" s="9"/>
      <c r="AC236" s="9"/>
      <c r="AD236" s="9"/>
    </row>
    <row r="237"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204"/>
      <c r="AA237" s="9"/>
      <c r="AB237" s="9"/>
      <c r="AC237" s="9"/>
      <c r="AD237" s="9"/>
    </row>
    <row r="238"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204"/>
      <c r="AA238" s="9"/>
      <c r="AB238" s="9"/>
      <c r="AC238" s="9"/>
      <c r="AD238" s="9"/>
    </row>
    <row r="239"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204"/>
      <c r="AA239" s="9"/>
      <c r="AB239" s="9"/>
      <c r="AC239" s="9"/>
      <c r="AD239" s="9"/>
    </row>
    <row r="240"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204"/>
      <c r="AA240" s="9"/>
      <c r="AB240" s="9"/>
      <c r="AC240" s="9"/>
      <c r="AD240" s="9"/>
    </row>
    <row r="241"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204"/>
      <c r="AA241" s="9"/>
      <c r="AB241" s="9"/>
      <c r="AC241" s="9"/>
      <c r="AD241" s="9"/>
    </row>
    <row r="242"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204"/>
      <c r="AA242" s="9"/>
      <c r="AB242" s="9"/>
      <c r="AC242" s="9"/>
      <c r="AD242" s="9"/>
    </row>
    <row r="243"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204"/>
      <c r="AA243" s="9"/>
      <c r="AB243" s="9"/>
      <c r="AC243" s="9"/>
      <c r="AD243" s="9"/>
    </row>
    <row r="244"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204"/>
      <c r="AA244" s="9"/>
      <c r="AB244" s="9"/>
      <c r="AC244" s="9"/>
      <c r="AD244" s="9"/>
    </row>
    <row r="245"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204"/>
      <c r="AA245" s="9"/>
      <c r="AB245" s="9"/>
      <c r="AC245" s="9"/>
      <c r="AD245" s="9"/>
    </row>
    <row r="24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204"/>
      <c r="AA246" s="9"/>
      <c r="AB246" s="9"/>
      <c r="AC246" s="9"/>
      <c r="AD246" s="9"/>
    </row>
    <row r="247"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204"/>
      <c r="AA247" s="9"/>
      <c r="AB247" s="9"/>
      <c r="AC247" s="9"/>
      <c r="AD247" s="9"/>
    </row>
    <row r="248" ht="15.7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204"/>
      <c r="AA248" s="9"/>
      <c r="AB248" s="9"/>
      <c r="AC248" s="9"/>
      <c r="AD248" s="9"/>
    </row>
    <row r="249"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204"/>
      <c r="AA249" s="9"/>
      <c r="AB249" s="9"/>
      <c r="AC249" s="9"/>
      <c r="AD249" s="9"/>
    </row>
    <row r="250"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204"/>
      <c r="AA250" s="9"/>
      <c r="AB250" s="9"/>
      <c r="AC250" s="9"/>
      <c r="AD250" s="9"/>
    </row>
    <row r="251"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204"/>
      <c r="AA251" s="9"/>
      <c r="AB251" s="9"/>
      <c r="AC251" s="9"/>
      <c r="AD251" s="9"/>
    </row>
    <row r="252"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204"/>
      <c r="AA252" s="9"/>
      <c r="AB252" s="9"/>
      <c r="AC252" s="9"/>
      <c r="AD252" s="9"/>
    </row>
    <row r="253" ht="15.7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204"/>
      <c r="AA253" s="9"/>
      <c r="AB253" s="9"/>
      <c r="AC253" s="9"/>
      <c r="AD253" s="9"/>
    </row>
    <row r="254"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204"/>
      <c r="AA254" s="9"/>
      <c r="AB254" s="9"/>
      <c r="AC254" s="9"/>
      <c r="AD254" s="9"/>
    </row>
    <row r="255"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204"/>
      <c r="AA255" s="9"/>
      <c r="AB255" s="9"/>
      <c r="AC255" s="9"/>
      <c r="AD255" s="9"/>
    </row>
    <row r="25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204"/>
      <c r="AA256" s="9"/>
      <c r="AB256" s="9"/>
      <c r="AC256" s="9"/>
      <c r="AD256" s="9"/>
    </row>
    <row r="257"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204"/>
      <c r="AA257" s="9"/>
      <c r="AB257" s="9"/>
      <c r="AC257" s="9"/>
      <c r="AD257" s="9"/>
    </row>
    <row r="258"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204"/>
      <c r="AA258" s="9"/>
      <c r="AB258" s="9"/>
      <c r="AC258" s="9"/>
      <c r="AD258" s="9"/>
    </row>
    <row r="259"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204"/>
      <c r="AA259" s="9"/>
      <c r="AB259" s="9"/>
      <c r="AC259" s="9"/>
      <c r="AD259" s="9"/>
    </row>
    <row r="260"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204"/>
      <c r="AA260" s="9"/>
      <c r="AB260" s="9"/>
      <c r="AC260" s="9"/>
      <c r="AD260" s="9"/>
    </row>
    <row r="261"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204"/>
      <c r="AA261" s="9"/>
      <c r="AB261" s="9"/>
      <c r="AC261" s="9"/>
      <c r="AD261" s="9"/>
    </row>
    <row r="262"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204"/>
      <c r="AA262" s="9"/>
      <c r="AB262" s="9"/>
      <c r="AC262" s="9"/>
      <c r="AD262" s="9"/>
    </row>
    <row r="263"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204"/>
      <c r="AA263" s="9"/>
      <c r="AB263" s="9"/>
      <c r="AC263" s="9"/>
      <c r="AD263" s="9"/>
    </row>
    <row r="264"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204"/>
      <c r="AA264" s="9"/>
      <c r="AB264" s="9"/>
      <c r="AC264" s="9"/>
      <c r="AD264" s="9"/>
    </row>
    <row r="265"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204"/>
      <c r="AA265" s="9"/>
      <c r="AB265" s="9"/>
      <c r="AC265" s="9"/>
      <c r="AD265" s="9"/>
    </row>
    <row r="26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204"/>
      <c r="AA266" s="9"/>
      <c r="AB266" s="9"/>
      <c r="AC266" s="9"/>
      <c r="AD266" s="9"/>
    </row>
    <row r="267"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204"/>
      <c r="AA267" s="9"/>
      <c r="AB267" s="9"/>
      <c r="AC267" s="9"/>
      <c r="AD267" s="9"/>
    </row>
    <row r="268"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204"/>
      <c r="AA268" s="9"/>
      <c r="AB268" s="9"/>
      <c r="AC268" s="9"/>
      <c r="AD268" s="9"/>
    </row>
    <row r="269"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204"/>
      <c r="AA269" s="9"/>
      <c r="AB269" s="9"/>
      <c r="AC269" s="9"/>
      <c r="AD269" s="9"/>
    </row>
    <row r="270"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204"/>
      <c r="AA270" s="9"/>
      <c r="AB270" s="9"/>
      <c r="AC270" s="9"/>
      <c r="AD270" s="9"/>
    </row>
    <row r="271"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204"/>
      <c r="AA271" s="9"/>
      <c r="AB271" s="9"/>
      <c r="AC271" s="9"/>
      <c r="AD271" s="9"/>
    </row>
    <row r="272"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204"/>
      <c r="AA272" s="9"/>
      <c r="AB272" s="9"/>
      <c r="AC272" s="9"/>
      <c r="AD272" s="9"/>
    </row>
    <row r="273"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204"/>
      <c r="AA273" s="9"/>
      <c r="AB273" s="9"/>
      <c r="AC273" s="9"/>
      <c r="AD273" s="9"/>
    </row>
    <row r="274"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204"/>
      <c r="AA274" s="9"/>
      <c r="AB274" s="9"/>
      <c r="AC274" s="9"/>
      <c r="AD274" s="9"/>
    </row>
    <row r="275"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204"/>
      <c r="AA275" s="9"/>
      <c r="AB275" s="9"/>
      <c r="AC275" s="9"/>
      <c r="AD275" s="9"/>
    </row>
    <row r="27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204"/>
      <c r="AA276" s="9"/>
      <c r="AB276" s="9"/>
      <c r="AC276" s="9"/>
      <c r="AD276" s="9"/>
    </row>
    <row r="277"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204"/>
      <c r="AA277" s="9"/>
      <c r="AB277" s="9"/>
      <c r="AC277" s="9"/>
      <c r="AD277" s="9"/>
    </row>
    <row r="278"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204"/>
      <c r="AA278" s="9"/>
      <c r="AB278" s="9"/>
      <c r="AC278" s="9"/>
      <c r="AD278" s="9"/>
    </row>
    <row r="279"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204"/>
      <c r="AA279" s="9"/>
      <c r="AB279" s="9"/>
      <c r="AC279" s="9"/>
      <c r="AD279" s="9"/>
    </row>
    <row r="280"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204"/>
      <c r="AA280" s="9"/>
      <c r="AB280" s="9"/>
      <c r="AC280" s="9"/>
      <c r="AD280" s="9"/>
    </row>
    <row r="281"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204"/>
      <c r="AA281" s="9"/>
      <c r="AB281" s="9"/>
      <c r="AC281" s="9"/>
      <c r="AD281" s="9"/>
    </row>
    <row r="282"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204"/>
      <c r="AA282" s="9"/>
      <c r="AB282" s="9"/>
      <c r="AC282" s="9"/>
      <c r="AD282" s="9"/>
    </row>
    <row r="283"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204"/>
      <c r="AA283" s="9"/>
      <c r="AB283" s="9"/>
      <c r="AC283" s="9"/>
      <c r="AD283" s="9"/>
    </row>
    <row r="284" ht="15.7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204"/>
      <c r="AA284" s="9"/>
      <c r="AB284" s="9"/>
      <c r="AC284" s="9"/>
      <c r="AD284" s="9"/>
    </row>
    <row r="285" ht="15.7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204"/>
      <c r="AA285" s="9"/>
      <c r="AB285" s="9"/>
      <c r="AC285" s="9"/>
      <c r="AD285" s="9"/>
    </row>
    <row r="286" ht="15.7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204"/>
      <c r="AA286" s="9"/>
      <c r="AB286" s="9"/>
      <c r="AC286" s="9"/>
      <c r="AD286" s="9"/>
    </row>
    <row r="287" ht="15.7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204"/>
      <c r="AA287" s="9"/>
      <c r="AB287" s="9"/>
      <c r="AC287" s="9"/>
      <c r="AD287" s="9"/>
    </row>
    <row r="288" ht="15.7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204"/>
      <c r="AA288" s="9"/>
      <c r="AB288" s="9"/>
      <c r="AC288" s="9"/>
      <c r="AD288" s="9"/>
    </row>
    <row r="289" ht="15.7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204"/>
      <c r="AA289" s="9"/>
      <c r="AB289" s="9"/>
      <c r="AC289" s="9"/>
      <c r="AD289" s="9"/>
    </row>
    <row r="290" ht="15.7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204"/>
      <c r="AA290" s="9"/>
      <c r="AB290" s="9"/>
      <c r="AC290" s="9"/>
      <c r="AD290" s="9"/>
    </row>
    <row r="291" ht="15.7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204"/>
      <c r="AA291" s="9"/>
      <c r="AB291" s="9"/>
      <c r="AC291" s="9"/>
      <c r="AD291" s="9"/>
    </row>
    <row r="292" ht="15.7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204"/>
      <c r="AA292" s="9"/>
      <c r="AB292" s="9"/>
      <c r="AC292" s="9"/>
      <c r="AD292" s="9"/>
    </row>
    <row r="293" ht="15.7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204"/>
      <c r="AA293" s="9"/>
      <c r="AB293" s="9"/>
      <c r="AC293" s="9"/>
      <c r="AD293" s="9"/>
    </row>
    <row r="294" ht="15.7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204"/>
      <c r="AA294" s="9"/>
      <c r="AB294" s="9"/>
      <c r="AC294" s="9"/>
      <c r="AD294" s="9"/>
    </row>
    <row r="295" ht="15.7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204"/>
      <c r="AA295" s="9"/>
      <c r="AB295" s="9"/>
      <c r="AC295" s="9"/>
      <c r="AD295" s="9"/>
    </row>
    <row r="296" ht="15.7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204"/>
      <c r="AA296" s="9"/>
      <c r="AB296" s="9"/>
      <c r="AC296" s="9"/>
      <c r="AD296" s="9"/>
    </row>
    <row r="297" ht="15.7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204"/>
      <c r="AA297" s="9"/>
      <c r="AB297" s="9"/>
      <c r="AC297" s="9"/>
      <c r="AD297" s="9"/>
    </row>
    <row r="298" ht="15.7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204"/>
      <c r="AA298" s="9"/>
      <c r="AB298" s="9"/>
      <c r="AC298" s="9"/>
      <c r="AD298" s="9"/>
    </row>
    <row r="299" ht="15.7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204"/>
      <c r="AA299" s="9"/>
      <c r="AB299" s="9"/>
      <c r="AC299" s="9"/>
      <c r="AD299" s="9"/>
    </row>
    <row r="300" ht="15.7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204"/>
      <c r="AA300" s="9"/>
      <c r="AB300" s="9"/>
      <c r="AC300" s="9"/>
      <c r="AD300" s="9"/>
    </row>
    <row r="301" ht="15.7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204"/>
      <c r="AA301" s="9"/>
      <c r="AB301" s="9"/>
      <c r="AC301" s="9"/>
      <c r="AD301" s="9"/>
    </row>
    <row r="302" ht="15.7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204"/>
      <c r="AA302" s="9"/>
      <c r="AB302" s="9"/>
      <c r="AC302" s="9"/>
      <c r="AD302" s="9"/>
    </row>
    <row r="303" ht="15.7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204"/>
      <c r="AA303" s="9"/>
      <c r="AB303" s="9"/>
      <c r="AC303" s="9"/>
      <c r="AD303" s="9"/>
    </row>
    <row r="304" ht="15.7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204"/>
      <c r="AA304" s="9"/>
      <c r="AB304" s="9"/>
      <c r="AC304" s="9"/>
      <c r="AD304" s="9"/>
    </row>
    <row r="305" ht="15.7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204"/>
      <c r="AA305" s="9"/>
      <c r="AB305" s="9"/>
      <c r="AC305" s="9"/>
      <c r="AD305" s="9"/>
    </row>
    <row r="306" ht="15.7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204"/>
      <c r="AA306" s="9"/>
      <c r="AB306" s="9"/>
      <c r="AC306" s="9"/>
      <c r="AD306" s="9"/>
    </row>
    <row r="307" ht="15.7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204"/>
      <c r="AA307" s="9"/>
      <c r="AB307" s="9"/>
      <c r="AC307" s="9"/>
      <c r="AD307" s="9"/>
    </row>
    <row r="308" ht="15.7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204"/>
      <c r="AA308" s="9"/>
      <c r="AB308" s="9"/>
      <c r="AC308" s="9"/>
      <c r="AD308" s="9"/>
    </row>
    <row r="309" ht="15.7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204"/>
      <c r="AA309" s="9"/>
      <c r="AB309" s="9"/>
      <c r="AC309" s="9"/>
      <c r="AD309" s="9"/>
    </row>
    <row r="310" ht="15.7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204"/>
      <c r="AA310" s="9"/>
      <c r="AB310" s="9"/>
      <c r="AC310" s="9"/>
      <c r="AD310" s="9"/>
    </row>
    <row r="311" ht="15.7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204"/>
      <c r="AA311" s="9"/>
      <c r="AB311" s="9"/>
      <c r="AC311" s="9"/>
      <c r="AD311" s="9"/>
    </row>
    <row r="312" ht="15.7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204"/>
      <c r="AA312" s="9"/>
      <c r="AB312" s="9"/>
      <c r="AC312" s="9"/>
      <c r="AD312" s="9"/>
    </row>
    <row r="313" ht="15.7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204"/>
      <c r="AA313" s="9"/>
      <c r="AB313" s="9"/>
      <c r="AC313" s="9"/>
      <c r="AD313" s="9"/>
    </row>
    <row r="314" ht="15.7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204"/>
      <c r="AA314" s="9"/>
      <c r="AB314" s="9"/>
      <c r="AC314" s="9"/>
      <c r="AD314" s="9"/>
    </row>
    <row r="315" ht="15.7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204"/>
      <c r="AA315" s="9"/>
      <c r="AB315" s="9"/>
      <c r="AC315" s="9"/>
      <c r="AD315" s="9"/>
    </row>
    <row r="316" ht="15.7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204"/>
      <c r="AA316" s="9"/>
      <c r="AB316" s="9"/>
      <c r="AC316" s="9"/>
      <c r="AD316" s="9"/>
    </row>
    <row r="317" ht="15.7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204"/>
      <c r="AA317" s="9"/>
      <c r="AB317" s="9"/>
      <c r="AC317" s="9"/>
      <c r="AD317" s="9"/>
    </row>
    <row r="318" ht="15.7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204"/>
      <c r="AA318" s="9"/>
      <c r="AB318" s="9"/>
      <c r="AC318" s="9"/>
      <c r="AD318" s="9"/>
    </row>
    <row r="319" ht="15.7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204"/>
      <c r="AA319" s="9"/>
      <c r="AB319" s="9"/>
      <c r="AC319" s="9"/>
      <c r="AD319" s="9"/>
    </row>
    <row r="320" ht="15.7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204"/>
      <c r="AA320" s="9"/>
      <c r="AB320" s="9"/>
      <c r="AC320" s="9"/>
      <c r="AD320" s="9"/>
    </row>
    <row r="321" ht="15.7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204"/>
      <c r="AA321" s="9"/>
      <c r="AB321" s="9"/>
      <c r="AC321" s="9"/>
      <c r="AD321" s="9"/>
    </row>
    <row r="322" ht="15.7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204"/>
      <c r="AA322" s="9"/>
      <c r="AB322" s="9"/>
      <c r="AC322" s="9"/>
      <c r="AD322" s="9"/>
    </row>
    <row r="323" ht="15.7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204"/>
      <c r="AA323" s="9"/>
      <c r="AB323" s="9"/>
      <c r="AC323" s="9"/>
      <c r="AD323" s="9"/>
    </row>
    <row r="324" ht="15.7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204"/>
      <c r="AA324" s="9"/>
      <c r="AB324" s="9"/>
      <c r="AC324" s="9"/>
      <c r="AD324" s="9"/>
    </row>
    <row r="325" ht="15.7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204"/>
      <c r="AA325" s="9"/>
      <c r="AB325" s="9"/>
      <c r="AC325" s="9"/>
      <c r="AD325" s="9"/>
    </row>
    <row r="326" ht="15.7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204"/>
      <c r="AA326" s="9"/>
      <c r="AB326" s="9"/>
      <c r="AC326" s="9"/>
      <c r="AD326" s="9"/>
    </row>
    <row r="327" ht="15.7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204"/>
      <c r="AA327" s="9"/>
      <c r="AB327" s="9"/>
      <c r="AC327" s="9"/>
      <c r="AD327" s="9"/>
    </row>
    <row r="328" ht="15.7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204"/>
      <c r="AA328" s="9"/>
      <c r="AB328" s="9"/>
      <c r="AC328" s="9"/>
      <c r="AD328" s="9"/>
    </row>
    <row r="329" ht="15.7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204"/>
      <c r="AA329" s="9"/>
      <c r="AB329" s="9"/>
      <c r="AC329" s="9"/>
      <c r="AD329" s="9"/>
    </row>
    <row r="330" ht="15.7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204"/>
      <c r="AA330" s="9"/>
      <c r="AB330" s="9"/>
      <c r="AC330" s="9"/>
      <c r="AD330" s="9"/>
    </row>
    <row r="331" ht="15.7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204"/>
      <c r="AA331" s="9"/>
      <c r="AB331" s="9"/>
      <c r="AC331" s="9"/>
      <c r="AD331" s="9"/>
    </row>
    <row r="332" ht="15.7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204"/>
      <c r="AA332" s="9"/>
      <c r="AB332" s="9"/>
      <c r="AC332" s="9"/>
      <c r="AD332" s="9"/>
    </row>
    <row r="333" ht="15.7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204"/>
      <c r="AA333" s="9"/>
      <c r="AB333" s="9"/>
      <c r="AC333" s="9"/>
      <c r="AD333" s="9"/>
    </row>
    <row r="334" ht="15.7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204"/>
      <c r="AA334" s="9"/>
      <c r="AB334" s="9"/>
      <c r="AC334" s="9"/>
      <c r="AD334" s="9"/>
    </row>
    <row r="335" ht="15.7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204"/>
      <c r="AA335" s="9"/>
      <c r="AB335" s="9"/>
      <c r="AC335" s="9"/>
      <c r="AD335" s="9"/>
    </row>
    <row r="336" ht="15.7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204"/>
      <c r="AA336" s="9"/>
      <c r="AB336" s="9"/>
      <c r="AC336" s="9"/>
      <c r="AD336" s="9"/>
    </row>
    <row r="337" ht="15.7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204"/>
      <c r="AA337" s="9"/>
      <c r="AB337" s="9"/>
      <c r="AC337" s="9"/>
      <c r="AD337" s="9"/>
    </row>
    <row r="338" ht="15.7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204"/>
      <c r="AA338" s="9"/>
      <c r="AB338" s="9"/>
      <c r="AC338" s="9"/>
      <c r="AD338" s="9"/>
    </row>
    <row r="339" ht="15.7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204"/>
      <c r="AA339" s="9"/>
      <c r="AB339" s="9"/>
      <c r="AC339" s="9"/>
      <c r="AD339" s="9"/>
    </row>
    <row r="340" ht="15.7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204"/>
      <c r="AA340" s="9"/>
      <c r="AB340" s="9"/>
      <c r="AC340" s="9"/>
      <c r="AD340" s="9"/>
    </row>
    <row r="341" ht="15.7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204"/>
      <c r="AA341" s="9"/>
      <c r="AB341" s="9"/>
      <c r="AC341" s="9"/>
      <c r="AD341" s="9"/>
    </row>
    <row r="342" ht="15.7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204"/>
      <c r="AA342" s="9"/>
      <c r="AB342" s="9"/>
      <c r="AC342" s="9"/>
      <c r="AD342" s="9"/>
    </row>
    <row r="343" ht="15.7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204"/>
      <c r="AA343" s="9"/>
      <c r="AB343" s="9"/>
      <c r="AC343" s="9"/>
      <c r="AD343" s="9"/>
    </row>
    <row r="344" ht="15.7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204"/>
      <c r="AA344" s="9"/>
      <c r="AB344" s="9"/>
      <c r="AC344" s="9"/>
      <c r="AD344" s="9"/>
    </row>
    <row r="345" ht="15.7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204"/>
      <c r="AA345" s="9"/>
      <c r="AB345" s="9"/>
      <c r="AC345" s="9"/>
      <c r="AD345" s="9"/>
    </row>
    <row r="346" ht="15.7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204"/>
      <c r="AA346" s="9"/>
      <c r="AB346" s="9"/>
      <c r="AC346" s="9"/>
      <c r="AD346" s="9"/>
    </row>
    <row r="347" ht="15.7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204"/>
      <c r="AA347" s="9"/>
      <c r="AB347" s="9"/>
      <c r="AC347" s="9"/>
      <c r="AD347" s="9"/>
    </row>
    <row r="348" ht="15.7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204"/>
      <c r="AA348" s="9"/>
      <c r="AB348" s="9"/>
      <c r="AC348" s="9"/>
      <c r="AD348" s="9"/>
    </row>
    <row r="349" ht="15.7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204"/>
      <c r="AA349" s="9"/>
      <c r="AB349" s="9"/>
      <c r="AC349" s="9"/>
      <c r="AD349" s="9"/>
    </row>
    <row r="350" ht="15.7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204"/>
      <c r="AA350" s="9"/>
      <c r="AB350" s="9"/>
      <c r="AC350" s="9"/>
      <c r="AD350" s="9"/>
    </row>
    <row r="351" ht="15.7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204"/>
      <c r="AA351" s="9"/>
      <c r="AB351" s="9"/>
      <c r="AC351" s="9"/>
      <c r="AD351" s="9"/>
    </row>
    <row r="352" ht="15.7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204"/>
      <c r="AA352" s="9"/>
      <c r="AB352" s="9"/>
      <c r="AC352" s="9"/>
      <c r="AD352" s="9"/>
    </row>
    <row r="353" ht="15.7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204"/>
      <c r="AA353" s="9"/>
      <c r="AB353" s="9"/>
      <c r="AC353" s="9"/>
      <c r="AD353" s="9"/>
    </row>
    <row r="354" ht="15.7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204"/>
      <c r="AA354" s="9"/>
      <c r="AB354" s="9"/>
      <c r="AC354" s="9"/>
      <c r="AD354" s="9"/>
    </row>
    <row r="355" ht="15.7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204"/>
      <c r="AA355" s="9"/>
      <c r="AB355" s="9"/>
      <c r="AC355" s="9"/>
      <c r="AD355" s="9"/>
    </row>
    <row r="356" ht="15.7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204"/>
      <c r="AA356" s="9"/>
      <c r="AB356" s="9"/>
      <c r="AC356" s="9"/>
      <c r="AD356" s="9"/>
    </row>
    <row r="357" ht="15.7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204"/>
      <c r="AA357" s="9"/>
      <c r="AB357" s="9"/>
      <c r="AC357" s="9"/>
      <c r="AD357" s="9"/>
    </row>
    <row r="358" ht="15.7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204"/>
      <c r="AA358" s="9"/>
      <c r="AB358" s="9"/>
      <c r="AC358" s="9"/>
      <c r="AD358" s="9"/>
    </row>
    <row r="359" ht="15.7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204"/>
      <c r="AA359" s="9"/>
      <c r="AB359" s="9"/>
      <c r="AC359" s="9"/>
      <c r="AD359" s="9"/>
    </row>
    <row r="360" ht="15.7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204"/>
      <c r="AA360" s="9"/>
      <c r="AB360" s="9"/>
      <c r="AC360" s="9"/>
      <c r="AD360" s="9"/>
    </row>
    <row r="361" ht="15.7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204"/>
      <c r="AA361" s="9"/>
      <c r="AB361" s="9"/>
      <c r="AC361" s="9"/>
      <c r="AD361" s="9"/>
    </row>
    <row r="362" ht="15.7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204"/>
      <c r="AA362" s="9"/>
      <c r="AB362" s="9"/>
      <c r="AC362" s="9"/>
      <c r="AD362" s="9"/>
    </row>
    <row r="363" ht="15.7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204"/>
      <c r="AA363" s="9"/>
      <c r="AB363" s="9"/>
      <c r="AC363" s="9"/>
      <c r="AD363" s="9"/>
    </row>
    <row r="364" ht="15.7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204"/>
      <c r="AA364" s="9"/>
      <c r="AB364" s="9"/>
      <c r="AC364" s="9"/>
      <c r="AD364" s="9"/>
    </row>
    <row r="365" ht="15.7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204"/>
      <c r="AA365" s="9"/>
      <c r="AB365" s="9"/>
      <c r="AC365" s="9"/>
      <c r="AD365" s="9"/>
    </row>
    <row r="366" ht="15.7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204"/>
      <c r="AA366" s="9"/>
      <c r="AB366" s="9"/>
      <c r="AC366" s="9"/>
      <c r="AD366" s="9"/>
    </row>
    <row r="367" ht="15.7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204"/>
      <c r="AA367" s="9"/>
      <c r="AB367" s="9"/>
      <c r="AC367" s="9"/>
      <c r="AD367" s="9"/>
    </row>
    <row r="368" ht="15.7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204"/>
      <c r="AA368" s="9"/>
      <c r="AB368" s="9"/>
      <c r="AC368" s="9"/>
      <c r="AD368" s="9"/>
    </row>
    <row r="369" ht="15.7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204"/>
      <c r="AA369" s="9"/>
      <c r="AB369" s="9"/>
      <c r="AC369" s="9"/>
      <c r="AD369" s="9"/>
    </row>
    <row r="370" ht="15.7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204"/>
      <c r="AA370" s="9"/>
      <c r="AB370" s="9"/>
      <c r="AC370" s="9"/>
      <c r="AD370" s="9"/>
    </row>
    <row r="371" ht="15.7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204"/>
      <c r="AA371" s="9"/>
      <c r="AB371" s="9"/>
      <c r="AC371" s="9"/>
      <c r="AD371" s="9"/>
    </row>
    <row r="372" ht="15.7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204"/>
      <c r="AA372" s="9"/>
      <c r="AB372" s="9"/>
      <c r="AC372" s="9"/>
      <c r="AD372" s="9"/>
    </row>
    <row r="373" ht="15.7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204"/>
      <c r="AA373" s="9"/>
      <c r="AB373" s="9"/>
      <c r="AC373" s="9"/>
      <c r="AD373" s="9"/>
    </row>
    <row r="374" ht="15.7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204"/>
      <c r="AA374" s="9"/>
      <c r="AB374" s="9"/>
      <c r="AC374" s="9"/>
      <c r="AD374" s="9"/>
    </row>
    <row r="375" ht="15.7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204"/>
      <c r="AA375" s="9"/>
      <c r="AB375" s="9"/>
      <c r="AC375" s="9"/>
      <c r="AD375" s="9"/>
    </row>
    <row r="376" ht="15.7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204"/>
      <c r="AA376" s="9"/>
      <c r="AB376" s="9"/>
      <c r="AC376" s="9"/>
      <c r="AD376" s="9"/>
    </row>
    <row r="377" ht="15.7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204"/>
      <c r="AA377" s="9"/>
      <c r="AB377" s="9"/>
      <c r="AC377" s="9"/>
      <c r="AD377" s="9"/>
    </row>
    <row r="378" ht="15.7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204"/>
      <c r="AA378" s="9"/>
      <c r="AB378" s="9"/>
      <c r="AC378" s="9"/>
      <c r="AD378" s="9"/>
    </row>
    <row r="379" ht="15.7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204"/>
      <c r="AA379" s="9"/>
      <c r="AB379" s="9"/>
      <c r="AC379" s="9"/>
      <c r="AD379" s="9"/>
    </row>
    <row r="380" ht="15.7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204"/>
      <c r="AA380" s="9"/>
      <c r="AB380" s="9"/>
      <c r="AC380" s="9"/>
      <c r="AD380" s="9"/>
    </row>
    <row r="381" ht="15.7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204"/>
      <c r="AA381" s="9"/>
      <c r="AB381" s="9"/>
      <c r="AC381" s="9"/>
      <c r="AD381" s="9"/>
    </row>
    <row r="382" ht="15.7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204"/>
      <c r="AA382" s="9"/>
      <c r="AB382" s="9"/>
      <c r="AC382" s="9"/>
      <c r="AD382" s="9"/>
    </row>
    <row r="383" ht="15.7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204"/>
      <c r="AA383" s="9"/>
      <c r="AB383" s="9"/>
      <c r="AC383" s="9"/>
      <c r="AD383" s="9"/>
    </row>
    <row r="384" ht="15.7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204"/>
      <c r="AA384" s="9"/>
      <c r="AB384" s="9"/>
      <c r="AC384" s="9"/>
      <c r="AD384" s="9"/>
    </row>
    <row r="385" ht="15.7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204"/>
      <c r="AA385" s="9"/>
      <c r="AB385" s="9"/>
      <c r="AC385" s="9"/>
      <c r="AD385" s="9"/>
    </row>
    <row r="386" ht="15.7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204"/>
      <c r="AA386" s="9"/>
      <c r="AB386" s="9"/>
      <c r="AC386" s="9"/>
      <c r="AD386" s="9"/>
    </row>
    <row r="387" ht="15.7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204"/>
      <c r="AA387" s="9"/>
      <c r="AB387" s="9"/>
      <c r="AC387" s="9"/>
      <c r="AD387" s="9"/>
    </row>
    <row r="388" ht="15.7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204"/>
      <c r="AA388" s="9"/>
      <c r="AB388" s="9"/>
      <c r="AC388" s="9"/>
      <c r="AD388" s="9"/>
    </row>
    <row r="389" ht="15.7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204"/>
      <c r="AA389" s="9"/>
      <c r="AB389" s="9"/>
      <c r="AC389" s="9"/>
      <c r="AD389" s="9"/>
    </row>
    <row r="390" ht="15.7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204"/>
      <c r="AA390" s="9"/>
      <c r="AB390" s="9"/>
      <c r="AC390" s="9"/>
      <c r="AD390" s="9"/>
    </row>
    <row r="391" ht="15.7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204"/>
      <c r="AA391" s="9"/>
      <c r="AB391" s="9"/>
      <c r="AC391" s="9"/>
      <c r="AD391" s="9"/>
    </row>
    <row r="392" ht="15.7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204"/>
      <c r="AA392" s="9"/>
      <c r="AB392" s="9"/>
      <c r="AC392" s="9"/>
      <c r="AD392" s="9"/>
    </row>
    <row r="393" ht="15.7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204"/>
      <c r="AA393" s="9"/>
      <c r="AB393" s="9"/>
      <c r="AC393" s="9"/>
      <c r="AD393" s="9"/>
    </row>
    <row r="394" ht="15.7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204"/>
      <c r="AA394" s="9"/>
      <c r="AB394" s="9"/>
      <c r="AC394" s="9"/>
      <c r="AD394" s="9"/>
    </row>
    <row r="395" ht="15.7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204"/>
      <c r="AA395" s="9"/>
      <c r="AB395" s="9"/>
      <c r="AC395" s="9"/>
      <c r="AD395" s="9"/>
    </row>
    <row r="396" ht="15.7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204"/>
      <c r="AA396" s="9"/>
      <c r="AB396" s="9"/>
      <c r="AC396" s="9"/>
      <c r="AD396" s="9"/>
    </row>
    <row r="397" ht="15.7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204"/>
      <c r="AA397" s="9"/>
      <c r="AB397" s="9"/>
      <c r="AC397" s="9"/>
      <c r="AD397" s="9"/>
    </row>
    <row r="398" ht="15.7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204"/>
      <c r="AA398" s="9"/>
      <c r="AB398" s="9"/>
      <c r="AC398" s="9"/>
      <c r="AD398" s="9"/>
    </row>
    <row r="399" ht="15.7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204"/>
      <c r="AA399" s="9"/>
      <c r="AB399" s="9"/>
      <c r="AC399" s="9"/>
      <c r="AD399" s="9"/>
    </row>
    <row r="400" ht="15.7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204"/>
      <c r="AA400" s="9"/>
      <c r="AB400" s="9"/>
      <c r="AC400" s="9"/>
      <c r="AD400" s="9"/>
    </row>
    <row r="401" ht="15.7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204"/>
      <c r="AA401" s="9"/>
      <c r="AB401" s="9"/>
      <c r="AC401" s="9"/>
      <c r="AD401" s="9"/>
    </row>
    <row r="402" ht="15.7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204"/>
      <c r="AA402" s="9"/>
      <c r="AB402" s="9"/>
      <c r="AC402" s="9"/>
      <c r="AD402" s="9"/>
    </row>
    <row r="403" ht="15.7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204"/>
      <c r="AA403" s="9"/>
      <c r="AB403" s="9"/>
      <c r="AC403" s="9"/>
      <c r="AD403" s="9"/>
    </row>
    <row r="404" ht="15.7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204"/>
      <c r="AA404" s="9"/>
      <c r="AB404" s="9"/>
      <c r="AC404" s="9"/>
      <c r="AD404" s="9"/>
    </row>
    <row r="405" ht="15.7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204"/>
      <c r="AA405" s="9"/>
      <c r="AB405" s="9"/>
      <c r="AC405" s="9"/>
      <c r="AD405" s="9"/>
    </row>
    <row r="406" ht="15.7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204"/>
      <c r="AA406" s="9"/>
      <c r="AB406" s="9"/>
      <c r="AC406" s="9"/>
      <c r="AD406" s="9"/>
    </row>
    <row r="407" ht="15.7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204"/>
      <c r="AA407" s="9"/>
      <c r="AB407" s="9"/>
      <c r="AC407" s="9"/>
      <c r="AD407" s="9"/>
    </row>
    <row r="408" ht="15.7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204"/>
      <c r="AA408" s="9"/>
      <c r="AB408" s="9"/>
      <c r="AC408" s="9"/>
      <c r="AD408" s="9"/>
    </row>
    <row r="409" ht="15.7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204"/>
      <c r="AA409" s="9"/>
      <c r="AB409" s="9"/>
      <c r="AC409" s="9"/>
      <c r="AD409" s="9"/>
    </row>
    <row r="410" ht="15.7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204"/>
      <c r="AA410" s="9"/>
      <c r="AB410" s="9"/>
      <c r="AC410" s="9"/>
      <c r="AD410" s="9"/>
    </row>
    <row r="411" ht="15.7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204"/>
      <c r="AA411" s="9"/>
      <c r="AB411" s="9"/>
      <c r="AC411" s="9"/>
      <c r="AD411" s="9"/>
    </row>
    <row r="412" ht="15.7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204"/>
      <c r="AA412" s="9"/>
      <c r="AB412" s="9"/>
      <c r="AC412" s="9"/>
      <c r="AD412" s="9"/>
    </row>
    <row r="413" ht="15.7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204"/>
      <c r="AA413" s="9"/>
      <c r="AB413" s="9"/>
      <c r="AC413" s="9"/>
      <c r="AD413" s="9"/>
    </row>
    <row r="414" ht="15.7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204"/>
      <c r="AA414" s="9"/>
      <c r="AB414" s="9"/>
      <c r="AC414" s="9"/>
      <c r="AD414" s="9"/>
    </row>
    <row r="415" ht="15.7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204"/>
      <c r="AA415" s="9"/>
      <c r="AB415" s="9"/>
      <c r="AC415" s="9"/>
      <c r="AD415" s="9"/>
    </row>
    <row r="416" ht="15.7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204"/>
      <c r="AA416" s="9"/>
      <c r="AB416" s="9"/>
      <c r="AC416" s="9"/>
      <c r="AD416" s="9"/>
    </row>
    <row r="417" ht="15.7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204"/>
      <c r="AA417" s="9"/>
      <c r="AB417" s="9"/>
      <c r="AC417" s="9"/>
      <c r="AD417" s="9"/>
    </row>
    <row r="418" ht="15.7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204"/>
      <c r="AA418" s="9"/>
      <c r="AB418" s="9"/>
      <c r="AC418" s="9"/>
      <c r="AD418" s="9"/>
    </row>
    <row r="419" ht="15.7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204"/>
      <c r="AA419" s="9"/>
      <c r="AB419" s="9"/>
      <c r="AC419" s="9"/>
      <c r="AD419" s="9"/>
    </row>
    <row r="420" ht="15.7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204"/>
      <c r="AA420" s="9"/>
      <c r="AB420" s="9"/>
      <c r="AC420" s="9"/>
      <c r="AD420" s="9"/>
    </row>
    <row r="421" ht="15.7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204"/>
      <c r="AA421" s="9"/>
      <c r="AB421" s="9"/>
      <c r="AC421" s="9"/>
      <c r="AD421" s="9"/>
    </row>
    <row r="422" ht="15.7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204"/>
      <c r="AA422" s="9"/>
      <c r="AB422" s="9"/>
      <c r="AC422" s="9"/>
      <c r="AD422" s="9"/>
    </row>
    <row r="423" ht="15.7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204"/>
      <c r="AA423" s="9"/>
      <c r="AB423" s="9"/>
      <c r="AC423" s="9"/>
      <c r="AD423" s="9"/>
    </row>
    <row r="424" ht="15.7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204"/>
      <c r="AA424" s="9"/>
      <c r="AB424" s="9"/>
      <c r="AC424" s="9"/>
      <c r="AD424" s="9"/>
    </row>
    <row r="425" ht="15.7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204"/>
      <c r="AA425" s="9"/>
      <c r="AB425" s="9"/>
      <c r="AC425" s="9"/>
      <c r="AD425" s="9"/>
    </row>
    <row r="426" ht="15.7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204"/>
      <c r="AA426" s="9"/>
      <c r="AB426" s="9"/>
      <c r="AC426" s="9"/>
      <c r="AD426" s="9"/>
    </row>
    <row r="427" ht="15.7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204"/>
      <c r="AA427" s="9"/>
      <c r="AB427" s="9"/>
      <c r="AC427" s="9"/>
      <c r="AD427" s="9"/>
    </row>
    <row r="428" ht="15.7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204"/>
      <c r="AA428" s="9"/>
      <c r="AB428" s="9"/>
      <c r="AC428" s="9"/>
      <c r="AD428" s="9"/>
    </row>
    <row r="429" ht="15.7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204"/>
      <c r="AA429" s="9"/>
      <c r="AB429" s="9"/>
      <c r="AC429" s="9"/>
      <c r="AD429" s="9"/>
    </row>
    <row r="430" ht="15.7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204"/>
      <c r="AA430" s="9"/>
      <c r="AB430" s="9"/>
      <c r="AC430" s="9"/>
      <c r="AD430" s="9"/>
    </row>
    <row r="431" ht="15.7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204"/>
      <c r="AA431" s="9"/>
      <c r="AB431" s="9"/>
      <c r="AC431" s="9"/>
      <c r="AD431" s="9"/>
    </row>
    <row r="432" ht="15.7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204"/>
      <c r="AA432" s="9"/>
      <c r="AB432" s="9"/>
      <c r="AC432" s="9"/>
      <c r="AD432" s="9"/>
    </row>
    <row r="433" ht="15.7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204"/>
      <c r="AA433" s="9"/>
      <c r="AB433" s="9"/>
      <c r="AC433" s="9"/>
      <c r="AD433" s="9"/>
    </row>
    <row r="434" ht="15.7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204"/>
      <c r="AA434" s="9"/>
      <c r="AB434" s="9"/>
      <c r="AC434" s="9"/>
      <c r="AD434" s="9"/>
    </row>
    <row r="435" ht="15.7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204"/>
      <c r="AA435" s="9"/>
      <c r="AB435" s="9"/>
      <c r="AC435" s="9"/>
      <c r="AD435" s="9"/>
    </row>
    <row r="436" ht="15.7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204"/>
      <c r="AA436" s="9"/>
      <c r="AB436" s="9"/>
      <c r="AC436" s="9"/>
      <c r="AD436" s="9"/>
    </row>
    <row r="437" ht="15.7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204"/>
      <c r="AA437" s="9"/>
      <c r="AB437" s="9"/>
      <c r="AC437" s="9"/>
      <c r="AD437" s="9"/>
    </row>
    <row r="438" ht="15.7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204"/>
      <c r="AA438" s="9"/>
      <c r="AB438" s="9"/>
      <c r="AC438" s="9"/>
      <c r="AD438" s="9"/>
    </row>
    <row r="439" ht="15.7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204"/>
      <c r="AA439" s="9"/>
      <c r="AB439" s="9"/>
      <c r="AC439" s="9"/>
      <c r="AD439" s="9"/>
    </row>
    <row r="440" ht="15.7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204"/>
      <c r="AA440" s="9"/>
      <c r="AB440" s="9"/>
      <c r="AC440" s="9"/>
      <c r="AD440" s="9"/>
    </row>
    <row r="441" ht="15.7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204"/>
      <c r="AA441" s="9"/>
      <c r="AB441" s="9"/>
      <c r="AC441" s="9"/>
      <c r="AD441" s="9"/>
    </row>
    <row r="442" ht="15.7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204"/>
      <c r="AA442" s="9"/>
      <c r="AB442" s="9"/>
      <c r="AC442" s="9"/>
      <c r="AD442" s="9"/>
    </row>
    <row r="443" ht="15.7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204"/>
      <c r="AA443" s="9"/>
      <c r="AB443" s="9"/>
      <c r="AC443" s="9"/>
      <c r="AD443" s="9"/>
    </row>
    <row r="444" ht="15.7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204"/>
      <c r="AA444" s="9"/>
      <c r="AB444" s="9"/>
      <c r="AC444" s="9"/>
      <c r="AD444" s="9"/>
    </row>
    <row r="445" ht="15.7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204"/>
      <c r="AA445" s="9"/>
      <c r="AB445" s="9"/>
      <c r="AC445" s="9"/>
      <c r="AD445" s="9"/>
    </row>
    <row r="446" ht="15.7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204"/>
      <c r="AA446" s="9"/>
      <c r="AB446" s="9"/>
      <c r="AC446" s="9"/>
      <c r="AD446" s="9"/>
    </row>
    <row r="447" ht="15.7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204"/>
      <c r="AA447" s="9"/>
      <c r="AB447" s="9"/>
      <c r="AC447" s="9"/>
      <c r="AD447" s="9"/>
    </row>
    <row r="448" ht="15.7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204"/>
      <c r="AA448" s="9"/>
      <c r="AB448" s="9"/>
      <c r="AC448" s="9"/>
      <c r="AD448" s="9"/>
    </row>
    <row r="449" ht="15.7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204"/>
      <c r="AA449" s="9"/>
      <c r="AB449" s="9"/>
      <c r="AC449" s="9"/>
      <c r="AD449" s="9"/>
    </row>
    <row r="450" ht="15.7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204"/>
      <c r="AA450" s="9"/>
      <c r="AB450" s="9"/>
      <c r="AC450" s="9"/>
      <c r="AD450" s="9"/>
    </row>
    <row r="451" ht="15.7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204"/>
      <c r="AA451" s="9"/>
      <c r="AB451" s="9"/>
      <c r="AC451" s="9"/>
      <c r="AD451" s="9"/>
    </row>
    <row r="452" ht="15.7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204"/>
      <c r="AA452" s="9"/>
      <c r="AB452" s="9"/>
      <c r="AC452" s="9"/>
      <c r="AD452" s="9"/>
    </row>
    <row r="453" ht="15.7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204"/>
      <c r="AA453" s="9"/>
      <c r="AB453" s="9"/>
      <c r="AC453" s="9"/>
      <c r="AD453" s="9"/>
    </row>
    <row r="454" ht="15.7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204"/>
      <c r="AA454" s="9"/>
      <c r="AB454" s="9"/>
      <c r="AC454" s="9"/>
      <c r="AD454" s="9"/>
    </row>
    <row r="455" ht="15.7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204"/>
      <c r="AA455" s="9"/>
      <c r="AB455" s="9"/>
      <c r="AC455" s="9"/>
      <c r="AD455" s="9"/>
    </row>
    <row r="456" ht="15.7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204"/>
      <c r="AA456" s="9"/>
      <c r="AB456" s="9"/>
      <c r="AC456" s="9"/>
      <c r="AD456" s="9"/>
    </row>
    <row r="457" ht="15.7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204"/>
      <c r="AA457" s="9"/>
      <c r="AB457" s="9"/>
      <c r="AC457" s="9"/>
      <c r="AD457" s="9"/>
    </row>
    <row r="458" ht="15.7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204"/>
      <c r="AA458" s="9"/>
      <c r="AB458" s="9"/>
      <c r="AC458" s="9"/>
      <c r="AD458" s="9"/>
    </row>
    <row r="459" ht="15.7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204"/>
      <c r="AA459" s="9"/>
      <c r="AB459" s="9"/>
      <c r="AC459" s="9"/>
      <c r="AD459" s="9"/>
    </row>
    <row r="460" ht="15.7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204"/>
      <c r="AA460" s="9"/>
      <c r="AB460" s="9"/>
      <c r="AC460" s="9"/>
      <c r="AD460" s="9"/>
    </row>
    <row r="461" ht="15.7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204"/>
      <c r="AA461" s="9"/>
      <c r="AB461" s="9"/>
      <c r="AC461" s="9"/>
      <c r="AD461" s="9"/>
    </row>
    <row r="462" ht="15.7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204"/>
      <c r="AA462" s="9"/>
      <c r="AB462" s="9"/>
      <c r="AC462" s="9"/>
      <c r="AD462" s="9"/>
    </row>
    <row r="463" ht="15.7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204"/>
      <c r="AA463" s="9"/>
      <c r="AB463" s="9"/>
      <c r="AC463" s="9"/>
      <c r="AD463" s="9"/>
    </row>
    <row r="464" ht="15.7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204"/>
      <c r="AA464" s="9"/>
      <c r="AB464" s="9"/>
      <c r="AC464" s="9"/>
      <c r="AD464" s="9"/>
    </row>
    <row r="465" ht="15.7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204"/>
      <c r="AA465" s="9"/>
      <c r="AB465" s="9"/>
      <c r="AC465" s="9"/>
      <c r="AD465" s="9"/>
    </row>
    <row r="466" ht="15.7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204"/>
      <c r="AA466" s="9"/>
      <c r="AB466" s="9"/>
      <c r="AC466" s="9"/>
      <c r="AD466" s="9"/>
    </row>
    <row r="467" ht="15.7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204"/>
      <c r="AA467" s="9"/>
      <c r="AB467" s="9"/>
      <c r="AC467" s="9"/>
      <c r="AD467" s="9"/>
    </row>
    <row r="468" ht="15.7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204"/>
      <c r="AA468" s="9"/>
      <c r="AB468" s="9"/>
      <c r="AC468" s="9"/>
      <c r="AD468" s="9"/>
    </row>
    <row r="469" ht="15.7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204"/>
      <c r="AA469" s="9"/>
      <c r="AB469" s="9"/>
      <c r="AC469" s="9"/>
      <c r="AD469" s="9"/>
    </row>
    <row r="470" ht="15.7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204"/>
      <c r="AA470" s="9"/>
      <c r="AB470" s="9"/>
      <c r="AC470" s="9"/>
      <c r="AD470" s="9"/>
    </row>
    <row r="471" ht="15.7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204"/>
      <c r="AA471" s="9"/>
      <c r="AB471" s="9"/>
      <c r="AC471" s="9"/>
      <c r="AD471" s="9"/>
    </row>
    <row r="472" ht="15.7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204"/>
      <c r="AA472" s="9"/>
      <c r="AB472" s="9"/>
      <c r="AC472" s="9"/>
      <c r="AD472" s="9"/>
    </row>
    <row r="473" ht="15.7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204"/>
      <c r="AA473" s="9"/>
      <c r="AB473" s="9"/>
      <c r="AC473" s="9"/>
      <c r="AD473" s="9"/>
    </row>
    <row r="474" ht="15.7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204"/>
      <c r="AA474" s="9"/>
      <c r="AB474" s="9"/>
      <c r="AC474" s="9"/>
      <c r="AD474" s="9"/>
    </row>
    <row r="475" ht="15.7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204"/>
      <c r="AA475" s="9"/>
      <c r="AB475" s="9"/>
      <c r="AC475" s="9"/>
      <c r="AD475" s="9"/>
    </row>
    <row r="476" ht="15.7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204"/>
      <c r="AA476" s="9"/>
      <c r="AB476" s="9"/>
      <c r="AC476" s="9"/>
      <c r="AD476" s="9"/>
    </row>
    <row r="477" ht="15.7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204"/>
      <c r="AA477" s="9"/>
      <c r="AB477" s="9"/>
      <c r="AC477" s="9"/>
      <c r="AD477" s="9"/>
    </row>
    <row r="478" ht="15.7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204"/>
      <c r="AA478" s="9"/>
      <c r="AB478" s="9"/>
      <c r="AC478" s="9"/>
      <c r="AD478" s="9"/>
    </row>
    <row r="479"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204"/>
      <c r="AA479" s="9"/>
      <c r="AB479" s="9"/>
      <c r="AC479" s="9"/>
      <c r="AD479" s="9"/>
    </row>
    <row r="480"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204"/>
      <c r="AA480" s="9"/>
      <c r="AB480" s="9"/>
      <c r="AC480" s="9"/>
      <c r="AD480" s="9"/>
    </row>
    <row r="481"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204"/>
      <c r="AA481" s="9"/>
      <c r="AB481" s="9"/>
      <c r="AC481" s="9"/>
      <c r="AD481" s="9"/>
    </row>
    <row r="482"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204"/>
      <c r="AA482" s="9"/>
      <c r="AB482" s="9"/>
      <c r="AC482" s="9"/>
      <c r="AD482" s="9"/>
    </row>
    <row r="483"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204"/>
      <c r="AA483" s="9"/>
      <c r="AB483" s="9"/>
      <c r="AC483" s="9"/>
      <c r="AD483" s="9"/>
    </row>
    <row r="484"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204"/>
      <c r="AA484" s="9"/>
      <c r="AB484" s="9"/>
      <c r="AC484" s="9"/>
      <c r="AD484" s="9"/>
    </row>
    <row r="485"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204"/>
      <c r="AA485" s="9"/>
      <c r="AB485" s="9"/>
      <c r="AC485" s="9"/>
      <c r="AD485" s="9"/>
    </row>
    <row r="486"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204"/>
      <c r="AA486" s="9"/>
      <c r="AB486" s="9"/>
      <c r="AC486" s="9"/>
      <c r="AD486" s="9"/>
    </row>
    <row r="487"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204"/>
      <c r="AA487" s="9"/>
      <c r="AB487" s="9"/>
      <c r="AC487" s="9"/>
      <c r="AD487" s="9"/>
    </row>
    <row r="488"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204"/>
      <c r="AA488" s="9"/>
      <c r="AB488" s="9"/>
      <c r="AC488" s="9"/>
      <c r="AD488" s="9"/>
    </row>
    <row r="489"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204"/>
      <c r="AA489" s="9"/>
      <c r="AB489" s="9"/>
      <c r="AC489" s="9"/>
      <c r="AD489" s="9"/>
    </row>
    <row r="490"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204"/>
      <c r="AA490" s="9"/>
      <c r="AB490" s="9"/>
      <c r="AC490" s="9"/>
      <c r="AD490" s="9"/>
    </row>
    <row r="491"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204"/>
      <c r="AA491" s="9"/>
      <c r="AB491" s="9"/>
      <c r="AC491" s="9"/>
      <c r="AD491" s="9"/>
    </row>
    <row r="492"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204"/>
      <c r="AA492" s="9"/>
      <c r="AB492" s="9"/>
      <c r="AC492" s="9"/>
      <c r="AD492" s="9"/>
    </row>
    <row r="493"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204"/>
      <c r="AA493" s="9"/>
      <c r="AB493" s="9"/>
      <c r="AC493" s="9"/>
      <c r="AD493" s="9"/>
    </row>
    <row r="494"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204"/>
      <c r="AA494" s="9"/>
      <c r="AB494" s="9"/>
      <c r="AC494" s="9"/>
      <c r="AD494" s="9"/>
    </row>
    <row r="495"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204"/>
      <c r="AA495" s="9"/>
      <c r="AB495" s="9"/>
      <c r="AC495" s="9"/>
      <c r="AD495" s="9"/>
    </row>
    <row r="496"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204"/>
      <c r="AA496" s="9"/>
      <c r="AB496" s="9"/>
      <c r="AC496" s="9"/>
      <c r="AD496" s="9"/>
    </row>
    <row r="497"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204"/>
      <c r="AA497" s="9"/>
      <c r="AB497" s="9"/>
      <c r="AC497" s="9"/>
      <c r="AD497" s="9"/>
    </row>
    <row r="498"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204"/>
      <c r="AA498" s="9"/>
      <c r="AB498" s="9"/>
      <c r="AC498" s="9"/>
      <c r="AD498" s="9"/>
    </row>
    <row r="499"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204"/>
      <c r="AA499" s="9"/>
      <c r="AB499" s="9"/>
      <c r="AC499" s="9"/>
      <c r="AD499" s="9"/>
    </row>
    <row r="500"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204"/>
      <c r="AA500" s="9"/>
      <c r="AB500" s="9"/>
      <c r="AC500" s="9"/>
      <c r="AD500" s="9"/>
    </row>
    <row r="501"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204"/>
      <c r="AA501" s="9"/>
      <c r="AB501" s="9"/>
      <c r="AC501" s="9"/>
      <c r="AD501" s="9"/>
    </row>
    <row r="502"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204"/>
      <c r="AA502" s="9"/>
      <c r="AB502" s="9"/>
      <c r="AC502" s="9"/>
      <c r="AD502" s="9"/>
    </row>
    <row r="503"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204"/>
      <c r="AA503" s="9"/>
      <c r="AB503" s="9"/>
      <c r="AC503" s="9"/>
      <c r="AD503" s="9"/>
    </row>
    <row r="504"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204"/>
      <c r="AA504" s="9"/>
      <c r="AB504" s="9"/>
      <c r="AC504" s="9"/>
      <c r="AD504" s="9"/>
    </row>
    <row r="505"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204"/>
      <c r="AA505" s="9"/>
      <c r="AB505" s="9"/>
      <c r="AC505" s="9"/>
      <c r="AD505" s="9"/>
    </row>
    <row r="506"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204"/>
      <c r="AA506" s="9"/>
      <c r="AB506" s="9"/>
      <c r="AC506" s="9"/>
      <c r="AD506" s="9"/>
    </row>
    <row r="507"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204"/>
      <c r="AA507" s="9"/>
      <c r="AB507" s="9"/>
      <c r="AC507" s="9"/>
      <c r="AD507" s="9"/>
    </row>
    <row r="508"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204"/>
      <c r="AA508" s="9"/>
      <c r="AB508" s="9"/>
      <c r="AC508" s="9"/>
      <c r="AD508" s="9"/>
    </row>
    <row r="509"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204"/>
      <c r="AA509" s="9"/>
      <c r="AB509" s="9"/>
      <c r="AC509" s="9"/>
      <c r="AD509" s="9"/>
    </row>
    <row r="510"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204"/>
      <c r="AA510" s="9"/>
      <c r="AB510" s="9"/>
      <c r="AC510" s="9"/>
      <c r="AD510" s="9"/>
    </row>
    <row r="511"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204"/>
      <c r="AA511" s="9"/>
      <c r="AB511" s="9"/>
      <c r="AC511" s="9"/>
      <c r="AD511" s="9"/>
    </row>
    <row r="512"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204"/>
      <c r="AA512" s="9"/>
      <c r="AB512" s="9"/>
      <c r="AC512" s="9"/>
      <c r="AD512" s="9"/>
    </row>
    <row r="513"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204"/>
      <c r="AA513" s="9"/>
      <c r="AB513" s="9"/>
      <c r="AC513" s="9"/>
      <c r="AD513" s="9"/>
    </row>
    <row r="514"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204"/>
      <c r="AA514" s="9"/>
      <c r="AB514" s="9"/>
      <c r="AC514" s="9"/>
      <c r="AD514" s="9"/>
    </row>
    <row r="515"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204"/>
      <c r="AA515" s="9"/>
      <c r="AB515" s="9"/>
      <c r="AC515" s="9"/>
      <c r="AD515" s="9"/>
    </row>
    <row r="516"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204"/>
      <c r="AA516" s="9"/>
      <c r="AB516" s="9"/>
      <c r="AC516" s="9"/>
      <c r="AD516" s="9"/>
    </row>
    <row r="517"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204"/>
      <c r="AA517" s="9"/>
      <c r="AB517" s="9"/>
      <c r="AC517" s="9"/>
      <c r="AD517" s="9"/>
    </row>
    <row r="518"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204"/>
      <c r="AA518" s="9"/>
      <c r="AB518" s="9"/>
      <c r="AC518" s="9"/>
      <c r="AD518" s="9"/>
    </row>
    <row r="519"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204"/>
      <c r="AA519" s="9"/>
      <c r="AB519" s="9"/>
      <c r="AC519" s="9"/>
      <c r="AD519" s="9"/>
    </row>
    <row r="520"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204"/>
      <c r="AA520" s="9"/>
      <c r="AB520" s="9"/>
      <c r="AC520" s="9"/>
      <c r="AD520" s="9"/>
    </row>
    <row r="521"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204"/>
      <c r="AA521" s="9"/>
      <c r="AB521" s="9"/>
      <c r="AC521" s="9"/>
      <c r="AD521" s="9"/>
    </row>
    <row r="522"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204"/>
      <c r="AA522" s="9"/>
      <c r="AB522" s="9"/>
      <c r="AC522" s="9"/>
      <c r="AD522" s="9"/>
    </row>
    <row r="523"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204"/>
      <c r="AA523" s="9"/>
      <c r="AB523" s="9"/>
      <c r="AC523" s="9"/>
      <c r="AD523" s="9"/>
    </row>
    <row r="524"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204"/>
      <c r="AA524" s="9"/>
      <c r="AB524" s="9"/>
      <c r="AC524" s="9"/>
      <c r="AD524" s="9"/>
    </row>
    <row r="525"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204"/>
      <c r="AA525" s="9"/>
      <c r="AB525" s="9"/>
      <c r="AC525" s="9"/>
      <c r="AD525" s="9"/>
    </row>
    <row r="526"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204"/>
      <c r="AA526" s="9"/>
      <c r="AB526" s="9"/>
      <c r="AC526" s="9"/>
      <c r="AD526" s="9"/>
    </row>
    <row r="527"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204"/>
      <c r="AA527" s="9"/>
      <c r="AB527" s="9"/>
      <c r="AC527" s="9"/>
      <c r="AD527" s="9"/>
    </row>
    <row r="528"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204"/>
      <c r="AA528" s="9"/>
      <c r="AB528" s="9"/>
      <c r="AC528" s="9"/>
      <c r="AD528" s="9"/>
    </row>
    <row r="529"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204"/>
      <c r="AA529" s="9"/>
      <c r="AB529" s="9"/>
      <c r="AC529" s="9"/>
      <c r="AD529" s="9"/>
    </row>
    <row r="530"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204"/>
      <c r="AA530" s="9"/>
      <c r="AB530" s="9"/>
      <c r="AC530" s="9"/>
      <c r="AD530" s="9"/>
    </row>
    <row r="531"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204"/>
      <c r="AA531" s="9"/>
      <c r="AB531" s="9"/>
      <c r="AC531" s="9"/>
      <c r="AD531" s="9"/>
    </row>
    <row r="532"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204"/>
      <c r="AA532" s="9"/>
      <c r="AB532" s="9"/>
      <c r="AC532" s="9"/>
      <c r="AD532" s="9"/>
    </row>
    <row r="533"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204"/>
      <c r="AA533" s="9"/>
      <c r="AB533" s="9"/>
      <c r="AC533" s="9"/>
      <c r="AD533" s="9"/>
    </row>
    <row r="534"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204"/>
      <c r="AA534" s="9"/>
      <c r="AB534" s="9"/>
      <c r="AC534" s="9"/>
      <c r="AD534" s="9"/>
    </row>
    <row r="535"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204"/>
      <c r="AA535" s="9"/>
      <c r="AB535" s="9"/>
      <c r="AC535" s="9"/>
      <c r="AD535" s="9"/>
    </row>
    <row r="536"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204"/>
      <c r="AA536" s="9"/>
      <c r="AB536" s="9"/>
      <c r="AC536" s="9"/>
      <c r="AD536" s="9"/>
    </row>
    <row r="537"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204"/>
      <c r="AA537" s="9"/>
      <c r="AB537" s="9"/>
      <c r="AC537" s="9"/>
      <c r="AD537" s="9"/>
    </row>
    <row r="538"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204"/>
      <c r="AA538" s="9"/>
      <c r="AB538" s="9"/>
      <c r="AC538" s="9"/>
      <c r="AD538" s="9"/>
    </row>
    <row r="539"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204"/>
      <c r="AA539" s="9"/>
      <c r="AB539" s="9"/>
      <c r="AC539" s="9"/>
      <c r="AD539" s="9"/>
    </row>
    <row r="540"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204"/>
      <c r="AA540" s="9"/>
      <c r="AB540" s="9"/>
      <c r="AC540" s="9"/>
      <c r="AD540" s="9"/>
    </row>
    <row r="541"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204"/>
      <c r="AA541" s="9"/>
      <c r="AB541" s="9"/>
      <c r="AC541" s="9"/>
      <c r="AD541" s="9"/>
    </row>
    <row r="542"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204"/>
      <c r="AA542" s="9"/>
      <c r="AB542" s="9"/>
      <c r="AC542" s="9"/>
      <c r="AD542" s="9"/>
    </row>
    <row r="543"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204"/>
      <c r="AA543" s="9"/>
      <c r="AB543" s="9"/>
      <c r="AC543" s="9"/>
      <c r="AD543" s="9"/>
    </row>
    <row r="544"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204"/>
      <c r="AA544" s="9"/>
      <c r="AB544" s="9"/>
      <c r="AC544" s="9"/>
      <c r="AD544" s="9"/>
    </row>
    <row r="545"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204"/>
      <c r="AA545" s="9"/>
      <c r="AB545" s="9"/>
      <c r="AC545" s="9"/>
      <c r="AD545" s="9"/>
    </row>
    <row r="546"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204"/>
      <c r="AA546" s="9"/>
      <c r="AB546" s="9"/>
      <c r="AC546" s="9"/>
      <c r="AD546" s="9"/>
    </row>
    <row r="547"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204"/>
      <c r="AA547" s="9"/>
      <c r="AB547" s="9"/>
      <c r="AC547" s="9"/>
      <c r="AD547" s="9"/>
    </row>
    <row r="548"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204"/>
      <c r="AA548" s="9"/>
      <c r="AB548" s="9"/>
      <c r="AC548" s="9"/>
      <c r="AD548" s="9"/>
    </row>
    <row r="549"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204"/>
      <c r="AA549" s="9"/>
      <c r="AB549" s="9"/>
      <c r="AC549" s="9"/>
      <c r="AD549" s="9"/>
    </row>
    <row r="550"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204"/>
      <c r="AA550" s="9"/>
      <c r="AB550" s="9"/>
      <c r="AC550" s="9"/>
      <c r="AD550" s="9"/>
    </row>
    <row r="551"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204"/>
      <c r="AA551" s="9"/>
      <c r="AB551" s="9"/>
      <c r="AC551" s="9"/>
      <c r="AD551" s="9"/>
    </row>
    <row r="552"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204"/>
      <c r="AA552" s="9"/>
      <c r="AB552" s="9"/>
      <c r="AC552" s="9"/>
      <c r="AD552" s="9"/>
    </row>
    <row r="553"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204"/>
      <c r="AA553" s="9"/>
      <c r="AB553" s="9"/>
      <c r="AC553" s="9"/>
      <c r="AD553" s="9"/>
    </row>
    <row r="554"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204"/>
      <c r="AA554" s="9"/>
      <c r="AB554" s="9"/>
      <c r="AC554" s="9"/>
      <c r="AD554" s="9"/>
    </row>
    <row r="555"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204"/>
      <c r="AA555" s="9"/>
      <c r="AB555" s="9"/>
      <c r="AC555" s="9"/>
      <c r="AD555" s="9"/>
    </row>
    <row r="556"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204"/>
      <c r="AA556" s="9"/>
      <c r="AB556" s="9"/>
      <c r="AC556" s="9"/>
      <c r="AD556" s="9"/>
    </row>
    <row r="557"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204"/>
      <c r="AA557" s="9"/>
      <c r="AB557" s="9"/>
      <c r="AC557" s="9"/>
      <c r="AD557" s="9"/>
    </row>
    <row r="558"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204"/>
      <c r="AA558" s="9"/>
      <c r="AB558" s="9"/>
      <c r="AC558" s="9"/>
      <c r="AD558" s="9"/>
    </row>
    <row r="559"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204"/>
      <c r="AA559" s="9"/>
      <c r="AB559" s="9"/>
      <c r="AC559" s="9"/>
      <c r="AD559" s="9"/>
    </row>
    <row r="560"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204"/>
      <c r="AA560" s="9"/>
      <c r="AB560" s="9"/>
      <c r="AC560" s="9"/>
      <c r="AD560" s="9"/>
    </row>
    <row r="561"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204"/>
      <c r="AA561" s="9"/>
      <c r="AB561" s="9"/>
      <c r="AC561" s="9"/>
      <c r="AD561" s="9"/>
    </row>
    <row r="562"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204"/>
      <c r="AA562" s="9"/>
      <c r="AB562" s="9"/>
      <c r="AC562" s="9"/>
      <c r="AD562" s="9"/>
    </row>
    <row r="563"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204"/>
      <c r="AA563" s="9"/>
      <c r="AB563" s="9"/>
      <c r="AC563" s="9"/>
      <c r="AD563" s="9"/>
    </row>
    <row r="564"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204"/>
      <c r="AA564" s="9"/>
      <c r="AB564" s="9"/>
      <c r="AC564" s="9"/>
      <c r="AD564" s="9"/>
    </row>
    <row r="565"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204"/>
      <c r="AA565" s="9"/>
      <c r="AB565" s="9"/>
      <c r="AC565" s="9"/>
      <c r="AD565" s="9"/>
    </row>
    <row r="566"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204"/>
      <c r="AA566" s="9"/>
      <c r="AB566" s="9"/>
      <c r="AC566" s="9"/>
      <c r="AD566" s="9"/>
    </row>
    <row r="567"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204"/>
      <c r="AA567" s="9"/>
      <c r="AB567" s="9"/>
      <c r="AC567" s="9"/>
      <c r="AD567" s="9"/>
    </row>
    <row r="568"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204"/>
      <c r="AA568" s="9"/>
      <c r="AB568" s="9"/>
      <c r="AC568" s="9"/>
      <c r="AD568" s="9"/>
    </row>
    <row r="569"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204"/>
      <c r="AA569" s="9"/>
      <c r="AB569" s="9"/>
      <c r="AC569" s="9"/>
      <c r="AD569" s="9"/>
    </row>
    <row r="570"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204"/>
      <c r="AA570" s="9"/>
      <c r="AB570" s="9"/>
      <c r="AC570" s="9"/>
      <c r="AD570" s="9"/>
    </row>
    <row r="571"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204"/>
      <c r="AA571" s="9"/>
      <c r="AB571" s="9"/>
      <c r="AC571" s="9"/>
      <c r="AD571" s="9"/>
    </row>
    <row r="572"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204"/>
      <c r="AA572" s="9"/>
      <c r="AB572" s="9"/>
      <c r="AC572" s="9"/>
      <c r="AD572" s="9"/>
    </row>
    <row r="573"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204"/>
      <c r="AA573" s="9"/>
      <c r="AB573" s="9"/>
      <c r="AC573" s="9"/>
      <c r="AD573" s="9"/>
    </row>
    <row r="574"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204"/>
      <c r="AA574" s="9"/>
      <c r="AB574" s="9"/>
      <c r="AC574" s="9"/>
      <c r="AD574" s="9"/>
    </row>
    <row r="575"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204"/>
      <c r="AA575" s="9"/>
      <c r="AB575" s="9"/>
      <c r="AC575" s="9"/>
      <c r="AD575" s="9"/>
    </row>
    <row r="576"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204"/>
      <c r="AA576" s="9"/>
      <c r="AB576" s="9"/>
      <c r="AC576" s="9"/>
      <c r="AD576" s="9"/>
    </row>
    <row r="577"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204"/>
      <c r="AA577" s="9"/>
      <c r="AB577" s="9"/>
      <c r="AC577" s="9"/>
      <c r="AD577" s="9"/>
    </row>
    <row r="578"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204"/>
      <c r="AA578" s="9"/>
      <c r="AB578" s="9"/>
      <c r="AC578" s="9"/>
      <c r="AD578" s="9"/>
    </row>
    <row r="579"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204"/>
      <c r="AA579" s="9"/>
      <c r="AB579" s="9"/>
      <c r="AC579" s="9"/>
      <c r="AD579" s="9"/>
    </row>
    <row r="580"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204"/>
      <c r="AA580" s="9"/>
      <c r="AB580" s="9"/>
      <c r="AC580" s="9"/>
      <c r="AD580" s="9"/>
    </row>
    <row r="581"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204"/>
      <c r="AA581" s="9"/>
      <c r="AB581" s="9"/>
      <c r="AC581" s="9"/>
      <c r="AD581" s="9"/>
    </row>
    <row r="582"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204"/>
      <c r="AA582" s="9"/>
      <c r="AB582" s="9"/>
      <c r="AC582" s="9"/>
      <c r="AD582" s="9"/>
    </row>
    <row r="583"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204"/>
      <c r="AA583" s="9"/>
      <c r="AB583" s="9"/>
      <c r="AC583" s="9"/>
      <c r="AD583" s="9"/>
    </row>
    <row r="584"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204"/>
      <c r="AA584" s="9"/>
      <c r="AB584" s="9"/>
      <c r="AC584" s="9"/>
      <c r="AD584" s="9"/>
    </row>
    <row r="585"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204"/>
      <c r="AA585" s="9"/>
      <c r="AB585" s="9"/>
      <c r="AC585" s="9"/>
      <c r="AD585" s="9"/>
    </row>
    <row r="586"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204"/>
      <c r="AA586" s="9"/>
      <c r="AB586" s="9"/>
      <c r="AC586" s="9"/>
      <c r="AD586" s="9"/>
    </row>
    <row r="587"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204"/>
      <c r="AA587" s="9"/>
      <c r="AB587" s="9"/>
      <c r="AC587" s="9"/>
      <c r="AD587" s="9"/>
    </row>
    <row r="588"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204"/>
      <c r="AA588" s="9"/>
      <c r="AB588" s="9"/>
      <c r="AC588" s="9"/>
      <c r="AD588" s="9"/>
    </row>
    <row r="589"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204"/>
      <c r="AA589" s="9"/>
      <c r="AB589" s="9"/>
      <c r="AC589" s="9"/>
      <c r="AD589" s="9"/>
    </row>
    <row r="590"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204"/>
      <c r="AA590" s="9"/>
      <c r="AB590" s="9"/>
      <c r="AC590" s="9"/>
      <c r="AD590" s="9"/>
    </row>
    <row r="591"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204"/>
      <c r="AA591" s="9"/>
      <c r="AB591" s="9"/>
      <c r="AC591" s="9"/>
      <c r="AD591" s="9"/>
    </row>
    <row r="592"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204"/>
      <c r="AA592" s="9"/>
      <c r="AB592" s="9"/>
      <c r="AC592" s="9"/>
      <c r="AD592" s="9"/>
    </row>
    <row r="593"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204"/>
      <c r="AA593" s="9"/>
      <c r="AB593" s="9"/>
      <c r="AC593" s="9"/>
      <c r="AD593" s="9"/>
    </row>
    <row r="594"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204"/>
      <c r="AA594" s="9"/>
      <c r="AB594" s="9"/>
      <c r="AC594" s="9"/>
      <c r="AD594" s="9"/>
    </row>
    <row r="595"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204"/>
      <c r="AA595" s="9"/>
      <c r="AB595" s="9"/>
      <c r="AC595" s="9"/>
      <c r="AD595" s="9"/>
    </row>
    <row r="596"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204"/>
      <c r="AA596" s="9"/>
      <c r="AB596" s="9"/>
      <c r="AC596" s="9"/>
      <c r="AD596" s="9"/>
    </row>
    <row r="597"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204"/>
      <c r="AA597" s="9"/>
      <c r="AB597" s="9"/>
      <c r="AC597" s="9"/>
      <c r="AD597" s="9"/>
    </row>
    <row r="598"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204"/>
      <c r="AA598" s="9"/>
      <c r="AB598" s="9"/>
      <c r="AC598" s="9"/>
      <c r="AD598" s="9"/>
    </row>
    <row r="599"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204"/>
      <c r="AA599" s="9"/>
      <c r="AB599" s="9"/>
      <c r="AC599" s="9"/>
      <c r="AD599" s="9"/>
    </row>
    <row r="600"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204"/>
      <c r="AA600" s="9"/>
      <c r="AB600" s="9"/>
      <c r="AC600" s="9"/>
      <c r="AD600" s="9"/>
    </row>
    <row r="601"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204"/>
      <c r="AA601" s="9"/>
      <c r="AB601" s="9"/>
      <c r="AC601" s="9"/>
      <c r="AD601" s="9"/>
    </row>
    <row r="602"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204"/>
      <c r="AA602" s="9"/>
      <c r="AB602" s="9"/>
      <c r="AC602" s="9"/>
      <c r="AD602" s="9"/>
    </row>
    <row r="603"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204"/>
      <c r="AA603" s="9"/>
      <c r="AB603" s="9"/>
      <c r="AC603" s="9"/>
      <c r="AD603" s="9"/>
    </row>
    <row r="604"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204"/>
      <c r="AA604" s="9"/>
      <c r="AB604" s="9"/>
      <c r="AC604" s="9"/>
      <c r="AD604" s="9"/>
    </row>
    <row r="605"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204"/>
      <c r="AA605" s="9"/>
      <c r="AB605" s="9"/>
      <c r="AC605" s="9"/>
      <c r="AD605" s="9"/>
    </row>
    <row r="606"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204"/>
      <c r="AA606" s="9"/>
      <c r="AB606" s="9"/>
      <c r="AC606" s="9"/>
      <c r="AD606" s="9"/>
    </row>
    <row r="607"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204"/>
      <c r="AA607" s="9"/>
      <c r="AB607" s="9"/>
      <c r="AC607" s="9"/>
      <c r="AD607" s="9"/>
    </row>
    <row r="608"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204"/>
      <c r="AA608" s="9"/>
      <c r="AB608" s="9"/>
      <c r="AC608" s="9"/>
      <c r="AD608" s="9"/>
    </row>
    <row r="609"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204"/>
      <c r="AA609" s="9"/>
      <c r="AB609" s="9"/>
      <c r="AC609" s="9"/>
      <c r="AD609" s="9"/>
    </row>
    <row r="610"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204"/>
      <c r="AA610" s="9"/>
      <c r="AB610" s="9"/>
      <c r="AC610" s="9"/>
      <c r="AD610" s="9"/>
    </row>
    <row r="611"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204"/>
      <c r="AA611" s="9"/>
      <c r="AB611" s="9"/>
      <c r="AC611" s="9"/>
      <c r="AD611" s="9"/>
    </row>
    <row r="612"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204"/>
      <c r="AA612" s="9"/>
      <c r="AB612" s="9"/>
      <c r="AC612" s="9"/>
      <c r="AD612" s="9"/>
    </row>
    <row r="613"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204"/>
      <c r="AA613" s="9"/>
      <c r="AB613" s="9"/>
      <c r="AC613" s="9"/>
      <c r="AD613" s="9"/>
    </row>
    <row r="614"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204"/>
      <c r="AA614" s="9"/>
      <c r="AB614" s="9"/>
      <c r="AC614" s="9"/>
      <c r="AD614" s="9"/>
    </row>
    <row r="615"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204"/>
      <c r="AA615" s="9"/>
      <c r="AB615" s="9"/>
      <c r="AC615" s="9"/>
      <c r="AD615" s="9"/>
    </row>
    <row r="616"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204"/>
      <c r="AA616" s="9"/>
      <c r="AB616" s="9"/>
      <c r="AC616" s="9"/>
      <c r="AD616" s="9"/>
    </row>
    <row r="617"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204"/>
      <c r="AA617" s="9"/>
      <c r="AB617" s="9"/>
      <c r="AC617" s="9"/>
      <c r="AD617" s="9"/>
    </row>
    <row r="618"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204"/>
      <c r="AA618" s="9"/>
      <c r="AB618" s="9"/>
      <c r="AC618" s="9"/>
      <c r="AD618" s="9"/>
    </row>
    <row r="619"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204"/>
      <c r="AA619" s="9"/>
      <c r="AB619" s="9"/>
      <c r="AC619" s="9"/>
      <c r="AD619" s="9"/>
    </row>
    <row r="620"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204"/>
      <c r="AA620" s="9"/>
      <c r="AB620" s="9"/>
      <c r="AC620" s="9"/>
      <c r="AD620" s="9"/>
    </row>
    <row r="621"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204"/>
      <c r="AA621" s="9"/>
      <c r="AB621" s="9"/>
      <c r="AC621" s="9"/>
      <c r="AD621" s="9"/>
    </row>
    <row r="622"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204"/>
      <c r="AA622" s="9"/>
      <c r="AB622" s="9"/>
      <c r="AC622" s="9"/>
      <c r="AD622" s="9"/>
    </row>
    <row r="623"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204"/>
      <c r="AA623" s="9"/>
      <c r="AB623" s="9"/>
      <c r="AC623" s="9"/>
      <c r="AD623" s="9"/>
    </row>
    <row r="624"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204"/>
      <c r="AA624" s="9"/>
      <c r="AB624" s="9"/>
      <c r="AC624" s="9"/>
      <c r="AD624" s="9"/>
    </row>
    <row r="625"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204"/>
      <c r="AA625" s="9"/>
      <c r="AB625" s="9"/>
      <c r="AC625" s="9"/>
      <c r="AD625" s="9"/>
    </row>
    <row r="626"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204"/>
      <c r="AA626" s="9"/>
      <c r="AB626" s="9"/>
      <c r="AC626" s="9"/>
      <c r="AD626" s="9"/>
    </row>
    <row r="627"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204"/>
      <c r="AA627" s="9"/>
      <c r="AB627" s="9"/>
      <c r="AC627" s="9"/>
      <c r="AD627" s="9"/>
    </row>
    <row r="628"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204"/>
      <c r="AA628" s="9"/>
      <c r="AB628" s="9"/>
      <c r="AC628" s="9"/>
      <c r="AD628" s="9"/>
    </row>
    <row r="629"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204"/>
      <c r="AA629" s="9"/>
      <c r="AB629" s="9"/>
      <c r="AC629" s="9"/>
      <c r="AD629" s="9"/>
    </row>
    <row r="630"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204"/>
      <c r="AA630" s="9"/>
      <c r="AB630" s="9"/>
      <c r="AC630" s="9"/>
      <c r="AD630" s="9"/>
    </row>
    <row r="631"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204"/>
      <c r="AA631" s="9"/>
      <c r="AB631" s="9"/>
      <c r="AC631" s="9"/>
      <c r="AD631" s="9"/>
    </row>
    <row r="632"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204"/>
      <c r="AA632" s="9"/>
      <c r="AB632" s="9"/>
      <c r="AC632" s="9"/>
      <c r="AD632" s="9"/>
    </row>
    <row r="633"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204"/>
      <c r="AA633" s="9"/>
      <c r="AB633" s="9"/>
      <c r="AC633" s="9"/>
      <c r="AD633" s="9"/>
    </row>
    <row r="634"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204"/>
      <c r="AA634" s="9"/>
      <c r="AB634" s="9"/>
      <c r="AC634" s="9"/>
      <c r="AD634" s="9"/>
    </row>
    <row r="635"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204"/>
      <c r="AA635" s="9"/>
      <c r="AB635" s="9"/>
      <c r="AC635" s="9"/>
      <c r="AD635" s="9"/>
    </row>
    <row r="636"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204"/>
      <c r="AA636" s="9"/>
      <c r="AB636" s="9"/>
      <c r="AC636" s="9"/>
      <c r="AD636" s="9"/>
    </row>
    <row r="637"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204"/>
      <c r="AA637" s="9"/>
      <c r="AB637" s="9"/>
      <c r="AC637" s="9"/>
      <c r="AD637" s="9"/>
    </row>
    <row r="638"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204"/>
      <c r="AA638" s="9"/>
      <c r="AB638" s="9"/>
      <c r="AC638" s="9"/>
      <c r="AD638" s="9"/>
    </row>
    <row r="639"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204"/>
      <c r="AA639" s="9"/>
      <c r="AB639" s="9"/>
      <c r="AC639" s="9"/>
      <c r="AD639" s="9"/>
    </row>
    <row r="640"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204"/>
      <c r="AA640" s="9"/>
      <c r="AB640" s="9"/>
      <c r="AC640" s="9"/>
      <c r="AD640" s="9"/>
    </row>
    <row r="641"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204"/>
      <c r="AA641" s="9"/>
      <c r="AB641" s="9"/>
      <c r="AC641" s="9"/>
      <c r="AD641" s="9"/>
    </row>
    <row r="642"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204"/>
      <c r="AA642" s="9"/>
      <c r="AB642" s="9"/>
      <c r="AC642" s="9"/>
      <c r="AD642" s="9"/>
    </row>
    <row r="643"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204"/>
      <c r="AA643" s="9"/>
      <c r="AB643" s="9"/>
      <c r="AC643" s="9"/>
      <c r="AD643" s="9"/>
    </row>
    <row r="644"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204"/>
      <c r="AA644" s="9"/>
      <c r="AB644" s="9"/>
      <c r="AC644" s="9"/>
      <c r="AD644" s="9"/>
    </row>
    <row r="645"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204"/>
      <c r="AA645" s="9"/>
      <c r="AB645" s="9"/>
      <c r="AC645" s="9"/>
      <c r="AD645" s="9"/>
    </row>
    <row r="646"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204"/>
      <c r="AA646" s="9"/>
      <c r="AB646" s="9"/>
      <c r="AC646" s="9"/>
      <c r="AD646" s="9"/>
    </row>
    <row r="647"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204"/>
      <c r="AA647" s="9"/>
      <c r="AB647" s="9"/>
      <c r="AC647" s="9"/>
      <c r="AD647" s="9"/>
    </row>
    <row r="648"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204"/>
      <c r="AA648" s="9"/>
      <c r="AB648" s="9"/>
      <c r="AC648" s="9"/>
      <c r="AD648" s="9"/>
    </row>
    <row r="649"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204"/>
      <c r="AA649" s="9"/>
      <c r="AB649" s="9"/>
      <c r="AC649" s="9"/>
      <c r="AD649" s="9"/>
    </row>
    <row r="650"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204"/>
      <c r="AA650" s="9"/>
      <c r="AB650" s="9"/>
      <c r="AC650" s="9"/>
      <c r="AD650" s="9"/>
    </row>
    <row r="651"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204"/>
      <c r="AA651" s="9"/>
      <c r="AB651" s="9"/>
      <c r="AC651" s="9"/>
      <c r="AD651" s="9"/>
    </row>
    <row r="652"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204"/>
      <c r="AA652" s="9"/>
      <c r="AB652" s="9"/>
      <c r="AC652" s="9"/>
      <c r="AD652" s="9"/>
    </row>
    <row r="653"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204"/>
      <c r="AA653" s="9"/>
      <c r="AB653" s="9"/>
      <c r="AC653" s="9"/>
      <c r="AD653" s="9"/>
    </row>
    <row r="654"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204"/>
      <c r="AA654" s="9"/>
      <c r="AB654" s="9"/>
      <c r="AC654" s="9"/>
      <c r="AD654" s="9"/>
    </row>
    <row r="655"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204"/>
      <c r="AA655" s="9"/>
      <c r="AB655" s="9"/>
      <c r="AC655" s="9"/>
      <c r="AD655" s="9"/>
    </row>
    <row r="656"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204"/>
      <c r="AA656" s="9"/>
      <c r="AB656" s="9"/>
      <c r="AC656" s="9"/>
      <c r="AD656" s="9"/>
    </row>
    <row r="657"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204"/>
      <c r="AA657" s="9"/>
      <c r="AB657" s="9"/>
      <c r="AC657" s="9"/>
      <c r="AD657" s="9"/>
    </row>
    <row r="658"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204"/>
      <c r="AA658" s="9"/>
      <c r="AB658" s="9"/>
      <c r="AC658" s="9"/>
      <c r="AD658" s="9"/>
    </row>
    <row r="659"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204"/>
      <c r="AA659" s="9"/>
      <c r="AB659" s="9"/>
      <c r="AC659" s="9"/>
      <c r="AD659" s="9"/>
    </row>
    <row r="660"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204"/>
      <c r="AA660" s="9"/>
      <c r="AB660" s="9"/>
      <c r="AC660" s="9"/>
      <c r="AD660" s="9"/>
    </row>
    <row r="661"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204"/>
      <c r="AA661" s="9"/>
      <c r="AB661" s="9"/>
      <c r="AC661" s="9"/>
      <c r="AD661" s="9"/>
    </row>
    <row r="662"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204"/>
      <c r="AA662" s="9"/>
      <c r="AB662" s="9"/>
      <c r="AC662" s="9"/>
      <c r="AD662" s="9"/>
    </row>
    <row r="663"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204"/>
      <c r="AA663" s="9"/>
      <c r="AB663" s="9"/>
      <c r="AC663" s="9"/>
      <c r="AD663" s="9"/>
    </row>
    <row r="664"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204"/>
      <c r="AA664" s="9"/>
      <c r="AB664" s="9"/>
      <c r="AC664" s="9"/>
      <c r="AD664" s="9"/>
    </row>
    <row r="665"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204"/>
      <c r="AA665" s="9"/>
      <c r="AB665" s="9"/>
      <c r="AC665" s="9"/>
      <c r="AD665" s="9"/>
    </row>
    <row r="666"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204"/>
      <c r="AA666" s="9"/>
      <c r="AB666" s="9"/>
      <c r="AC666" s="9"/>
      <c r="AD666" s="9"/>
    </row>
    <row r="667"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204"/>
      <c r="AA667" s="9"/>
      <c r="AB667" s="9"/>
      <c r="AC667" s="9"/>
      <c r="AD667" s="9"/>
    </row>
    <row r="668"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204"/>
      <c r="AA668" s="9"/>
      <c r="AB668" s="9"/>
      <c r="AC668" s="9"/>
      <c r="AD668" s="9"/>
    </row>
    <row r="669"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204"/>
      <c r="AA669" s="9"/>
      <c r="AB669" s="9"/>
      <c r="AC669" s="9"/>
      <c r="AD669" s="9"/>
    </row>
    <row r="670"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204"/>
      <c r="AA670" s="9"/>
      <c r="AB670" s="9"/>
      <c r="AC670" s="9"/>
      <c r="AD670" s="9"/>
    </row>
    <row r="671"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204"/>
      <c r="AA671" s="9"/>
      <c r="AB671" s="9"/>
      <c r="AC671" s="9"/>
      <c r="AD671" s="9"/>
    </row>
    <row r="672"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204"/>
      <c r="AA672" s="9"/>
      <c r="AB672" s="9"/>
      <c r="AC672" s="9"/>
      <c r="AD672" s="9"/>
    </row>
    <row r="673"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204"/>
      <c r="AA673" s="9"/>
      <c r="AB673" s="9"/>
      <c r="AC673" s="9"/>
      <c r="AD673" s="9"/>
    </row>
    <row r="674"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204"/>
      <c r="AA674" s="9"/>
      <c r="AB674" s="9"/>
      <c r="AC674" s="9"/>
      <c r="AD674" s="9"/>
    </row>
    <row r="675"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204"/>
      <c r="AA675" s="9"/>
      <c r="AB675" s="9"/>
      <c r="AC675" s="9"/>
      <c r="AD675" s="9"/>
    </row>
    <row r="676"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204"/>
      <c r="AA676" s="9"/>
      <c r="AB676" s="9"/>
      <c r="AC676" s="9"/>
      <c r="AD676" s="9"/>
    </row>
    <row r="677"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204"/>
      <c r="AA677" s="9"/>
      <c r="AB677" s="9"/>
      <c r="AC677" s="9"/>
      <c r="AD677" s="9"/>
    </row>
    <row r="678"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204"/>
      <c r="AA678" s="9"/>
      <c r="AB678" s="9"/>
      <c r="AC678" s="9"/>
      <c r="AD678" s="9"/>
    </row>
    <row r="679"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204"/>
      <c r="AA679" s="9"/>
      <c r="AB679" s="9"/>
      <c r="AC679" s="9"/>
      <c r="AD679" s="9"/>
    </row>
    <row r="680"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204"/>
      <c r="AA680" s="9"/>
      <c r="AB680" s="9"/>
      <c r="AC680" s="9"/>
      <c r="AD680" s="9"/>
    </row>
    <row r="681"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204"/>
      <c r="AA681" s="9"/>
      <c r="AB681" s="9"/>
      <c r="AC681" s="9"/>
      <c r="AD681" s="9"/>
    </row>
    <row r="682"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204"/>
      <c r="AA682" s="9"/>
      <c r="AB682" s="9"/>
      <c r="AC682" s="9"/>
      <c r="AD682" s="9"/>
    </row>
    <row r="683"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204"/>
      <c r="AA683" s="9"/>
      <c r="AB683" s="9"/>
      <c r="AC683" s="9"/>
      <c r="AD683" s="9"/>
    </row>
    <row r="684"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204"/>
      <c r="AA684" s="9"/>
      <c r="AB684" s="9"/>
      <c r="AC684" s="9"/>
      <c r="AD684" s="9"/>
    </row>
    <row r="685"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204"/>
      <c r="AA685" s="9"/>
      <c r="AB685" s="9"/>
      <c r="AC685" s="9"/>
      <c r="AD685" s="9"/>
    </row>
    <row r="686"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204"/>
      <c r="AA686" s="9"/>
      <c r="AB686" s="9"/>
      <c r="AC686" s="9"/>
      <c r="AD686" s="9"/>
    </row>
    <row r="687"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204"/>
      <c r="AA687" s="9"/>
      <c r="AB687" s="9"/>
      <c r="AC687" s="9"/>
      <c r="AD687" s="9"/>
    </row>
    <row r="688"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204"/>
      <c r="AA688" s="9"/>
      <c r="AB688" s="9"/>
      <c r="AC688" s="9"/>
      <c r="AD688" s="9"/>
    </row>
    <row r="689"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204"/>
      <c r="AA689" s="9"/>
      <c r="AB689" s="9"/>
      <c r="AC689" s="9"/>
      <c r="AD689" s="9"/>
    </row>
    <row r="690"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204"/>
      <c r="AA690" s="9"/>
      <c r="AB690" s="9"/>
      <c r="AC690" s="9"/>
      <c r="AD690" s="9"/>
    </row>
    <row r="691"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204"/>
      <c r="AA691" s="9"/>
      <c r="AB691" s="9"/>
      <c r="AC691" s="9"/>
      <c r="AD691" s="9"/>
    </row>
    <row r="692"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204"/>
      <c r="AA692" s="9"/>
      <c r="AB692" s="9"/>
      <c r="AC692" s="9"/>
      <c r="AD692" s="9"/>
    </row>
    <row r="693"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204"/>
      <c r="AA693" s="9"/>
      <c r="AB693" s="9"/>
      <c r="AC693" s="9"/>
      <c r="AD693" s="9"/>
    </row>
    <row r="694"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204"/>
      <c r="AA694" s="9"/>
      <c r="AB694" s="9"/>
      <c r="AC694" s="9"/>
      <c r="AD694" s="9"/>
    </row>
    <row r="695"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204"/>
      <c r="AA695" s="9"/>
      <c r="AB695" s="9"/>
      <c r="AC695" s="9"/>
      <c r="AD695" s="9"/>
    </row>
    <row r="696"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204"/>
      <c r="AA696" s="9"/>
      <c r="AB696" s="9"/>
      <c r="AC696" s="9"/>
      <c r="AD696" s="9"/>
    </row>
    <row r="697"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204"/>
      <c r="AA697" s="9"/>
      <c r="AB697" s="9"/>
      <c r="AC697" s="9"/>
      <c r="AD697" s="9"/>
    </row>
    <row r="698"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204"/>
      <c r="AA698" s="9"/>
      <c r="AB698" s="9"/>
      <c r="AC698" s="9"/>
      <c r="AD698" s="9"/>
    </row>
    <row r="699"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204"/>
      <c r="AA699" s="9"/>
      <c r="AB699" s="9"/>
      <c r="AC699" s="9"/>
      <c r="AD699" s="9"/>
    </row>
    <row r="700"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204"/>
      <c r="AA700" s="9"/>
      <c r="AB700" s="9"/>
      <c r="AC700" s="9"/>
      <c r="AD700" s="9"/>
    </row>
    <row r="701"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204"/>
      <c r="AA701" s="9"/>
      <c r="AB701" s="9"/>
      <c r="AC701" s="9"/>
      <c r="AD701" s="9"/>
    </row>
    <row r="702"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204"/>
      <c r="AA702" s="9"/>
      <c r="AB702" s="9"/>
      <c r="AC702" s="9"/>
      <c r="AD702" s="9"/>
    </row>
    <row r="703"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204"/>
      <c r="AA703" s="9"/>
      <c r="AB703" s="9"/>
      <c r="AC703" s="9"/>
      <c r="AD703" s="9"/>
    </row>
    <row r="704"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204"/>
      <c r="AA704" s="9"/>
      <c r="AB704" s="9"/>
      <c r="AC704" s="9"/>
      <c r="AD704" s="9"/>
    </row>
    <row r="705"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204"/>
      <c r="AA705" s="9"/>
      <c r="AB705" s="9"/>
      <c r="AC705" s="9"/>
      <c r="AD705" s="9"/>
    </row>
    <row r="706"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204"/>
      <c r="AA706" s="9"/>
      <c r="AB706" s="9"/>
      <c r="AC706" s="9"/>
      <c r="AD706" s="9"/>
    </row>
    <row r="707"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204"/>
      <c r="AA707" s="9"/>
      <c r="AB707" s="9"/>
      <c r="AC707" s="9"/>
      <c r="AD707" s="9"/>
    </row>
    <row r="708"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204"/>
      <c r="AA708" s="9"/>
      <c r="AB708" s="9"/>
      <c r="AC708" s="9"/>
      <c r="AD708" s="9"/>
    </row>
    <row r="709"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204"/>
      <c r="AA709" s="9"/>
      <c r="AB709" s="9"/>
      <c r="AC709" s="9"/>
      <c r="AD709" s="9"/>
    </row>
    <row r="710"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204"/>
      <c r="AA710" s="9"/>
      <c r="AB710" s="9"/>
      <c r="AC710" s="9"/>
      <c r="AD710" s="9"/>
    </row>
    <row r="711"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204"/>
      <c r="AA711" s="9"/>
      <c r="AB711" s="9"/>
      <c r="AC711" s="9"/>
      <c r="AD711" s="9"/>
    </row>
    <row r="712"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204"/>
      <c r="AA712" s="9"/>
      <c r="AB712" s="9"/>
      <c r="AC712" s="9"/>
      <c r="AD712" s="9"/>
    </row>
    <row r="713"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204"/>
      <c r="AA713" s="9"/>
      <c r="AB713" s="9"/>
      <c r="AC713" s="9"/>
      <c r="AD713" s="9"/>
    </row>
    <row r="714"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204"/>
      <c r="AA714" s="9"/>
      <c r="AB714" s="9"/>
      <c r="AC714" s="9"/>
      <c r="AD714" s="9"/>
    </row>
    <row r="715"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204"/>
      <c r="AA715" s="9"/>
      <c r="AB715" s="9"/>
      <c r="AC715" s="9"/>
      <c r="AD715" s="9"/>
    </row>
    <row r="716"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204"/>
      <c r="AA716" s="9"/>
      <c r="AB716" s="9"/>
      <c r="AC716" s="9"/>
      <c r="AD716" s="9"/>
    </row>
    <row r="717"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204"/>
      <c r="AA717" s="9"/>
      <c r="AB717" s="9"/>
      <c r="AC717" s="9"/>
      <c r="AD717" s="9"/>
    </row>
    <row r="718"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204"/>
      <c r="AA718" s="9"/>
      <c r="AB718" s="9"/>
      <c r="AC718" s="9"/>
      <c r="AD718" s="9"/>
    </row>
    <row r="719"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204"/>
      <c r="AA719" s="9"/>
      <c r="AB719" s="9"/>
      <c r="AC719" s="9"/>
      <c r="AD719" s="9"/>
    </row>
    <row r="720"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204"/>
      <c r="AA720" s="9"/>
      <c r="AB720" s="9"/>
      <c r="AC720" s="9"/>
      <c r="AD720" s="9"/>
    </row>
    <row r="721"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204"/>
      <c r="AA721" s="9"/>
      <c r="AB721" s="9"/>
      <c r="AC721" s="9"/>
      <c r="AD721" s="9"/>
    </row>
    <row r="722"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204"/>
      <c r="AA722" s="9"/>
      <c r="AB722" s="9"/>
      <c r="AC722" s="9"/>
      <c r="AD722" s="9"/>
    </row>
    <row r="723"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204"/>
      <c r="AA723" s="9"/>
      <c r="AB723" s="9"/>
      <c r="AC723" s="9"/>
      <c r="AD723" s="9"/>
    </row>
    <row r="724"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204"/>
      <c r="AA724" s="9"/>
      <c r="AB724" s="9"/>
      <c r="AC724" s="9"/>
      <c r="AD724" s="9"/>
    </row>
    <row r="725"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204"/>
      <c r="AA725" s="9"/>
      <c r="AB725" s="9"/>
      <c r="AC725" s="9"/>
      <c r="AD725" s="9"/>
    </row>
    <row r="726"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204"/>
      <c r="AA726" s="9"/>
      <c r="AB726" s="9"/>
      <c r="AC726" s="9"/>
      <c r="AD726" s="9"/>
    </row>
    <row r="727"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204"/>
      <c r="AA727" s="9"/>
      <c r="AB727" s="9"/>
      <c r="AC727" s="9"/>
      <c r="AD727" s="9"/>
    </row>
    <row r="728"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204"/>
      <c r="AA728" s="9"/>
      <c r="AB728" s="9"/>
      <c r="AC728" s="9"/>
      <c r="AD728" s="9"/>
    </row>
    <row r="729"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204"/>
      <c r="AA729" s="9"/>
      <c r="AB729" s="9"/>
      <c r="AC729" s="9"/>
      <c r="AD729" s="9"/>
    </row>
    <row r="730"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204"/>
      <c r="AA730" s="9"/>
      <c r="AB730" s="9"/>
      <c r="AC730" s="9"/>
      <c r="AD730" s="9"/>
    </row>
    <row r="731"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204"/>
      <c r="AA731" s="9"/>
      <c r="AB731" s="9"/>
      <c r="AC731" s="9"/>
      <c r="AD731" s="9"/>
    </row>
    <row r="732"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204"/>
      <c r="AA732" s="9"/>
      <c r="AB732" s="9"/>
      <c r="AC732" s="9"/>
      <c r="AD732" s="9"/>
    </row>
    <row r="733"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204"/>
      <c r="AA733" s="9"/>
      <c r="AB733" s="9"/>
      <c r="AC733" s="9"/>
      <c r="AD733" s="9"/>
    </row>
    <row r="734"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204"/>
      <c r="AA734" s="9"/>
      <c r="AB734" s="9"/>
      <c r="AC734" s="9"/>
      <c r="AD734" s="9"/>
    </row>
    <row r="735"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204"/>
      <c r="AA735" s="9"/>
      <c r="AB735" s="9"/>
      <c r="AC735" s="9"/>
      <c r="AD735" s="9"/>
    </row>
    <row r="736"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204"/>
      <c r="AA736" s="9"/>
      <c r="AB736" s="9"/>
      <c r="AC736" s="9"/>
      <c r="AD736" s="9"/>
    </row>
    <row r="737"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204"/>
      <c r="AA737" s="9"/>
      <c r="AB737" s="9"/>
      <c r="AC737" s="9"/>
      <c r="AD737" s="9"/>
    </row>
    <row r="738"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204"/>
      <c r="AA738" s="9"/>
      <c r="AB738" s="9"/>
      <c r="AC738" s="9"/>
      <c r="AD738" s="9"/>
    </row>
    <row r="739"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204"/>
      <c r="AA739" s="9"/>
      <c r="AB739" s="9"/>
      <c r="AC739" s="9"/>
      <c r="AD739" s="9"/>
    </row>
    <row r="740"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204"/>
      <c r="AA740" s="9"/>
      <c r="AB740" s="9"/>
      <c r="AC740" s="9"/>
      <c r="AD740" s="9"/>
    </row>
    <row r="741"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204"/>
      <c r="AA741" s="9"/>
      <c r="AB741" s="9"/>
      <c r="AC741" s="9"/>
      <c r="AD741" s="9"/>
    </row>
    <row r="742"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204"/>
      <c r="AA742" s="9"/>
      <c r="AB742" s="9"/>
      <c r="AC742" s="9"/>
      <c r="AD742" s="9"/>
    </row>
    <row r="743"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204"/>
      <c r="AA743" s="9"/>
      <c r="AB743" s="9"/>
      <c r="AC743" s="9"/>
      <c r="AD743" s="9"/>
    </row>
    <row r="744"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204"/>
      <c r="AA744" s="9"/>
      <c r="AB744" s="9"/>
      <c r="AC744" s="9"/>
      <c r="AD744" s="9"/>
    </row>
    <row r="745"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204"/>
      <c r="AA745" s="9"/>
      <c r="AB745" s="9"/>
      <c r="AC745" s="9"/>
      <c r="AD745" s="9"/>
    </row>
    <row r="746"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204"/>
      <c r="AA746" s="9"/>
      <c r="AB746" s="9"/>
      <c r="AC746" s="9"/>
      <c r="AD746" s="9"/>
    </row>
    <row r="747"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204"/>
      <c r="AA747" s="9"/>
      <c r="AB747" s="9"/>
      <c r="AC747" s="9"/>
      <c r="AD747" s="9"/>
    </row>
    <row r="748"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204"/>
      <c r="AA748" s="9"/>
      <c r="AB748" s="9"/>
      <c r="AC748" s="9"/>
      <c r="AD748" s="9"/>
    </row>
    <row r="749"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204"/>
      <c r="AA749" s="9"/>
      <c r="AB749" s="9"/>
      <c r="AC749" s="9"/>
      <c r="AD749" s="9"/>
    </row>
    <row r="750"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204"/>
      <c r="AA750" s="9"/>
      <c r="AB750" s="9"/>
      <c r="AC750" s="9"/>
      <c r="AD750" s="9"/>
    </row>
    <row r="751"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204"/>
      <c r="AA751" s="9"/>
      <c r="AB751" s="9"/>
      <c r="AC751" s="9"/>
      <c r="AD751" s="9"/>
    </row>
    <row r="752"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204"/>
      <c r="AA752" s="9"/>
      <c r="AB752" s="9"/>
      <c r="AC752" s="9"/>
      <c r="AD752" s="9"/>
    </row>
    <row r="753"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204"/>
      <c r="AA753" s="9"/>
      <c r="AB753" s="9"/>
      <c r="AC753" s="9"/>
      <c r="AD753" s="9"/>
    </row>
    <row r="754"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204"/>
      <c r="AA754" s="9"/>
      <c r="AB754" s="9"/>
      <c r="AC754" s="9"/>
      <c r="AD754" s="9"/>
    </row>
    <row r="755"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204"/>
      <c r="AA755" s="9"/>
      <c r="AB755" s="9"/>
      <c r="AC755" s="9"/>
      <c r="AD755" s="9"/>
    </row>
    <row r="756"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204"/>
      <c r="AA756" s="9"/>
      <c r="AB756" s="9"/>
      <c r="AC756" s="9"/>
      <c r="AD756" s="9"/>
    </row>
    <row r="757"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204"/>
      <c r="AA757" s="9"/>
      <c r="AB757" s="9"/>
      <c r="AC757" s="9"/>
      <c r="AD757" s="9"/>
    </row>
    <row r="758"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204"/>
      <c r="AA758" s="9"/>
      <c r="AB758" s="9"/>
      <c r="AC758" s="9"/>
      <c r="AD758" s="9"/>
    </row>
    <row r="759"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204"/>
      <c r="AA759" s="9"/>
      <c r="AB759" s="9"/>
      <c r="AC759" s="9"/>
      <c r="AD759" s="9"/>
    </row>
    <row r="760"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204"/>
      <c r="AA760" s="9"/>
      <c r="AB760" s="9"/>
      <c r="AC760" s="9"/>
      <c r="AD760" s="9"/>
    </row>
    <row r="761"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204"/>
      <c r="AA761" s="9"/>
      <c r="AB761" s="9"/>
      <c r="AC761" s="9"/>
      <c r="AD761" s="9"/>
    </row>
    <row r="762"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204"/>
      <c r="AA762" s="9"/>
      <c r="AB762" s="9"/>
      <c r="AC762" s="9"/>
      <c r="AD762" s="9"/>
    </row>
    <row r="763"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204"/>
      <c r="AA763" s="9"/>
      <c r="AB763" s="9"/>
      <c r="AC763" s="9"/>
      <c r="AD763" s="9"/>
    </row>
    <row r="764"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204"/>
      <c r="AA764" s="9"/>
      <c r="AB764" s="9"/>
      <c r="AC764" s="9"/>
      <c r="AD764" s="9"/>
    </row>
    <row r="765"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204"/>
      <c r="AA765" s="9"/>
      <c r="AB765" s="9"/>
      <c r="AC765" s="9"/>
      <c r="AD765" s="9"/>
    </row>
    <row r="766"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204"/>
      <c r="AA766" s="9"/>
      <c r="AB766" s="9"/>
      <c r="AC766" s="9"/>
      <c r="AD766" s="9"/>
    </row>
    <row r="767"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204"/>
      <c r="AA767" s="9"/>
      <c r="AB767" s="9"/>
      <c r="AC767" s="9"/>
      <c r="AD767" s="9"/>
    </row>
    <row r="768"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204"/>
      <c r="AA768" s="9"/>
      <c r="AB768" s="9"/>
      <c r="AC768" s="9"/>
      <c r="AD768" s="9"/>
    </row>
    <row r="769"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204"/>
      <c r="AA769" s="9"/>
      <c r="AB769" s="9"/>
      <c r="AC769" s="9"/>
      <c r="AD769" s="9"/>
    </row>
    <row r="770"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204"/>
      <c r="AA770" s="9"/>
      <c r="AB770" s="9"/>
      <c r="AC770" s="9"/>
      <c r="AD770" s="9"/>
    </row>
    <row r="771"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204"/>
      <c r="AA771" s="9"/>
      <c r="AB771" s="9"/>
      <c r="AC771" s="9"/>
      <c r="AD771" s="9"/>
    </row>
    <row r="772"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204"/>
      <c r="AA772" s="9"/>
      <c r="AB772" s="9"/>
      <c r="AC772" s="9"/>
      <c r="AD772" s="9"/>
    </row>
    <row r="773"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204"/>
      <c r="AA773" s="9"/>
      <c r="AB773" s="9"/>
      <c r="AC773" s="9"/>
      <c r="AD773" s="9"/>
    </row>
    <row r="774"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204"/>
      <c r="AA774" s="9"/>
      <c r="AB774" s="9"/>
      <c r="AC774" s="9"/>
      <c r="AD774" s="9"/>
    </row>
    <row r="775"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204"/>
      <c r="AA775" s="9"/>
      <c r="AB775" s="9"/>
      <c r="AC775" s="9"/>
      <c r="AD775" s="9"/>
    </row>
    <row r="776"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204"/>
      <c r="AA776" s="9"/>
      <c r="AB776" s="9"/>
      <c r="AC776" s="9"/>
      <c r="AD776" s="9"/>
    </row>
    <row r="777"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204"/>
      <c r="AA777" s="9"/>
      <c r="AB777" s="9"/>
      <c r="AC777" s="9"/>
      <c r="AD777" s="9"/>
    </row>
    <row r="778"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204"/>
      <c r="AA778" s="9"/>
      <c r="AB778" s="9"/>
      <c r="AC778" s="9"/>
      <c r="AD778" s="9"/>
    </row>
    <row r="779"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204"/>
      <c r="AA779" s="9"/>
      <c r="AB779" s="9"/>
      <c r="AC779" s="9"/>
      <c r="AD779" s="9"/>
    </row>
    <row r="780"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204"/>
      <c r="AA780" s="9"/>
      <c r="AB780" s="9"/>
      <c r="AC780" s="9"/>
      <c r="AD780" s="9"/>
    </row>
    <row r="781"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204"/>
      <c r="AA781" s="9"/>
      <c r="AB781" s="9"/>
      <c r="AC781" s="9"/>
      <c r="AD781" s="9"/>
    </row>
    <row r="782"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204"/>
      <c r="AA782" s="9"/>
      <c r="AB782" s="9"/>
      <c r="AC782" s="9"/>
      <c r="AD782" s="9"/>
    </row>
    <row r="783"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204"/>
      <c r="AA783" s="9"/>
      <c r="AB783" s="9"/>
      <c r="AC783" s="9"/>
      <c r="AD783" s="9"/>
    </row>
    <row r="784"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204"/>
      <c r="AA784" s="9"/>
      <c r="AB784" s="9"/>
      <c r="AC784" s="9"/>
      <c r="AD784" s="9"/>
    </row>
    <row r="785"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204"/>
      <c r="AA785" s="9"/>
      <c r="AB785" s="9"/>
      <c r="AC785" s="9"/>
      <c r="AD785" s="9"/>
    </row>
    <row r="786"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204"/>
      <c r="AA786" s="9"/>
      <c r="AB786" s="9"/>
      <c r="AC786" s="9"/>
      <c r="AD786" s="9"/>
    </row>
    <row r="787"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204"/>
      <c r="AA787" s="9"/>
      <c r="AB787" s="9"/>
      <c r="AC787" s="9"/>
      <c r="AD787" s="9"/>
    </row>
    <row r="788"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204"/>
      <c r="AA788" s="9"/>
      <c r="AB788" s="9"/>
      <c r="AC788" s="9"/>
      <c r="AD788" s="9"/>
    </row>
    <row r="789"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204"/>
      <c r="AA789" s="9"/>
      <c r="AB789" s="9"/>
      <c r="AC789" s="9"/>
      <c r="AD789" s="9"/>
    </row>
    <row r="790"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204"/>
      <c r="AA790" s="9"/>
      <c r="AB790" s="9"/>
      <c r="AC790" s="9"/>
      <c r="AD790" s="9"/>
    </row>
    <row r="791"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204"/>
      <c r="AA791" s="9"/>
      <c r="AB791" s="9"/>
      <c r="AC791" s="9"/>
      <c r="AD791" s="9"/>
    </row>
    <row r="792"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204"/>
      <c r="AA792" s="9"/>
      <c r="AB792" s="9"/>
      <c r="AC792" s="9"/>
      <c r="AD792" s="9"/>
    </row>
    <row r="793"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204"/>
      <c r="AA793" s="9"/>
      <c r="AB793" s="9"/>
      <c r="AC793" s="9"/>
      <c r="AD793" s="9"/>
    </row>
    <row r="794"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204"/>
      <c r="AA794" s="9"/>
      <c r="AB794" s="9"/>
      <c r="AC794" s="9"/>
      <c r="AD794" s="9"/>
    </row>
    <row r="795"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204"/>
      <c r="AA795" s="9"/>
      <c r="AB795" s="9"/>
      <c r="AC795" s="9"/>
      <c r="AD795" s="9"/>
    </row>
    <row r="796"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204"/>
      <c r="AA796" s="9"/>
      <c r="AB796" s="9"/>
      <c r="AC796" s="9"/>
      <c r="AD796" s="9"/>
    </row>
    <row r="797"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204"/>
      <c r="AA797" s="9"/>
      <c r="AB797" s="9"/>
      <c r="AC797" s="9"/>
      <c r="AD797" s="9"/>
    </row>
    <row r="798"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204"/>
      <c r="AA798" s="9"/>
      <c r="AB798" s="9"/>
      <c r="AC798" s="9"/>
      <c r="AD798" s="9"/>
    </row>
    <row r="799"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204"/>
      <c r="AA799" s="9"/>
      <c r="AB799" s="9"/>
      <c r="AC799" s="9"/>
      <c r="AD799" s="9"/>
    </row>
    <row r="800"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204"/>
      <c r="AA800" s="9"/>
      <c r="AB800" s="9"/>
      <c r="AC800" s="9"/>
      <c r="AD800" s="9"/>
    </row>
    <row r="801"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204"/>
      <c r="AA801" s="9"/>
      <c r="AB801" s="9"/>
      <c r="AC801" s="9"/>
      <c r="AD801" s="9"/>
    </row>
    <row r="802"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204"/>
      <c r="AA802" s="9"/>
      <c r="AB802" s="9"/>
      <c r="AC802" s="9"/>
      <c r="AD802" s="9"/>
    </row>
    <row r="803"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204"/>
      <c r="AA803" s="9"/>
      <c r="AB803" s="9"/>
      <c r="AC803" s="9"/>
      <c r="AD803" s="9"/>
    </row>
    <row r="804"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204"/>
      <c r="AA804" s="9"/>
      <c r="AB804" s="9"/>
      <c r="AC804" s="9"/>
      <c r="AD804" s="9"/>
    </row>
    <row r="805"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204"/>
      <c r="AA805" s="9"/>
      <c r="AB805" s="9"/>
      <c r="AC805" s="9"/>
      <c r="AD805" s="9"/>
    </row>
    <row r="806"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204"/>
      <c r="AA806" s="9"/>
      <c r="AB806" s="9"/>
      <c r="AC806" s="9"/>
      <c r="AD806" s="9"/>
    </row>
    <row r="807"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204"/>
      <c r="AA807" s="9"/>
      <c r="AB807" s="9"/>
      <c r="AC807" s="9"/>
      <c r="AD807" s="9"/>
    </row>
    <row r="808"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204"/>
      <c r="AA808" s="9"/>
      <c r="AB808" s="9"/>
      <c r="AC808" s="9"/>
      <c r="AD808" s="9"/>
    </row>
    <row r="809"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204"/>
      <c r="AA809" s="9"/>
      <c r="AB809" s="9"/>
      <c r="AC809" s="9"/>
      <c r="AD809" s="9"/>
    </row>
    <row r="810"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204"/>
      <c r="AA810" s="9"/>
      <c r="AB810" s="9"/>
      <c r="AC810" s="9"/>
      <c r="AD810" s="9"/>
    </row>
    <row r="811"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204"/>
      <c r="AA811" s="9"/>
      <c r="AB811" s="9"/>
      <c r="AC811" s="9"/>
      <c r="AD811" s="9"/>
    </row>
    <row r="812"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204"/>
      <c r="AA812" s="9"/>
      <c r="AB812" s="9"/>
      <c r="AC812" s="9"/>
      <c r="AD812" s="9"/>
    </row>
    <row r="813"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204"/>
      <c r="AA813" s="9"/>
      <c r="AB813" s="9"/>
      <c r="AC813" s="9"/>
      <c r="AD813" s="9"/>
    </row>
    <row r="814"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204"/>
      <c r="AA814" s="9"/>
      <c r="AB814" s="9"/>
      <c r="AC814" s="9"/>
      <c r="AD814" s="9"/>
    </row>
    <row r="815"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204"/>
      <c r="AA815" s="9"/>
      <c r="AB815" s="9"/>
      <c r="AC815" s="9"/>
      <c r="AD815" s="9"/>
    </row>
    <row r="816"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204"/>
      <c r="AA816" s="9"/>
      <c r="AB816" s="9"/>
      <c r="AC816" s="9"/>
      <c r="AD816" s="9"/>
    </row>
    <row r="817"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204"/>
      <c r="AA817" s="9"/>
      <c r="AB817" s="9"/>
      <c r="AC817" s="9"/>
      <c r="AD817" s="9"/>
    </row>
    <row r="818"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204"/>
      <c r="AA818" s="9"/>
      <c r="AB818" s="9"/>
      <c r="AC818" s="9"/>
      <c r="AD818" s="9"/>
    </row>
    <row r="819"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204"/>
      <c r="AA819" s="9"/>
      <c r="AB819" s="9"/>
      <c r="AC819" s="9"/>
      <c r="AD819" s="9"/>
    </row>
    <row r="820"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204"/>
      <c r="AA820" s="9"/>
      <c r="AB820" s="9"/>
      <c r="AC820" s="9"/>
      <c r="AD820" s="9"/>
    </row>
    <row r="821"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204"/>
      <c r="AA821" s="9"/>
      <c r="AB821" s="9"/>
      <c r="AC821" s="9"/>
      <c r="AD821" s="9"/>
    </row>
    <row r="822"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204"/>
      <c r="AA822" s="9"/>
      <c r="AB822" s="9"/>
      <c r="AC822" s="9"/>
      <c r="AD822" s="9"/>
    </row>
    <row r="823"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204"/>
      <c r="AA823" s="9"/>
      <c r="AB823" s="9"/>
      <c r="AC823" s="9"/>
      <c r="AD823" s="9"/>
    </row>
    <row r="824"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204"/>
      <c r="AA824" s="9"/>
      <c r="AB824" s="9"/>
      <c r="AC824" s="9"/>
      <c r="AD824" s="9"/>
    </row>
    <row r="825"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204"/>
      <c r="AA825" s="9"/>
      <c r="AB825" s="9"/>
      <c r="AC825" s="9"/>
      <c r="AD825" s="9"/>
    </row>
    <row r="826"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204"/>
      <c r="AA826" s="9"/>
      <c r="AB826" s="9"/>
      <c r="AC826" s="9"/>
      <c r="AD826" s="9"/>
    </row>
    <row r="827"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204"/>
      <c r="AA827" s="9"/>
      <c r="AB827" s="9"/>
      <c r="AC827" s="9"/>
      <c r="AD827" s="9"/>
    </row>
    <row r="828"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204"/>
      <c r="AA828" s="9"/>
      <c r="AB828" s="9"/>
      <c r="AC828" s="9"/>
      <c r="AD828" s="9"/>
    </row>
    <row r="829"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204"/>
      <c r="AA829" s="9"/>
      <c r="AB829" s="9"/>
      <c r="AC829" s="9"/>
      <c r="AD829" s="9"/>
    </row>
    <row r="830"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204"/>
      <c r="AA830" s="9"/>
      <c r="AB830" s="9"/>
      <c r="AC830" s="9"/>
      <c r="AD830" s="9"/>
    </row>
    <row r="831"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204"/>
      <c r="AA831" s="9"/>
      <c r="AB831" s="9"/>
      <c r="AC831" s="9"/>
      <c r="AD831" s="9"/>
    </row>
    <row r="832"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204"/>
      <c r="AA832" s="9"/>
      <c r="AB832" s="9"/>
      <c r="AC832" s="9"/>
      <c r="AD832" s="9"/>
    </row>
    <row r="833"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204"/>
      <c r="AA833" s="9"/>
      <c r="AB833" s="9"/>
      <c r="AC833" s="9"/>
      <c r="AD833" s="9"/>
    </row>
    <row r="834"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204"/>
      <c r="AA834" s="9"/>
      <c r="AB834" s="9"/>
      <c r="AC834" s="9"/>
      <c r="AD834" s="9"/>
    </row>
    <row r="835"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204"/>
      <c r="AA835" s="9"/>
      <c r="AB835" s="9"/>
      <c r="AC835" s="9"/>
      <c r="AD835" s="9"/>
    </row>
    <row r="836"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204"/>
      <c r="AA836" s="9"/>
      <c r="AB836" s="9"/>
      <c r="AC836" s="9"/>
      <c r="AD836" s="9"/>
    </row>
    <row r="837"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204"/>
      <c r="AA837" s="9"/>
      <c r="AB837" s="9"/>
      <c r="AC837" s="9"/>
      <c r="AD837" s="9"/>
    </row>
    <row r="838"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204"/>
      <c r="AA838" s="9"/>
      <c r="AB838" s="9"/>
      <c r="AC838" s="9"/>
      <c r="AD838" s="9"/>
    </row>
    <row r="839"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204"/>
      <c r="AA839" s="9"/>
      <c r="AB839" s="9"/>
      <c r="AC839" s="9"/>
      <c r="AD839" s="9"/>
    </row>
    <row r="840"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204"/>
      <c r="AA840" s="9"/>
      <c r="AB840" s="9"/>
      <c r="AC840" s="9"/>
      <c r="AD840" s="9"/>
    </row>
    <row r="841"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204"/>
      <c r="AA841" s="9"/>
      <c r="AB841" s="9"/>
      <c r="AC841" s="9"/>
      <c r="AD841" s="9"/>
    </row>
    <row r="842"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204"/>
      <c r="AA842" s="9"/>
      <c r="AB842" s="9"/>
      <c r="AC842" s="9"/>
      <c r="AD842" s="9"/>
    </row>
    <row r="843"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204"/>
      <c r="AA843" s="9"/>
      <c r="AB843" s="9"/>
      <c r="AC843" s="9"/>
      <c r="AD843" s="9"/>
    </row>
    <row r="844"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204"/>
      <c r="AA844" s="9"/>
      <c r="AB844" s="9"/>
      <c r="AC844" s="9"/>
      <c r="AD844" s="9"/>
    </row>
    <row r="845"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204"/>
      <c r="AA845" s="9"/>
      <c r="AB845" s="9"/>
      <c r="AC845" s="9"/>
      <c r="AD845" s="9"/>
    </row>
    <row r="846"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204"/>
      <c r="AA846" s="9"/>
      <c r="AB846" s="9"/>
      <c r="AC846" s="9"/>
      <c r="AD846" s="9"/>
    </row>
    <row r="847"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204"/>
      <c r="AA847" s="9"/>
      <c r="AB847" s="9"/>
      <c r="AC847" s="9"/>
      <c r="AD847" s="9"/>
    </row>
    <row r="848"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204"/>
      <c r="AA848" s="9"/>
      <c r="AB848" s="9"/>
      <c r="AC848" s="9"/>
      <c r="AD848" s="9"/>
    </row>
    <row r="849"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204"/>
      <c r="AA849" s="9"/>
      <c r="AB849" s="9"/>
      <c r="AC849" s="9"/>
      <c r="AD849" s="9"/>
    </row>
    <row r="850"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204"/>
      <c r="AA850" s="9"/>
      <c r="AB850" s="9"/>
      <c r="AC850" s="9"/>
      <c r="AD850" s="9"/>
    </row>
    <row r="851"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204"/>
      <c r="AA851" s="9"/>
      <c r="AB851" s="9"/>
      <c r="AC851" s="9"/>
      <c r="AD851" s="9"/>
    </row>
    <row r="852"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204"/>
      <c r="AA852" s="9"/>
      <c r="AB852" s="9"/>
      <c r="AC852" s="9"/>
      <c r="AD852" s="9"/>
    </row>
    <row r="853"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204"/>
      <c r="AA853" s="9"/>
      <c r="AB853" s="9"/>
      <c r="AC853" s="9"/>
      <c r="AD853" s="9"/>
    </row>
    <row r="854"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204"/>
      <c r="AA854" s="9"/>
      <c r="AB854" s="9"/>
      <c r="AC854" s="9"/>
      <c r="AD854" s="9"/>
    </row>
    <row r="855"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204"/>
      <c r="AA855" s="9"/>
      <c r="AB855" s="9"/>
      <c r="AC855" s="9"/>
      <c r="AD855" s="9"/>
    </row>
    <row r="856"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204"/>
      <c r="AA856" s="9"/>
      <c r="AB856" s="9"/>
      <c r="AC856" s="9"/>
      <c r="AD856" s="9"/>
    </row>
    <row r="857"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204"/>
      <c r="AA857" s="9"/>
      <c r="AB857" s="9"/>
      <c r="AC857" s="9"/>
      <c r="AD857" s="9"/>
    </row>
    <row r="858"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204"/>
      <c r="AA858" s="9"/>
      <c r="AB858" s="9"/>
      <c r="AC858" s="9"/>
      <c r="AD858" s="9"/>
    </row>
    <row r="859"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204"/>
      <c r="AA859" s="9"/>
      <c r="AB859" s="9"/>
      <c r="AC859" s="9"/>
      <c r="AD859" s="9"/>
    </row>
    <row r="860"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204"/>
      <c r="AA860" s="9"/>
      <c r="AB860" s="9"/>
      <c r="AC860" s="9"/>
      <c r="AD860" s="9"/>
    </row>
    <row r="861"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204"/>
      <c r="AA861" s="9"/>
      <c r="AB861" s="9"/>
      <c r="AC861" s="9"/>
      <c r="AD861" s="9"/>
    </row>
    <row r="862"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204"/>
      <c r="AA862" s="9"/>
      <c r="AB862" s="9"/>
      <c r="AC862" s="9"/>
      <c r="AD862" s="9"/>
    </row>
    <row r="863"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204"/>
      <c r="AA863" s="9"/>
      <c r="AB863" s="9"/>
      <c r="AC863" s="9"/>
      <c r="AD863" s="9"/>
    </row>
    <row r="864"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204"/>
      <c r="AA864" s="9"/>
      <c r="AB864" s="9"/>
      <c r="AC864" s="9"/>
      <c r="AD864" s="9"/>
    </row>
    <row r="865"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204"/>
      <c r="AA865" s="9"/>
      <c r="AB865" s="9"/>
      <c r="AC865" s="9"/>
      <c r="AD865" s="9"/>
    </row>
    <row r="866"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204"/>
      <c r="AA866" s="9"/>
      <c r="AB866" s="9"/>
      <c r="AC866" s="9"/>
      <c r="AD866" s="9"/>
    </row>
    <row r="867"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204"/>
      <c r="AA867" s="9"/>
      <c r="AB867" s="9"/>
      <c r="AC867" s="9"/>
      <c r="AD867" s="9"/>
    </row>
    <row r="868"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204"/>
      <c r="AA868" s="9"/>
      <c r="AB868" s="9"/>
      <c r="AC868" s="9"/>
      <c r="AD868" s="9"/>
    </row>
    <row r="869"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204"/>
      <c r="AA869" s="9"/>
      <c r="AB869" s="9"/>
      <c r="AC869" s="9"/>
      <c r="AD869" s="9"/>
    </row>
    <row r="870"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204"/>
      <c r="AA870" s="9"/>
      <c r="AB870" s="9"/>
      <c r="AC870" s="9"/>
      <c r="AD870" s="9"/>
    </row>
    <row r="871"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204"/>
      <c r="AA871" s="9"/>
      <c r="AB871" s="9"/>
      <c r="AC871" s="9"/>
      <c r="AD871" s="9"/>
    </row>
    <row r="872"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204"/>
      <c r="AA872" s="9"/>
      <c r="AB872" s="9"/>
      <c r="AC872" s="9"/>
      <c r="AD872" s="9"/>
    </row>
    <row r="873"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204"/>
      <c r="AA873" s="9"/>
      <c r="AB873" s="9"/>
      <c r="AC873" s="9"/>
      <c r="AD873" s="9"/>
    </row>
    <row r="874"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204"/>
      <c r="AA874" s="9"/>
      <c r="AB874" s="9"/>
      <c r="AC874" s="9"/>
      <c r="AD874" s="9"/>
    </row>
    <row r="875"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204"/>
      <c r="AA875" s="9"/>
      <c r="AB875" s="9"/>
      <c r="AC875" s="9"/>
      <c r="AD875" s="9"/>
    </row>
    <row r="876"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204"/>
      <c r="AA876" s="9"/>
      <c r="AB876" s="9"/>
      <c r="AC876" s="9"/>
      <c r="AD876" s="9"/>
    </row>
    <row r="877"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204"/>
      <c r="AA877" s="9"/>
      <c r="AB877" s="9"/>
      <c r="AC877" s="9"/>
      <c r="AD877" s="9"/>
    </row>
    <row r="878"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204"/>
      <c r="AA878" s="9"/>
      <c r="AB878" s="9"/>
      <c r="AC878" s="9"/>
      <c r="AD878" s="9"/>
    </row>
    <row r="879"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204"/>
      <c r="AA879" s="9"/>
      <c r="AB879" s="9"/>
      <c r="AC879" s="9"/>
      <c r="AD879" s="9"/>
    </row>
    <row r="880"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204"/>
      <c r="AA880" s="9"/>
      <c r="AB880" s="9"/>
      <c r="AC880" s="9"/>
      <c r="AD880" s="9"/>
    </row>
    <row r="881"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204"/>
      <c r="AA881" s="9"/>
      <c r="AB881" s="9"/>
      <c r="AC881" s="9"/>
      <c r="AD881" s="9"/>
    </row>
    <row r="882"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204"/>
      <c r="AA882" s="9"/>
      <c r="AB882" s="9"/>
      <c r="AC882" s="9"/>
      <c r="AD882" s="9"/>
    </row>
    <row r="883"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204"/>
      <c r="AA883" s="9"/>
      <c r="AB883" s="9"/>
      <c r="AC883" s="9"/>
      <c r="AD883" s="9"/>
    </row>
    <row r="884"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204"/>
      <c r="AA884" s="9"/>
      <c r="AB884" s="9"/>
      <c r="AC884" s="9"/>
      <c r="AD884" s="9"/>
    </row>
    <row r="885"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204"/>
      <c r="AA885" s="9"/>
      <c r="AB885" s="9"/>
      <c r="AC885" s="9"/>
      <c r="AD885" s="9"/>
    </row>
    <row r="886"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204"/>
      <c r="AA886" s="9"/>
      <c r="AB886" s="9"/>
      <c r="AC886" s="9"/>
      <c r="AD886" s="9"/>
    </row>
    <row r="887"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204"/>
      <c r="AA887" s="9"/>
      <c r="AB887" s="9"/>
      <c r="AC887" s="9"/>
      <c r="AD887" s="9"/>
    </row>
    <row r="888"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204"/>
      <c r="AA888" s="9"/>
      <c r="AB888" s="9"/>
      <c r="AC888" s="9"/>
      <c r="AD888" s="9"/>
    </row>
    <row r="889"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204"/>
      <c r="AA889" s="9"/>
      <c r="AB889" s="9"/>
      <c r="AC889" s="9"/>
      <c r="AD889" s="9"/>
    </row>
    <row r="890"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204"/>
      <c r="AA890" s="9"/>
      <c r="AB890" s="9"/>
      <c r="AC890" s="9"/>
      <c r="AD890" s="9"/>
    </row>
    <row r="891"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204"/>
      <c r="AA891" s="9"/>
      <c r="AB891" s="9"/>
      <c r="AC891" s="9"/>
      <c r="AD891" s="9"/>
    </row>
    <row r="892"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204"/>
      <c r="AA892" s="9"/>
      <c r="AB892" s="9"/>
      <c r="AC892" s="9"/>
      <c r="AD892" s="9"/>
    </row>
    <row r="893"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204"/>
      <c r="AA893" s="9"/>
      <c r="AB893" s="9"/>
      <c r="AC893" s="9"/>
      <c r="AD893" s="9"/>
    </row>
    <row r="894"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204"/>
      <c r="AA894" s="9"/>
      <c r="AB894" s="9"/>
      <c r="AC894" s="9"/>
      <c r="AD894" s="9"/>
    </row>
    <row r="895"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204"/>
      <c r="AA895" s="9"/>
      <c r="AB895" s="9"/>
      <c r="AC895" s="9"/>
      <c r="AD895" s="9"/>
    </row>
    <row r="896"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204"/>
      <c r="AA896" s="9"/>
      <c r="AB896" s="9"/>
      <c r="AC896" s="9"/>
      <c r="AD896" s="9"/>
    </row>
    <row r="897"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204"/>
      <c r="AA897" s="9"/>
      <c r="AB897" s="9"/>
      <c r="AC897" s="9"/>
      <c r="AD897" s="9"/>
    </row>
    <row r="898"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204"/>
      <c r="AA898" s="9"/>
      <c r="AB898" s="9"/>
      <c r="AC898" s="9"/>
      <c r="AD898" s="9"/>
    </row>
    <row r="899"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204"/>
      <c r="AA899" s="9"/>
      <c r="AB899" s="9"/>
      <c r="AC899" s="9"/>
      <c r="AD899" s="9"/>
    </row>
    <row r="900"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204"/>
      <c r="AA900" s="9"/>
      <c r="AB900" s="9"/>
      <c r="AC900" s="9"/>
      <c r="AD900" s="9"/>
    </row>
    <row r="901"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204"/>
      <c r="AA901" s="9"/>
      <c r="AB901" s="9"/>
      <c r="AC901" s="9"/>
      <c r="AD901" s="9"/>
    </row>
    <row r="902"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204"/>
      <c r="AA902" s="9"/>
      <c r="AB902" s="9"/>
      <c r="AC902" s="9"/>
      <c r="AD902" s="9"/>
    </row>
    <row r="903"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204"/>
      <c r="AA903" s="9"/>
      <c r="AB903" s="9"/>
      <c r="AC903" s="9"/>
      <c r="AD903" s="9"/>
    </row>
    <row r="904"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204"/>
      <c r="AA904" s="9"/>
      <c r="AB904" s="9"/>
      <c r="AC904" s="9"/>
      <c r="AD904" s="9"/>
    </row>
    <row r="905"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204"/>
      <c r="AA905" s="9"/>
      <c r="AB905" s="9"/>
      <c r="AC905" s="9"/>
      <c r="AD905" s="9"/>
    </row>
    <row r="906"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204"/>
      <c r="AA906" s="9"/>
      <c r="AB906" s="9"/>
      <c r="AC906" s="9"/>
      <c r="AD906" s="9"/>
    </row>
    <row r="907"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204"/>
      <c r="AA907" s="9"/>
      <c r="AB907" s="9"/>
      <c r="AC907" s="9"/>
      <c r="AD907" s="9"/>
    </row>
    <row r="908"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204"/>
      <c r="AA908" s="9"/>
      <c r="AB908" s="9"/>
      <c r="AC908" s="9"/>
      <c r="AD908" s="9"/>
    </row>
    <row r="909"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204"/>
      <c r="AA909" s="9"/>
      <c r="AB909" s="9"/>
      <c r="AC909" s="9"/>
      <c r="AD909" s="9"/>
    </row>
    <row r="910"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204"/>
      <c r="AA910" s="9"/>
      <c r="AB910" s="9"/>
      <c r="AC910" s="9"/>
      <c r="AD910" s="9"/>
    </row>
    <row r="911"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204"/>
      <c r="AA911" s="9"/>
      <c r="AB911" s="9"/>
      <c r="AC911" s="9"/>
      <c r="AD911" s="9"/>
    </row>
    <row r="912"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204"/>
      <c r="AA912" s="9"/>
      <c r="AB912" s="9"/>
      <c r="AC912" s="9"/>
      <c r="AD912" s="9"/>
    </row>
    <row r="913"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204"/>
      <c r="AA913" s="9"/>
      <c r="AB913" s="9"/>
      <c r="AC913" s="9"/>
      <c r="AD913" s="9"/>
    </row>
    <row r="914"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204"/>
      <c r="AA914" s="9"/>
      <c r="AB914" s="9"/>
      <c r="AC914" s="9"/>
      <c r="AD914" s="9"/>
    </row>
    <row r="915"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204"/>
      <c r="AA915" s="9"/>
      <c r="AB915" s="9"/>
      <c r="AC915" s="9"/>
      <c r="AD915" s="9"/>
    </row>
    <row r="916"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204"/>
      <c r="AA916" s="9"/>
      <c r="AB916" s="9"/>
      <c r="AC916" s="9"/>
      <c r="AD916" s="9"/>
    </row>
    <row r="917"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204"/>
      <c r="AA917" s="9"/>
      <c r="AB917" s="9"/>
      <c r="AC917" s="9"/>
      <c r="AD917" s="9"/>
    </row>
    <row r="918"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204"/>
      <c r="AA918" s="9"/>
      <c r="AB918" s="9"/>
      <c r="AC918" s="9"/>
      <c r="AD918" s="9"/>
    </row>
    <row r="919"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204"/>
      <c r="AA919" s="9"/>
      <c r="AB919" s="9"/>
      <c r="AC919" s="9"/>
      <c r="AD919" s="9"/>
    </row>
    <row r="920"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204"/>
      <c r="AA920" s="9"/>
      <c r="AB920" s="9"/>
      <c r="AC920" s="9"/>
      <c r="AD920" s="9"/>
    </row>
    <row r="921"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204"/>
      <c r="AA921" s="9"/>
      <c r="AB921" s="9"/>
      <c r="AC921" s="9"/>
      <c r="AD921" s="9"/>
    </row>
    <row r="922"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204"/>
      <c r="AA922" s="9"/>
      <c r="AB922" s="9"/>
      <c r="AC922" s="9"/>
      <c r="AD922" s="9"/>
    </row>
    <row r="923"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204"/>
      <c r="AA923" s="9"/>
      <c r="AB923" s="9"/>
      <c r="AC923" s="9"/>
      <c r="AD923" s="9"/>
    </row>
    <row r="924"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204"/>
      <c r="AA924" s="9"/>
      <c r="AB924" s="9"/>
      <c r="AC924" s="9"/>
      <c r="AD924" s="9"/>
    </row>
    <row r="925"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204"/>
      <c r="AA925" s="9"/>
      <c r="AB925" s="9"/>
      <c r="AC925" s="9"/>
      <c r="AD925" s="9"/>
    </row>
    <row r="926"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204"/>
      <c r="AA926" s="9"/>
      <c r="AB926" s="9"/>
      <c r="AC926" s="9"/>
      <c r="AD926" s="9"/>
    </row>
    <row r="927"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204"/>
      <c r="AA927" s="9"/>
      <c r="AB927" s="9"/>
      <c r="AC927" s="9"/>
      <c r="AD927" s="9"/>
    </row>
    <row r="928"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204"/>
      <c r="AA928" s="9"/>
      <c r="AB928" s="9"/>
      <c r="AC928" s="9"/>
      <c r="AD928" s="9"/>
    </row>
    <row r="929"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204"/>
      <c r="AA929" s="9"/>
      <c r="AB929" s="9"/>
      <c r="AC929" s="9"/>
      <c r="AD929" s="9"/>
    </row>
    <row r="930"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204"/>
      <c r="AA930" s="9"/>
      <c r="AB930" s="9"/>
      <c r="AC930" s="9"/>
      <c r="AD930" s="9"/>
    </row>
    <row r="931"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204"/>
      <c r="AA931" s="9"/>
      <c r="AB931" s="9"/>
      <c r="AC931" s="9"/>
      <c r="AD931" s="9"/>
    </row>
    <row r="932"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204"/>
      <c r="AA932" s="9"/>
      <c r="AB932" s="9"/>
      <c r="AC932" s="9"/>
      <c r="AD932" s="9"/>
    </row>
    <row r="933"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204"/>
      <c r="AA933" s="9"/>
      <c r="AB933" s="9"/>
      <c r="AC933" s="9"/>
      <c r="AD933" s="9"/>
    </row>
    <row r="934"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204"/>
      <c r="AA934" s="9"/>
      <c r="AB934" s="9"/>
      <c r="AC934" s="9"/>
      <c r="AD934" s="9"/>
    </row>
    <row r="935"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204"/>
      <c r="AA935" s="9"/>
      <c r="AB935" s="9"/>
      <c r="AC935" s="9"/>
      <c r="AD935" s="9"/>
    </row>
    <row r="936"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204"/>
      <c r="AA936" s="9"/>
      <c r="AB936" s="9"/>
      <c r="AC936" s="9"/>
      <c r="AD936" s="9"/>
    </row>
    <row r="937"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204"/>
      <c r="AA937" s="9"/>
      <c r="AB937" s="9"/>
      <c r="AC937" s="9"/>
      <c r="AD937" s="9"/>
    </row>
    <row r="938"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204"/>
      <c r="AA938" s="9"/>
      <c r="AB938" s="9"/>
      <c r="AC938" s="9"/>
      <c r="AD938" s="9"/>
    </row>
    <row r="939"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204"/>
      <c r="AA939" s="9"/>
      <c r="AB939" s="9"/>
      <c r="AC939" s="9"/>
      <c r="AD939" s="9"/>
    </row>
    <row r="940"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204"/>
      <c r="AA940" s="9"/>
      <c r="AB940" s="9"/>
      <c r="AC940" s="9"/>
      <c r="AD940" s="9"/>
    </row>
    <row r="941"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204"/>
      <c r="AA941" s="9"/>
      <c r="AB941" s="9"/>
      <c r="AC941" s="9"/>
      <c r="AD941" s="9"/>
    </row>
    <row r="942"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204"/>
      <c r="AA942" s="9"/>
      <c r="AB942" s="9"/>
      <c r="AC942" s="9"/>
      <c r="AD942" s="9"/>
    </row>
    <row r="943"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204"/>
      <c r="AA943" s="9"/>
      <c r="AB943" s="9"/>
      <c r="AC943" s="9"/>
      <c r="AD943" s="9"/>
    </row>
    <row r="944"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204"/>
      <c r="AA944" s="9"/>
      <c r="AB944" s="9"/>
      <c r="AC944" s="9"/>
      <c r="AD944" s="9"/>
    </row>
    <row r="945"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204"/>
      <c r="AA945" s="9"/>
      <c r="AB945" s="9"/>
      <c r="AC945" s="9"/>
      <c r="AD945" s="9"/>
    </row>
    <row r="946"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204"/>
      <c r="AA946" s="9"/>
      <c r="AB946" s="9"/>
      <c r="AC946" s="9"/>
      <c r="AD946" s="9"/>
    </row>
    <row r="947"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204"/>
      <c r="AA947" s="9"/>
      <c r="AB947" s="9"/>
      <c r="AC947" s="9"/>
      <c r="AD947" s="9"/>
    </row>
    <row r="948"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204"/>
      <c r="AA948" s="9"/>
      <c r="AB948" s="9"/>
      <c r="AC948" s="9"/>
      <c r="AD948" s="9"/>
    </row>
    <row r="949"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204"/>
      <c r="AA949" s="9"/>
      <c r="AB949" s="9"/>
      <c r="AC949" s="9"/>
      <c r="AD949" s="9"/>
    </row>
    <row r="950"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204"/>
      <c r="AA950" s="9"/>
      <c r="AB950" s="9"/>
      <c r="AC950" s="9"/>
      <c r="AD950" s="9"/>
    </row>
    <row r="951"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204"/>
      <c r="AA951" s="9"/>
      <c r="AB951" s="9"/>
      <c r="AC951" s="9"/>
      <c r="AD951" s="9"/>
    </row>
    <row r="952"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204"/>
      <c r="AA952" s="9"/>
      <c r="AB952" s="9"/>
      <c r="AC952" s="9"/>
      <c r="AD952" s="9"/>
    </row>
    <row r="953"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204"/>
      <c r="AA953" s="9"/>
      <c r="AB953" s="9"/>
      <c r="AC953" s="9"/>
      <c r="AD953" s="9"/>
    </row>
    <row r="954"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204"/>
      <c r="AA954" s="9"/>
      <c r="AB954" s="9"/>
      <c r="AC954" s="9"/>
      <c r="AD954" s="9"/>
    </row>
    <row r="955"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204"/>
      <c r="AA955" s="9"/>
      <c r="AB955" s="9"/>
      <c r="AC955" s="9"/>
      <c r="AD955" s="9"/>
    </row>
    <row r="956"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204"/>
      <c r="AA956" s="9"/>
      <c r="AB956" s="9"/>
      <c r="AC956" s="9"/>
      <c r="AD956" s="9"/>
    </row>
    <row r="957"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204"/>
      <c r="AA957" s="9"/>
      <c r="AB957" s="9"/>
      <c r="AC957" s="9"/>
      <c r="AD957" s="9"/>
    </row>
    <row r="958"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204"/>
      <c r="AA958" s="9"/>
      <c r="AB958" s="9"/>
      <c r="AC958" s="9"/>
      <c r="AD958" s="9"/>
    </row>
    <row r="959"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204"/>
      <c r="AA959" s="9"/>
      <c r="AB959" s="9"/>
      <c r="AC959" s="9"/>
      <c r="AD959" s="9"/>
    </row>
    <row r="960"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204"/>
      <c r="AA960" s="9"/>
      <c r="AB960" s="9"/>
      <c r="AC960" s="9"/>
      <c r="AD960" s="9"/>
    </row>
    <row r="961"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204"/>
      <c r="AA961" s="9"/>
      <c r="AB961" s="9"/>
      <c r="AC961" s="9"/>
      <c r="AD961" s="9"/>
    </row>
    <row r="962"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204"/>
      <c r="AA962" s="9"/>
      <c r="AB962" s="9"/>
      <c r="AC962" s="9"/>
      <c r="AD962" s="9"/>
    </row>
    <row r="963"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204"/>
      <c r="AA963" s="9"/>
      <c r="AB963" s="9"/>
      <c r="AC963" s="9"/>
      <c r="AD963" s="9"/>
    </row>
    <row r="964"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204"/>
      <c r="AA964" s="9"/>
      <c r="AB964" s="9"/>
      <c r="AC964" s="9"/>
      <c r="AD964" s="9"/>
    </row>
    <row r="965"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204"/>
      <c r="AA965" s="9"/>
      <c r="AB965" s="9"/>
      <c r="AC965" s="9"/>
      <c r="AD965" s="9"/>
    </row>
    <row r="966"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204"/>
      <c r="AA966" s="9"/>
      <c r="AB966" s="9"/>
      <c r="AC966" s="9"/>
      <c r="AD966" s="9"/>
    </row>
    <row r="967"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204"/>
      <c r="AA967" s="9"/>
      <c r="AB967" s="9"/>
      <c r="AC967" s="9"/>
      <c r="AD967" s="9"/>
    </row>
    <row r="968"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204"/>
      <c r="AA968" s="9"/>
      <c r="AB968" s="9"/>
      <c r="AC968" s="9"/>
      <c r="AD968" s="9"/>
    </row>
    <row r="969"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204"/>
      <c r="AA969" s="9"/>
      <c r="AB969" s="9"/>
      <c r="AC969" s="9"/>
      <c r="AD969" s="9"/>
    </row>
    <row r="970"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204"/>
      <c r="AA970" s="9"/>
      <c r="AB970" s="9"/>
      <c r="AC970" s="9"/>
      <c r="AD970" s="9"/>
    </row>
    <row r="971"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204"/>
      <c r="AA971" s="9"/>
      <c r="AB971" s="9"/>
      <c r="AC971" s="9"/>
      <c r="AD971" s="9"/>
    </row>
    <row r="972"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204"/>
      <c r="AA972" s="9"/>
      <c r="AB972" s="9"/>
      <c r="AC972" s="9"/>
      <c r="AD972" s="9"/>
    </row>
    <row r="973"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204"/>
      <c r="AA973" s="9"/>
      <c r="AB973" s="9"/>
      <c r="AC973" s="9"/>
      <c r="AD973" s="9"/>
    </row>
    <row r="974"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204"/>
      <c r="AA974" s="9"/>
      <c r="AB974" s="9"/>
      <c r="AC974" s="9"/>
      <c r="AD974" s="9"/>
    </row>
    <row r="975"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204"/>
      <c r="AA975" s="9"/>
      <c r="AB975" s="9"/>
      <c r="AC975" s="9"/>
      <c r="AD975" s="9"/>
    </row>
    <row r="976"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204"/>
      <c r="AA976" s="9"/>
      <c r="AB976" s="9"/>
      <c r="AC976" s="9"/>
      <c r="AD976" s="9"/>
    </row>
    <row r="977"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204"/>
      <c r="AA977" s="9"/>
      <c r="AB977" s="9"/>
      <c r="AC977" s="9"/>
      <c r="AD977" s="9"/>
    </row>
    <row r="978"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204"/>
      <c r="AA978" s="9"/>
      <c r="AB978" s="9"/>
      <c r="AC978" s="9"/>
      <c r="AD978" s="9"/>
    </row>
    <row r="979"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204"/>
      <c r="AA979" s="9"/>
      <c r="AB979" s="9"/>
      <c r="AC979" s="9"/>
      <c r="AD979" s="9"/>
    </row>
    <row r="980"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204"/>
      <c r="AA980" s="9"/>
      <c r="AB980" s="9"/>
      <c r="AC980" s="9"/>
      <c r="AD980" s="9"/>
    </row>
    <row r="981"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204"/>
      <c r="AA981" s="9"/>
      <c r="AB981" s="9"/>
      <c r="AC981" s="9"/>
      <c r="AD981" s="9"/>
    </row>
    <row r="982"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204"/>
      <c r="AA982" s="9"/>
      <c r="AB982" s="9"/>
      <c r="AC982" s="9"/>
      <c r="AD982" s="9"/>
    </row>
    <row r="983"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204"/>
      <c r="AA983" s="9"/>
      <c r="AB983" s="9"/>
      <c r="AC983" s="9"/>
      <c r="AD983" s="9"/>
    </row>
    <row r="984"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204"/>
      <c r="AA984" s="9"/>
      <c r="AB984" s="9"/>
      <c r="AC984" s="9"/>
      <c r="AD984" s="9"/>
    </row>
    <row r="985"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204"/>
      <c r="AA985" s="9"/>
      <c r="AB985" s="9"/>
      <c r="AC985" s="9"/>
      <c r="AD985" s="9"/>
    </row>
    <row r="986" ht="15.7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204"/>
      <c r="AA986" s="9"/>
      <c r="AB986" s="9"/>
      <c r="AC986" s="9"/>
      <c r="AD986" s="9"/>
    </row>
    <row r="987" ht="15.7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204"/>
      <c r="AA987" s="9"/>
      <c r="AB987" s="9"/>
      <c r="AC987" s="9"/>
      <c r="AD987" s="9"/>
    </row>
    <row r="988" ht="15.7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204"/>
      <c r="AA988" s="9"/>
      <c r="AB988" s="9"/>
      <c r="AC988" s="9"/>
      <c r="AD988" s="9"/>
    </row>
    <row r="989" ht="15.7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204"/>
      <c r="AA989" s="9"/>
      <c r="AB989" s="9"/>
      <c r="AC989" s="9"/>
      <c r="AD989" s="9"/>
    </row>
    <row r="990" ht="15.7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204"/>
      <c r="AA990" s="9"/>
      <c r="AB990" s="9"/>
      <c r="AC990" s="9"/>
      <c r="AD990" s="9"/>
    </row>
    <row r="991" ht="15.7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204"/>
      <c r="AA991" s="9"/>
      <c r="AB991" s="9"/>
      <c r="AC991" s="9"/>
      <c r="AD991" s="9"/>
    </row>
    <row r="992" ht="15.7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204"/>
      <c r="AA992" s="9"/>
      <c r="AB992" s="9"/>
      <c r="AC992" s="9"/>
      <c r="AD992" s="9"/>
    </row>
    <row r="993" ht="15.7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204"/>
      <c r="AA993" s="9"/>
      <c r="AB993" s="9"/>
      <c r="AC993" s="9"/>
      <c r="AD993" s="9"/>
    </row>
    <row r="994" ht="15.7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204"/>
      <c r="AA994" s="9"/>
      <c r="AB994" s="9"/>
      <c r="AC994" s="9"/>
      <c r="AD994" s="9"/>
    </row>
    <row r="995" ht="15.7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204"/>
      <c r="AA995" s="9"/>
      <c r="AB995" s="9"/>
      <c r="AC995" s="9"/>
      <c r="AD995" s="9"/>
    </row>
    <row r="996" ht="15.7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204"/>
      <c r="AA996" s="9"/>
      <c r="AB996" s="9"/>
      <c r="AC996" s="9"/>
      <c r="AD996" s="9"/>
    </row>
    <row r="997" ht="15.7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204"/>
      <c r="AA997" s="9"/>
      <c r="AB997" s="9"/>
      <c r="AC997" s="9"/>
      <c r="AD997" s="9"/>
    </row>
    <row r="998" ht="15.75"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204"/>
      <c r="AA998" s="9"/>
      <c r="AB998" s="9"/>
      <c r="AC998" s="9"/>
      <c r="AD998" s="9"/>
    </row>
    <row r="999" ht="15.75"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204"/>
      <c r="AA999" s="9"/>
      <c r="AB999" s="9"/>
      <c r="AC999" s="9"/>
      <c r="AD999" s="9"/>
    </row>
    <row r="1000" ht="15.75"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204"/>
      <c r="AA1000" s="9"/>
      <c r="AB1000" s="9"/>
      <c r="AC1000" s="9"/>
      <c r="AD1000" s="9"/>
    </row>
    <row r="1001" ht="15.75" customHeight="1">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204"/>
      <c r="AA1001" s="9"/>
      <c r="AB1001" s="9"/>
      <c r="AC1001" s="9"/>
      <c r="AD1001" s="9"/>
    </row>
    <row r="1002" ht="15.75" customHeight="1">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204"/>
      <c r="AA1002" s="9"/>
      <c r="AB1002" s="9"/>
      <c r="AC1002" s="9"/>
      <c r="AD1002" s="9"/>
    </row>
    <row r="1003" ht="15.75" customHeight="1">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204"/>
      <c r="AA1003" s="9"/>
      <c r="AB1003" s="9"/>
      <c r="AC1003" s="9"/>
      <c r="AD1003" s="9"/>
    </row>
    <row r="1004" ht="15.75" customHeight="1">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204"/>
      <c r="AA1004" s="9"/>
      <c r="AB1004" s="9"/>
      <c r="AC1004" s="9"/>
      <c r="AD1004" s="9"/>
    </row>
    <row r="1005" ht="15.75" customHeight="1">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204"/>
      <c r="AA1005" s="9"/>
      <c r="AB1005" s="9"/>
      <c r="AC1005" s="9"/>
      <c r="AD1005" s="9"/>
    </row>
    <row r="1006" ht="15.75" customHeight="1">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204"/>
      <c r="AA1006" s="9"/>
      <c r="AB1006" s="9"/>
      <c r="AC1006" s="9"/>
      <c r="AD1006" s="9"/>
    </row>
    <row r="1007" ht="15.75" customHeight="1">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204"/>
      <c r="AA1007" s="9"/>
      <c r="AB1007" s="9"/>
      <c r="AC1007" s="9"/>
      <c r="AD1007" s="9"/>
    </row>
    <row r="1008" ht="15.75" customHeight="1">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204"/>
      <c r="AA1008" s="9"/>
      <c r="AB1008" s="9"/>
      <c r="AC1008" s="9"/>
      <c r="AD1008" s="9"/>
    </row>
    <row r="1009" ht="15.75" customHeight="1">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204"/>
      <c r="AA1009" s="9"/>
      <c r="AB1009" s="9"/>
      <c r="AC1009" s="9"/>
      <c r="AD1009" s="9"/>
    </row>
    <row r="1010" ht="15.75" customHeight="1">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204"/>
      <c r="AA1010" s="9"/>
      <c r="AB1010" s="9"/>
      <c r="AC1010" s="9"/>
      <c r="AD1010" s="9"/>
    </row>
    <row r="1011" ht="15.75" customHeight="1">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204"/>
      <c r="AA1011" s="9"/>
      <c r="AB1011" s="9"/>
      <c r="AC1011" s="9"/>
      <c r="AD1011" s="9"/>
    </row>
    <row r="1012" ht="15.75" customHeight="1">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204"/>
      <c r="AA1012" s="9"/>
      <c r="AB1012" s="9"/>
      <c r="AC1012" s="9"/>
      <c r="AD1012" s="9"/>
    </row>
    <row r="1013" ht="15.75" customHeight="1">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204"/>
      <c r="AA1013" s="9"/>
      <c r="AB1013" s="9"/>
      <c r="AC1013" s="9"/>
      <c r="AD1013" s="9"/>
    </row>
    <row r="1014" ht="15.75" customHeight="1">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204"/>
      <c r="AA1014" s="9"/>
      <c r="AB1014" s="9"/>
      <c r="AC1014" s="9"/>
      <c r="AD1014" s="9"/>
    </row>
    <row r="1015" ht="15.75" customHeight="1">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204"/>
      <c r="AA1015" s="9"/>
      <c r="AB1015" s="9"/>
      <c r="AC1015" s="9"/>
      <c r="AD1015" s="9"/>
    </row>
    <row r="1016" ht="15.75" customHeight="1">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204"/>
      <c r="AA1016" s="9"/>
      <c r="AB1016" s="9"/>
      <c r="AC1016" s="9"/>
      <c r="AD1016" s="9"/>
    </row>
    <row r="1017" ht="15.75" customHeight="1">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204"/>
      <c r="AA1017" s="9"/>
      <c r="AB1017" s="9"/>
      <c r="AC1017" s="9"/>
      <c r="AD1017" s="9"/>
    </row>
    <row r="1018" ht="15.75" customHeight="1">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204"/>
      <c r="AA1018" s="9"/>
      <c r="AB1018" s="9"/>
      <c r="AC1018" s="9"/>
      <c r="AD1018" s="9"/>
    </row>
    <row r="1019" ht="15.75" customHeight="1">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204"/>
      <c r="AA1019" s="9"/>
      <c r="AB1019" s="9"/>
      <c r="AC1019" s="9"/>
      <c r="AD1019" s="9"/>
    </row>
    <row r="1020" ht="15.75" customHeight="1">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204"/>
      <c r="AA1020" s="9"/>
      <c r="AB1020" s="9"/>
      <c r="AC1020" s="9"/>
      <c r="AD1020" s="9"/>
    </row>
    <row r="1021" ht="15.75" customHeight="1">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204"/>
      <c r="AA1021" s="9"/>
      <c r="AB1021" s="9"/>
      <c r="AC1021" s="9"/>
      <c r="AD1021" s="9"/>
    </row>
    <row r="1022" ht="15.75" customHeight="1">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204"/>
      <c r="AA1022" s="9"/>
      <c r="AB1022" s="9"/>
      <c r="AC1022" s="9"/>
      <c r="AD1022" s="9"/>
    </row>
    <row r="1023" ht="15.75" customHeight="1">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204"/>
      <c r="AA1023" s="9"/>
      <c r="AB1023" s="9"/>
      <c r="AC1023" s="9"/>
      <c r="AD1023" s="9"/>
    </row>
    <row r="1024" ht="15.75" customHeight="1">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204"/>
      <c r="AA1024" s="9"/>
      <c r="AB1024" s="9"/>
      <c r="AC1024" s="9"/>
      <c r="AD1024" s="9"/>
    </row>
    <row r="1025" ht="15.75" customHeight="1">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204"/>
      <c r="AA1025" s="9"/>
      <c r="AB1025" s="9"/>
      <c r="AC1025" s="9"/>
      <c r="AD1025" s="9"/>
    </row>
    <row r="1026" ht="15.75" customHeight="1">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204"/>
      <c r="AA1026" s="9"/>
      <c r="AB1026" s="9"/>
      <c r="AC1026" s="9"/>
      <c r="AD1026" s="9"/>
    </row>
    <row r="1027" ht="15.75" customHeight="1">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204"/>
      <c r="AA1027" s="9"/>
      <c r="AB1027" s="9"/>
      <c r="AC1027" s="9"/>
      <c r="AD1027" s="9"/>
    </row>
    <row r="1028" ht="15.75" customHeight="1">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204"/>
      <c r="AA1028" s="9"/>
      <c r="AB1028" s="9"/>
      <c r="AC1028" s="9"/>
      <c r="AD1028" s="9"/>
    </row>
    <row r="1029" ht="15.75" customHeight="1">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204"/>
      <c r="AA1029" s="9"/>
      <c r="AB1029" s="9"/>
      <c r="AC1029" s="9"/>
      <c r="AD1029" s="9"/>
    </row>
    <row r="1030" ht="15.75" customHeight="1">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204"/>
      <c r="AA1030" s="9"/>
      <c r="AB1030" s="9"/>
      <c r="AC1030" s="9"/>
      <c r="AD1030" s="9"/>
    </row>
    <row r="1031" ht="15.75" customHeight="1">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204"/>
      <c r="AA1031" s="9"/>
      <c r="AB1031" s="9"/>
      <c r="AC1031" s="9"/>
      <c r="AD1031" s="9"/>
    </row>
    <row r="1032" ht="15.75" customHeight="1">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204"/>
      <c r="AA1032" s="9"/>
      <c r="AB1032" s="9"/>
      <c r="AC1032" s="9"/>
      <c r="AD1032" s="9"/>
    </row>
    <row r="1033" ht="15.75" customHeight="1">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204"/>
      <c r="AA1033" s="9"/>
      <c r="AB1033" s="9"/>
      <c r="AC1033" s="9"/>
      <c r="AD1033" s="9"/>
    </row>
  </sheetData>
  <mergeCells count="531">
    <mergeCell ref="L7:L8"/>
    <mergeCell ref="M7:M8"/>
    <mergeCell ref="N7:N8"/>
    <mergeCell ref="O7:O8"/>
    <mergeCell ref="P7:P8"/>
    <mergeCell ref="Q7:Q8"/>
    <mergeCell ref="R7:R8"/>
    <mergeCell ref="A7:A8"/>
    <mergeCell ref="B7:B8"/>
    <mergeCell ref="C7:C8"/>
    <mergeCell ref="D7:D8"/>
    <mergeCell ref="E7:E8"/>
    <mergeCell ref="F7:F8"/>
    <mergeCell ref="K7:K8"/>
    <mergeCell ref="S10:S11"/>
    <mergeCell ref="T10:T11"/>
    <mergeCell ref="L10:L11"/>
    <mergeCell ref="M10:M11"/>
    <mergeCell ref="N10:N11"/>
    <mergeCell ref="O10:O11"/>
    <mergeCell ref="P10:P11"/>
    <mergeCell ref="Q10:Q11"/>
    <mergeCell ref="R10:R11"/>
    <mergeCell ref="G2:J2"/>
    <mergeCell ref="K2:P2"/>
    <mergeCell ref="Q2:S2"/>
    <mergeCell ref="T2:U2"/>
    <mergeCell ref="V2:V3"/>
    <mergeCell ref="W2:W3"/>
    <mergeCell ref="O3:P3"/>
    <mergeCell ref="A1:G1"/>
    <mergeCell ref="A2:A3"/>
    <mergeCell ref="B2:B3"/>
    <mergeCell ref="C2:C3"/>
    <mergeCell ref="D2:D3"/>
    <mergeCell ref="E2:E3"/>
    <mergeCell ref="F2:F3"/>
    <mergeCell ref="S4:S5"/>
    <mergeCell ref="T4:T5"/>
    <mergeCell ref="U4:U5"/>
    <mergeCell ref="V4:V5"/>
    <mergeCell ref="W4:W5"/>
    <mergeCell ref="L4:L5"/>
    <mergeCell ref="M4:M5"/>
    <mergeCell ref="N4:N5"/>
    <mergeCell ref="O4:O5"/>
    <mergeCell ref="P4:P5"/>
    <mergeCell ref="Q4:Q5"/>
    <mergeCell ref="R4:R5"/>
    <mergeCell ref="A4:A5"/>
    <mergeCell ref="B4:B5"/>
    <mergeCell ref="C4:C5"/>
    <mergeCell ref="D4:D5"/>
    <mergeCell ref="E4:E5"/>
    <mergeCell ref="F4:F5"/>
    <mergeCell ref="K4:K5"/>
    <mergeCell ref="S7:S8"/>
    <mergeCell ref="T7:T8"/>
    <mergeCell ref="U7:U8"/>
    <mergeCell ref="V7:V8"/>
    <mergeCell ref="W7:W8"/>
    <mergeCell ref="U10:U11"/>
    <mergeCell ref="V10:V11"/>
    <mergeCell ref="W10:W11"/>
    <mergeCell ref="A10:A11"/>
    <mergeCell ref="B10:B11"/>
    <mergeCell ref="C10:C11"/>
    <mergeCell ref="D10:D11"/>
    <mergeCell ref="E10:E11"/>
    <mergeCell ref="F10:F11"/>
    <mergeCell ref="K10:K11"/>
    <mergeCell ref="S22:S23"/>
    <mergeCell ref="T22:T23"/>
    <mergeCell ref="L22:L23"/>
    <mergeCell ref="M22:M23"/>
    <mergeCell ref="N22:N23"/>
    <mergeCell ref="O22:O23"/>
    <mergeCell ref="P22:P23"/>
    <mergeCell ref="Q22:Q23"/>
    <mergeCell ref="R22:R23"/>
    <mergeCell ref="S12:S13"/>
    <mergeCell ref="T12:T13"/>
    <mergeCell ref="U12:U13"/>
    <mergeCell ref="V12:V13"/>
    <mergeCell ref="W12:W13"/>
    <mergeCell ref="L12:L13"/>
    <mergeCell ref="M12:M13"/>
    <mergeCell ref="N12:N13"/>
    <mergeCell ref="O12:O13"/>
    <mergeCell ref="P12:P13"/>
    <mergeCell ref="Q12:Q13"/>
    <mergeCell ref="R12:R13"/>
    <mergeCell ref="A12:A13"/>
    <mergeCell ref="B12:B13"/>
    <mergeCell ref="C12:C13"/>
    <mergeCell ref="D12:D13"/>
    <mergeCell ref="E12:E13"/>
    <mergeCell ref="F12:F13"/>
    <mergeCell ref="K12:K13"/>
    <mergeCell ref="S14:S20"/>
    <mergeCell ref="T14:T20"/>
    <mergeCell ref="U14:U20"/>
    <mergeCell ref="V14:V20"/>
    <mergeCell ref="W14:W20"/>
    <mergeCell ref="U22:U23"/>
    <mergeCell ref="V22:V23"/>
    <mergeCell ref="W22:W23"/>
    <mergeCell ref="L14:L20"/>
    <mergeCell ref="M14:M20"/>
    <mergeCell ref="N14:N20"/>
    <mergeCell ref="O14:O20"/>
    <mergeCell ref="P14:P20"/>
    <mergeCell ref="Q14:Q20"/>
    <mergeCell ref="R14:R20"/>
    <mergeCell ref="A14:A20"/>
    <mergeCell ref="B14:B20"/>
    <mergeCell ref="C14:C20"/>
    <mergeCell ref="D14:D20"/>
    <mergeCell ref="E14:E20"/>
    <mergeCell ref="F14:F20"/>
    <mergeCell ref="K14:K20"/>
    <mergeCell ref="A22:A23"/>
    <mergeCell ref="B22:B23"/>
    <mergeCell ref="C22:C23"/>
    <mergeCell ref="D22:D23"/>
    <mergeCell ref="E22:E23"/>
    <mergeCell ref="F22:F23"/>
    <mergeCell ref="K22:K23"/>
    <mergeCell ref="S32:S34"/>
    <mergeCell ref="T32:T34"/>
    <mergeCell ref="L32:L34"/>
    <mergeCell ref="M32:M34"/>
    <mergeCell ref="N32:N34"/>
    <mergeCell ref="O32:O34"/>
    <mergeCell ref="P32:P34"/>
    <mergeCell ref="Q32:Q34"/>
    <mergeCell ref="R32:R34"/>
    <mergeCell ref="S24:S25"/>
    <mergeCell ref="T24:T25"/>
    <mergeCell ref="U24:U25"/>
    <mergeCell ref="W24:W25"/>
    <mergeCell ref="L24:L25"/>
    <mergeCell ref="M24:M25"/>
    <mergeCell ref="N24:N25"/>
    <mergeCell ref="O24:O25"/>
    <mergeCell ref="P24:P25"/>
    <mergeCell ref="Q24:Q25"/>
    <mergeCell ref="R24:R25"/>
    <mergeCell ref="A24:A25"/>
    <mergeCell ref="B24:B25"/>
    <mergeCell ref="C24:C25"/>
    <mergeCell ref="D24:D25"/>
    <mergeCell ref="E24:E25"/>
    <mergeCell ref="F24:F25"/>
    <mergeCell ref="K24:K25"/>
    <mergeCell ref="S30:S31"/>
    <mergeCell ref="T30:T31"/>
    <mergeCell ref="U30:U31"/>
    <mergeCell ref="V30:V31"/>
    <mergeCell ref="W30:W31"/>
    <mergeCell ref="U32:U34"/>
    <mergeCell ref="V32:V34"/>
    <mergeCell ref="W32:W34"/>
    <mergeCell ref="L30:L31"/>
    <mergeCell ref="M30:M31"/>
    <mergeCell ref="N30:N31"/>
    <mergeCell ref="O30:O31"/>
    <mergeCell ref="P30:P31"/>
    <mergeCell ref="Q30:Q31"/>
    <mergeCell ref="R30:R31"/>
    <mergeCell ref="A30:A31"/>
    <mergeCell ref="B30:B31"/>
    <mergeCell ref="C30:C31"/>
    <mergeCell ref="D30:D31"/>
    <mergeCell ref="E30:E31"/>
    <mergeCell ref="F30:F31"/>
    <mergeCell ref="K30:K31"/>
    <mergeCell ref="A32:A34"/>
    <mergeCell ref="B32:B34"/>
    <mergeCell ref="C32:C34"/>
    <mergeCell ref="D32:D34"/>
    <mergeCell ref="E32:E34"/>
    <mergeCell ref="F32:F34"/>
    <mergeCell ref="K32:K34"/>
    <mergeCell ref="S73:S75"/>
    <mergeCell ref="T73:T75"/>
    <mergeCell ref="L73:L75"/>
    <mergeCell ref="M73:M75"/>
    <mergeCell ref="N73:N75"/>
    <mergeCell ref="O73:O75"/>
    <mergeCell ref="P73:P75"/>
    <mergeCell ref="Q73:Q75"/>
    <mergeCell ref="R73:R75"/>
    <mergeCell ref="S66:S67"/>
    <mergeCell ref="T66:T67"/>
    <mergeCell ref="U66:U67"/>
    <mergeCell ref="V66:V67"/>
    <mergeCell ref="W66:W67"/>
    <mergeCell ref="L66:L67"/>
    <mergeCell ref="M66:M67"/>
    <mergeCell ref="N66:N67"/>
    <mergeCell ref="O66:O67"/>
    <mergeCell ref="P66:P67"/>
    <mergeCell ref="Q66:Q67"/>
    <mergeCell ref="R66:R67"/>
    <mergeCell ref="A66:A67"/>
    <mergeCell ref="B66:B67"/>
    <mergeCell ref="C66:C67"/>
    <mergeCell ref="D66:D67"/>
    <mergeCell ref="E66:E67"/>
    <mergeCell ref="F66:F67"/>
    <mergeCell ref="K66:K67"/>
    <mergeCell ref="S70:S72"/>
    <mergeCell ref="T70:T72"/>
    <mergeCell ref="U70:U72"/>
    <mergeCell ref="V70:V72"/>
    <mergeCell ref="W70:W72"/>
    <mergeCell ref="U73:U75"/>
    <mergeCell ref="V73:V75"/>
    <mergeCell ref="W73:W75"/>
    <mergeCell ref="L70:L72"/>
    <mergeCell ref="M70:M72"/>
    <mergeCell ref="N70:N72"/>
    <mergeCell ref="O70:O72"/>
    <mergeCell ref="P70:P72"/>
    <mergeCell ref="Q70:Q72"/>
    <mergeCell ref="R70:R72"/>
    <mergeCell ref="A70:A72"/>
    <mergeCell ref="B70:B72"/>
    <mergeCell ref="C70:C72"/>
    <mergeCell ref="D70:D72"/>
    <mergeCell ref="E70:E72"/>
    <mergeCell ref="F70:F72"/>
    <mergeCell ref="K70:K72"/>
    <mergeCell ref="A73:A75"/>
    <mergeCell ref="B73:B75"/>
    <mergeCell ref="C73:C75"/>
    <mergeCell ref="D73:D75"/>
    <mergeCell ref="E73:E75"/>
    <mergeCell ref="F73:F75"/>
    <mergeCell ref="K73:K75"/>
    <mergeCell ref="S83:S86"/>
    <mergeCell ref="T83:T86"/>
    <mergeCell ref="L83:L86"/>
    <mergeCell ref="M83:M86"/>
    <mergeCell ref="N83:N86"/>
    <mergeCell ref="O83:O86"/>
    <mergeCell ref="P83:P86"/>
    <mergeCell ref="Q83:Q86"/>
    <mergeCell ref="R83:R86"/>
    <mergeCell ref="S76:S79"/>
    <mergeCell ref="T76:T79"/>
    <mergeCell ref="U76:U79"/>
    <mergeCell ref="V76:V79"/>
    <mergeCell ref="W76:W79"/>
    <mergeCell ref="L76:L79"/>
    <mergeCell ref="M76:M79"/>
    <mergeCell ref="N76:N79"/>
    <mergeCell ref="O76:O79"/>
    <mergeCell ref="P76:P79"/>
    <mergeCell ref="Q76:Q79"/>
    <mergeCell ref="R76:R79"/>
    <mergeCell ref="A76:A79"/>
    <mergeCell ref="B76:B79"/>
    <mergeCell ref="C76:C79"/>
    <mergeCell ref="D76:D79"/>
    <mergeCell ref="E76:E79"/>
    <mergeCell ref="F76:F79"/>
    <mergeCell ref="K76:K79"/>
    <mergeCell ref="S80:S82"/>
    <mergeCell ref="T80:T82"/>
    <mergeCell ref="U80:U82"/>
    <mergeCell ref="V80:V82"/>
    <mergeCell ref="W80:W82"/>
    <mergeCell ref="U83:U86"/>
    <mergeCell ref="V83:V86"/>
    <mergeCell ref="W83:W86"/>
    <mergeCell ref="L80:L82"/>
    <mergeCell ref="M80:M82"/>
    <mergeCell ref="N80:N82"/>
    <mergeCell ref="O80:O82"/>
    <mergeCell ref="P80:P82"/>
    <mergeCell ref="Q80:Q82"/>
    <mergeCell ref="R80:R82"/>
    <mergeCell ref="A80:A82"/>
    <mergeCell ref="B80:B82"/>
    <mergeCell ref="C80:C82"/>
    <mergeCell ref="D80:D82"/>
    <mergeCell ref="E80:E82"/>
    <mergeCell ref="F80:F82"/>
    <mergeCell ref="K80:K82"/>
    <mergeCell ref="A83:A86"/>
    <mergeCell ref="B83:B86"/>
    <mergeCell ref="C83:C86"/>
    <mergeCell ref="D83:D86"/>
    <mergeCell ref="E83:E86"/>
    <mergeCell ref="F83:F86"/>
    <mergeCell ref="K83:K86"/>
    <mergeCell ref="M154:M155"/>
    <mergeCell ref="N154:O155"/>
    <mergeCell ref="N156:O156"/>
    <mergeCell ref="B154:B155"/>
    <mergeCell ref="C154:C155"/>
    <mergeCell ref="E154:E155"/>
    <mergeCell ref="F154:F155"/>
    <mergeCell ref="G154:G155"/>
    <mergeCell ref="L154:L155"/>
    <mergeCell ref="B156:J156"/>
    <mergeCell ref="G163:G164"/>
    <mergeCell ref="H163:H164"/>
    <mergeCell ref="D154:D155"/>
    <mergeCell ref="B160:D160"/>
    <mergeCell ref="B163:B164"/>
    <mergeCell ref="C163:C164"/>
    <mergeCell ref="D163:D164"/>
    <mergeCell ref="E163:E164"/>
    <mergeCell ref="F163:F164"/>
    <mergeCell ref="S88:S91"/>
    <mergeCell ref="T88:T91"/>
    <mergeCell ref="U88:U91"/>
    <mergeCell ref="V88:V91"/>
    <mergeCell ref="W88:W91"/>
    <mergeCell ref="L88:L91"/>
    <mergeCell ref="M88:M91"/>
    <mergeCell ref="N88:N91"/>
    <mergeCell ref="O88:O91"/>
    <mergeCell ref="P88:P91"/>
    <mergeCell ref="Q88:Q91"/>
    <mergeCell ref="R88:R91"/>
    <mergeCell ref="M99:S99"/>
    <mergeCell ref="A88:A91"/>
    <mergeCell ref="B88:B91"/>
    <mergeCell ref="C88:C91"/>
    <mergeCell ref="D88:D91"/>
    <mergeCell ref="E88:E91"/>
    <mergeCell ref="F88:F91"/>
    <mergeCell ref="K88:K91"/>
    <mergeCell ref="B92:I92"/>
    <mergeCell ref="B93:I93"/>
    <mergeCell ref="B94:I94"/>
    <mergeCell ref="B95:I95"/>
    <mergeCell ref="B96:I96"/>
    <mergeCell ref="B99:D99"/>
    <mergeCell ref="E99:J99"/>
    <mergeCell ref="B101:B116"/>
    <mergeCell ref="B117:B139"/>
    <mergeCell ref="B140:H140"/>
    <mergeCell ref="B141:H141"/>
    <mergeCell ref="K141:M141"/>
    <mergeCell ref="B142:H142"/>
    <mergeCell ref="B143:D143"/>
    <mergeCell ref="N152:O152"/>
    <mergeCell ref="N153:O153"/>
    <mergeCell ref="E143:H143"/>
    <mergeCell ref="B144:H144"/>
    <mergeCell ref="B145:H145"/>
    <mergeCell ref="B146:H146"/>
    <mergeCell ref="B147:H147"/>
    <mergeCell ref="B148:H148"/>
    <mergeCell ref="A150:D150"/>
    <mergeCell ref="S43:S44"/>
    <mergeCell ref="T43:T44"/>
    <mergeCell ref="L43:L44"/>
    <mergeCell ref="M43:M44"/>
    <mergeCell ref="N43:N44"/>
    <mergeCell ref="O43:O44"/>
    <mergeCell ref="P43:P44"/>
    <mergeCell ref="Q43:Q44"/>
    <mergeCell ref="R43:R44"/>
    <mergeCell ref="S36:S37"/>
    <mergeCell ref="T36:T37"/>
    <mergeCell ref="U36:U37"/>
    <mergeCell ref="V36:V37"/>
    <mergeCell ref="W36:W37"/>
    <mergeCell ref="L36:L37"/>
    <mergeCell ref="M36:M37"/>
    <mergeCell ref="N36:N37"/>
    <mergeCell ref="O36:O37"/>
    <mergeCell ref="P36:P37"/>
    <mergeCell ref="Q36:Q37"/>
    <mergeCell ref="R36:R37"/>
    <mergeCell ref="A36:A37"/>
    <mergeCell ref="B36:B37"/>
    <mergeCell ref="C36:C37"/>
    <mergeCell ref="D36:D37"/>
    <mergeCell ref="E36:E37"/>
    <mergeCell ref="F36:F37"/>
    <mergeCell ref="K36:K37"/>
    <mergeCell ref="S40:S42"/>
    <mergeCell ref="T40:T42"/>
    <mergeCell ref="U40:U42"/>
    <mergeCell ref="V40:V42"/>
    <mergeCell ref="W40:W42"/>
    <mergeCell ref="U43:U44"/>
    <mergeCell ref="V43:V44"/>
    <mergeCell ref="W43:W44"/>
    <mergeCell ref="L40:L42"/>
    <mergeCell ref="M40:M42"/>
    <mergeCell ref="N40:N42"/>
    <mergeCell ref="O40:O42"/>
    <mergeCell ref="P40:P42"/>
    <mergeCell ref="Q40:Q42"/>
    <mergeCell ref="R40:R42"/>
    <mergeCell ref="A40:A42"/>
    <mergeCell ref="B40:B42"/>
    <mergeCell ref="C40:C42"/>
    <mergeCell ref="D40:D42"/>
    <mergeCell ref="E40:E42"/>
    <mergeCell ref="F40:F42"/>
    <mergeCell ref="K40:K42"/>
    <mergeCell ref="A43:A44"/>
    <mergeCell ref="B43:B44"/>
    <mergeCell ref="C43:C44"/>
    <mergeCell ref="D43:D44"/>
    <mergeCell ref="E43:E44"/>
    <mergeCell ref="F43:F44"/>
    <mergeCell ref="K43:K44"/>
    <mergeCell ref="S52:S53"/>
    <mergeCell ref="T52:T53"/>
    <mergeCell ref="L52:L53"/>
    <mergeCell ref="M52:M53"/>
    <mergeCell ref="N52:N53"/>
    <mergeCell ref="O52:O53"/>
    <mergeCell ref="P52:P53"/>
    <mergeCell ref="Q52:Q53"/>
    <mergeCell ref="R52:R53"/>
    <mergeCell ref="U52:U53"/>
    <mergeCell ref="V52:V53"/>
    <mergeCell ref="W52:W53"/>
    <mergeCell ref="A52:A53"/>
    <mergeCell ref="B52:B53"/>
    <mergeCell ref="C52:C53"/>
    <mergeCell ref="D52:D53"/>
    <mergeCell ref="E52:E53"/>
    <mergeCell ref="F52:F53"/>
    <mergeCell ref="K52:K53"/>
    <mergeCell ref="S54:S56"/>
    <mergeCell ref="T54:T56"/>
    <mergeCell ref="L54:L56"/>
    <mergeCell ref="M54:M56"/>
    <mergeCell ref="N54:N56"/>
    <mergeCell ref="O54:O56"/>
    <mergeCell ref="P54:P56"/>
    <mergeCell ref="Q54:Q56"/>
    <mergeCell ref="R54:R56"/>
    <mergeCell ref="S46:S47"/>
    <mergeCell ref="T46:T47"/>
    <mergeCell ref="U46:U47"/>
    <mergeCell ref="V46:V47"/>
    <mergeCell ref="W46:W47"/>
    <mergeCell ref="L46:L47"/>
    <mergeCell ref="M46:M47"/>
    <mergeCell ref="N46:N47"/>
    <mergeCell ref="O46:O47"/>
    <mergeCell ref="P46:P47"/>
    <mergeCell ref="Q46:Q47"/>
    <mergeCell ref="R46:R47"/>
    <mergeCell ref="A46:A47"/>
    <mergeCell ref="B46:B47"/>
    <mergeCell ref="C46:C47"/>
    <mergeCell ref="D46:D47"/>
    <mergeCell ref="E46:E47"/>
    <mergeCell ref="F46:F47"/>
    <mergeCell ref="K46:K47"/>
    <mergeCell ref="S48:S49"/>
    <mergeCell ref="T48:T49"/>
    <mergeCell ref="U48:U49"/>
    <mergeCell ref="V48:V49"/>
    <mergeCell ref="W48:W49"/>
    <mergeCell ref="L48:L49"/>
    <mergeCell ref="M48:M49"/>
    <mergeCell ref="N48:N49"/>
    <mergeCell ref="O48:O49"/>
    <mergeCell ref="P48:P49"/>
    <mergeCell ref="Q48:Q49"/>
    <mergeCell ref="R48:R49"/>
    <mergeCell ref="A48:A49"/>
    <mergeCell ref="B48:B49"/>
    <mergeCell ref="C48:C49"/>
    <mergeCell ref="D48:D49"/>
    <mergeCell ref="E48:E49"/>
    <mergeCell ref="F48:F49"/>
    <mergeCell ref="K48:K49"/>
    <mergeCell ref="U54:U56"/>
    <mergeCell ref="V54:V56"/>
    <mergeCell ref="W54:W56"/>
    <mergeCell ref="A54:A56"/>
    <mergeCell ref="B54:B56"/>
    <mergeCell ref="C54:C56"/>
    <mergeCell ref="D54:D56"/>
    <mergeCell ref="E54:E56"/>
    <mergeCell ref="F54:F56"/>
    <mergeCell ref="K54:K56"/>
    <mergeCell ref="S57:S58"/>
    <mergeCell ref="T57:T58"/>
    <mergeCell ref="U57:U58"/>
    <mergeCell ref="V57:V58"/>
    <mergeCell ref="W57:W58"/>
    <mergeCell ref="L57:L58"/>
    <mergeCell ref="M57:M58"/>
    <mergeCell ref="N57:N58"/>
    <mergeCell ref="O57:O58"/>
    <mergeCell ref="P57:P58"/>
    <mergeCell ref="Q57:Q58"/>
    <mergeCell ref="R57:R58"/>
    <mergeCell ref="A57:A58"/>
    <mergeCell ref="B57:B58"/>
    <mergeCell ref="C57:C58"/>
    <mergeCell ref="D57:D58"/>
    <mergeCell ref="E57:E58"/>
    <mergeCell ref="F57:F58"/>
    <mergeCell ref="K57:K58"/>
    <mergeCell ref="S64:S65"/>
    <mergeCell ref="T64:T65"/>
    <mergeCell ref="U64:U65"/>
    <mergeCell ref="V64:V65"/>
    <mergeCell ref="W64:W65"/>
    <mergeCell ref="L64:L65"/>
    <mergeCell ref="M64:M65"/>
    <mergeCell ref="N64:N65"/>
    <mergeCell ref="O64:O65"/>
    <mergeCell ref="P64:P65"/>
    <mergeCell ref="Q64:Q65"/>
    <mergeCell ref="R64:R65"/>
    <mergeCell ref="A64:A65"/>
    <mergeCell ref="B64:B65"/>
    <mergeCell ref="C64:C65"/>
    <mergeCell ref="D64:D65"/>
    <mergeCell ref="E64:E65"/>
    <mergeCell ref="F64:F65"/>
    <mergeCell ref="K64:K65"/>
  </mergeCells>
  <dataValidations>
    <dataValidation type="list" allowBlank="1" showErrorMessage="1" sqref="R4 R6:R7 R9:R10 R12 R14 R21:R22 R24 R26:R30 R32 R35:R36 R38:R40 R43 R45:R46 R48 R50:R52 R54 R57 R59:R64 R66 R68:R70 R73 R76 R80 R83 R87:R88">
      <formula1>"Cty trả ship"</formula1>
    </dataValidation>
    <dataValidation type="list" allowBlank="1" showErrorMessage="1" sqref="P4 P6:P7 P9:P10 P12 P14 P21:P22 P24 P26:P30 P32 P35:P36 P38:P40 P43 P45:P46 P48 P50:P52 P54 P57 P59:P64 P66 P68:P70 P73 P76 P80 P83 P87:P88">
      <formula1>"Chưa thu,Đã thu"</formula1>
    </dataValidation>
    <dataValidation type="list" allowBlank="1" showErrorMessage="1" sqref="O4 O6:O7 O9:O10 O12 O14 O21:O22 O24 O26:O30 O32 O35:O36 O38:O40 O43 O45:O46 O48 O50:O52 O54 O57 O59:O64 O66 O68:O70 O73 O76 O80 O83 O87:O88">
      <formula1>"Chưa giao,Đã giao"</formula1>
    </dataValidation>
  </dataValidation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4.0" ySplit="3.0" topLeftCell="E4" activePane="bottomRight" state="frozen"/>
      <selection activeCell="E1" sqref="E1" pane="topRight"/>
      <selection activeCell="A4" sqref="A4" pane="bottomLeft"/>
      <selection activeCell="E4" sqref="E4" pane="bottomRight"/>
    </sheetView>
  </sheetViews>
  <sheetFormatPr customHeight="1" defaultColWidth="12.63" defaultRowHeight="15.0"/>
  <cols>
    <col customWidth="1" min="1" max="1" width="7.63"/>
    <col customWidth="1" min="2" max="2" width="12.63"/>
    <col customWidth="1" min="3" max="3" width="19.75"/>
    <col customWidth="1" min="4" max="4" width="25.0"/>
    <col customWidth="1" min="5" max="5" width="17.13"/>
    <col customWidth="1" min="6" max="6" width="67.13"/>
    <col customWidth="1" min="7" max="7" width="25.38"/>
    <col customWidth="1" min="8" max="8" width="16.63"/>
    <col customWidth="1" min="9" max="9" width="17.38"/>
    <col customWidth="1" min="10" max="10" width="16.88"/>
    <col customWidth="1" min="11" max="11" width="16.13"/>
    <col customWidth="1" min="12" max="12" width="18.75"/>
    <col customWidth="1" min="13" max="13" width="21.13"/>
    <col customWidth="1" min="14" max="14" width="21.38"/>
    <col customWidth="1" min="15" max="15" width="18.13"/>
    <col customWidth="1" min="16" max="16" width="19.75"/>
    <col customWidth="1" min="17" max="17" width="17.88"/>
    <col customWidth="1" min="18" max="18" width="17.25"/>
    <col customWidth="1" min="19" max="19" width="24.0"/>
    <col customWidth="1" min="20" max="20" width="20.38"/>
    <col customWidth="1" min="21" max="21" width="15.63"/>
    <col customWidth="1" min="22" max="22" width="17.88"/>
    <col customWidth="1" min="23" max="23" width="47.0"/>
    <col customWidth="1" min="24" max="24" width="8.63"/>
    <col customWidth="1" min="25" max="25" width="21.13"/>
    <col customWidth="1" min="26" max="26" width="16.63"/>
    <col customWidth="1" min="27" max="30" width="12.63"/>
  </cols>
  <sheetData>
    <row r="1" ht="25.5" customHeight="1">
      <c r="A1" s="1" t="s">
        <v>2173</v>
      </c>
      <c r="B1" s="2"/>
      <c r="C1" s="2"/>
      <c r="D1" s="2"/>
      <c r="E1" s="2"/>
      <c r="F1" s="2"/>
      <c r="G1" s="3"/>
      <c r="H1" s="4"/>
      <c r="I1" s="4"/>
      <c r="J1" s="4"/>
      <c r="K1" s="4"/>
      <c r="L1" s="4"/>
      <c r="M1" s="4"/>
      <c r="N1" s="4"/>
      <c r="O1" s="4"/>
      <c r="P1" s="4"/>
      <c r="Q1" s="4"/>
      <c r="R1" s="4"/>
      <c r="S1" s="4"/>
      <c r="T1" s="4"/>
      <c r="U1" s="4"/>
      <c r="V1" s="4"/>
      <c r="W1" s="4"/>
      <c r="X1" s="6"/>
      <c r="Y1" s="6"/>
      <c r="Z1" s="7"/>
      <c r="AA1" s="8"/>
      <c r="AB1" s="8"/>
      <c r="AC1" s="8"/>
      <c r="AD1" s="9"/>
    </row>
    <row r="2" ht="15.75" customHeight="1">
      <c r="A2" s="10" t="s">
        <v>1</v>
      </c>
      <c r="B2" s="11" t="s">
        <v>2</v>
      </c>
      <c r="C2" s="12" t="s">
        <v>3</v>
      </c>
      <c r="D2" s="13" t="s">
        <v>4</v>
      </c>
      <c r="E2" s="14" t="s">
        <v>5</v>
      </c>
      <c r="F2" s="13" t="s">
        <v>6</v>
      </c>
      <c r="G2" s="15" t="s">
        <v>7</v>
      </c>
      <c r="H2" s="16"/>
      <c r="I2" s="16"/>
      <c r="J2" s="17"/>
      <c r="K2" s="18" t="s">
        <v>8</v>
      </c>
      <c r="L2" s="16"/>
      <c r="M2" s="16"/>
      <c r="N2" s="16"/>
      <c r="O2" s="16"/>
      <c r="P2" s="17"/>
      <c r="Q2" s="19" t="s">
        <v>9</v>
      </c>
      <c r="R2" s="16"/>
      <c r="S2" s="17"/>
      <c r="T2" s="20" t="s">
        <v>10</v>
      </c>
      <c r="U2" s="17"/>
      <c r="V2" s="1438" t="s">
        <v>1548</v>
      </c>
      <c r="W2" s="21" t="s">
        <v>11</v>
      </c>
      <c r="X2" s="22"/>
      <c r="Y2" s="23"/>
      <c r="Z2" s="24"/>
      <c r="AA2" s="25"/>
      <c r="AB2" s="25"/>
      <c r="AC2" s="25"/>
      <c r="AD2" s="22"/>
    </row>
    <row r="3" ht="47.25" customHeight="1">
      <c r="A3" s="26"/>
      <c r="B3" s="26"/>
      <c r="C3" s="26"/>
      <c r="D3" s="26"/>
      <c r="E3" s="26"/>
      <c r="F3" s="26"/>
      <c r="G3" s="27" t="s">
        <v>12</v>
      </c>
      <c r="H3" s="27" t="s">
        <v>13</v>
      </c>
      <c r="I3" s="28" t="s">
        <v>14</v>
      </c>
      <c r="J3" s="29" t="s">
        <v>15</v>
      </c>
      <c r="K3" s="30" t="s">
        <v>16</v>
      </c>
      <c r="L3" s="31" t="s">
        <v>17</v>
      </c>
      <c r="M3" s="33" t="s">
        <v>19</v>
      </c>
      <c r="N3" s="34" t="s">
        <v>20</v>
      </c>
      <c r="O3" s="558" t="s">
        <v>21</v>
      </c>
      <c r="P3" s="408"/>
      <c r="Q3" s="36" t="s">
        <v>22</v>
      </c>
      <c r="R3" s="37" t="s">
        <v>23</v>
      </c>
      <c r="S3" s="37" t="s">
        <v>2174</v>
      </c>
      <c r="T3" s="38" t="s">
        <v>25</v>
      </c>
      <c r="U3" s="38" t="s">
        <v>26</v>
      </c>
      <c r="V3" s="26"/>
      <c r="W3" s="26"/>
      <c r="X3" s="22"/>
      <c r="Y3" s="23"/>
      <c r="Z3" s="24"/>
      <c r="AA3" s="25"/>
      <c r="AB3" s="25"/>
      <c r="AC3" s="25"/>
      <c r="AD3" s="22"/>
    </row>
    <row r="4" ht="23.25" customHeight="1">
      <c r="A4" s="39">
        <v>1.0</v>
      </c>
      <c r="B4" s="95">
        <v>44953.0</v>
      </c>
      <c r="C4" s="41">
        <v>1.685202758698E12</v>
      </c>
      <c r="D4" s="1439" t="s">
        <v>1975</v>
      </c>
      <c r="E4" s="1440" t="s">
        <v>1976</v>
      </c>
      <c r="F4" s="44" t="s">
        <v>2175</v>
      </c>
      <c r="G4" s="45" t="s">
        <v>122</v>
      </c>
      <c r="H4" s="46">
        <v>4.0</v>
      </c>
      <c r="I4" s="459">
        <f>VLOOKUP(G4,$Y$4:$Z$40,2,0)</f>
        <v>220000</v>
      </c>
      <c r="J4" s="48">
        <f t="shared" ref="J4:J35" si="1">H4*I4</f>
        <v>880000</v>
      </c>
      <c r="K4" s="49">
        <f>SUM(J4:J5)</f>
        <v>1760000</v>
      </c>
      <c r="L4" s="976"/>
      <c r="M4" s="1149"/>
      <c r="N4" s="53">
        <f>K4+L4-M4</f>
        <v>1760000</v>
      </c>
      <c r="O4" s="1441" t="s">
        <v>449</v>
      </c>
      <c r="P4" s="1441" t="s">
        <v>31</v>
      </c>
      <c r="Q4" s="55">
        <v>91001.0</v>
      </c>
      <c r="R4" s="56" t="s">
        <v>32</v>
      </c>
      <c r="S4" s="57" t="s">
        <v>33</v>
      </c>
      <c r="T4" s="142"/>
      <c r="U4" s="587"/>
      <c r="V4" s="1442"/>
      <c r="W4" s="142"/>
      <c r="X4" s="22"/>
      <c r="Y4" s="60" t="s">
        <v>34</v>
      </c>
      <c r="Z4" s="61">
        <v>65000.0</v>
      </c>
      <c r="AA4" s="25"/>
      <c r="AB4" s="25"/>
      <c r="AC4" s="25"/>
      <c r="AD4" s="22"/>
    </row>
    <row r="5" ht="23.25" customHeight="1">
      <c r="A5" s="67"/>
      <c r="B5" s="67"/>
      <c r="C5" s="67"/>
      <c r="D5" s="67"/>
      <c r="E5" s="67"/>
      <c r="F5" s="67"/>
      <c r="G5" s="63" t="s">
        <v>47</v>
      </c>
      <c r="H5" s="64">
        <v>4.0</v>
      </c>
      <c r="I5" s="459">
        <f t="shared" ref="I5:I9" si="2">VLOOKUP(G5,$Y$4:$Z$40,2,0)</f>
        <v>220000</v>
      </c>
      <c r="J5" s="48">
        <f t="shared" si="1"/>
        <v>880000</v>
      </c>
      <c r="K5" s="67"/>
      <c r="L5" s="67"/>
      <c r="M5" s="67"/>
      <c r="N5" s="67"/>
      <c r="O5" s="67"/>
      <c r="P5" s="67"/>
      <c r="Q5" s="67"/>
      <c r="R5" s="67"/>
      <c r="S5" s="67"/>
      <c r="T5" s="67"/>
      <c r="U5" s="67"/>
      <c r="V5" s="67"/>
      <c r="W5" s="67"/>
      <c r="X5" s="22"/>
      <c r="Y5" s="65" t="s">
        <v>36</v>
      </c>
      <c r="Z5" s="66">
        <v>180000.0</v>
      </c>
      <c r="AA5" s="25"/>
      <c r="AB5" s="25"/>
      <c r="AC5" s="25"/>
      <c r="AD5" s="22"/>
    </row>
    <row r="6" ht="23.25" customHeight="1">
      <c r="A6" s="39">
        <v>2.0</v>
      </c>
      <c r="B6" s="95">
        <v>44953.0</v>
      </c>
      <c r="C6" s="906">
        <v>1.68905084198E12</v>
      </c>
      <c r="D6" s="417" t="s">
        <v>734</v>
      </c>
      <c r="E6" s="1443" t="s">
        <v>735</v>
      </c>
      <c r="F6" s="1346" t="s">
        <v>2176</v>
      </c>
      <c r="G6" s="68" t="s">
        <v>37</v>
      </c>
      <c r="H6" s="69">
        <v>1.0</v>
      </c>
      <c r="I6" s="459">
        <f t="shared" si="2"/>
        <v>220000</v>
      </c>
      <c r="J6" s="577">
        <f t="shared" si="1"/>
        <v>220000</v>
      </c>
      <c r="K6" s="49">
        <f>SUM(J6:J8)</f>
        <v>660000</v>
      </c>
      <c r="L6" s="50"/>
      <c r="M6" s="562"/>
      <c r="N6" s="53">
        <f>K6+L6-M6</f>
        <v>660000</v>
      </c>
      <c r="O6" s="1441" t="s">
        <v>449</v>
      </c>
      <c r="P6" s="1441" t="s">
        <v>31</v>
      </c>
      <c r="Q6" s="55">
        <v>62000.0</v>
      </c>
      <c r="R6" s="56" t="s">
        <v>32</v>
      </c>
      <c r="S6" s="57" t="s">
        <v>33</v>
      </c>
      <c r="T6" s="142"/>
      <c r="U6" s="39"/>
      <c r="V6" s="1444">
        <v>1.0</v>
      </c>
      <c r="W6" s="142"/>
      <c r="X6" s="22"/>
      <c r="Y6" s="65" t="s">
        <v>38</v>
      </c>
      <c r="Z6" s="66">
        <v>160000.0</v>
      </c>
      <c r="AA6" s="25"/>
      <c r="AB6" s="25"/>
      <c r="AC6" s="25"/>
      <c r="AD6" s="22"/>
    </row>
    <row r="7" ht="39.0" customHeight="1">
      <c r="A7" s="62"/>
      <c r="B7" s="62"/>
      <c r="C7" s="423"/>
      <c r="D7" s="62"/>
      <c r="E7" s="62"/>
      <c r="F7" s="62"/>
      <c r="G7" s="68" t="s">
        <v>122</v>
      </c>
      <c r="H7" s="69">
        <v>1.0</v>
      </c>
      <c r="I7" s="459">
        <f t="shared" si="2"/>
        <v>220000</v>
      </c>
      <c r="J7" s="577">
        <f t="shared" si="1"/>
        <v>220000</v>
      </c>
      <c r="K7" s="62"/>
      <c r="L7" s="62"/>
      <c r="M7" s="62"/>
      <c r="N7" s="62"/>
      <c r="O7" s="62"/>
      <c r="P7" s="62"/>
      <c r="Q7" s="62"/>
      <c r="R7" s="62"/>
      <c r="S7" s="62"/>
      <c r="T7" s="62"/>
      <c r="U7" s="62"/>
      <c r="V7" s="62"/>
      <c r="W7" s="62"/>
      <c r="X7" s="22"/>
      <c r="Y7" s="65" t="s">
        <v>43</v>
      </c>
      <c r="Z7" s="66">
        <v>80000.0</v>
      </c>
      <c r="AA7" s="25"/>
      <c r="AB7" s="25"/>
      <c r="AC7" s="25"/>
      <c r="AD7" s="22"/>
    </row>
    <row r="8" ht="31.5" customHeight="1">
      <c r="A8" s="67"/>
      <c r="B8" s="67"/>
      <c r="C8" s="102"/>
      <c r="D8" s="67"/>
      <c r="E8" s="67"/>
      <c r="F8" s="67"/>
      <c r="G8" s="68" t="s">
        <v>382</v>
      </c>
      <c r="H8" s="69">
        <v>1.0</v>
      </c>
      <c r="I8" s="459">
        <f t="shared" si="2"/>
        <v>220000</v>
      </c>
      <c r="J8" s="577">
        <f t="shared" si="1"/>
        <v>220000</v>
      </c>
      <c r="K8" s="67"/>
      <c r="L8" s="67"/>
      <c r="M8" s="67"/>
      <c r="N8" s="67"/>
      <c r="O8" s="67"/>
      <c r="P8" s="67"/>
      <c r="Q8" s="67"/>
      <c r="R8" s="67"/>
      <c r="S8" s="67"/>
      <c r="T8" s="67"/>
      <c r="U8" s="67"/>
      <c r="V8" s="67"/>
      <c r="W8" s="67"/>
      <c r="X8" s="22"/>
      <c r="Y8" s="65" t="s">
        <v>48</v>
      </c>
      <c r="Z8" s="66">
        <v>55000.0</v>
      </c>
      <c r="AA8" s="25"/>
      <c r="AB8" s="25"/>
      <c r="AC8" s="25"/>
      <c r="AD8" s="22"/>
    </row>
    <row r="9" ht="23.25" customHeight="1">
      <c r="A9" s="39">
        <v>3.0</v>
      </c>
      <c r="B9" s="178">
        <v>44954.0</v>
      </c>
      <c r="C9" s="39">
        <v>1.680114198676E12</v>
      </c>
      <c r="D9" s="126" t="s">
        <v>2177</v>
      </c>
      <c r="E9" s="1445" t="s">
        <v>2178</v>
      </c>
      <c r="F9" s="417" t="s">
        <v>2179</v>
      </c>
      <c r="G9" s="68" t="s">
        <v>30</v>
      </c>
      <c r="H9" s="69">
        <v>2.0</v>
      </c>
      <c r="I9" s="459">
        <f t="shared" si="2"/>
        <v>220000</v>
      </c>
      <c r="J9" s="577">
        <f t="shared" si="1"/>
        <v>440000</v>
      </c>
      <c r="K9" s="49">
        <f>SUM(J9:J10)</f>
        <v>600000</v>
      </c>
      <c r="L9" s="50"/>
      <c r="M9" s="562"/>
      <c r="N9" s="53">
        <f>K9+L9-M9</f>
        <v>600000</v>
      </c>
      <c r="O9" s="1441" t="s">
        <v>449</v>
      </c>
      <c r="P9" s="1441" t="s">
        <v>31</v>
      </c>
      <c r="Q9" s="55">
        <v>53999.0</v>
      </c>
      <c r="R9" s="56" t="s">
        <v>32</v>
      </c>
      <c r="S9" s="57" t="s">
        <v>33</v>
      </c>
      <c r="T9" s="1147"/>
      <c r="U9" s="39"/>
      <c r="V9" s="1444">
        <v>1.0</v>
      </c>
      <c r="W9" s="142"/>
      <c r="X9" s="22"/>
      <c r="Y9" s="65" t="s">
        <v>60</v>
      </c>
      <c r="Z9" s="66">
        <v>45000.0</v>
      </c>
      <c r="AA9" s="25"/>
      <c r="AB9" s="25"/>
      <c r="AC9" s="25"/>
      <c r="AD9" s="22"/>
    </row>
    <row r="10" ht="23.25" customHeight="1">
      <c r="A10" s="67"/>
      <c r="B10" s="67"/>
      <c r="C10" s="67"/>
      <c r="D10" s="67"/>
      <c r="E10" s="67"/>
      <c r="F10" s="67"/>
      <c r="G10" s="68" t="s">
        <v>2180</v>
      </c>
      <c r="H10" s="69">
        <v>2.0</v>
      </c>
      <c r="I10" s="975">
        <v>80000.0</v>
      </c>
      <c r="J10" s="577">
        <f t="shared" si="1"/>
        <v>160000</v>
      </c>
      <c r="K10" s="67"/>
      <c r="L10" s="67"/>
      <c r="M10" s="67"/>
      <c r="N10" s="67"/>
      <c r="O10" s="67"/>
      <c r="P10" s="67"/>
      <c r="Q10" s="67"/>
      <c r="R10" s="67"/>
      <c r="S10" s="67"/>
      <c r="T10" s="67"/>
      <c r="U10" s="67"/>
      <c r="V10" s="67"/>
      <c r="W10" s="67"/>
      <c r="X10" s="22"/>
      <c r="Y10" s="65" t="s">
        <v>679</v>
      </c>
      <c r="Z10" s="66">
        <v>110000.0</v>
      </c>
      <c r="AA10" s="25"/>
      <c r="AB10" s="25"/>
      <c r="AC10" s="25"/>
      <c r="AD10" s="22"/>
    </row>
    <row r="11" ht="23.25" customHeight="1">
      <c r="A11" s="93">
        <v>4.0</v>
      </c>
      <c r="B11" s="103">
        <v>44954.0</v>
      </c>
      <c r="C11" s="93">
        <v>1.697669794838E12</v>
      </c>
      <c r="D11" s="92" t="s">
        <v>2087</v>
      </c>
      <c r="E11" s="902" t="s">
        <v>45</v>
      </c>
      <c r="F11" s="92" t="s">
        <v>324</v>
      </c>
      <c r="G11" s="63" t="s">
        <v>30</v>
      </c>
      <c r="H11" s="64">
        <v>3.0</v>
      </c>
      <c r="I11" s="975">
        <v>220000.0</v>
      </c>
      <c r="J11" s="577">
        <f t="shared" si="1"/>
        <v>660000</v>
      </c>
      <c r="K11" s="76">
        <f>SUM(J11)</f>
        <v>660000</v>
      </c>
      <c r="L11" s="1002"/>
      <c r="M11" s="136"/>
      <c r="N11" s="80">
        <f t="shared" ref="N11:N12" si="3">K11+L11-M11</f>
        <v>660000</v>
      </c>
      <c r="O11" s="1446" t="s">
        <v>449</v>
      </c>
      <c r="P11" s="1446" t="s">
        <v>31</v>
      </c>
      <c r="Q11" s="108">
        <v>53999.0</v>
      </c>
      <c r="R11" s="83" t="s">
        <v>32</v>
      </c>
      <c r="S11" s="84" t="s">
        <v>33</v>
      </c>
      <c r="T11" s="92"/>
      <c r="U11" s="1447"/>
      <c r="V11" s="1448">
        <v>1.0</v>
      </c>
      <c r="W11" s="92"/>
      <c r="X11" s="22"/>
      <c r="Y11" s="65" t="s">
        <v>66</v>
      </c>
      <c r="Z11" s="66">
        <v>205000.0</v>
      </c>
      <c r="AA11" s="25"/>
      <c r="AB11" s="25"/>
      <c r="AC11" s="25"/>
      <c r="AD11" s="22"/>
    </row>
    <row r="12" ht="28.5" customHeight="1">
      <c r="A12" s="111">
        <v>5.0</v>
      </c>
      <c r="B12" s="112">
        <v>44956.0</v>
      </c>
      <c r="C12" s="1135">
        <v>1.698331866171E12</v>
      </c>
      <c r="D12" s="142" t="s">
        <v>2181</v>
      </c>
      <c r="E12" s="1449" t="s">
        <v>2182</v>
      </c>
      <c r="F12" s="451" t="s">
        <v>2183</v>
      </c>
      <c r="G12" s="63" t="s">
        <v>30</v>
      </c>
      <c r="H12" s="64">
        <v>1.0</v>
      </c>
      <c r="I12" s="975">
        <v>220000.0</v>
      </c>
      <c r="J12" s="577">
        <f t="shared" si="1"/>
        <v>220000</v>
      </c>
      <c r="K12" s="49">
        <f>SUM(J12:J13)</f>
        <v>440000</v>
      </c>
      <c r="L12" s="1242">
        <v>57500.0</v>
      </c>
      <c r="M12" s="1149">
        <v>27500.0</v>
      </c>
      <c r="N12" s="53">
        <f t="shared" si="3"/>
        <v>470000</v>
      </c>
      <c r="O12" s="1441" t="s">
        <v>449</v>
      </c>
      <c r="P12" s="1441" t="s">
        <v>31</v>
      </c>
      <c r="Q12" s="145"/>
      <c r="R12" s="56"/>
      <c r="S12" s="57" t="s">
        <v>33</v>
      </c>
      <c r="T12" s="142"/>
      <c r="U12" s="1450"/>
      <c r="V12" s="1451"/>
      <c r="W12" s="142"/>
      <c r="X12" s="22"/>
      <c r="Y12" s="65" t="s">
        <v>684</v>
      </c>
      <c r="Z12" s="66">
        <v>150000.0</v>
      </c>
      <c r="AA12" s="25"/>
      <c r="AB12" s="25"/>
      <c r="AC12" s="25"/>
      <c r="AD12" s="22"/>
    </row>
    <row r="13" ht="23.25" customHeight="1">
      <c r="A13" s="67"/>
      <c r="B13" s="67"/>
      <c r="C13" s="67"/>
      <c r="D13" s="67"/>
      <c r="E13" s="67"/>
      <c r="F13" s="102"/>
      <c r="G13" s="63" t="s">
        <v>35</v>
      </c>
      <c r="H13" s="64">
        <v>1.0</v>
      </c>
      <c r="I13" s="975">
        <v>220000.0</v>
      </c>
      <c r="J13" s="577">
        <f t="shared" si="1"/>
        <v>220000</v>
      </c>
      <c r="K13" s="67"/>
      <c r="L13" s="67"/>
      <c r="M13" s="67"/>
      <c r="N13" s="67"/>
      <c r="O13" s="67"/>
      <c r="P13" s="67"/>
      <c r="Q13" s="67"/>
      <c r="R13" s="67"/>
      <c r="S13" s="67"/>
      <c r="T13" s="67"/>
      <c r="U13" s="67"/>
      <c r="V13" s="67"/>
      <c r="W13" s="67"/>
      <c r="X13" s="22"/>
      <c r="Y13" s="110" t="s">
        <v>71</v>
      </c>
      <c r="Z13" s="66">
        <v>85000.0</v>
      </c>
      <c r="AA13" s="25"/>
      <c r="AB13" s="25"/>
      <c r="AC13" s="25"/>
      <c r="AD13" s="22"/>
    </row>
    <row r="14" ht="23.25" customHeight="1">
      <c r="A14" s="93">
        <v>6.0</v>
      </c>
      <c r="B14" s="1452">
        <v>44956.0</v>
      </c>
      <c r="C14" s="1152">
        <v>1.697767101038E12</v>
      </c>
      <c r="D14" s="1453" t="s">
        <v>2184</v>
      </c>
      <c r="E14" s="902" t="s">
        <v>2185</v>
      </c>
      <c r="F14" s="92" t="s">
        <v>2186</v>
      </c>
      <c r="G14" s="63" t="s">
        <v>30</v>
      </c>
      <c r="H14" s="64">
        <v>1.0</v>
      </c>
      <c r="I14" s="975">
        <v>220000.0</v>
      </c>
      <c r="J14" s="577">
        <f t="shared" si="1"/>
        <v>220000</v>
      </c>
      <c r="K14" s="76">
        <f t="shared" ref="K14:K16" si="4">SUM(J14)</f>
        <v>220000</v>
      </c>
      <c r="L14" s="1454">
        <v>45000.0</v>
      </c>
      <c r="M14" s="1455">
        <v>25000.0</v>
      </c>
      <c r="N14" s="80">
        <f t="shared" ref="N14:N17" si="5">K14+L14-M14</f>
        <v>240000</v>
      </c>
      <c r="O14" s="1446" t="s">
        <v>449</v>
      </c>
      <c r="P14" s="1446" t="s">
        <v>31</v>
      </c>
      <c r="Q14" s="108"/>
      <c r="R14" s="83"/>
      <c r="S14" s="84" t="s">
        <v>33</v>
      </c>
      <c r="T14" s="92"/>
      <c r="U14" s="1447"/>
      <c r="V14" s="1456"/>
      <c r="W14" s="92"/>
      <c r="X14" s="22"/>
      <c r="Y14" s="65" t="s">
        <v>76</v>
      </c>
      <c r="Z14" s="66">
        <v>90000.0</v>
      </c>
      <c r="AA14" s="25"/>
      <c r="AB14" s="25"/>
      <c r="AC14" s="25"/>
      <c r="AD14" s="22"/>
    </row>
    <row r="15" ht="23.25" customHeight="1">
      <c r="A15" s="93">
        <v>7.0</v>
      </c>
      <c r="B15" s="1452">
        <v>44956.0</v>
      </c>
      <c r="C15" s="1152">
        <v>1.698078772601E12</v>
      </c>
      <c r="D15" s="1453" t="s">
        <v>536</v>
      </c>
      <c r="E15" s="902" t="s">
        <v>2187</v>
      </c>
      <c r="F15" s="92" t="s">
        <v>2188</v>
      </c>
      <c r="G15" s="63" t="s">
        <v>30</v>
      </c>
      <c r="H15" s="64">
        <v>3.0</v>
      </c>
      <c r="I15" s="975">
        <v>220000.0</v>
      </c>
      <c r="J15" s="577">
        <f t="shared" si="1"/>
        <v>660000</v>
      </c>
      <c r="K15" s="76">
        <f t="shared" si="4"/>
        <v>660000</v>
      </c>
      <c r="L15" s="1002"/>
      <c r="M15" s="136"/>
      <c r="N15" s="80">
        <f t="shared" si="5"/>
        <v>660000</v>
      </c>
      <c r="O15" s="1446" t="s">
        <v>449</v>
      </c>
      <c r="P15" s="1446" t="s">
        <v>31</v>
      </c>
      <c r="Q15" s="108">
        <v>53999.0</v>
      </c>
      <c r="R15" s="83" t="s">
        <v>32</v>
      </c>
      <c r="S15" s="84" t="s">
        <v>33</v>
      </c>
      <c r="T15" s="92"/>
      <c r="U15" s="1447"/>
      <c r="V15" s="1448">
        <v>1.0</v>
      </c>
      <c r="W15" s="92"/>
      <c r="X15" s="22"/>
      <c r="Y15" s="65" t="s">
        <v>80</v>
      </c>
      <c r="Z15" s="66">
        <v>85000.0</v>
      </c>
      <c r="AA15" s="25"/>
      <c r="AB15" s="25"/>
      <c r="AC15" s="25"/>
      <c r="AD15" s="22"/>
    </row>
    <row r="16" ht="30.75" customHeight="1">
      <c r="A16" s="93">
        <v>8.0</v>
      </c>
      <c r="B16" s="1452">
        <v>44956.0</v>
      </c>
      <c r="C16" s="1152">
        <v>1.698422219962E12</v>
      </c>
      <c r="D16" s="92" t="s">
        <v>206</v>
      </c>
      <c r="E16" s="902" t="s">
        <v>1079</v>
      </c>
      <c r="F16" s="121" t="s">
        <v>2189</v>
      </c>
      <c r="G16" s="68" t="s">
        <v>30</v>
      </c>
      <c r="H16" s="64">
        <v>12.0</v>
      </c>
      <c r="I16" s="975">
        <v>220000.0</v>
      </c>
      <c r="J16" s="577">
        <f t="shared" si="1"/>
        <v>2640000</v>
      </c>
      <c r="K16" s="76">
        <f t="shared" si="4"/>
        <v>2640000</v>
      </c>
      <c r="L16" s="1002"/>
      <c r="M16" s="136"/>
      <c r="N16" s="80">
        <f t="shared" si="5"/>
        <v>2640000</v>
      </c>
      <c r="O16" s="1446" t="s">
        <v>449</v>
      </c>
      <c r="P16" s="1446" t="s">
        <v>31</v>
      </c>
      <c r="Q16" s="108">
        <v>104000.0</v>
      </c>
      <c r="R16" s="83" t="s">
        <v>32</v>
      </c>
      <c r="S16" s="84" t="s">
        <v>33</v>
      </c>
      <c r="T16" s="92"/>
      <c r="U16" s="1447"/>
      <c r="V16" s="1456"/>
      <c r="W16" s="92"/>
      <c r="X16" s="22"/>
      <c r="Y16" s="65" t="s">
        <v>81</v>
      </c>
      <c r="Z16" s="66">
        <v>150000.0</v>
      </c>
      <c r="AA16" s="25"/>
      <c r="AB16" s="25"/>
      <c r="AC16" s="25"/>
      <c r="AD16" s="22"/>
    </row>
    <row r="17" ht="36.75" customHeight="1">
      <c r="A17" s="111">
        <v>9.0</v>
      </c>
      <c r="B17" s="1457">
        <v>44958.0</v>
      </c>
      <c r="C17" s="1135">
        <v>1.699112316333E12</v>
      </c>
      <c r="D17" s="142" t="s">
        <v>2190</v>
      </c>
      <c r="E17" s="1449" t="s">
        <v>40</v>
      </c>
      <c r="F17" s="44" t="s">
        <v>2191</v>
      </c>
      <c r="G17" s="68" t="s">
        <v>47</v>
      </c>
      <c r="H17" s="64">
        <v>8.0</v>
      </c>
      <c r="I17" s="975">
        <v>220000.0</v>
      </c>
      <c r="J17" s="577">
        <f t="shared" si="1"/>
        <v>1760000</v>
      </c>
      <c r="K17" s="49">
        <f>SUM(J17:J27)</f>
        <v>11860000</v>
      </c>
      <c r="L17" s="1009"/>
      <c r="M17" s="562"/>
      <c r="N17" s="53">
        <f t="shared" si="5"/>
        <v>11860000</v>
      </c>
      <c r="O17" s="1441" t="s">
        <v>449</v>
      </c>
      <c r="P17" s="1441" t="s">
        <v>31</v>
      </c>
      <c r="Q17" s="145">
        <v>376354.0</v>
      </c>
      <c r="R17" s="56" t="s">
        <v>32</v>
      </c>
      <c r="S17" s="57" t="s">
        <v>33</v>
      </c>
      <c r="T17" s="142"/>
      <c r="U17" s="1450"/>
      <c r="V17" s="1451"/>
      <c r="W17" s="142"/>
      <c r="X17" s="22"/>
      <c r="Y17" s="65" t="s">
        <v>85</v>
      </c>
      <c r="Z17" s="66">
        <v>125000.0</v>
      </c>
      <c r="AA17" s="25"/>
      <c r="AB17" s="25"/>
      <c r="AC17" s="25"/>
      <c r="AD17" s="22"/>
    </row>
    <row r="18" ht="23.25" customHeight="1">
      <c r="A18" s="62"/>
      <c r="B18" s="62"/>
      <c r="C18" s="62"/>
      <c r="D18" s="62"/>
      <c r="E18" s="62"/>
      <c r="F18" s="62"/>
      <c r="G18" s="68" t="s">
        <v>2180</v>
      </c>
      <c r="H18" s="64">
        <v>12.0</v>
      </c>
      <c r="I18" s="975">
        <v>80000.0</v>
      </c>
      <c r="J18" s="577">
        <f t="shared" si="1"/>
        <v>960000</v>
      </c>
      <c r="K18" s="62"/>
      <c r="L18" s="62"/>
      <c r="M18" s="62"/>
      <c r="N18" s="62"/>
      <c r="O18" s="62"/>
      <c r="P18" s="62"/>
      <c r="Q18" s="62"/>
      <c r="R18" s="62"/>
      <c r="S18" s="62"/>
      <c r="T18" s="62"/>
      <c r="U18" s="62"/>
      <c r="V18" s="62"/>
      <c r="W18" s="62"/>
      <c r="X18" s="22"/>
      <c r="Y18" s="65" t="s">
        <v>89</v>
      </c>
      <c r="Z18" s="66">
        <v>35000.0</v>
      </c>
      <c r="AA18" s="25"/>
      <c r="AB18" s="25"/>
      <c r="AC18" s="25"/>
      <c r="AD18" s="22"/>
    </row>
    <row r="19" ht="23.25" customHeight="1">
      <c r="A19" s="62"/>
      <c r="B19" s="62"/>
      <c r="C19" s="62"/>
      <c r="D19" s="62"/>
      <c r="E19" s="62"/>
      <c r="F19" s="62"/>
      <c r="G19" s="1458" t="s">
        <v>30</v>
      </c>
      <c r="H19" s="64">
        <v>8.0</v>
      </c>
      <c r="I19" s="1459">
        <f t="shared" ref="I19:I23" si="6">VLOOKUP(G19,$Y$19:$Z$40,2,0)</f>
        <v>220000</v>
      </c>
      <c r="J19" s="577">
        <f t="shared" si="1"/>
        <v>1760000</v>
      </c>
      <c r="K19" s="62"/>
      <c r="L19" s="62"/>
      <c r="M19" s="62"/>
      <c r="N19" s="62"/>
      <c r="O19" s="62"/>
      <c r="P19" s="62"/>
      <c r="Q19" s="62"/>
      <c r="R19" s="62"/>
      <c r="S19" s="62"/>
      <c r="T19" s="62"/>
      <c r="U19" s="62"/>
      <c r="V19" s="62"/>
      <c r="W19" s="62"/>
      <c r="X19" s="22"/>
      <c r="Y19" s="65" t="s">
        <v>93</v>
      </c>
      <c r="Z19" s="66">
        <v>90000.0</v>
      </c>
      <c r="AA19" s="25"/>
      <c r="AB19" s="25"/>
      <c r="AC19" s="25"/>
      <c r="AD19" s="22"/>
    </row>
    <row r="20" ht="23.25" customHeight="1">
      <c r="A20" s="62"/>
      <c r="B20" s="62"/>
      <c r="C20" s="62"/>
      <c r="D20" s="62"/>
      <c r="E20" s="62"/>
      <c r="F20" s="62"/>
      <c r="G20" s="1458" t="s">
        <v>37</v>
      </c>
      <c r="H20" s="64">
        <v>4.0</v>
      </c>
      <c r="I20" s="1459">
        <f t="shared" si="6"/>
        <v>220000</v>
      </c>
      <c r="J20" s="577">
        <f t="shared" si="1"/>
        <v>880000</v>
      </c>
      <c r="K20" s="62"/>
      <c r="L20" s="62"/>
      <c r="M20" s="62"/>
      <c r="N20" s="62"/>
      <c r="O20" s="62"/>
      <c r="P20" s="62"/>
      <c r="Q20" s="62"/>
      <c r="R20" s="62"/>
      <c r="S20" s="62"/>
      <c r="T20" s="62"/>
      <c r="U20" s="62"/>
      <c r="V20" s="62"/>
      <c r="W20" s="62"/>
      <c r="X20" s="22"/>
      <c r="Y20" s="65" t="s">
        <v>94</v>
      </c>
      <c r="Z20" s="66">
        <v>140000.0</v>
      </c>
      <c r="AA20" s="25"/>
      <c r="AB20" s="25"/>
      <c r="AC20" s="25"/>
      <c r="AD20" s="22"/>
    </row>
    <row r="21" ht="23.25" customHeight="1">
      <c r="A21" s="62"/>
      <c r="B21" s="62"/>
      <c r="C21" s="62"/>
      <c r="D21" s="62"/>
      <c r="E21" s="62"/>
      <c r="F21" s="62"/>
      <c r="G21" s="63" t="s">
        <v>122</v>
      </c>
      <c r="H21" s="64">
        <v>4.0</v>
      </c>
      <c r="I21" s="1459">
        <f t="shared" si="6"/>
        <v>220000</v>
      </c>
      <c r="J21" s="577">
        <f t="shared" si="1"/>
        <v>880000</v>
      </c>
      <c r="K21" s="62"/>
      <c r="L21" s="62"/>
      <c r="M21" s="62"/>
      <c r="N21" s="62"/>
      <c r="O21" s="62"/>
      <c r="P21" s="62"/>
      <c r="Q21" s="62"/>
      <c r="R21" s="62"/>
      <c r="S21" s="62"/>
      <c r="T21" s="62"/>
      <c r="U21" s="62"/>
      <c r="V21" s="62"/>
      <c r="W21" s="62"/>
      <c r="X21" s="22"/>
      <c r="Y21" s="65" t="s">
        <v>97</v>
      </c>
      <c r="Z21" s="66">
        <v>95000.0</v>
      </c>
      <c r="AA21" s="25"/>
      <c r="AB21" s="25"/>
      <c r="AC21" s="25"/>
      <c r="AD21" s="22"/>
    </row>
    <row r="22" ht="23.25" customHeight="1">
      <c r="A22" s="62"/>
      <c r="B22" s="62"/>
      <c r="C22" s="62"/>
      <c r="D22" s="62"/>
      <c r="E22" s="62"/>
      <c r="F22" s="62"/>
      <c r="G22" s="63" t="s">
        <v>165</v>
      </c>
      <c r="H22" s="64">
        <v>4.0</v>
      </c>
      <c r="I22" s="1459">
        <f t="shared" si="6"/>
        <v>220000</v>
      </c>
      <c r="J22" s="577">
        <f t="shared" si="1"/>
        <v>880000</v>
      </c>
      <c r="K22" s="62"/>
      <c r="L22" s="62"/>
      <c r="M22" s="62"/>
      <c r="N22" s="62"/>
      <c r="O22" s="62"/>
      <c r="P22" s="62"/>
      <c r="Q22" s="62"/>
      <c r="R22" s="62"/>
      <c r="S22" s="62"/>
      <c r="T22" s="62"/>
      <c r="U22" s="62"/>
      <c r="V22" s="62"/>
      <c r="W22" s="62"/>
      <c r="X22" s="22"/>
      <c r="Y22" s="65" t="s">
        <v>99</v>
      </c>
      <c r="Z22" s="66">
        <v>140000.0</v>
      </c>
      <c r="AA22" s="25"/>
      <c r="AB22" s="25"/>
      <c r="AC22" s="25"/>
      <c r="AD22" s="22"/>
    </row>
    <row r="23" ht="23.25" customHeight="1">
      <c r="A23" s="62"/>
      <c r="B23" s="62"/>
      <c r="C23" s="62"/>
      <c r="D23" s="62"/>
      <c r="E23" s="62"/>
      <c r="F23" s="62"/>
      <c r="G23" s="63" t="s">
        <v>58</v>
      </c>
      <c r="H23" s="64">
        <v>11.0</v>
      </c>
      <c r="I23" s="1459">
        <f t="shared" si="6"/>
        <v>220000</v>
      </c>
      <c r="J23" s="577">
        <f t="shared" si="1"/>
        <v>2420000</v>
      </c>
      <c r="K23" s="62"/>
      <c r="L23" s="62"/>
      <c r="M23" s="62"/>
      <c r="N23" s="62"/>
      <c r="O23" s="62"/>
      <c r="P23" s="62"/>
      <c r="Q23" s="62"/>
      <c r="R23" s="62"/>
      <c r="S23" s="62"/>
      <c r="T23" s="62"/>
      <c r="U23" s="62"/>
      <c r="V23" s="62"/>
      <c r="W23" s="62"/>
      <c r="X23" s="22"/>
      <c r="Y23" s="65" t="s">
        <v>101</v>
      </c>
      <c r="Z23" s="66">
        <v>150000.0</v>
      </c>
      <c r="AA23" s="25"/>
      <c r="AB23" s="25"/>
      <c r="AC23" s="25"/>
      <c r="AD23" s="22"/>
    </row>
    <row r="24" ht="23.25" customHeight="1">
      <c r="A24" s="62"/>
      <c r="B24" s="62"/>
      <c r="C24" s="62"/>
      <c r="D24" s="62"/>
      <c r="E24" s="62"/>
      <c r="F24" s="62"/>
      <c r="G24" s="1460" t="s">
        <v>478</v>
      </c>
      <c r="H24" s="1461">
        <v>8.0</v>
      </c>
      <c r="I24" s="1462">
        <v>80000.0</v>
      </c>
      <c r="J24" s="1463">
        <f t="shared" si="1"/>
        <v>640000</v>
      </c>
      <c r="K24" s="62"/>
      <c r="L24" s="62"/>
      <c r="M24" s="62"/>
      <c r="N24" s="62"/>
      <c r="O24" s="62"/>
      <c r="P24" s="62"/>
      <c r="Q24" s="62"/>
      <c r="R24" s="62"/>
      <c r="S24" s="62"/>
      <c r="T24" s="62"/>
      <c r="U24" s="62"/>
      <c r="V24" s="62"/>
      <c r="W24" s="62"/>
      <c r="X24" s="1464"/>
      <c r="Y24" s="65" t="s">
        <v>109</v>
      </c>
      <c r="Z24" s="66">
        <v>125000.0</v>
      </c>
      <c r="AA24" s="25"/>
      <c r="AB24" s="25"/>
      <c r="AC24" s="25"/>
      <c r="AD24" s="22"/>
    </row>
    <row r="25" ht="23.25" customHeight="1">
      <c r="A25" s="62"/>
      <c r="B25" s="62"/>
      <c r="C25" s="62"/>
      <c r="D25" s="62"/>
      <c r="E25" s="62"/>
      <c r="F25" s="62"/>
      <c r="G25" s="1460" t="s">
        <v>476</v>
      </c>
      <c r="H25" s="1461">
        <v>8.0</v>
      </c>
      <c r="I25" s="1462">
        <v>55000.0</v>
      </c>
      <c r="J25" s="1463">
        <f t="shared" si="1"/>
        <v>440000</v>
      </c>
      <c r="K25" s="62"/>
      <c r="L25" s="62"/>
      <c r="M25" s="62"/>
      <c r="N25" s="62"/>
      <c r="O25" s="62"/>
      <c r="P25" s="62"/>
      <c r="Q25" s="62"/>
      <c r="R25" s="62"/>
      <c r="S25" s="62"/>
      <c r="T25" s="62"/>
      <c r="U25" s="62"/>
      <c r="V25" s="62"/>
      <c r="W25" s="62"/>
      <c r="X25" s="1464"/>
      <c r="Y25" s="65" t="s">
        <v>113</v>
      </c>
      <c r="Z25" s="66">
        <v>75000.0</v>
      </c>
      <c r="AA25" s="25"/>
      <c r="AB25" s="25"/>
      <c r="AC25" s="25"/>
      <c r="AD25" s="22"/>
    </row>
    <row r="26" ht="23.25" customHeight="1">
      <c r="A26" s="62"/>
      <c r="B26" s="62"/>
      <c r="C26" s="62"/>
      <c r="D26" s="62"/>
      <c r="E26" s="62"/>
      <c r="F26" s="62"/>
      <c r="G26" s="1460" t="s">
        <v>477</v>
      </c>
      <c r="H26" s="1461">
        <v>8.0</v>
      </c>
      <c r="I26" s="1462">
        <v>65000.0</v>
      </c>
      <c r="J26" s="1463">
        <f t="shared" si="1"/>
        <v>520000</v>
      </c>
      <c r="K26" s="62"/>
      <c r="L26" s="62"/>
      <c r="M26" s="62"/>
      <c r="N26" s="62"/>
      <c r="O26" s="62"/>
      <c r="P26" s="62"/>
      <c r="Q26" s="62"/>
      <c r="R26" s="62"/>
      <c r="S26" s="62"/>
      <c r="T26" s="62"/>
      <c r="U26" s="62"/>
      <c r="V26" s="62"/>
      <c r="W26" s="62"/>
      <c r="X26" s="22"/>
      <c r="Y26" s="65" t="s">
        <v>116</v>
      </c>
      <c r="Z26" s="66">
        <v>475000.0</v>
      </c>
      <c r="AA26" s="25"/>
      <c r="AB26" s="25"/>
      <c r="AC26" s="25"/>
      <c r="AD26" s="22"/>
    </row>
    <row r="27" ht="23.25" customHeight="1">
      <c r="A27" s="67"/>
      <c r="B27" s="67"/>
      <c r="C27" s="67"/>
      <c r="D27" s="67"/>
      <c r="E27" s="67"/>
      <c r="F27" s="67"/>
      <c r="G27" s="1460" t="s">
        <v>76</v>
      </c>
      <c r="H27" s="1461">
        <v>8.0</v>
      </c>
      <c r="I27" s="1462">
        <v>90000.0</v>
      </c>
      <c r="J27" s="1463">
        <f t="shared" si="1"/>
        <v>720000</v>
      </c>
      <c r="K27" s="67"/>
      <c r="L27" s="67"/>
      <c r="M27" s="67"/>
      <c r="N27" s="67"/>
      <c r="O27" s="67"/>
      <c r="P27" s="67"/>
      <c r="Q27" s="67"/>
      <c r="R27" s="67"/>
      <c r="S27" s="67"/>
      <c r="T27" s="67"/>
      <c r="U27" s="67"/>
      <c r="V27" s="67"/>
      <c r="W27" s="67"/>
      <c r="X27" s="22"/>
      <c r="Y27" s="85" t="s">
        <v>121</v>
      </c>
      <c r="Z27" s="128">
        <v>220000.0</v>
      </c>
      <c r="AA27" s="25"/>
      <c r="AB27" s="25"/>
      <c r="AC27" s="25"/>
      <c r="AD27" s="22"/>
    </row>
    <row r="28" ht="26.25" customHeight="1">
      <c r="A28" s="1465">
        <v>10.0</v>
      </c>
      <c r="B28" s="1466" t="s">
        <v>2192</v>
      </c>
      <c r="C28" s="1467">
        <v>1.683349441926E12</v>
      </c>
      <c r="D28" s="1468" t="s">
        <v>2193</v>
      </c>
      <c r="E28" s="1469" t="s">
        <v>40</v>
      </c>
      <c r="F28" s="1470" t="s">
        <v>2191</v>
      </c>
      <c r="G28" s="63" t="s">
        <v>122</v>
      </c>
      <c r="H28" s="64">
        <v>1.0</v>
      </c>
      <c r="I28" s="1471">
        <f t="shared" ref="I28:I31" si="7">VLOOKUP(G28,$Y$28:$Z$40,2,0)</f>
        <v>220000</v>
      </c>
      <c r="J28" s="577">
        <f t="shared" si="1"/>
        <v>220000</v>
      </c>
      <c r="K28" s="49">
        <f>SUM(J28:J35)</f>
        <v>1170000</v>
      </c>
      <c r="L28" s="560"/>
      <c r="M28" s="49"/>
      <c r="N28" s="53">
        <f>K28+L28-M28</f>
        <v>1170000</v>
      </c>
      <c r="O28" s="1441" t="s">
        <v>449</v>
      </c>
      <c r="P28" s="1441" t="s">
        <v>31</v>
      </c>
      <c r="Q28" s="55">
        <v>68500.0</v>
      </c>
      <c r="R28" s="56" t="s">
        <v>32</v>
      </c>
      <c r="S28" s="57" t="s">
        <v>33</v>
      </c>
      <c r="T28" s="126"/>
      <c r="U28" s="39"/>
      <c r="V28" s="1444"/>
      <c r="W28" s="44"/>
      <c r="X28" s="22"/>
      <c r="Y28" s="64" t="s">
        <v>161</v>
      </c>
      <c r="Z28" s="137">
        <v>220000.0</v>
      </c>
      <c r="AA28" s="25"/>
      <c r="AB28" s="25"/>
      <c r="AC28" s="25"/>
      <c r="AD28" s="22"/>
    </row>
    <row r="29" ht="20.25" customHeight="1">
      <c r="A29" s="62"/>
      <c r="B29" s="62"/>
      <c r="C29" s="423"/>
      <c r="D29" s="62"/>
      <c r="E29" s="62"/>
      <c r="F29" s="423"/>
      <c r="G29" s="63" t="s">
        <v>165</v>
      </c>
      <c r="H29" s="64">
        <v>1.0</v>
      </c>
      <c r="I29" s="1471">
        <f t="shared" si="7"/>
        <v>220000</v>
      </c>
      <c r="J29" s="577">
        <f t="shared" si="1"/>
        <v>220000</v>
      </c>
      <c r="K29" s="62"/>
      <c r="L29" s="62"/>
      <c r="M29" s="62"/>
      <c r="N29" s="62"/>
      <c r="O29" s="62"/>
      <c r="P29" s="62"/>
      <c r="Q29" s="62"/>
      <c r="R29" s="62"/>
      <c r="S29" s="62"/>
      <c r="T29" s="62"/>
      <c r="U29" s="62"/>
      <c r="V29" s="62"/>
      <c r="W29" s="62"/>
      <c r="X29" s="22"/>
      <c r="Y29" s="85" t="s">
        <v>123</v>
      </c>
      <c r="Z29" s="128">
        <v>220000.0</v>
      </c>
      <c r="AA29" s="25"/>
      <c r="AB29" s="25"/>
      <c r="AC29" s="25"/>
      <c r="AD29" s="22"/>
    </row>
    <row r="30" ht="23.25" customHeight="1">
      <c r="A30" s="62"/>
      <c r="B30" s="62"/>
      <c r="C30" s="423"/>
      <c r="D30" s="62"/>
      <c r="E30" s="62"/>
      <c r="F30" s="423"/>
      <c r="G30" s="63" t="s">
        <v>37</v>
      </c>
      <c r="H30" s="64">
        <v>1.0</v>
      </c>
      <c r="I30" s="1471">
        <f t="shared" si="7"/>
        <v>220000</v>
      </c>
      <c r="J30" s="577">
        <f t="shared" si="1"/>
        <v>220000</v>
      </c>
      <c r="K30" s="62"/>
      <c r="L30" s="62"/>
      <c r="M30" s="62"/>
      <c r="N30" s="62"/>
      <c r="O30" s="62"/>
      <c r="P30" s="62"/>
      <c r="Q30" s="62"/>
      <c r="R30" s="62"/>
      <c r="S30" s="62"/>
      <c r="T30" s="62"/>
      <c r="U30" s="62"/>
      <c r="V30" s="62"/>
      <c r="W30" s="62"/>
      <c r="X30" s="22"/>
      <c r="Y30" s="85" t="s">
        <v>124</v>
      </c>
      <c r="Z30" s="128">
        <v>220000.0</v>
      </c>
      <c r="AA30" s="25"/>
      <c r="AB30" s="25"/>
      <c r="AC30" s="25"/>
      <c r="AD30" s="22"/>
    </row>
    <row r="31" ht="23.25" customHeight="1">
      <c r="A31" s="62"/>
      <c r="B31" s="62"/>
      <c r="C31" s="423"/>
      <c r="D31" s="62"/>
      <c r="E31" s="62"/>
      <c r="F31" s="423"/>
      <c r="G31" s="63" t="s">
        <v>58</v>
      </c>
      <c r="H31" s="64">
        <v>1.0</v>
      </c>
      <c r="I31" s="1471">
        <f t="shared" si="7"/>
        <v>220000</v>
      </c>
      <c r="J31" s="577">
        <f t="shared" si="1"/>
        <v>220000</v>
      </c>
      <c r="K31" s="62"/>
      <c r="L31" s="62"/>
      <c r="M31" s="62"/>
      <c r="N31" s="62"/>
      <c r="O31" s="62"/>
      <c r="P31" s="62"/>
      <c r="Q31" s="62"/>
      <c r="R31" s="62"/>
      <c r="S31" s="62"/>
      <c r="T31" s="62"/>
      <c r="U31" s="62"/>
      <c r="V31" s="62"/>
      <c r="W31" s="62"/>
      <c r="X31" s="22"/>
      <c r="Y31" s="129" t="s">
        <v>125</v>
      </c>
      <c r="Z31" s="80">
        <v>220000.0</v>
      </c>
      <c r="AA31" s="25"/>
      <c r="AB31" s="25"/>
      <c r="AC31" s="25"/>
      <c r="AD31" s="22"/>
    </row>
    <row r="32" ht="23.25" customHeight="1">
      <c r="A32" s="62"/>
      <c r="B32" s="62"/>
      <c r="C32" s="423"/>
      <c r="D32" s="62"/>
      <c r="E32" s="62"/>
      <c r="F32" s="423"/>
      <c r="G32" s="1460" t="s">
        <v>477</v>
      </c>
      <c r="H32" s="1461">
        <v>1.0</v>
      </c>
      <c r="I32" s="1462">
        <v>65000.0</v>
      </c>
      <c r="J32" s="1463">
        <f t="shared" si="1"/>
        <v>65000</v>
      </c>
      <c r="K32" s="62"/>
      <c r="L32" s="62"/>
      <c r="M32" s="62"/>
      <c r="N32" s="62"/>
      <c r="O32" s="62"/>
      <c r="P32" s="62"/>
      <c r="Q32" s="62"/>
      <c r="R32" s="62"/>
      <c r="S32" s="62"/>
      <c r="T32" s="62"/>
      <c r="U32" s="62"/>
      <c r="V32" s="62"/>
      <c r="W32" s="62"/>
      <c r="X32" s="22"/>
      <c r="Y32" s="129" t="s">
        <v>129</v>
      </c>
      <c r="Z32" s="80">
        <v>220000.0</v>
      </c>
      <c r="AA32" s="25"/>
      <c r="AB32" s="25"/>
      <c r="AC32" s="25"/>
      <c r="AD32" s="22"/>
    </row>
    <row r="33" ht="23.25" customHeight="1">
      <c r="A33" s="62"/>
      <c r="B33" s="62"/>
      <c r="C33" s="423"/>
      <c r="D33" s="62"/>
      <c r="E33" s="62"/>
      <c r="F33" s="423"/>
      <c r="G33" s="1460" t="s">
        <v>476</v>
      </c>
      <c r="H33" s="1461">
        <v>1.0</v>
      </c>
      <c r="I33" s="1462">
        <v>55000.0</v>
      </c>
      <c r="J33" s="1463">
        <f t="shared" si="1"/>
        <v>55000</v>
      </c>
      <c r="K33" s="62"/>
      <c r="L33" s="62"/>
      <c r="M33" s="62"/>
      <c r="N33" s="62"/>
      <c r="O33" s="62"/>
      <c r="P33" s="62"/>
      <c r="Q33" s="62"/>
      <c r="R33" s="62"/>
      <c r="S33" s="62"/>
      <c r="T33" s="62"/>
      <c r="U33" s="62"/>
      <c r="V33" s="62"/>
      <c r="W33" s="62"/>
      <c r="X33" s="22"/>
      <c r="Y33" s="85" t="s">
        <v>133</v>
      </c>
      <c r="Z33" s="128">
        <v>220000.0</v>
      </c>
      <c r="AA33" s="25"/>
      <c r="AB33" s="25"/>
      <c r="AC33" s="25"/>
      <c r="AD33" s="22"/>
    </row>
    <row r="34" ht="23.25" customHeight="1">
      <c r="A34" s="62"/>
      <c r="B34" s="62"/>
      <c r="C34" s="423"/>
      <c r="D34" s="62"/>
      <c r="E34" s="62"/>
      <c r="F34" s="423"/>
      <c r="G34" s="1460" t="s">
        <v>478</v>
      </c>
      <c r="H34" s="1461">
        <v>1.0</v>
      </c>
      <c r="I34" s="1462">
        <v>80000.0</v>
      </c>
      <c r="J34" s="1463">
        <f t="shared" si="1"/>
        <v>80000</v>
      </c>
      <c r="K34" s="62"/>
      <c r="L34" s="62"/>
      <c r="M34" s="62"/>
      <c r="N34" s="62"/>
      <c r="O34" s="62"/>
      <c r="P34" s="62"/>
      <c r="Q34" s="62"/>
      <c r="R34" s="62"/>
      <c r="S34" s="62"/>
      <c r="T34" s="62"/>
      <c r="U34" s="62"/>
      <c r="V34" s="62"/>
      <c r="W34" s="62"/>
      <c r="X34" s="22"/>
      <c r="Y34" s="85" t="s">
        <v>135</v>
      </c>
      <c r="Z34" s="128">
        <v>220000.0</v>
      </c>
      <c r="AA34" s="25"/>
      <c r="AB34" s="25"/>
      <c r="AC34" s="25"/>
      <c r="AD34" s="22"/>
    </row>
    <row r="35" ht="23.25" customHeight="1">
      <c r="A35" s="67"/>
      <c r="B35" s="67"/>
      <c r="C35" s="102"/>
      <c r="D35" s="67"/>
      <c r="E35" s="67"/>
      <c r="F35" s="102"/>
      <c r="G35" s="1460" t="s">
        <v>76</v>
      </c>
      <c r="H35" s="1461">
        <v>1.0</v>
      </c>
      <c r="I35" s="1462">
        <v>90000.0</v>
      </c>
      <c r="J35" s="1463">
        <f t="shared" si="1"/>
        <v>90000</v>
      </c>
      <c r="K35" s="67"/>
      <c r="L35" s="67"/>
      <c r="M35" s="67"/>
      <c r="N35" s="67"/>
      <c r="O35" s="67"/>
      <c r="P35" s="67"/>
      <c r="Q35" s="67"/>
      <c r="R35" s="67"/>
      <c r="S35" s="67"/>
      <c r="T35" s="67"/>
      <c r="U35" s="67"/>
      <c r="V35" s="67"/>
      <c r="W35" s="67"/>
      <c r="X35" s="22"/>
      <c r="Y35" s="64" t="s">
        <v>2194</v>
      </c>
      <c r="Z35" s="128">
        <v>80000.0</v>
      </c>
      <c r="AA35" s="25"/>
      <c r="AB35" s="25"/>
      <c r="AC35" s="25"/>
      <c r="AD35" s="22"/>
    </row>
    <row r="36" ht="28.5" customHeight="1">
      <c r="A36" s="93">
        <v>11.0</v>
      </c>
      <c r="B36" s="1452">
        <v>44958.0</v>
      </c>
      <c r="C36" s="64">
        <v>1.700632983197E12</v>
      </c>
      <c r="D36" s="133" t="s">
        <v>1451</v>
      </c>
      <c r="E36" s="1103" t="s">
        <v>1452</v>
      </c>
      <c r="F36" s="133" t="s">
        <v>2195</v>
      </c>
      <c r="G36" s="63" t="s">
        <v>30</v>
      </c>
      <c r="H36" s="64">
        <v>5.0</v>
      </c>
      <c r="I36" s="1472">
        <f>VLOOKUP(G36,$Y$36:$Z$40,2,0)</f>
        <v>220000</v>
      </c>
      <c r="J36" s="577">
        <f>I36*H36</f>
        <v>1100000</v>
      </c>
      <c r="K36" s="76">
        <f t="shared" ref="K36:K37" si="8">SUM(J36)</f>
        <v>1100000</v>
      </c>
      <c r="L36" s="138"/>
      <c r="M36" s="136"/>
      <c r="N36" s="80">
        <f t="shared" ref="N36:N37" si="9">K36+L36-M36</f>
        <v>1100000</v>
      </c>
      <c r="O36" s="1446" t="s">
        <v>449</v>
      </c>
      <c r="P36" s="1446" t="s">
        <v>31</v>
      </c>
      <c r="Q36" s="82">
        <v>75501.0</v>
      </c>
      <c r="R36" s="83" t="s">
        <v>32</v>
      </c>
      <c r="S36" s="84" t="s">
        <v>33</v>
      </c>
      <c r="T36" s="63"/>
      <c r="U36" s="93"/>
      <c r="V36" s="1473"/>
      <c r="W36" s="92"/>
      <c r="X36" s="22"/>
      <c r="Y36" s="85" t="s">
        <v>142</v>
      </c>
      <c r="Z36" s="128">
        <v>220000.0</v>
      </c>
      <c r="AA36" s="25"/>
      <c r="AB36" s="25"/>
      <c r="AC36" s="25"/>
      <c r="AD36" s="22"/>
    </row>
    <row r="37" ht="23.25" customHeight="1">
      <c r="A37" s="64">
        <v>12.0</v>
      </c>
      <c r="B37" s="1452">
        <v>44959.0</v>
      </c>
      <c r="C37" s="1152">
        <v>1.688114134926E12</v>
      </c>
      <c r="D37" s="92" t="s">
        <v>2087</v>
      </c>
      <c r="E37" s="902" t="s">
        <v>45</v>
      </c>
      <c r="F37" s="92" t="s">
        <v>2196</v>
      </c>
      <c r="G37" s="63" t="s">
        <v>30</v>
      </c>
      <c r="H37" s="64">
        <v>6.0</v>
      </c>
      <c r="I37" s="1076">
        <f t="shared" ref="I37:I38" si="10">VLOOKUP(G37,$Y$37:$Z$40,2,0)</f>
        <v>220000</v>
      </c>
      <c r="J37" s="577">
        <f t="shared" ref="J37:J84" si="11">H37*I37</f>
        <v>1320000</v>
      </c>
      <c r="K37" s="76">
        <f t="shared" si="8"/>
        <v>1320000</v>
      </c>
      <c r="L37" s="1002"/>
      <c r="M37" s="136"/>
      <c r="N37" s="80">
        <f t="shared" si="9"/>
        <v>1320000</v>
      </c>
      <c r="O37" s="1446" t="s">
        <v>449</v>
      </c>
      <c r="P37" s="1446" t="s">
        <v>31</v>
      </c>
      <c r="Q37" s="108">
        <v>68998.0</v>
      </c>
      <c r="R37" s="83" t="s">
        <v>32</v>
      </c>
      <c r="S37" s="84" t="s">
        <v>33</v>
      </c>
      <c r="T37" s="92"/>
      <c r="U37" s="93"/>
      <c r="V37" s="1448">
        <v>2.0</v>
      </c>
      <c r="W37" s="92"/>
      <c r="X37" s="22"/>
      <c r="Y37" s="85" t="s">
        <v>145</v>
      </c>
      <c r="Z37" s="128">
        <v>220000.0</v>
      </c>
      <c r="AA37" s="25"/>
      <c r="AB37" s="25"/>
      <c r="AC37" s="25"/>
      <c r="AD37" s="22"/>
    </row>
    <row r="38" ht="36.0" customHeight="1">
      <c r="A38" s="111">
        <v>13.0</v>
      </c>
      <c r="B38" s="1457">
        <v>44959.0</v>
      </c>
      <c r="C38" s="1135">
        <v>1.697562560177E12</v>
      </c>
      <c r="D38" s="142" t="s">
        <v>714</v>
      </c>
      <c r="E38" s="1449" t="s">
        <v>715</v>
      </c>
      <c r="F38" s="44" t="s">
        <v>2197</v>
      </c>
      <c r="G38" s="63" t="s">
        <v>30</v>
      </c>
      <c r="H38" s="64">
        <v>1.0</v>
      </c>
      <c r="I38" s="1076">
        <f t="shared" si="10"/>
        <v>220000</v>
      </c>
      <c r="J38" s="577">
        <f t="shared" si="11"/>
        <v>220000</v>
      </c>
      <c r="K38" s="49">
        <f>SUM(J38:J39)</f>
        <v>440000</v>
      </c>
      <c r="L38" s="1242"/>
      <c r="M38" s="562"/>
      <c r="N38" s="53">
        <f>K38-M38</f>
        <v>440000</v>
      </c>
      <c r="O38" s="1441" t="s">
        <v>449</v>
      </c>
      <c r="P38" s="1441" t="s">
        <v>31</v>
      </c>
      <c r="Q38" s="145"/>
      <c r="R38" s="56"/>
      <c r="S38" s="57" t="s">
        <v>33</v>
      </c>
      <c r="T38" s="142"/>
      <c r="U38" s="111"/>
      <c r="V38" s="1474"/>
      <c r="W38" s="142"/>
      <c r="X38" s="22"/>
      <c r="Y38" s="85" t="s">
        <v>153</v>
      </c>
      <c r="Z38" s="128">
        <v>45000.0</v>
      </c>
      <c r="AA38" s="25"/>
      <c r="AB38" s="25"/>
      <c r="AC38" s="25"/>
      <c r="AD38" s="22"/>
    </row>
    <row r="39" ht="23.25" customHeight="1">
      <c r="A39" s="67"/>
      <c r="B39" s="67"/>
      <c r="C39" s="67"/>
      <c r="D39" s="67"/>
      <c r="E39" s="67"/>
      <c r="F39" s="67"/>
      <c r="G39" s="63" t="s">
        <v>122</v>
      </c>
      <c r="H39" s="64">
        <v>1.0</v>
      </c>
      <c r="I39" s="1200">
        <v>220000.0</v>
      </c>
      <c r="J39" s="48">
        <f t="shared" si="11"/>
        <v>220000</v>
      </c>
      <c r="K39" s="67"/>
      <c r="L39" s="67"/>
      <c r="M39" s="67"/>
      <c r="N39" s="67"/>
      <c r="O39" s="67"/>
      <c r="P39" s="67"/>
      <c r="Q39" s="67"/>
      <c r="R39" s="67"/>
      <c r="S39" s="67"/>
      <c r="T39" s="67"/>
      <c r="U39" s="67"/>
      <c r="V39" s="67"/>
      <c r="W39" s="67"/>
      <c r="X39" s="22"/>
      <c r="Y39" s="139" t="s">
        <v>151</v>
      </c>
      <c r="Z39" s="140">
        <v>220000.0</v>
      </c>
      <c r="AA39" s="25"/>
      <c r="AB39" s="25"/>
      <c r="AC39" s="25"/>
      <c r="AD39" s="22"/>
    </row>
    <row r="40" ht="23.25" customHeight="1">
      <c r="A40" s="104">
        <v>14.0</v>
      </c>
      <c r="B40" s="1452">
        <v>44960.0</v>
      </c>
      <c r="C40" s="1152">
        <v>1.685634873754E12</v>
      </c>
      <c r="D40" s="92" t="s">
        <v>2198</v>
      </c>
      <c r="E40" s="902" t="s">
        <v>2199</v>
      </c>
      <c r="F40" s="92" t="s">
        <v>2200</v>
      </c>
      <c r="G40" s="63" t="s">
        <v>30</v>
      </c>
      <c r="H40" s="64">
        <v>3.0</v>
      </c>
      <c r="I40" s="1200">
        <v>220000.0</v>
      </c>
      <c r="J40" s="48">
        <f t="shared" si="11"/>
        <v>660000</v>
      </c>
      <c r="K40" s="76">
        <f>SUM(J40)</f>
        <v>660000</v>
      </c>
      <c r="L40" s="1002"/>
      <c r="M40" s="136"/>
      <c r="N40" s="80">
        <f t="shared" ref="N40:N41" si="12">K40+L40-M40</f>
        <v>660000</v>
      </c>
      <c r="O40" s="1446" t="s">
        <v>449</v>
      </c>
      <c r="P40" s="1446" t="s">
        <v>31</v>
      </c>
      <c r="Q40" s="108">
        <v>21501.0</v>
      </c>
      <c r="R40" s="83" t="s">
        <v>32</v>
      </c>
      <c r="S40" s="84" t="s">
        <v>33</v>
      </c>
      <c r="T40" s="92"/>
      <c r="U40" s="93"/>
      <c r="V40" s="1448">
        <v>1.0</v>
      </c>
      <c r="W40" s="92"/>
      <c r="X40" s="22"/>
      <c r="Y40" s="65" t="s">
        <v>148</v>
      </c>
      <c r="Z40" s="66">
        <v>220000.0</v>
      </c>
      <c r="AA40" s="25"/>
      <c r="AB40" s="25"/>
      <c r="AC40" s="25"/>
      <c r="AD40" s="22"/>
    </row>
    <row r="41" ht="23.25" customHeight="1">
      <c r="A41" s="1475">
        <v>15.0</v>
      </c>
      <c r="B41" s="1466">
        <v>44960.0</v>
      </c>
      <c r="C41" s="1476">
        <v>1.686543633046E12</v>
      </c>
      <c r="D41" s="1477" t="s">
        <v>2201</v>
      </c>
      <c r="E41" s="1478" t="s">
        <v>2202</v>
      </c>
      <c r="F41" s="1477" t="s">
        <v>2203</v>
      </c>
      <c r="G41" s="63" t="s">
        <v>30</v>
      </c>
      <c r="H41" s="64">
        <v>1.0</v>
      </c>
      <c r="I41" s="1200">
        <v>220000.0</v>
      </c>
      <c r="J41" s="48">
        <f t="shared" si="11"/>
        <v>220000</v>
      </c>
      <c r="K41" s="49">
        <f>SUM(J41:J42)</f>
        <v>440000</v>
      </c>
      <c r="L41" s="1242">
        <v>50999.0</v>
      </c>
      <c r="M41" s="1149">
        <v>20999.0</v>
      </c>
      <c r="N41" s="53">
        <f t="shared" si="12"/>
        <v>470000</v>
      </c>
      <c r="O41" s="1441" t="s">
        <v>449</v>
      </c>
      <c r="P41" s="1441" t="s">
        <v>31</v>
      </c>
      <c r="Q41" s="145"/>
      <c r="R41" s="56"/>
      <c r="S41" s="57" t="s">
        <v>33</v>
      </c>
      <c r="T41" s="142"/>
      <c r="U41" s="111"/>
      <c r="V41" s="1474"/>
      <c r="W41" s="142"/>
      <c r="X41" s="22"/>
      <c r="Y41" s="93" t="s">
        <v>488</v>
      </c>
      <c r="Z41" s="87">
        <v>45000.0</v>
      </c>
      <c r="AA41" s="25"/>
      <c r="AB41" s="25"/>
      <c r="AC41" s="25"/>
      <c r="AD41" s="22"/>
    </row>
    <row r="42" ht="23.25" customHeight="1">
      <c r="A42" s="67"/>
      <c r="B42" s="67"/>
      <c r="C42" s="102"/>
      <c r="D42" s="67"/>
      <c r="E42" s="67"/>
      <c r="F42" s="67"/>
      <c r="G42" s="63" t="s">
        <v>35</v>
      </c>
      <c r="H42" s="64">
        <v>1.0</v>
      </c>
      <c r="I42" s="1200">
        <v>220000.0</v>
      </c>
      <c r="J42" s="48">
        <f t="shared" si="11"/>
        <v>220000</v>
      </c>
      <c r="K42" s="67"/>
      <c r="L42" s="67"/>
      <c r="M42" s="67"/>
      <c r="N42" s="67"/>
      <c r="O42" s="67"/>
      <c r="P42" s="67"/>
      <c r="Q42" s="67"/>
      <c r="R42" s="67"/>
      <c r="S42" s="67"/>
      <c r="T42" s="67"/>
      <c r="U42" s="67"/>
      <c r="V42" s="67"/>
      <c r="W42" s="67"/>
      <c r="X42" s="22"/>
      <c r="Y42" s="93" t="s">
        <v>412</v>
      </c>
      <c r="Z42" s="87">
        <v>45000.0</v>
      </c>
      <c r="AA42" s="25"/>
      <c r="AB42" s="25"/>
      <c r="AC42" s="25"/>
      <c r="AD42" s="22"/>
    </row>
    <row r="43" ht="23.25" customHeight="1">
      <c r="A43" s="111">
        <v>16.0</v>
      </c>
      <c r="B43" s="112">
        <v>44960.0</v>
      </c>
      <c r="C43" s="1244">
        <v>1.699320311695E12</v>
      </c>
      <c r="D43" s="142" t="s">
        <v>2072</v>
      </c>
      <c r="E43" s="1449" t="s">
        <v>2073</v>
      </c>
      <c r="F43" s="44" t="s">
        <v>2204</v>
      </c>
      <c r="G43" s="68" t="s">
        <v>58</v>
      </c>
      <c r="H43" s="64">
        <v>1.0</v>
      </c>
      <c r="I43" s="1200">
        <v>220000.0</v>
      </c>
      <c r="J43" s="48">
        <f t="shared" si="11"/>
        <v>220000</v>
      </c>
      <c r="K43" s="49">
        <f>SUM(J43:J45)</f>
        <v>660000</v>
      </c>
      <c r="L43" s="1009"/>
      <c r="M43" s="562"/>
      <c r="N43" s="53">
        <f>K43+L43-M43</f>
        <v>660000</v>
      </c>
      <c r="O43" s="1441" t="s">
        <v>449</v>
      </c>
      <c r="P43" s="1441" t="s">
        <v>31</v>
      </c>
      <c r="Q43" s="145">
        <v>53999.0</v>
      </c>
      <c r="R43" s="56" t="s">
        <v>32</v>
      </c>
      <c r="S43" s="57" t="s">
        <v>33</v>
      </c>
      <c r="T43" s="142"/>
      <c r="U43" s="111"/>
      <c r="V43" s="1479">
        <v>1.0</v>
      </c>
      <c r="W43" s="142"/>
      <c r="X43" s="22"/>
      <c r="Y43" s="9"/>
      <c r="Z43" s="204"/>
      <c r="AA43" s="25"/>
      <c r="AB43" s="25"/>
      <c r="AC43" s="25"/>
      <c r="AD43" s="22"/>
    </row>
    <row r="44" ht="23.25" customHeight="1">
      <c r="A44" s="62"/>
      <c r="B44" s="62"/>
      <c r="C44" s="423"/>
      <c r="D44" s="62"/>
      <c r="E44" s="62"/>
      <c r="F44" s="62"/>
      <c r="G44" s="68" t="s">
        <v>35</v>
      </c>
      <c r="H44" s="64">
        <v>1.0</v>
      </c>
      <c r="I44" s="1200">
        <v>220000.0</v>
      </c>
      <c r="J44" s="48">
        <f t="shared" si="11"/>
        <v>220000</v>
      </c>
      <c r="K44" s="62"/>
      <c r="L44" s="62"/>
      <c r="M44" s="62"/>
      <c r="N44" s="62"/>
      <c r="O44" s="62"/>
      <c r="P44" s="62"/>
      <c r="Q44" s="62"/>
      <c r="R44" s="62"/>
      <c r="S44" s="62"/>
      <c r="T44" s="62"/>
      <c r="U44" s="62"/>
      <c r="V44" s="62"/>
      <c r="W44" s="62"/>
      <c r="X44" s="22"/>
      <c r="Y44" s="9"/>
      <c r="Z44" s="204"/>
      <c r="AA44" s="25"/>
      <c r="AB44" s="25"/>
      <c r="AC44" s="25"/>
      <c r="AD44" s="22"/>
    </row>
    <row r="45" ht="23.25" customHeight="1">
      <c r="A45" s="67"/>
      <c r="B45" s="67"/>
      <c r="C45" s="102"/>
      <c r="D45" s="67"/>
      <c r="E45" s="67"/>
      <c r="F45" s="67"/>
      <c r="G45" s="68" t="s">
        <v>30</v>
      </c>
      <c r="H45" s="64">
        <v>1.0</v>
      </c>
      <c r="I45" s="1200">
        <v>220000.0</v>
      </c>
      <c r="J45" s="48">
        <f t="shared" si="11"/>
        <v>220000</v>
      </c>
      <c r="K45" s="67"/>
      <c r="L45" s="67"/>
      <c r="M45" s="67"/>
      <c r="N45" s="67"/>
      <c r="O45" s="67"/>
      <c r="P45" s="67"/>
      <c r="Q45" s="67"/>
      <c r="R45" s="67"/>
      <c r="S45" s="67"/>
      <c r="T45" s="67"/>
      <c r="U45" s="67"/>
      <c r="V45" s="67"/>
      <c r="W45" s="67"/>
      <c r="X45" s="22"/>
      <c r="Y45" s="9"/>
      <c r="Z45" s="204"/>
      <c r="AA45" s="25"/>
      <c r="AB45" s="25"/>
      <c r="AC45" s="25"/>
      <c r="AD45" s="22"/>
    </row>
    <row r="46" ht="23.25" customHeight="1">
      <c r="A46" s="111">
        <v>17.0</v>
      </c>
      <c r="B46" s="112">
        <v>44963.0</v>
      </c>
      <c r="C46" s="1244">
        <v>1.683349441926E12</v>
      </c>
      <c r="D46" s="142" t="s">
        <v>2205</v>
      </c>
      <c r="E46" s="1449" t="s">
        <v>2206</v>
      </c>
      <c r="F46" s="142" t="s">
        <v>2207</v>
      </c>
      <c r="G46" s="68" t="s">
        <v>30</v>
      </c>
      <c r="H46" s="64">
        <v>1.0</v>
      </c>
      <c r="I46" s="1200">
        <v>220000.0</v>
      </c>
      <c r="J46" s="48">
        <f t="shared" si="11"/>
        <v>220000</v>
      </c>
      <c r="K46" s="49">
        <f>SUM(J46:J48)</f>
        <v>660000</v>
      </c>
      <c r="L46" s="1009"/>
      <c r="M46" s="562"/>
      <c r="N46" s="53">
        <f>K46+L46-M46</f>
        <v>660000</v>
      </c>
      <c r="O46" s="1441" t="s">
        <v>449</v>
      </c>
      <c r="P46" s="1441" t="s">
        <v>31</v>
      </c>
      <c r="Q46" s="145">
        <v>53999.0</v>
      </c>
      <c r="R46" s="56" t="s">
        <v>32</v>
      </c>
      <c r="S46" s="57" t="s">
        <v>33</v>
      </c>
      <c r="T46" s="142"/>
      <c r="U46" s="111"/>
      <c r="V46" s="1479">
        <v>1.0</v>
      </c>
      <c r="W46" s="142"/>
      <c r="X46" s="22"/>
      <c r="Y46" s="9"/>
      <c r="Z46" s="204"/>
      <c r="AA46" s="25"/>
      <c r="AB46" s="25"/>
      <c r="AC46" s="25"/>
      <c r="AD46" s="22"/>
    </row>
    <row r="47" ht="23.25" customHeight="1">
      <c r="A47" s="62"/>
      <c r="B47" s="62"/>
      <c r="C47" s="423"/>
      <c r="D47" s="62"/>
      <c r="E47" s="62"/>
      <c r="F47" s="62"/>
      <c r="G47" s="68" t="s">
        <v>290</v>
      </c>
      <c r="H47" s="64">
        <v>1.0</v>
      </c>
      <c r="I47" s="1200">
        <v>220000.0</v>
      </c>
      <c r="J47" s="48">
        <f t="shared" si="11"/>
        <v>220000</v>
      </c>
      <c r="K47" s="62"/>
      <c r="L47" s="62"/>
      <c r="M47" s="62"/>
      <c r="N47" s="62"/>
      <c r="O47" s="62"/>
      <c r="P47" s="62"/>
      <c r="Q47" s="62"/>
      <c r="R47" s="62"/>
      <c r="S47" s="62"/>
      <c r="T47" s="62"/>
      <c r="U47" s="62"/>
      <c r="V47" s="62"/>
      <c r="W47" s="62"/>
      <c r="X47" s="22"/>
      <c r="Y47" s="9"/>
      <c r="Z47" s="204"/>
      <c r="AA47" s="25"/>
      <c r="AB47" s="25"/>
      <c r="AC47" s="25"/>
      <c r="AD47" s="22"/>
    </row>
    <row r="48" ht="23.25" customHeight="1">
      <c r="A48" s="67"/>
      <c r="B48" s="67"/>
      <c r="C48" s="102"/>
      <c r="D48" s="67"/>
      <c r="E48" s="67"/>
      <c r="F48" s="67"/>
      <c r="G48" s="68" t="s">
        <v>35</v>
      </c>
      <c r="H48" s="64">
        <v>1.0</v>
      </c>
      <c r="I48" s="1200">
        <v>220000.0</v>
      </c>
      <c r="J48" s="48">
        <f t="shared" si="11"/>
        <v>220000</v>
      </c>
      <c r="K48" s="67"/>
      <c r="L48" s="67"/>
      <c r="M48" s="67"/>
      <c r="N48" s="67"/>
      <c r="O48" s="67"/>
      <c r="P48" s="67"/>
      <c r="Q48" s="67"/>
      <c r="R48" s="67"/>
      <c r="S48" s="67"/>
      <c r="T48" s="67"/>
      <c r="U48" s="67"/>
      <c r="V48" s="67"/>
      <c r="W48" s="67"/>
      <c r="X48" s="22"/>
      <c r="Y48" s="9"/>
      <c r="Z48" s="204"/>
      <c r="AA48" s="25"/>
      <c r="AB48" s="25"/>
      <c r="AC48" s="25"/>
      <c r="AD48" s="22"/>
    </row>
    <row r="49" ht="23.25" customHeight="1">
      <c r="A49" s="104">
        <v>18.0</v>
      </c>
      <c r="B49" s="103">
        <v>44964.0</v>
      </c>
      <c r="C49" s="1425">
        <v>1.681859637661E12</v>
      </c>
      <c r="D49" s="92" t="s">
        <v>2208</v>
      </c>
      <c r="E49" s="902" t="s">
        <v>2209</v>
      </c>
      <c r="F49" s="1480" t="s">
        <v>2210</v>
      </c>
      <c r="G49" s="68" t="s">
        <v>30</v>
      </c>
      <c r="H49" s="64">
        <v>1.0</v>
      </c>
      <c r="I49" s="1200">
        <v>220000.0</v>
      </c>
      <c r="J49" s="48">
        <f t="shared" si="11"/>
        <v>220000</v>
      </c>
      <c r="K49" s="76">
        <f t="shared" ref="K49:K51" si="13">SUM(J49)</f>
        <v>220000</v>
      </c>
      <c r="L49" s="1454">
        <v>45000.0</v>
      </c>
      <c r="M49" s="1455">
        <v>25000.0</v>
      </c>
      <c r="N49" s="80">
        <f t="shared" ref="N49:N52" si="14">K49+L49-M49</f>
        <v>240000</v>
      </c>
      <c r="O49" s="1446" t="s">
        <v>449</v>
      </c>
      <c r="P49" s="1446" t="s">
        <v>31</v>
      </c>
      <c r="Q49" s="108"/>
      <c r="R49" s="83"/>
      <c r="S49" s="84" t="s">
        <v>33</v>
      </c>
      <c r="T49" s="92"/>
      <c r="U49" s="93"/>
      <c r="V49" s="1473"/>
      <c r="W49" s="92"/>
      <c r="X49" s="22"/>
      <c r="Y49" s="9"/>
      <c r="Z49" s="204"/>
      <c r="AA49" s="25"/>
      <c r="AB49" s="25"/>
      <c r="AC49" s="25"/>
      <c r="AD49" s="22"/>
    </row>
    <row r="50" ht="23.25" customHeight="1">
      <c r="A50" s="104">
        <v>19.0</v>
      </c>
      <c r="B50" s="103">
        <v>44964.0</v>
      </c>
      <c r="C50" s="1425">
        <v>1.689117548706E12</v>
      </c>
      <c r="D50" s="92" t="s">
        <v>1615</v>
      </c>
      <c r="E50" s="902" t="s">
        <v>2211</v>
      </c>
      <c r="F50" s="92" t="s">
        <v>2212</v>
      </c>
      <c r="G50" s="68" t="s">
        <v>35</v>
      </c>
      <c r="H50" s="64">
        <v>2.0</v>
      </c>
      <c r="I50" s="1200">
        <v>220000.0</v>
      </c>
      <c r="J50" s="48">
        <f t="shared" si="11"/>
        <v>440000</v>
      </c>
      <c r="K50" s="76">
        <f t="shared" si="13"/>
        <v>440000</v>
      </c>
      <c r="L50" s="1454">
        <v>43999.0</v>
      </c>
      <c r="M50" s="1455">
        <v>13999.0</v>
      </c>
      <c r="N50" s="80">
        <f t="shared" si="14"/>
        <v>470000</v>
      </c>
      <c r="O50" s="1446" t="s">
        <v>449</v>
      </c>
      <c r="P50" s="1446" t="s">
        <v>31</v>
      </c>
      <c r="Q50" s="108"/>
      <c r="R50" s="83"/>
      <c r="S50" s="84" t="s">
        <v>33</v>
      </c>
      <c r="T50" s="92"/>
      <c r="U50" s="93"/>
      <c r="V50" s="1473"/>
      <c r="W50" s="92"/>
      <c r="X50" s="22"/>
      <c r="Y50" s="9"/>
      <c r="Z50" s="204"/>
      <c r="AA50" s="25"/>
      <c r="AB50" s="25"/>
      <c r="AC50" s="25"/>
      <c r="AD50" s="22"/>
    </row>
    <row r="51" ht="23.25" customHeight="1">
      <c r="A51" s="104">
        <v>20.0</v>
      </c>
      <c r="B51" s="103">
        <v>44964.0</v>
      </c>
      <c r="C51" s="1425">
        <v>1.697895670767E12</v>
      </c>
      <c r="D51" s="92" t="s">
        <v>2213</v>
      </c>
      <c r="E51" s="902" t="s">
        <v>2214</v>
      </c>
      <c r="F51" s="1153" t="s">
        <v>2215</v>
      </c>
      <c r="G51" s="68" t="s">
        <v>47</v>
      </c>
      <c r="H51" s="64">
        <v>3.0</v>
      </c>
      <c r="I51" s="1200">
        <v>220000.0</v>
      </c>
      <c r="J51" s="48">
        <f t="shared" si="11"/>
        <v>660000</v>
      </c>
      <c r="K51" s="76">
        <f t="shared" si="13"/>
        <v>660000</v>
      </c>
      <c r="L51" s="1002"/>
      <c r="M51" s="136"/>
      <c r="N51" s="80">
        <f t="shared" si="14"/>
        <v>660000</v>
      </c>
      <c r="O51" s="1446" t="s">
        <v>449</v>
      </c>
      <c r="P51" s="1446" t="s">
        <v>31</v>
      </c>
      <c r="Q51" s="108">
        <v>53999.0</v>
      </c>
      <c r="R51" s="83" t="s">
        <v>32</v>
      </c>
      <c r="S51" s="84" t="s">
        <v>33</v>
      </c>
      <c r="T51" s="92"/>
      <c r="U51" s="93"/>
      <c r="V51" s="1448">
        <v>1.0</v>
      </c>
      <c r="W51" s="92"/>
      <c r="X51" s="22"/>
      <c r="Y51" s="9"/>
      <c r="Z51" s="204"/>
      <c r="AA51" s="25"/>
      <c r="AB51" s="25"/>
      <c r="AC51" s="25"/>
      <c r="AD51" s="22"/>
    </row>
    <row r="52" ht="23.25" customHeight="1">
      <c r="A52" s="152">
        <v>21.0</v>
      </c>
      <c r="B52" s="112">
        <v>44965.0</v>
      </c>
      <c r="C52" s="1244">
        <v>1.699648333376E12</v>
      </c>
      <c r="D52" s="142" t="s">
        <v>1365</v>
      </c>
      <c r="E52" s="1449" t="s">
        <v>2216</v>
      </c>
      <c r="F52" s="44" t="s">
        <v>2217</v>
      </c>
      <c r="G52" s="68" t="s">
        <v>382</v>
      </c>
      <c r="H52" s="64">
        <v>1.0</v>
      </c>
      <c r="I52" s="1200">
        <v>220000.0</v>
      </c>
      <c r="J52" s="48">
        <f t="shared" si="11"/>
        <v>220000</v>
      </c>
      <c r="K52" s="49">
        <f>SUM(J52:J54)</f>
        <v>660000</v>
      </c>
      <c r="L52" s="1009"/>
      <c r="M52" s="562"/>
      <c r="N52" s="53">
        <f t="shared" si="14"/>
        <v>660000</v>
      </c>
      <c r="O52" s="1441" t="s">
        <v>449</v>
      </c>
      <c r="P52" s="1441" t="s">
        <v>31</v>
      </c>
      <c r="Q52" s="145">
        <v>53999.0</v>
      </c>
      <c r="R52" s="56" t="s">
        <v>32</v>
      </c>
      <c r="S52" s="57" t="s">
        <v>33</v>
      </c>
      <c r="T52" s="142"/>
      <c r="U52" s="111"/>
      <c r="V52" s="1479">
        <v>1.0</v>
      </c>
      <c r="W52" s="142"/>
      <c r="X52" s="22"/>
      <c r="Y52" s="9"/>
      <c r="Z52" s="204"/>
      <c r="AA52" s="25"/>
      <c r="AB52" s="25"/>
      <c r="AC52" s="25"/>
      <c r="AD52" s="22"/>
    </row>
    <row r="53" ht="23.25" customHeight="1">
      <c r="A53" s="62"/>
      <c r="B53" s="62"/>
      <c r="C53" s="423"/>
      <c r="D53" s="62"/>
      <c r="E53" s="62"/>
      <c r="F53" s="62"/>
      <c r="G53" s="68" t="s">
        <v>122</v>
      </c>
      <c r="H53" s="64">
        <v>1.0</v>
      </c>
      <c r="I53" s="1200">
        <v>220000.0</v>
      </c>
      <c r="J53" s="48">
        <f t="shared" si="11"/>
        <v>220000</v>
      </c>
      <c r="K53" s="62"/>
      <c r="L53" s="62"/>
      <c r="M53" s="62"/>
      <c r="N53" s="62"/>
      <c r="O53" s="62"/>
      <c r="P53" s="62"/>
      <c r="Q53" s="62"/>
      <c r="R53" s="62"/>
      <c r="S53" s="62"/>
      <c r="T53" s="62"/>
      <c r="U53" s="62"/>
      <c r="V53" s="62"/>
      <c r="W53" s="62"/>
      <c r="X53" s="22"/>
      <c r="Y53" s="9"/>
      <c r="Z53" s="204"/>
      <c r="AA53" s="25"/>
      <c r="AB53" s="25"/>
      <c r="AC53" s="25"/>
      <c r="AD53" s="22"/>
    </row>
    <row r="54" ht="23.25" customHeight="1">
      <c r="A54" s="67"/>
      <c r="B54" s="67"/>
      <c r="C54" s="102"/>
      <c r="D54" s="67"/>
      <c r="E54" s="67"/>
      <c r="F54" s="67"/>
      <c r="G54" s="68" t="s">
        <v>30</v>
      </c>
      <c r="H54" s="64">
        <v>1.0</v>
      </c>
      <c r="I54" s="1200">
        <v>220000.0</v>
      </c>
      <c r="J54" s="48">
        <f t="shared" si="11"/>
        <v>220000</v>
      </c>
      <c r="K54" s="67"/>
      <c r="L54" s="67"/>
      <c r="M54" s="67"/>
      <c r="N54" s="67"/>
      <c r="O54" s="67"/>
      <c r="P54" s="67"/>
      <c r="Q54" s="67"/>
      <c r="R54" s="67"/>
      <c r="S54" s="67"/>
      <c r="T54" s="67"/>
      <c r="U54" s="67"/>
      <c r="V54" s="67"/>
      <c r="W54" s="67"/>
      <c r="X54" s="22"/>
      <c r="Y54" s="9"/>
      <c r="Z54" s="204"/>
      <c r="AA54" s="25"/>
      <c r="AB54" s="25"/>
      <c r="AC54" s="25"/>
      <c r="AD54" s="22"/>
    </row>
    <row r="55" ht="23.25" customHeight="1">
      <c r="A55" s="152">
        <v>22.0</v>
      </c>
      <c r="B55" s="112">
        <v>44966.0</v>
      </c>
      <c r="C55" s="1135">
        <v>1.681882557039E12</v>
      </c>
      <c r="D55" s="142" t="s">
        <v>2218</v>
      </c>
      <c r="E55" s="1449" t="s">
        <v>2219</v>
      </c>
      <c r="F55" s="44" t="s">
        <v>2220</v>
      </c>
      <c r="G55" s="68" t="s">
        <v>30</v>
      </c>
      <c r="H55" s="64">
        <v>1.0</v>
      </c>
      <c r="I55" s="1200">
        <v>220000.0</v>
      </c>
      <c r="J55" s="48">
        <f t="shared" si="11"/>
        <v>220000</v>
      </c>
      <c r="K55" s="49">
        <f>SUM(J55:J57)</f>
        <v>660000</v>
      </c>
      <c r="L55" s="1009"/>
      <c r="M55" s="562"/>
      <c r="N55" s="53">
        <f>K55+L55-M55</f>
        <v>660000</v>
      </c>
      <c r="O55" s="1441" t="s">
        <v>449</v>
      </c>
      <c r="P55" s="1441" t="s">
        <v>31</v>
      </c>
      <c r="Q55" s="145">
        <v>53999.0</v>
      </c>
      <c r="R55" s="56" t="s">
        <v>32</v>
      </c>
      <c r="S55" s="57" t="s">
        <v>33</v>
      </c>
      <c r="T55" s="142"/>
      <c r="U55" s="111"/>
      <c r="V55" s="1479">
        <v>1.0</v>
      </c>
      <c r="W55" s="142"/>
      <c r="X55" s="22"/>
      <c r="Y55" s="9"/>
      <c r="Z55" s="204"/>
      <c r="AA55" s="25"/>
      <c r="AB55" s="25"/>
      <c r="AC55" s="25"/>
      <c r="AD55" s="22"/>
    </row>
    <row r="56" ht="23.25" customHeight="1">
      <c r="A56" s="62"/>
      <c r="B56" s="62"/>
      <c r="C56" s="62"/>
      <c r="D56" s="62"/>
      <c r="E56" s="62"/>
      <c r="F56" s="62"/>
      <c r="G56" s="68" t="s">
        <v>35</v>
      </c>
      <c r="H56" s="64">
        <v>1.0</v>
      </c>
      <c r="I56" s="1200">
        <v>220000.0</v>
      </c>
      <c r="J56" s="48">
        <f t="shared" si="11"/>
        <v>220000</v>
      </c>
      <c r="K56" s="62"/>
      <c r="L56" s="62"/>
      <c r="M56" s="62"/>
      <c r="N56" s="62"/>
      <c r="O56" s="62"/>
      <c r="P56" s="62"/>
      <c r="Q56" s="62"/>
      <c r="R56" s="62"/>
      <c r="S56" s="62"/>
      <c r="T56" s="62"/>
      <c r="U56" s="62"/>
      <c r="V56" s="62"/>
      <c r="W56" s="62"/>
      <c r="X56" s="22"/>
      <c r="Y56" s="9"/>
      <c r="Z56" s="204"/>
      <c r="AA56" s="25"/>
      <c r="AB56" s="25"/>
      <c r="AC56" s="25"/>
      <c r="AD56" s="22"/>
    </row>
    <row r="57" ht="23.25" customHeight="1">
      <c r="A57" s="67"/>
      <c r="B57" s="67"/>
      <c r="C57" s="67"/>
      <c r="D57" s="67"/>
      <c r="E57" s="67"/>
      <c r="F57" s="67"/>
      <c r="G57" s="68" t="s">
        <v>47</v>
      </c>
      <c r="H57" s="64">
        <v>1.0</v>
      </c>
      <c r="I57" s="1200">
        <v>220000.0</v>
      </c>
      <c r="J57" s="48">
        <f t="shared" si="11"/>
        <v>220000</v>
      </c>
      <c r="K57" s="67"/>
      <c r="L57" s="67"/>
      <c r="M57" s="67"/>
      <c r="N57" s="67"/>
      <c r="O57" s="67"/>
      <c r="P57" s="67"/>
      <c r="Q57" s="67"/>
      <c r="R57" s="67"/>
      <c r="S57" s="67"/>
      <c r="T57" s="67"/>
      <c r="U57" s="67"/>
      <c r="V57" s="67"/>
      <c r="W57" s="67"/>
      <c r="X57" s="22"/>
      <c r="Y57" s="9"/>
      <c r="Z57" s="204"/>
      <c r="AA57" s="25"/>
      <c r="AB57" s="25"/>
      <c r="AC57" s="25"/>
      <c r="AD57" s="22"/>
    </row>
    <row r="58" ht="23.25" customHeight="1">
      <c r="A58" s="93">
        <v>23.0</v>
      </c>
      <c r="B58" s="103">
        <v>44967.0</v>
      </c>
      <c r="C58" s="1425">
        <v>1.698978742363E12</v>
      </c>
      <c r="D58" s="92" t="s">
        <v>2221</v>
      </c>
      <c r="E58" s="902" t="s">
        <v>2222</v>
      </c>
      <c r="F58" s="1481" t="s">
        <v>2223</v>
      </c>
      <c r="G58" s="68" t="s">
        <v>30</v>
      </c>
      <c r="H58" s="64">
        <v>3.0</v>
      </c>
      <c r="I58" s="1200">
        <v>220000.0</v>
      </c>
      <c r="J58" s="48">
        <f t="shared" si="11"/>
        <v>660000</v>
      </c>
      <c r="K58" s="76">
        <f>SUM(J58)</f>
        <v>660000</v>
      </c>
      <c r="L58" s="1002"/>
      <c r="M58" s="136"/>
      <c r="N58" s="80">
        <f t="shared" ref="N58:N59" si="15">K58+L58-M58</f>
        <v>660000</v>
      </c>
      <c r="O58" s="1446" t="s">
        <v>449</v>
      </c>
      <c r="P58" s="1446" t="s">
        <v>31</v>
      </c>
      <c r="Q58" s="108">
        <v>46999.0</v>
      </c>
      <c r="R58" s="83" t="s">
        <v>32</v>
      </c>
      <c r="S58" s="84" t="s">
        <v>33</v>
      </c>
      <c r="T58" s="92"/>
      <c r="U58" s="93"/>
      <c r="V58" s="1448">
        <v>1.0</v>
      </c>
      <c r="W58" s="92"/>
      <c r="X58" s="22"/>
      <c r="Y58" s="9"/>
      <c r="Z58" s="204"/>
      <c r="AA58" s="25"/>
      <c r="AB58" s="25"/>
      <c r="AC58" s="25"/>
      <c r="AD58" s="22"/>
    </row>
    <row r="59" ht="23.25" customHeight="1">
      <c r="A59" s="111">
        <v>24.0</v>
      </c>
      <c r="B59" s="112">
        <v>44967.0</v>
      </c>
      <c r="C59" s="1244">
        <v>1.700815011267E12</v>
      </c>
      <c r="D59" s="142" t="s">
        <v>1761</v>
      </c>
      <c r="E59" s="1449" t="s">
        <v>1762</v>
      </c>
      <c r="F59" s="142" t="s">
        <v>2224</v>
      </c>
      <c r="G59" s="68" t="s">
        <v>30</v>
      </c>
      <c r="H59" s="64">
        <v>1.0</v>
      </c>
      <c r="I59" s="1200">
        <v>220000.0</v>
      </c>
      <c r="J59" s="48">
        <f t="shared" si="11"/>
        <v>220000</v>
      </c>
      <c r="K59" s="49">
        <f>SUM(J59:J61)</f>
        <v>660000</v>
      </c>
      <c r="L59" s="1009"/>
      <c r="M59" s="562"/>
      <c r="N59" s="53">
        <f t="shared" si="15"/>
        <v>660000</v>
      </c>
      <c r="O59" s="1441" t="s">
        <v>449</v>
      </c>
      <c r="P59" s="1441" t="s">
        <v>31</v>
      </c>
      <c r="Q59" s="145">
        <v>53999.0</v>
      </c>
      <c r="R59" s="56" t="s">
        <v>32</v>
      </c>
      <c r="S59" s="57" t="s">
        <v>33</v>
      </c>
      <c r="T59" s="142"/>
      <c r="U59" s="111"/>
      <c r="V59" s="1479">
        <v>1.0</v>
      </c>
      <c r="W59" s="142"/>
      <c r="X59" s="22"/>
      <c r="Y59" s="9"/>
      <c r="Z59" s="204"/>
      <c r="AA59" s="25"/>
      <c r="AB59" s="25"/>
      <c r="AC59" s="25"/>
      <c r="AD59" s="22"/>
    </row>
    <row r="60" ht="23.25" customHeight="1">
      <c r="A60" s="62"/>
      <c r="B60" s="62"/>
      <c r="C60" s="423"/>
      <c r="D60" s="62"/>
      <c r="E60" s="62"/>
      <c r="F60" s="62"/>
      <c r="G60" s="68" t="s">
        <v>35</v>
      </c>
      <c r="H60" s="64">
        <v>1.0</v>
      </c>
      <c r="I60" s="1200">
        <v>220000.0</v>
      </c>
      <c r="J60" s="48">
        <f t="shared" si="11"/>
        <v>220000</v>
      </c>
      <c r="K60" s="62"/>
      <c r="L60" s="62"/>
      <c r="M60" s="62"/>
      <c r="N60" s="62"/>
      <c r="O60" s="62"/>
      <c r="P60" s="62"/>
      <c r="Q60" s="62"/>
      <c r="R60" s="62"/>
      <c r="S60" s="62"/>
      <c r="T60" s="62"/>
      <c r="U60" s="62"/>
      <c r="V60" s="62"/>
      <c r="W60" s="62"/>
      <c r="X60" s="22"/>
      <c r="Y60" s="9"/>
      <c r="Z60" s="204"/>
      <c r="AA60" s="25"/>
      <c r="AB60" s="25"/>
      <c r="AC60" s="25"/>
      <c r="AD60" s="22"/>
    </row>
    <row r="61" ht="23.25" customHeight="1">
      <c r="A61" s="67"/>
      <c r="B61" s="67"/>
      <c r="C61" s="102"/>
      <c r="D61" s="67"/>
      <c r="E61" s="67"/>
      <c r="F61" s="67"/>
      <c r="G61" s="68" t="s">
        <v>165</v>
      </c>
      <c r="H61" s="64">
        <v>1.0</v>
      </c>
      <c r="I61" s="1200">
        <v>220000.0</v>
      </c>
      <c r="J61" s="48">
        <f t="shared" si="11"/>
        <v>220000</v>
      </c>
      <c r="K61" s="67"/>
      <c r="L61" s="67"/>
      <c r="M61" s="67"/>
      <c r="N61" s="67"/>
      <c r="O61" s="67"/>
      <c r="P61" s="67"/>
      <c r="Q61" s="67"/>
      <c r="R61" s="67"/>
      <c r="S61" s="67"/>
      <c r="T61" s="67"/>
      <c r="U61" s="67"/>
      <c r="V61" s="67"/>
      <c r="W61" s="67"/>
      <c r="X61" s="22"/>
      <c r="Y61" s="9"/>
      <c r="Z61" s="204"/>
      <c r="AA61" s="25"/>
      <c r="AB61" s="25"/>
      <c r="AC61" s="25"/>
      <c r="AD61" s="22"/>
    </row>
    <row r="62" ht="23.25" customHeight="1">
      <c r="A62" s="111">
        <v>25.0</v>
      </c>
      <c r="B62" s="112">
        <v>44968.0</v>
      </c>
      <c r="C62" s="1244">
        <v>1.684739940841E12</v>
      </c>
      <c r="D62" s="142" t="s">
        <v>2225</v>
      </c>
      <c r="E62" s="1449" t="s">
        <v>210</v>
      </c>
      <c r="F62" s="44" t="s">
        <v>2226</v>
      </c>
      <c r="G62" s="68" t="s">
        <v>382</v>
      </c>
      <c r="H62" s="64">
        <v>1.0</v>
      </c>
      <c r="I62" s="1200">
        <v>220000.0</v>
      </c>
      <c r="J62" s="48">
        <f t="shared" si="11"/>
        <v>220000</v>
      </c>
      <c r="K62" s="49">
        <f>SUM(J62:J64)</f>
        <v>520000</v>
      </c>
      <c r="L62" s="1242">
        <v>46999.0</v>
      </c>
      <c r="M62" s="1149">
        <v>16999.0</v>
      </c>
      <c r="N62" s="53">
        <f>K62+L62-M62</f>
        <v>550000</v>
      </c>
      <c r="O62" s="1441" t="s">
        <v>449</v>
      </c>
      <c r="P62" s="1441" t="s">
        <v>31</v>
      </c>
      <c r="Q62" s="145"/>
      <c r="R62" s="56"/>
      <c r="S62" s="57" t="s">
        <v>33</v>
      </c>
      <c r="T62" s="142"/>
      <c r="U62" s="111"/>
      <c r="V62" s="1479">
        <v>1.0</v>
      </c>
      <c r="W62" s="142"/>
      <c r="X62" s="22"/>
      <c r="Y62" s="9"/>
      <c r="Z62" s="204"/>
      <c r="AA62" s="25"/>
      <c r="AB62" s="25"/>
      <c r="AC62" s="25"/>
      <c r="AD62" s="22"/>
    </row>
    <row r="63" ht="23.25" customHeight="1">
      <c r="A63" s="62"/>
      <c r="B63" s="62"/>
      <c r="C63" s="423"/>
      <c r="D63" s="62"/>
      <c r="E63" s="62"/>
      <c r="F63" s="62"/>
      <c r="G63" s="68" t="s">
        <v>122</v>
      </c>
      <c r="H63" s="64">
        <v>1.0</v>
      </c>
      <c r="I63" s="1200">
        <v>220000.0</v>
      </c>
      <c r="J63" s="48">
        <f t="shared" si="11"/>
        <v>220000</v>
      </c>
      <c r="K63" s="62"/>
      <c r="L63" s="62"/>
      <c r="M63" s="62"/>
      <c r="N63" s="62"/>
      <c r="O63" s="62"/>
      <c r="P63" s="62"/>
      <c r="Q63" s="62"/>
      <c r="R63" s="62"/>
      <c r="S63" s="62"/>
      <c r="T63" s="62"/>
      <c r="U63" s="62"/>
      <c r="V63" s="62"/>
      <c r="W63" s="62"/>
      <c r="X63" s="22"/>
      <c r="Y63" s="9"/>
      <c r="Z63" s="204"/>
      <c r="AA63" s="25"/>
      <c r="AB63" s="25"/>
      <c r="AC63" s="25"/>
      <c r="AD63" s="22"/>
    </row>
    <row r="64" ht="23.25" customHeight="1">
      <c r="A64" s="67"/>
      <c r="B64" s="67"/>
      <c r="C64" s="102"/>
      <c r="D64" s="67"/>
      <c r="E64" s="67"/>
      <c r="F64" s="67"/>
      <c r="G64" s="68" t="s">
        <v>2180</v>
      </c>
      <c r="H64" s="64">
        <v>1.0</v>
      </c>
      <c r="I64" s="1482">
        <v>80000.0</v>
      </c>
      <c r="J64" s="48">
        <f t="shared" si="11"/>
        <v>80000</v>
      </c>
      <c r="K64" s="67"/>
      <c r="L64" s="67"/>
      <c r="M64" s="67"/>
      <c r="N64" s="67"/>
      <c r="O64" s="67"/>
      <c r="P64" s="67"/>
      <c r="Q64" s="67"/>
      <c r="R64" s="67"/>
      <c r="S64" s="67"/>
      <c r="T64" s="67"/>
      <c r="U64" s="67"/>
      <c r="V64" s="67"/>
      <c r="W64" s="67"/>
      <c r="X64" s="22"/>
      <c r="Y64" s="9"/>
      <c r="Z64" s="204"/>
      <c r="AA64" s="25"/>
      <c r="AB64" s="25"/>
      <c r="AC64" s="25"/>
      <c r="AD64" s="22"/>
    </row>
    <row r="65" ht="23.25" customHeight="1">
      <c r="A65" s="93">
        <v>26.0</v>
      </c>
      <c r="B65" s="103">
        <v>44968.0</v>
      </c>
      <c r="C65" s="1425">
        <v>1.68583694833E12</v>
      </c>
      <c r="D65" s="92" t="s">
        <v>2087</v>
      </c>
      <c r="E65" s="902" t="s">
        <v>45</v>
      </c>
      <c r="F65" s="121" t="s">
        <v>2227</v>
      </c>
      <c r="G65" s="68" t="s">
        <v>30</v>
      </c>
      <c r="H65" s="64">
        <v>30.0</v>
      </c>
      <c r="I65" s="1482">
        <v>220000.0</v>
      </c>
      <c r="J65" s="48">
        <f t="shared" si="11"/>
        <v>6600000</v>
      </c>
      <c r="K65" s="76">
        <f>SUM(J65)</f>
        <v>6600000</v>
      </c>
      <c r="L65" s="1002"/>
      <c r="M65" s="136"/>
      <c r="N65" s="80">
        <f t="shared" ref="N65:N66" si="16">K65+L65-M65</f>
        <v>6600000</v>
      </c>
      <c r="O65" s="1446" t="s">
        <v>449</v>
      </c>
      <c r="P65" s="1446" t="s">
        <v>31</v>
      </c>
      <c r="Q65" s="108">
        <v>219825.0</v>
      </c>
      <c r="R65" s="83" t="s">
        <v>32</v>
      </c>
      <c r="S65" s="84" t="s">
        <v>33</v>
      </c>
      <c r="T65" s="92"/>
      <c r="U65" s="93"/>
      <c r="V65" s="1473"/>
      <c r="W65" s="92" t="s">
        <v>2228</v>
      </c>
      <c r="X65" s="22"/>
      <c r="Y65" s="9"/>
      <c r="Z65" s="204"/>
      <c r="AA65" s="25"/>
      <c r="AB65" s="25"/>
      <c r="AC65" s="25"/>
      <c r="AD65" s="22"/>
    </row>
    <row r="66" ht="33.0" customHeight="1">
      <c r="A66" s="111">
        <v>27.0</v>
      </c>
      <c r="B66" s="112">
        <v>44970.0</v>
      </c>
      <c r="C66" s="1244">
        <v>1.700101367857E12</v>
      </c>
      <c r="D66" s="142" t="s">
        <v>2229</v>
      </c>
      <c r="E66" s="1449" t="s">
        <v>2230</v>
      </c>
      <c r="F66" s="44" t="s">
        <v>2231</v>
      </c>
      <c r="G66" s="68" t="s">
        <v>47</v>
      </c>
      <c r="H66" s="64">
        <v>3.0</v>
      </c>
      <c r="I66" s="1482">
        <v>220000.0</v>
      </c>
      <c r="J66" s="48">
        <f t="shared" si="11"/>
        <v>660000</v>
      </c>
      <c r="K66" s="49">
        <f>SUM(J66:J68)</f>
        <v>1760000</v>
      </c>
      <c r="L66" s="1009"/>
      <c r="M66" s="562"/>
      <c r="N66" s="53">
        <f t="shared" si="16"/>
        <v>1760000</v>
      </c>
      <c r="O66" s="1441" t="s">
        <v>449</v>
      </c>
      <c r="P66" s="1441" t="s">
        <v>31</v>
      </c>
      <c r="Q66" s="145">
        <v>79498.0</v>
      </c>
      <c r="R66" s="56" t="s">
        <v>32</v>
      </c>
      <c r="S66" s="57" t="s">
        <v>33</v>
      </c>
      <c r="T66" s="142"/>
      <c r="U66" s="111"/>
      <c r="V66" s="1479">
        <v>2.0</v>
      </c>
      <c r="W66" s="142"/>
      <c r="X66" s="22"/>
      <c r="Y66" s="9"/>
      <c r="Z66" s="204"/>
      <c r="AA66" s="25"/>
      <c r="AB66" s="25"/>
      <c r="AC66" s="25"/>
      <c r="AD66" s="22"/>
    </row>
    <row r="67" ht="23.25" customHeight="1">
      <c r="A67" s="62"/>
      <c r="B67" s="62"/>
      <c r="C67" s="423"/>
      <c r="D67" s="62"/>
      <c r="E67" s="62"/>
      <c r="F67" s="62"/>
      <c r="G67" s="68" t="s">
        <v>30</v>
      </c>
      <c r="H67" s="64">
        <v>3.0</v>
      </c>
      <c r="I67" s="1482">
        <v>220000.0</v>
      </c>
      <c r="J67" s="48">
        <f t="shared" si="11"/>
        <v>660000</v>
      </c>
      <c r="K67" s="62"/>
      <c r="L67" s="62"/>
      <c r="M67" s="62"/>
      <c r="N67" s="62"/>
      <c r="O67" s="62"/>
      <c r="P67" s="62"/>
      <c r="Q67" s="62"/>
      <c r="R67" s="62"/>
      <c r="S67" s="62"/>
      <c r="T67" s="62"/>
      <c r="U67" s="62"/>
      <c r="V67" s="62"/>
      <c r="W67" s="62"/>
      <c r="X67" s="22"/>
      <c r="Y67" s="9"/>
      <c r="Z67" s="204"/>
      <c r="AA67" s="25"/>
      <c r="AB67" s="25"/>
      <c r="AC67" s="25"/>
      <c r="AD67" s="22"/>
    </row>
    <row r="68" ht="23.25" customHeight="1">
      <c r="A68" s="67"/>
      <c r="B68" s="67"/>
      <c r="C68" s="102"/>
      <c r="D68" s="67"/>
      <c r="E68" s="67"/>
      <c r="F68" s="67"/>
      <c r="G68" s="68" t="s">
        <v>382</v>
      </c>
      <c r="H68" s="64">
        <v>2.0</v>
      </c>
      <c r="I68" s="1482">
        <v>220000.0</v>
      </c>
      <c r="J68" s="48">
        <f t="shared" si="11"/>
        <v>440000</v>
      </c>
      <c r="K68" s="67"/>
      <c r="L68" s="67"/>
      <c r="M68" s="67"/>
      <c r="N68" s="67"/>
      <c r="O68" s="67"/>
      <c r="P68" s="67"/>
      <c r="Q68" s="67"/>
      <c r="R68" s="67"/>
      <c r="S68" s="67"/>
      <c r="T68" s="67"/>
      <c r="U68" s="67"/>
      <c r="V68" s="67"/>
      <c r="W68" s="67"/>
      <c r="X68" s="22"/>
      <c r="Y68" s="9"/>
      <c r="Z68" s="204"/>
      <c r="AA68" s="25"/>
      <c r="AB68" s="25"/>
      <c r="AC68" s="25"/>
      <c r="AD68" s="22"/>
    </row>
    <row r="69" ht="23.25" customHeight="1">
      <c r="A69" s="111">
        <v>28.0</v>
      </c>
      <c r="B69" s="112">
        <v>44970.0</v>
      </c>
      <c r="C69" s="1244">
        <v>1.700807471019E12</v>
      </c>
      <c r="D69" s="142" t="s">
        <v>2121</v>
      </c>
      <c r="E69" s="1449" t="s">
        <v>2122</v>
      </c>
      <c r="F69" s="44" t="s">
        <v>2232</v>
      </c>
      <c r="G69" s="68" t="s">
        <v>382</v>
      </c>
      <c r="H69" s="64">
        <v>2.0</v>
      </c>
      <c r="I69" s="1482">
        <v>220000.0</v>
      </c>
      <c r="J69" s="48">
        <f t="shared" si="11"/>
        <v>440000</v>
      </c>
      <c r="K69" s="49">
        <f>SUM(J69:J70)</f>
        <v>660000</v>
      </c>
      <c r="L69" s="1009"/>
      <c r="M69" s="562"/>
      <c r="N69" s="53">
        <f>K69+L69-M69</f>
        <v>660000</v>
      </c>
      <c r="O69" s="1441" t="s">
        <v>449</v>
      </c>
      <c r="P69" s="1441" t="s">
        <v>31</v>
      </c>
      <c r="Q69" s="145">
        <v>53999.0</v>
      </c>
      <c r="R69" s="56" t="s">
        <v>32</v>
      </c>
      <c r="S69" s="57" t="s">
        <v>33</v>
      </c>
      <c r="T69" s="142"/>
      <c r="U69" s="111"/>
      <c r="V69" s="1479">
        <v>1.0</v>
      </c>
      <c r="W69" s="142"/>
      <c r="X69" s="22"/>
      <c r="Y69" s="9"/>
      <c r="Z69" s="204"/>
      <c r="AA69" s="25"/>
      <c r="AB69" s="25"/>
      <c r="AC69" s="25"/>
      <c r="AD69" s="22"/>
    </row>
    <row r="70" ht="23.25" customHeight="1">
      <c r="A70" s="67"/>
      <c r="B70" s="67"/>
      <c r="C70" s="102"/>
      <c r="D70" s="67"/>
      <c r="E70" s="67"/>
      <c r="F70" s="67"/>
      <c r="G70" s="68" t="s">
        <v>122</v>
      </c>
      <c r="H70" s="64">
        <v>1.0</v>
      </c>
      <c r="I70" s="1482">
        <v>220000.0</v>
      </c>
      <c r="J70" s="48">
        <f t="shared" si="11"/>
        <v>220000</v>
      </c>
      <c r="K70" s="67"/>
      <c r="L70" s="67"/>
      <c r="M70" s="67"/>
      <c r="N70" s="67"/>
      <c r="O70" s="67"/>
      <c r="P70" s="67"/>
      <c r="Q70" s="67"/>
      <c r="R70" s="67"/>
      <c r="S70" s="67"/>
      <c r="T70" s="67"/>
      <c r="U70" s="67"/>
      <c r="V70" s="67"/>
      <c r="W70" s="67"/>
      <c r="X70" s="22"/>
      <c r="Y70" s="9"/>
      <c r="Z70" s="204"/>
      <c r="AA70" s="25"/>
      <c r="AB70" s="25"/>
      <c r="AC70" s="25"/>
      <c r="AD70" s="22"/>
    </row>
    <row r="71" ht="23.25" customHeight="1">
      <c r="A71" s="111">
        <v>29.0</v>
      </c>
      <c r="B71" s="112">
        <v>44970.0</v>
      </c>
      <c r="C71" s="1244">
        <v>1.701310391407E12</v>
      </c>
      <c r="D71" s="142" t="s">
        <v>2233</v>
      </c>
      <c r="E71" s="1443" t="s">
        <v>1265</v>
      </c>
      <c r="F71" s="44" t="s">
        <v>2234</v>
      </c>
      <c r="G71" s="68" t="s">
        <v>516</v>
      </c>
      <c r="H71" s="64">
        <v>1.0</v>
      </c>
      <c r="I71" s="1482">
        <v>220000.0</v>
      </c>
      <c r="J71" s="48">
        <f t="shared" si="11"/>
        <v>220000</v>
      </c>
      <c r="K71" s="49">
        <f>SUM(J71:J73)</f>
        <v>660000</v>
      </c>
      <c r="L71" s="1009"/>
      <c r="M71" s="562"/>
      <c r="N71" s="53">
        <f>K71+L71-M71</f>
        <v>660000</v>
      </c>
      <c r="O71" s="1441" t="s">
        <v>449</v>
      </c>
      <c r="P71" s="1441" t="s">
        <v>31</v>
      </c>
      <c r="Q71" s="145">
        <v>46999.0</v>
      </c>
      <c r="R71" s="56" t="s">
        <v>32</v>
      </c>
      <c r="S71" s="57" t="s">
        <v>33</v>
      </c>
      <c r="T71" s="142"/>
      <c r="U71" s="111"/>
      <c r="V71" s="1479">
        <v>1.0</v>
      </c>
      <c r="W71" s="142"/>
      <c r="X71" s="22"/>
      <c r="Y71" s="9"/>
      <c r="Z71" s="204"/>
      <c r="AA71" s="25"/>
      <c r="AB71" s="25"/>
      <c r="AC71" s="25"/>
      <c r="AD71" s="22"/>
    </row>
    <row r="72" ht="23.25" customHeight="1">
      <c r="A72" s="62"/>
      <c r="B72" s="62"/>
      <c r="C72" s="423"/>
      <c r="D72" s="62"/>
      <c r="E72" s="62"/>
      <c r="F72" s="62"/>
      <c r="G72" s="68" t="s">
        <v>30</v>
      </c>
      <c r="H72" s="64">
        <v>1.0</v>
      </c>
      <c r="I72" s="1482">
        <v>220000.0</v>
      </c>
      <c r="J72" s="48">
        <f t="shared" si="11"/>
        <v>220000</v>
      </c>
      <c r="K72" s="62"/>
      <c r="L72" s="62"/>
      <c r="M72" s="62"/>
      <c r="N72" s="62"/>
      <c r="O72" s="62"/>
      <c r="P72" s="62"/>
      <c r="Q72" s="62"/>
      <c r="R72" s="62"/>
      <c r="S72" s="62"/>
      <c r="T72" s="62"/>
      <c r="U72" s="62"/>
      <c r="V72" s="62"/>
      <c r="W72" s="62"/>
      <c r="X72" s="22"/>
      <c r="Y72" s="9"/>
      <c r="Z72" s="204"/>
      <c r="AA72" s="25"/>
      <c r="AB72" s="25"/>
      <c r="AC72" s="25"/>
      <c r="AD72" s="22"/>
    </row>
    <row r="73" ht="23.25" customHeight="1">
      <c r="A73" s="67"/>
      <c r="B73" s="67"/>
      <c r="C73" s="102"/>
      <c r="D73" s="67"/>
      <c r="E73" s="67"/>
      <c r="F73" s="67"/>
      <c r="G73" s="68" t="s">
        <v>382</v>
      </c>
      <c r="H73" s="64">
        <v>1.0</v>
      </c>
      <c r="I73" s="1482">
        <v>220000.0</v>
      </c>
      <c r="J73" s="48">
        <f t="shared" si="11"/>
        <v>220000</v>
      </c>
      <c r="K73" s="67"/>
      <c r="L73" s="67"/>
      <c r="M73" s="67"/>
      <c r="N73" s="67"/>
      <c r="O73" s="67"/>
      <c r="P73" s="67"/>
      <c r="Q73" s="67"/>
      <c r="R73" s="67"/>
      <c r="S73" s="67"/>
      <c r="T73" s="67"/>
      <c r="U73" s="67"/>
      <c r="V73" s="67"/>
      <c r="W73" s="67"/>
      <c r="X73" s="22"/>
      <c r="Y73" s="9"/>
      <c r="Z73" s="204"/>
      <c r="AA73" s="25"/>
      <c r="AB73" s="25"/>
      <c r="AC73" s="25"/>
      <c r="AD73" s="22"/>
    </row>
    <row r="74" ht="23.25" customHeight="1">
      <c r="A74" s="111">
        <v>30.0</v>
      </c>
      <c r="B74" s="112">
        <v>44971.0</v>
      </c>
      <c r="C74" s="1244">
        <v>1.678761462408E12</v>
      </c>
      <c r="D74" s="142" t="s">
        <v>1655</v>
      </c>
      <c r="E74" s="1449" t="s">
        <v>1656</v>
      </c>
      <c r="F74" s="44" t="s">
        <v>1657</v>
      </c>
      <c r="G74" s="68" t="s">
        <v>165</v>
      </c>
      <c r="H74" s="64">
        <v>12.0</v>
      </c>
      <c r="I74" s="1482">
        <v>220000.0</v>
      </c>
      <c r="J74" s="48">
        <f t="shared" si="11"/>
        <v>2640000</v>
      </c>
      <c r="K74" s="49">
        <f>SUM(J74:J75)</f>
        <v>3300000</v>
      </c>
      <c r="L74" s="1009"/>
      <c r="M74" s="562"/>
      <c r="N74" s="53">
        <f>K74+L74-M74</f>
        <v>3300000</v>
      </c>
      <c r="O74" s="1441" t="s">
        <v>449</v>
      </c>
      <c r="P74" s="1441" t="s">
        <v>31</v>
      </c>
      <c r="Q74" s="145">
        <v>119485.0</v>
      </c>
      <c r="R74" s="56" t="s">
        <v>32</v>
      </c>
      <c r="S74" s="57" t="s">
        <v>33</v>
      </c>
      <c r="T74" s="142"/>
      <c r="U74" s="111"/>
      <c r="V74" s="1474"/>
      <c r="W74" s="142"/>
      <c r="X74" s="22"/>
      <c r="Y74" s="9"/>
      <c r="Z74" s="204"/>
      <c r="AA74" s="25"/>
      <c r="AB74" s="25"/>
      <c r="AC74" s="25"/>
      <c r="AD74" s="22"/>
    </row>
    <row r="75" ht="23.25" customHeight="1">
      <c r="A75" s="67"/>
      <c r="B75" s="67"/>
      <c r="C75" s="102"/>
      <c r="D75" s="67"/>
      <c r="E75" s="67"/>
      <c r="F75" s="67"/>
      <c r="G75" s="68" t="s">
        <v>122</v>
      </c>
      <c r="H75" s="64">
        <v>3.0</v>
      </c>
      <c r="I75" s="1482">
        <v>220000.0</v>
      </c>
      <c r="J75" s="48">
        <f t="shared" si="11"/>
        <v>660000</v>
      </c>
      <c r="K75" s="67"/>
      <c r="L75" s="67"/>
      <c r="M75" s="67"/>
      <c r="N75" s="67"/>
      <c r="O75" s="67"/>
      <c r="P75" s="67"/>
      <c r="Q75" s="67"/>
      <c r="R75" s="67"/>
      <c r="S75" s="67"/>
      <c r="T75" s="67"/>
      <c r="U75" s="67"/>
      <c r="V75" s="67"/>
      <c r="W75" s="67"/>
      <c r="X75" s="22"/>
      <c r="Y75" s="9"/>
      <c r="Z75" s="204"/>
      <c r="AA75" s="25"/>
      <c r="AB75" s="25"/>
      <c r="AC75" s="25"/>
      <c r="AD75" s="22"/>
    </row>
    <row r="76" ht="23.25" customHeight="1">
      <c r="A76" s="111">
        <v>31.0</v>
      </c>
      <c r="B76" s="112">
        <v>44971.0</v>
      </c>
      <c r="C76" s="1244">
        <v>1.684137383033E12</v>
      </c>
      <c r="D76" s="142" t="s">
        <v>2235</v>
      </c>
      <c r="E76" s="1449" t="s">
        <v>2236</v>
      </c>
      <c r="F76" s="44" t="s">
        <v>2237</v>
      </c>
      <c r="G76" s="68" t="s">
        <v>122</v>
      </c>
      <c r="H76" s="64">
        <v>1.0</v>
      </c>
      <c r="I76" s="1482">
        <v>220000.0</v>
      </c>
      <c r="J76" s="48">
        <f t="shared" si="11"/>
        <v>220000</v>
      </c>
      <c r="K76" s="49">
        <f>SUM(J76:J78)</f>
        <v>520000</v>
      </c>
      <c r="L76" s="1242">
        <v>50999.0</v>
      </c>
      <c r="M76" s="1149">
        <v>20999.0</v>
      </c>
      <c r="N76" s="53">
        <f>K76+L76-M76</f>
        <v>550000</v>
      </c>
      <c r="O76" s="1441" t="s">
        <v>449</v>
      </c>
      <c r="P76" s="1441" t="s">
        <v>31</v>
      </c>
      <c r="Q76" s="145"/>
      <c r="R76" s="56"/>
      <c r="S76" s="57" t="s">
        <v>33</v>
      </c>
      <c r="T76" s="142"/>
      <c r="U76" s="111"/>
      <c r="V76" s="1479">
        <v>1.0</v>
      </c>
      <c r="W76" s="142"/>
      <c r="X76" s="22"/>
      <c r="Y76" s="9"/>
      <c r="Z76" s="204"/>
      <c r="AA76" s="25"/>
      <c r="AB76" s="25"/>
      <c r="AC76" s="25"/>
      <c r="AD76" s="22"/>
    </row>
    <row r="77" ht="23.25" customHeight="1">
      <c r="A77" s="62"/>
      <c r="B77" s="62"/>
      <c r="C77" s="423"/>
      <c r="D77" s="62"/>
      <c r="E77" s="62"/>
      <c r="F77" s="62"/>
      <c r="G77" s="68" t="s">
        <v>382</v>
      </c>
      <c r="H77" s="64">
        <v>1.0</v>
      </c>
      <c r="I77" s="1482">
        <v>220000.0</v>
      </c>
      <c r="J77" s="48">
        <f t="shared" si="11"/>
        <v>220000</v>
      </c>
      <c r="K77" s="62"/>
      <c r="L77" s="62"/>
      <c r="M77" s="62"/>
      <c r="N77" s="62"/>
      <c r="O77" s="62"/>
      <c r="P77" s="62"/>
      <c r="Q77" s="62"/>
      <c r="R77" s="62"/>
      <c r="S77" s="62"/>
      <c r="T77" s="62"/>
      <c r="U77" s="62"/>
      <c r="V77" s="62"/>
      <c r="W77" s="62"/>
      <c r="X77" s="22"/>
      <c r="Y77" s="9"/>
      <c r="Z77" s="204"/>
      <c r="AA77" s="25"/>
      <c r="AB77" s="25"/>
      <c r="AC77" s="25"/>
      <c r="AD77" s="22"/>
    </row>
    <row r="78" ht="23.25" customHeight="1">
      <c r="A78" s="67"/>
      <c r="B78" s="67"/>
      <c r="C78" s="102"/>
      <c r="D78" s="67"/>
      <c r="E78" s="67"/>
      <c r="F78" s="67"/>
      <c r="G78" s="68" t="s">
        <v>2180</v>
      </c>
      <c r="H78" s="64">
        <v>1.0</v>
      </c>
      <c r="I78" s="1482">
        <v>80000.0</v>
      </c>
      <c r="J78" s="48">
        <f t="shared" si="11"/>
        <v>80000</v>
      </c>
      <c r="K78" s="67"/>
      <c r="L78" s="67"/>
      <c r="M78" s="67"/>
      <c r="N78" s="67"/>
      <c r="O78" s="67"/>
      <c r="P78" s="67"/>
      <c r="Q78" s="67"/>
      <c r="R78" s="67"/>
      <c r="S78" s="67"/>
      <c r="T78" s="67"/>
      <c r="U78" s="67"/>
      <c r="V78" s="67"/>
      <c r="W78" s="67"/>
      <c r="X78" s="22"/>
      <c r="Y78" s="9"/>
      <c r="Z78" s="204"/>
      <c r="AA78" s="25"/>
      <c r="AB78" s="25"/>
      <c r="AC78" s="25"/>
      <c r="AD78" s="22"/>
    </row>
    <row r="79" ht="23.25" customHeight="1">
      <c r="A79" s="93">
        <v>32.0</v>
      </c>
      <c r="B79" s="103">
        <v>44973.0</v>
      </c>
      <c r="C79" s="1425">
        <v>1.702713722557E12</v>
      </c>
      <c r="D79" s="92" t="s">
        <v>1355</v>
      </c>
      <c r="E79" s="902" t="s">
        <v>1356</v>
      </c>
      <c r="F79" s="92" t="s">
        <v>2238</v>
      </c>
      <c r="G79" s="68" t="s">
        <v>30</v>
      </c>
      <c r="H79" s="64">
        <v>1.0</v>
      </c>
      <c r="I79" s="1482">
        <v>220000.0</v>
      </c>
      <c r="J79" s="48">
        <f t="shared" si="11"/>
        <v>220000</v>
      </c>
      <c r="K79" s="76">
        <f>SUM(J79)</f>
        <v>220000</v>
      </c>
      <c r="L79" s="1454">
        <v>38000.0</v>
      </c>
      <c r="M79" s="1455">
        <v>18000.0</v>
      </c>
      <c r="N79" s="80">
        <f t="shared" ref="N79:N80" si="17">K79+L79-M79</f>
        <v>240000</v>
      </c>
      <c r="O79" s="1446" t="s">
        <v>449</v>
      </c>
      <c r="P79" s="1446" t="s">
        <v>31</v>
      </c>
      <c r="Q79" s="108"/>
      <c r="R79" s="83"/>
      <c r="S79" s="84" t="s">
        <v>33</v>
      </c>
      <c r="T79" s="92"/>
      <c r="U79" s="93"/>
      <c r="V79" s="1473"/>
      <c r="W79" s="92"/>
      <c r="X79" s="22"/>
      <c r="Y79" s="9"/>
      <c r="Z79" s="204"/>
      <c r="AA79" s="25"/>
      <c r="AB79" s="25"/>
      <c r="AC79" s="25"/>
      <c r="AD79" s="22"/>
    </row>
    <row r="80" ht="33.0" customHeight="1">
      <c r="A80" s="111">
        <v>33.0</v>
      </c>
      <c r="B80" s="112">
        <v>44973.0</v>
      </c>
      <c r="C80" s="1244">
        <v>1.704532656397E12</v>
      </c>
      <c r="D80" s="142" t="s">
        <v>247</v>
      </c>
      <c r="E80" s="1449" t="s">
        <v>248</v>
      </c>
      <c r="F80" s="44" t="s">
        <v>2239</v>
      </c>
      <c r="G80" s="68" t="s">
        <v>382</v>
      </c>
      <c r="H80" s="64">
        <v>1.0</v>
      </c>
      <c r="I80" s="1482">
        <v>220000.0</v>
      </c>
      <c r="J80" s="48">
        <f t="shared" si="11"/>
        <v>220000</v>
      </c>
      <c r="K80" s="49">
        <f>SUM(J80:J84)</f>
        <v>1260000</v>
      </c>
      <c r="L80" s="1009"/>
      <c r="M80" s="562"/>
      <c r="N80" s="53">
        <f t="shared" si="17"/>
        <v>1260000</v>
      </c>
      <c r="O80" s="1441" t="s">
        <v>449</v>
      </c>
      <c r="P80" s="1441" t="s">
        <v>31</v>
      </c>
      <c r="Q80" s="145">
        <v>65998.0</v>
      </c>
      <c r="R80" s="56" t="s">
        <v>32</v>
      </c>
      <c r="S80" s="57" t="s">
        <v>33</v>
      </c>
      <c r="T80" s="142"/>
      <c r="U80" s="111"/>
      <c r="V80" s="1479">
        <v>2.0</v>
      </c>
      <c r="W80" s="142"/>
      <c r="X80" s="22"/>
      <c r="Y80" s="9"/>
      <c r="Z80" s="204"/>
      <c r="AA80" s="25"/>
      <c r="AB80" s="25"/>
      <c r="AC80" s="25"/>
      <c r="AD80" s="22"/>
    </row>
    <row r="81" ht="23.25" customHeight="1">
      <c r="A81" s="62"/>
      <c r="B81" s="62"/>
      <c r="C81" s="423"/>
      <c r="D81" s="62"/>
      <c r="E81" s="62"/>
      <c r="F81" s="62"/>
      <c r="G81" s="68" t="s">
        <v>37</v>
      </c>
      <c r="H81" s="64">
        <v>1.0</v>
      </c>
      <c r="I81" s="1482">
        <v>220000.0</v>
      </c>
      <c r="J81" s="48">
        <f t="shared" si="11"/>
        <v>220000</v>
      </c>
      <c r="K81" s="62"/>
      <c r="L81" s="62"/>
      <c r="M81" s="62"/>
      <c r="N81" s="62"/>
      <c r="O81" s="62"/>
      <c r="P81" s="62"/>
      <c r="Q81" s="62"/>
      <c r="R81" s="62"/>
      <c r="S81" s="62"/>
      <c r="T81" s="62"/>
      <c r="U81" s="62"/>
      <c r="V81" s="62"/>
      <c r="W81" s="62"/>
      <c r="X81" s="22"/>
      <c r="Y81" s="9"/>
      <c r="Z81" s="204"/>
      <c r="AA81" s="25"/>
      <c r="AB81" s="25"/>
      <c r="AC81" s="25"/>
      <c r="AD81" s="22"/>
    </row>
    <row r="82" ht="23.25" customHeight="1">
      <c r="A82" s="62"/>
      <c r="B82" s="62"/>
      <c r="C82" s="423"/>
      <c r="D82" s="62"/>
      <c r="E82" s="62"/>
      <c r="F82" s="62"/>
      <c r="G82" s="68" t="s">
        <v>165</v>
      </c>
      <c r="H82" s="64">
        <v>1.0</v>
      </c>
      <c r="I82" s="1482">
        <v>220000.0</v>
      </c>
      <c r="J82" s="48">
        <f t="shared" si="11"/>
        <v>220000</v>
      </c>
      <c r="K82" s="62"/>
      <c r="L82" s="62"/>
      <c r="M82" s="62"/>
      <c r="N82" s="62"/>
      <c r="O82" s="62"/>
      <c r="P82" s="62"/>
      <c r="Q82" s="62"/>
      <c r="R82" s="62"/>
      <c r="S82" s="62"/>
      <c r="T82" s="62"/>
      <c r="U82" s="62"/>
      <c r="V82" s="62"/>
      <c r="W82" s="62"/>
      <c r="X82" s="22"/>
      <c r="Y82" s="9"/>
      <c r="Z82" s="204"/>
      <c r="AA82" s="25"/>
      <c r="AB82" s="25"/>
      <c r="AC82" s="25"/>
      <c r="AD82" s="22"/>
    </row>
    <row r="83" ht="23.25" customHeight="1">
      <c r="A83" s="62"/>
      <c r="B83" s="62"/>
      <c r="C83" s="423"/>
      <c r="D83" s="62"/>
      <c r="E83" s="62"/>
      <c r="F83" s="62"/>
      <c r="G83" s="68" t="s">
        <v>122</v>
      </c>
      <c r="H83" s="64">
        <v>2.0</v>
      </c>
      <c r="I83" s="1482">
        <v>220000.0</v>
      </c>
      <c r="J83" s="48">
        <f t="shared" si="11"/>
        <v>440000</v>
      </c>
      <c r="K83" s="62"/>
      <c r="L83" s="62"/>
      <c r="M83" s="62"/>
      <c r="N83" s="62"/>
      <c r="O83" s="62"/>
      <c r="P83" s="62"/>
      <c r="Q83" s="62"/>
      <c r="R83" s="62"/>
      <c r="S83" s="62"/>
      <c r="T83" s="62"/>
      <c r="U83" s="62"/>
      <c r="V83" s="62"/>
      <c r="W83" s="62"/>
      <c r="X83" s="22"/>
      <c r="Y83" s="9"/>
      <c r="Z83" s="204"/>
      <c r="AA83" s="25"/>
      <c r="AB83" s="25"/>
      <c r="AC83" s="25"/>
      <c r="AD83" s="22"/>
    </row>
    <row r="84" ht="23.25" customHeight="1">
      <c r="A84" s="67"/>
      <c r="B84" s="67"/>
      <c r="C84" s="102"/>
      <c r="D84" s="67"/>
      <c r="E84" s="67"/>
      <c r="F84" s="67"/>
      <c r="G84" s="68" t="s">
        <v>2180</v>
      </c>
      <c r="H84" s="64">
        <v>2.0</v>
      </c>
      <c r="I84" s="1482">
        <v>80000.0</v>
      </c>
      <c r="J84" s="48">
        <f t="shared" si="11"/>
        <v>160000</v>
      </c>
      <c r="K84" s="67"/>
      <c r="L84" s="67"/>
      <c r="M84" s="67"/>
      <c r="N84" s="67"/>
      <c r="O84" s="67"/>
      <c r="P84" s="67"/>
      <c r="Q84" s="67"/>
      <c r="R84" s="67"/>
      <c r="S84" s="67"/>
      <c r="T84" s="67"/>
      <c r="U84" s="67"/>
      <c r="V84" s="67"/>
      <c r="W84" s="67"/>
      <c r="X84" s="492"/>
      <c r="Y84" s="282"/>
      <c r="Z84" s="1483"/>
      <c r="AA84" s="491"/>
      <c r="AB84" s="491"/>
      <c r="AC84" s="491"/>
      <c r="AD84" s="492"/>
    </row>
    <row r="85" ht="34.5" customHeight="1">
      <c r="A85" s="1484">
        <v>34.0</v>
      </c>
      <c r="B85" s="1485">
        <v>44973.0</v>
      </c>
      <c r="C85" s="1486">
        <v>1.705263223462E12</v>
      </c>
      <c r="D85" s="1487" t="s">
        <v>2190</v>
      </c>
      <c r="E85" s="1488" t="s">
        <v>40</v>
      </c>
      <c r="F85" s="1489" t="s">
        <v>2240</v>
      </c>
      <c r="G85" s="1490" t="s">
        <v>2180</v>
      </c>
      <c r="H85" s="1491">
        <v>4.0</v>
      </c>
      <c r="I85" s="1492"/>
      <c r="J85" s="1493"/>
      <c r="K85" s="1494"/>
      <c r="L85" s="1495"/>
      <c r="M85" s="1496"/>
      <c r="N85" s="1497"/>
      <c r="O85" s="1498" t="s">
        <v>449</v>
      </c>
      <c r="P85" s="1498"/>
      <c r="Q85" s="1499">
        <v>36500.0</v>
      </c>
      <c r="R85" s="1500" t="s">
        <v>32</v>
      </c>
      <c r="S85" s="1498" t="s">
        <v>33</v>
      </c>
      <c r="T85" s="1501"/>
      <c r="U85" s="1502"/>
      <c r="V85" s="1501"/>
      <c r="W85" s="1501" t="s">
        <v>2241</v>
      </c>
      <c r="X85" s="491"/>
      <c r="Y85" s="1428"/>
      <c r="Z85" s="1503"/>
      <c r="AA85" s="491"/>
      <c r="AB85" s="491"/>
      <c r="AC85" s="491"/>
      <c r="AD85" s="491"/>
    </row>
    <row r="86" ht="23.25" customHeight="1">
      <c r="A86" s="111">
        <v>35.0</v>
      </c>
      <c r="B86" s="112">
        <v>44974.0</v>
      </c>
      <c r="C86" s="1244"/>
      <c r="D86" s="44" t="s">
        <v>2242</v>
      </c>
      <c r="E86" s="1449" t="s">
        <v>1864</v>
      </c>
      <c r="F86" s="142" t="s">
        <v>2243</v>
      </c>
      <c r="G86" s="68" t="s">
        <v>30</v>
      </c>
      <c r="H86" s="64">
        <v>1.0</v>
      </c>
      <c r="I86" s="1482">
        <v>220000.0</v>
      </c>
      <c r="J86" s="1504">
        <f t="shared" ref="J86:J107" si="18">I86*H86</f>
        <v>220000</v>
      </c>
      <c r="K86" s="49">
        <f>SUM(J86:J89)</f>
        <v>880000</v>
      </c>
      <c r="L86" s="1505"/>
      <c r="M86" s="1506"/>
      <c r="N86" s="1507">
        <f>K86+L86-M86</f>
        <v>880000</v>
      </c>
      <c r="O86" s="1508" t="s">
        <v>449</v>
      </c>
      <c r="P86" s="1508" t="s">
        <v>31</v>
      </c>
      <c r="Q86" s="1509"/>
      <c r="R86" s="1510"/>
      <c r="S86" s="1511" t="s">
        <v>33</v>
      </c>
      <c r="T86" s="1512"/>
      <c r="U86" s="588"/>
      <c r="V86" s="1513"/>
      <c r="W86" s="1512" t="s">
        <v>2244</v>
      </c>
      <c r="X86" s="22"/>
      <c r="Y86" s="9"/>
      <c r="Z86" s="204"/>
      <c r="AA86" s="25"/>
      <c r="AB86" s="25"/>
      <c r="AC86" s="25"/>
      <c r="AD86" s="22"/>
    </row>
    <row r="87" ht="23.25" customHeight="1">
      <c r="A87" s="62"/>
      <c r="B87" s="62"/>
      <c r="C87" s="423"/>
      <c r="D87" s="62"/>
      <c r="E87" s="62"/>
      <c r="F87" s="62"/>
      <c r="G87" s="68" t="s">
        <v>35</v>
      </c>
      <c r="H87" s="64">
        <v>1.0</v>
      </c>
      <c r="I87" s="1482">
        <v>220000.0</v>
      </c>
      <c r="J87" s="1504">
        <f t="shared" si="18"/>
        <v>220000</v>
      </c>
      <c r="K87" s="62"/>
      <c r="L87" s="62"/>
      <c r="M87" s="62"/>
      <c r="N87" s="62"/>
      <c r="O87" s="62"/>
      <c r="P87" s="62"/>
      <c r="Q87" s="62"/>
      <c r="R87" s="62"/>
      <c r="S87" s="62"/>
      <c r="T87" s="62"/>
      <c r="U87" s="62"/>
      <c r="V87" s="62"/>
      <c r="W87" s="62"/>
      <c r="X87" s="22"/>
      <c r="Y87" s="9"/>
      <c r="Z87" s="204"/>
      <c r="AA87" s="25"/>
      <c r="AB87" s="25"/>
      <c r="AC87" s="25"/>
      <c r="AD87" s="22"/>
    </row>
    <row r="88" ht="23.25" customHeight="1">
      <c r="A88" s="62"/>
      <c r="B88" s="62"/>
      <c r="C88" s="423"/>
      <c r="D88" s="62"/>
      <c r="E88" s="62"/>
      <c r="F88" s="62"/>
      <c r="G88" s="68" t="s">
        <v>911</v>
      </c>
      <c r="H88" s="64">
        <v>1.0</v>
      </c>
      <c r="I88" s="1482">
        <v>220000.0</v>
      </c>
      <c r="J88" s="1504">
        <f t="shared" si="18"/>
        <v>220000</v>
      </c>
      <c r="K88" s="62"/>
      <c r="L88" s="62"/>
      <c r="M88" s="62"/>
      <c r="N88" s="62"/>
      <c r="O88" s="62"/>
      <c r="P88" s="62"/>
      <c r="Q88" s="62"/>
      <c r="R88" s="62"/>
      <c r="S88" s="62"/>
      <c r="T88" s="62"/>
      <c r="U88" s="62"/>
      <c r="V88" s="62"/>
      <c r="W88" s="62"/>
      <c r="X88" s="22"/>
      <c r="Y88" s="9"/>
      <c r="Z88" s="204"/>
      <c r="AA88" s="25"/>
      <c r="AB88" s="25"/>
      <c r="AC88" s="25"/>
      <c r="AD88" s="22"/>
    </row>
    <row r="89" ht="23.25" customHeight="1">
      <c r="A89" s="67"/>
      <c r="B89" s="67"/>
      <c r="C89" s="102"/>
      <c r="D89" s="67"/>
      <c r="E89" s="67"/>
      <c r="F89" s="67"/>
      <c r="G89" s="68" t="s">
        <v>58</v>
      </c>
      <c r="H89" s="64">
        <v>1.0</v>
      </c>
      <c r="I89" s="1482">
        <v>220000.0</v>
      </c>
      <c r="J89" s="1504">
        <f t="shared" si="18"/>
        <v>220000</v>
      </c>
      <c r="K89" s="67"/>
      <c r="L89" s="67"/>
      <c r="M89" s="67"/>
      <c r="N89" s="67"/>
      <c r="O89" s="67"/>
      <c r="P89" s="67"/>
      <c r="Q89" s="67"/>
      <c r="R89" s="67"/>
      <c r="S89" s="67"/>
      <c r="T89" s="67"/>
      <c r="U89" s="67"/>
      <c r="V89" s="67"/>
      <c r="W89" s="67"/>
      <c r="X89" s="22"/>
      <c r="Y89" s="9"/>
      <c r="Z89" s="204"/>
      <c r="AA89" s="25"/>
      <c r="AB89" s="25"/>
      <c r="AC89" s="25"/>
      <c r="AD89" s="22"/>
    </row>
    <row r="90" ht="23.25" customHeight="1">
      <c r="A90" s="111">
        <v>36.0</v>
      </c>
      <c r="B90" s="112">
        <v>44974.0</v>
      </c>
      <c r="C90" s="1244">
        <v>1.687566407275E12</v>
      </c>
      <c r="D90" s="142" t="s">
        <v>2087</v>
      </c>
      <c r="E90" s="1449" t="s">
        <v>45</v>
      </c>
      <c r="F90" s="142" t="s">
        <v>46</v>
      </c>
      <c r="G90" s="68" t="s">
        <v>30</v>
      </c>
      <c r="H90" s="64">
        <v>5.0</v>
      </c>
      <c r="I90" s="1482">
        <v>220000.0</v>
      </c>
      <c r="J90" s="1504">
        <f t="shared" si="18"/>
        <v>1100000</v>
      </c>
      <c r="K90" s="49">
        <f>SUM(J90:J91)</f>
        <v>2200000</v>
      </c>
      <c r="L90" s="1505"/>
      <c r="M90" s="1506"/>
      <c r="N90" s="53">
        <f>K90+L90-M90</f>
        <v>2200000</v>
      </c>
      <c r="O90" s="1508" t="s">
        <v>449</v>
      </c>
      <c r="P90" s="1508" t="s">
        <v>31</v>
      </c>
      <c r="Q90" s="1509">
        <v>89999.0</v>
      </c>
      <c r="R90" s="1510" t="s">
        <v>32</v>
      </c>
      <c r="S90" s="1511" t="s">
        <v>33</v>
      </c>
      <c r="T90" s="1512"/>
      <c r="U90" s="588"/>
      <c r="V90" s="1513"/>
      <c r="W90" s="1512" t="s">
        <v>2245</v>
      </c>
      <c r="X90" s="22"/>
      <c r="Y90" s="9"/>
      <c r="Z90" s="204"/>
      <c r="AA90" s="25"/>
      <c r="AB90" s="25"/>
      <c r="AC90" s="25"/>
      <c r="AD90" s="22"/>
    </row>
    <row r="91" ht="23.25" customHeight="1">
      <c r="A91" s="67"/>
      <c r="B91" s="67"/>
      <c r="C91" s="102"/>
      <c r="D91" s="67"/>
      <c r="E91" s="67"/>
      <c r="F91" s="67"/>
      <c r="G91" s="68" t="s">
        <v>382</v>
      </c>
      <c r="H91" s="64">
        <v>5.0</v>
      </c>
      <c r="I91" s="1482">
        <v>220000.0</v>
      </c>
      <c r="J91" s="1504">
        <f t="shared" si="18"/>
        <v>1100000</v>
      </c>
      <c r="K91" s="67"/>
      <c r="L91" s="67"/>
      <c r="M91" s="67"/>
      <c r="N91" s="67"/>
      <c r="O91" s="67"/>
      <c r="P91" s="67"/>
      <c r="Q91" s="67"/>
      <c r="R91" s="67"/>
      <c r="S91" s="67"/>
      <c r="T91" s="67"/>
      <c r="U91" s="67"/>
      <c r="V91" s="67"/>
      <c r="W91" s="67"/>
      <c r="X91" s="22"/>
      <c r="Y91" s="9"/>
      <c r="Z91" s="204"/>
      <c r="AA91" s="25"/>
      <c r="AB91" s="25"/>
      <c r="AC91" s="25"/>
      <c r="AD91" s="22"/>
    </row>
    <row r="92" ht="45.0" customHeight="1">
      <c r="A92" s="93">
        <v>37.0</v>
      </c>
      <c r="B92" s="103">
        <v>44974.0</v>
      </c>
      <c r="C92" s="1425">
        <v>1.688956942972E12</v>
      </c>
      <c r="D92" s="92" t="s">
        <v>2246</v>
      </c>
      <c r="E92" s="902" t="s">
        <v>2247</v>
      </c>
      <c r="F92" s="1132" t="s">
        <v>2248</v>
      </c>
      <c r="G92" s="68" t="s">
        <v>30</v>
      </c>
      <c r="H92" s="64">
        <v>8.0</v>
      </c>
      <c r="I92" s="1482">
        <v>220000.0</v>
      </c>
      <c r="J92" s="1504">
        <f t="shared" si="18"/>
        <v>1760000</v>
      </c>
      <c r="K92" s="76">
        <f>SUM(J92)</f>
        <v>1760000</v>
      </c>
      <c r="L92" s="1514"/>
      <c r="M92" s="1515"/>
      <c r="N92" s="80">
        <f t="shared" ref="N92:N93" si="19">K92+L92-M92</f>
        <v>1760000</v>
      </c>
      <c r="O92" s="1516" t="s">
        <v>449</v>
      </c>
      <c r="P92" s="1516" t="s">
        <v>31</v>
      </c>
      <c r="Q92" s="1517">
        <v>70996.0</v>
      </c>
      <c r="R92" s="1518" t="s">
        <v>32</v>
      </c>
      <c r="S92" s="1519" t="s">
        <v>33</v>
      </c>
      <c r="T92" s="1520"/>
      <c r="U92" s="883"/>
      <c r="V92" s="1521"/>
      <c r="W92" s="1520"/>
      <c r="X92" s="22"/>
      <c r="Y92" s="9"/>
      <c r="Z92" s="204"/>
      <c r="AA92" s="25"/>
      <c r="AB92" s="25"/>
      <c r="AC92" s="25"/>
      <c r="AD92" s="22"/>
    </row>
    <row r="93" ht="32.25" customHeight="1">
      <c r="A93" s="111">
        <v>38.0</v>
      </c>
      <c r="B93" s="112">
        <v>44975.0</v>
      </c>
      <c r="C93" s="1244">
        <v>1.68047268775E12</v>
      </c>
      <c r="D93" s="142" t="s">
        <v>2249</v>
      </c>
      <c r="E93" s="1449" t="s">
        <v>2250</v>
      </c>
      <c r="F93" s="44" t="s">
        <v>2251</v>
      </c>
      <c r="G93" s="68" t="s">
        <v>30</v>
      </c>
      <c r="H93" s="64">
        <v>1.0</v>
      </c>
      <c r="I93" s="1482">
        <v>220000.0</v>
      </c>
      <c r="J93" s="1504">
        <f t="shared" si="18"/>
        <v>220000</v>
      </c>
      <c r="K93" s="49">
        <f>SUM(J93:J94)</f>
        <v>660000</v>
      </c>
      <c r="L93" s="1505"/>
      <c r="M93" s="1506"/>
      <c r="N93" s="53">
        <f t="shared" si="19"/>
        <v>660000</v>
      </c>
      <c r="O93" s="1508" t="s">
        <v>449</v>
      </c>
      <c r="P93" s="1508" t="s">
        <v>31</v>
      </c>
      <c r="Q93" s="1509">
        <v>46999.0</v>
      </c>
      <c r="R93" s="1510" t="s">
        <v>32</v>
      </c>
      <c r="S93" s="1511" t="s">
        <v>33</v>
      </c>
      <c r="T93" s="1512"/>
      <c r="U93" s="588"/>
      <c r="V93" s="1522">
        <v>1.0</v>
      </c>
      <c r="W93" s="1512"/>
      <c r="X93" s="22"/>
      <c r="Y93" s="9"/>
      <c r="Z93" s="204"/>
      <c r="AA93" s="25"/>
      <c r="AB93" s="25"/>
      <c r="AC93" s="25"/>
      <c r="AD93" s="22"/>
    </row>
    <row r="94" ht="23.25" customHeight="1">
      <c r="A94" s="67"/>
      <c r="B94" s="67"/>
      <c r="C94" s="102"/>
      <c r="D94" s="67"/>
      <c r="E94" s="67"/>
      <c r="F94" s="67"/>
      <c r="G94" s="68" t="s">
        <v>35</v>
      </c>
      <c r="H94" s="1523">
        <v>2.0</v>
      </c>
      <c r="I94" s="1482">
        <v>220000.0</v>
      </c>
      <c r="J94" s="1504">
        <f t="shared" si="18"/>
        <v>440000</v>
      </c>
      <c r="K94" s="67"/>
      <c r="L94" s="67"/>
      <c r="M94" s="67"/>
      <c r="N94" s="67"/>
      <c r="O94" s="67"/>
      <c r="P94" s="67"/>
      <c r="Q94" s="67"/>
      <c r="R94" s="67"/>
      <c r="S94" s="67"/>
      <c r="T94" s="67"/>
      <c r="U94" s="67"/>
      <c r="V94" s="67"/>
      <c r="W94" s="67"/>
      <c r="X94" s="22"/>
      <c r="Y94" s="9"/>
      <c r="Z94" s="204"/>
      <c r="AA94" s="25"/>
      <c r="AB94" s="25"/>
      <c r="AC94" s="25"/>
      <c r="AD94" s="22"/>
    </row>
    <row r="95" ht="23.25" customHeight="1">
      <c r="A95" s="111">
        <v>39.0</v>
      </c>
      <c r="B95" s="112">
        <v>44975.0</v>
      </c>
      <c r="C95" s="1244">
        <v>1.699543955038E12</v>
      </c>
      <c r="D95" s="142" t="s">
        <v>2252</v>
      </c>
      <c r="E95" s="1449" t="s">
        <v>2253</v>
      </c>
      <c r="F95" s="142" t="s">
        <v>2254</v>
      </c>
      <c r="G95" s="68" t="s">
        <v>122</v>
      </c>
      <c r="H95" s="64">
        <v>4.0</v>
      </c>
      <c r="I95" s="1482">
        <v>220000.0</v>
      </c>
      <c r="J95" s="1504">
        <f t="shared" si="18"/>
        <v>880000</v>
      </c>
      <c r="K95" s="49">
        <f>sum(J95:J97)</f>
        <v>2080000</v>
      </c>
      <c r="L95" s="1505"/>
      <c r="M95" s="562"/>
      <c r="N95" s="53">
        <f>K95+L95-M95</f>
        <v>2080000</v>
      </c>
      <c r="O95" s="1508" t="s">
        <v>449</v>
      </c>
      <c r="P95" s="1508" t="s">
        <v>31</v>
      </c>
      <c r="Q95" s="1509">
        <v>50999.0</v>
      </c>
      <c r="R95" s="1510" t="s">
        <v>32</v>
      </c>
      <c r="S95" s="1511" t="s">
        <v>33</v>
      </c>
      <c r="T95" s="1512"/>
      <c r="U95" s="588"/>
      <c r="V95" s="1513"/>
      <c r="W95" s="1512"/>
      <c r="X95" s="22"/>
      <c r="Y95" s="9"/>
      <c r="Z95" s="204"/>
      <c r="AA95" s="25"/>
      <c r="AB95" s="25"/>
      <c r="AC95" s="25"/>
      <c r="AD95" s="22"/>
    </row>
    <row r="96" ht="23.25" customHeight="1">
      <c r="A96" s="62"/>
      <c r="B96" s="62"/>
      <c r="C96" s="423"/>
      <c r="D96" s="62"/>
      <c r="E96" s="62"/>
      <c r="F96" s="62"/>
      <c r="G96" s="68" t="s">
        <v>382</v>
      </c>
      <c r="H96" s="64">
        <v>4.0</v>
      </c>
      <c r="I96" s="1482">
        <v>220000.0</v>
      </c>
      <c r="J96" s="1504">
        <f t="shared" si="18"/>
        <v>880000</v>
      </c>
      <c r="K96" s="62"/>
      <c r="L96" s="62"/>
      <c r="M96" s="62"/>
      <c r="N96" s="62"/>
      <c r="O96" s="62"/>
      <c r="P96" s="62"/>
      <c r="Q96" s="62"/>
      <c r="R96" s="62"/>
      <c r="S96" s="62"/>
      <c r="T96" s="62"/>
      <c r="U96" s="62"/>
      <c r="V96" s="62"/>
      <c r="W96" s="62"/>
      <c r="X96" s="22"/>
      <c r="Y96" s="9"/>
      <c r="Z96" s="204"/>
      <c r="AA96" s="25"/>
      <c r="AB96" s="25"/>
      <c r="AC96" s="25"/>
      <c r="AD96" s="22"/>
    </row>
    <row r="97" ht="23.25" customHeight="1">
      <c r="A97" s="67"/>
      <c r="B97" s="67"/>
      <c r="C97" s="102"/>
      <c r="D97" s="67"/>
      <c r="E97" s="67"/>
      <c r="F97" s="67"/>
      <c r="G97" s="68" t="s">
        <v>2180</v>
      </c>
      <c r="H97" s="64">
        <v>4.0</v>
      </c>
      <c r="I97" s="1482">
        <v>80000.0</v>
      </c>
      <c r="J97" s="1504">
        <f t="shared" si="18"/>
        <v>320000</v>
      </c>
      <c r="K97" s="67"/>
      <c r="L97" s="67"/>
      <c r="M97" s="67"/>
      <c r="N97" s="67"/>
      <c r="O97" s="67"/>
      <c r="P97" s="67"/>
      <c r="Q97" s="67"/>
      <c r="R97" s="67"/>
      <c r="S97" s="67"/>
      <c r="T97" s="67"/>
      <c r="U97" s="67"/>
      <c r="V97" s="67"/>
      <c r="W97" s="67"/>
      <c r="X97" s="22"/>
      <c r="Y97" s="9"/>
      <c r="Z97" s="204"/>
      <c r="AA97" s="25"/>
      <c r="AB97" s="25"/>
      <c r="AC97" s="25"/>
      <c r="AD97" s="22"/>
    </row>
    <row r="98" ht="46.5" customHeight="1">
      <c r="A98" s="93">
        <v>40.0</v>
      </c>
      <c r="B98" s="103">
        <v>44975.0</v>
      </c>
      <c r="C98" s="1425">
        <v>1.699433202075E12</v>
      </c>
      <c r="D98" s="92" t="s">
        <v>206</v>
      </c>
      <c r="E98" s="902" t="s">
        <v>1079</v>
      </c>
      <c r="F98" s="1005" t="s">
        <v>2189</v>
      </c>
      <c r="G98" s="68" t="s">
        <v>30</v>
      </c>
      <c r="H98" s="64">
        <v>10.0</v>
      </c>
      <c r="I98" s="1482">
        <v>220000.0</v>
      </c>
      <c r="J98" s="1504">
        <f t="shared" si="18"/>
        <v>2200000</v>
      </c>
      <c r="K98" s="76">
        <f>SUM(J98)</f>
        <v>2200000</v>
      </c>
      <c r="L98" s="1514"/>
      <c r="M98" s="1515"/>
      <c r="N98" s="80">
        <f t="shared" ref="N98:N99" si="20">K98+L98-M98</f>
        <v>2200000</v>
      </c>
      <c r="O98" s="1516" t="s">
        <v>449</v>
      </c>
      <c r="P98" s="1516" t="s">
        <v>31</v>
      </c>
      <c r="Q98" s="1517">
        <v>89999.0</v>
      </c>
      <c r="R98" s="1518" t="s">
        <v>32</v>
      </c>
      <c r="S98" s="1519" t="s">
        <v>33</v>
      </c>
      <c r="T98" s="1520"/>
      <c r="U98" s="883"/>
      <c r="V98" s="1521"/>
      <c r="W98" s="1520"/>
      <c r="X98" s="22"/>
      <c r="Y98" s="9"/>
      <c r="Z98" s="204"/>
      <c r="AA98" s="25"/>
      <c r="AB98" s="25"/>
      <c r="AC98" s="25"/>
      <c r="AD98" s="22"/>
    </row>
    <row r="99" ht="23.25" customHeight="1">
      <c r="A99" s="111">
        <v>41.0</v>
      </c>
      <c r="B99" s="112">
        <v>44977.0</v>
      </c>
      <c r="C99" s="1244">
        <v>1.700203823419E12</v>
      </c>
      <c r="D99" s="142" t="s">
        <v>2255</v>
      </c>
      <c r="E99" s="1449" t="s">
        <v>2256</v>
      </c>
      <c r="F99" s="142" t="s">
        <v>2257</v>
      </c>
      <c r="G99" s="68" t="s">
        <v>35</v>
      </c>
      <c r="H99" s="64">
        <v>3.0</v>
      </c>
      <c r="I99" s="1482">
        <v>220000.0</v>
      </c>
      <c r="J99" s="1504">
        <f t="shared" si="18"/>
        <v>660000</v>
      </c>
      <c r="K99" s="49">
        <f>sum(J99:J100)</f>
        <v>1320000</v>
      </c>
      <c r="L99" s="1505"/>
      <c r="M99" s="1506"/>
      <c r="N99" s="53">
        <f t="shared" si="20"/>
        <v>1320000</v>
      </c>
      <c r="O99" s="1508" t="s">
        <v>449</v>
      </c>
      <c r="P99" s="1508" t="s">
        <v>31</v>
      </c>
      <c r="Q99" s="1509">
        <v>84501.0</v>
      </c>
      <c r="R99" s="1510" t="s">
        <v>32</v>
      </c>
      <c r="S99" s="1511" t="s">
        <v>33</v>
      </c>
      <c r="T99" s="1512"/>
      <c r="U99" s="588"/>
      <c r="V99" s="1522">
        <v>2.0</v>
      </c>
      <c r="W99" s="1512"/>
      <c r="X99" s="22"/>
      <c r="Y99" s="9"/>
      <c r="Z99" s="204"/>
      <c r="AA99" s="25"/>
      <c r="AB99" s="25"/>
      <c r="AC99" s="25"/>
      <c r="AD99" s="22"/>
    </row>
    <row r="100" ht="23.25" customHeight="1">
      <c r="A100" s="67"/>
      <c r="B100" s="67"/>
      <c r="C100" s="102"/>
      <c r="D100" s="67"/>
      <c r="E100" s="67"/>
      <c r="F100" s="67"/>
      <c r="G100" s="68" t="s">
        <v>30</v>
      </c>
      <c r="H100" s="64">
        <v>3.0</v>
      </c>
      <c r="I100" s="1482">
        <v>220000.0</v>
      </c>
      <c r="J100" s="1504">
        <f t="shared" si="18"/>
        <v>660000</v>
      </c>
      <c r="K100" s="67"/>
      <c r="L100" s="67"/>
      <c r="M100" s="67"/>
      <c r="N100" s="67"/>
      <c r="O100" s="67"/>
      <c r="P100" s="67"/>
      <c r="Q100" s="67"/>
      <c r="R100" s="67"/>
      <c r="S100" s="67"/>
      <c r="T100" s="67"/>
      <c r="U100" s="67"/>
      <c r="V100" s="67"/>
      <c r="W100" s="67"/>
      <c r="X100" s="22"/>
      <c r="Y100" s="9"/>
      <c r="Z100" s="204"/>
      <c r="AA100" s="25"/>
      <c r="AB100" s="25"/>
      <c r="AC100" s="25"/>
      <c r="AD100" s="22"/>
    </row>
    <row r="101" ht="39.0" customHeight="1">
      <c r="A101" s="111">
        <v>42.0</v>
      </c>
      <c r="B101" s="112">
        <v>44977.0</v>
      </c>
      <c r="C101" s="1244">
        <v>1.700793405171E12</v>
      </c>
      <c r="D101" s="142" t="s">
        <v>517</v>
      </c>
      <c r="E101" s="1449" t="s">
        <v>518</v>
      </c>
      <c r="F101" s="44" t="s">
        <v>2258</v>
      </c>
      <c r="G101" s="68" t="s">
        <v>382</v>
      </c>
      <c r="H101" s="64">
        <v>2.0</v>
      </c>
      <c r="I101" s="1482">
        <v>220000.0</v>
      </c>
      <c r="J101" s="1504">
        <f t="shared" si="18"/>
        <v>440000</v>
      </c>
      <c r="K101" s="49">
        <f>sum(J101:J102)</f>
        <v>660000</v>
      </c>
      <c r="L101" s="1505"/>
      <c r="M101" s="1506"/>
      <c r="N101" s="53">
        <f>K101+L101-M101</f>
        <v>660000</v>
      </c>
      <c r="O101" s="1508" t="s">
        <v>449</v>
      </c>
      <c r="P101" s="1508" t="s">
        <v>31</v>
      </c>
      <c r="Q101" s="1509">
        <v>46999.0</v>
      </c>
      <c r="R101" s="1510" t="s">
        <v>32</v>
      </c>
      <c r="S101" s="1511" t="s">
        <v>33</v>
      </c>
      <c r="T101" s="1512"/>
      <c r="U101" s="588"/>
      <c r="V101" s="1522">
        <v>1.0</v>
      </c>
      <c r="W101" s="1512"/>
      <c r="X101" s="22"/>
      <c r="Y101" s="9"/>
      <c r="Z101" s="204"/>
      <c r="AA101" s="25"/>
      <c r="AB101" s="25"/>
      <c r="AC101" s="25"/>
      <c r="AD101" s="22"/>
    </row>
    <row r="102" ht="23.25" customHeight="1">
      <c r="A102" s="67"/>
      <c r="B102" s="67"/>
      <c r="C102" s="102"/>
      <c r="D102" s="67"/>
      <c r="E102" s="67"/>
      <c r="F102" s="67"/>
      <c r="G102" s="68" t="s">
        <v>37</v>
      </c>
      <c r="H102" s="64">
        <v>1.0</v>
      </c>
      <c r="I102" s="1482">
        <v>220000.0</v>
      </c>
      <c r="J102" s="1504">
        <f t="shared" si="18"/>
        <v>220000</v>
      </c>
      <c r="K102" s="67"/>
      <c r="L102" s="67"/>
      <c r="M102" s="67"/>
      <c r="N102" s="67"/>
      <c r="O102" s="67"/>
      <c r="P102" s="67"/>
      <c r="Q102" s="67"/>
      <c r="R102" s="67"/>
      <c r="S102" s="67"/>
      <c r="T102" s="67"/>
      <c r="U102" s="67"/>
      <c r="V102" s="67"/>
      <c r="W102" s="67"/>
      <c r="X102" s="22"/>
      <c r="Y102" s="9"/>
      <c r="Z102" s="204"/>
      <c r="AA102" s="25"/>
      <c r="AB102" s="25"/>
      <c r="AC102" s="25"/>
      <c r="AD102" s="22"/>
    </row>
    <row r="103" ht="41.25" customHeight="1">
      <c r="A103" s="93">
        <v>43.0</v>
      </c>
      <c r="B103" s="103">
        <v>44977.0</v>
      </c>
      <c r="C103" s="1425">
        <v>1.70147887253E12</v>
      </c>
      <c r="D103" s="92" t="s">
        <v>2259</v>
      </c>
      <c r="E103" s="1524" t="s">
        <v>2260</v>
      </c>
      <c r="F103" s="92" t="s">
        <v>2261</v>
      </c>
      <c r="G103" s="68" t="s">
        <v>30</v>
      </c>
      <c r="H103" s="64">
        <v>3.0</v>
      </c>
      <c r="I103" s="1482">
        <v>220000.0</v>
      </c>
      <c r="J103" s="1504">
        <f t="shared" si="18"/>
        <v>660000</v>
      </c>
      <c r="K103" s="76">
        <f>sum(J103)</f>
        <v>660000</v>
      </c>
      <c r="L103" s="1514"/>
      <c r="M103" s="1515"/>
      <c r="N103" s="80">
        <f t="shared" ref="N103:N104" si="21">K103+L103-M103</f>
        <v>660000</v>
      </c>
      <c r="O103" s="1516" t="s">
        <v>449</v>
      </c>
      <c r="P103" s="1516"/>
      <c r="Q103" s="1517">
        <v>53999.0</v>
      </c>
      <c r="R103" s="1518" t="s">
        <v>32</v>
      </c>
      <c r="S103" s="1519" t="s">
        <v>33</v>
      </c>
      <c r="T103" s="1520"/>
      <c r="U103" s="883"/>
      <c r="V103" s="1525">
        <v>1.0</v>
      </c>
      <c r="W103" s="1520"/>
      <c r="X103" s="22"/>
      <c r="Y103" s="9"/>
      <c r="Z103" s="204"/>
      <c r="AA103" s="25"/>
      <c r="AB103" s="25"/>
      <c r="AC103" s="25"/>
      <c r="AD103" s="22"/>
    </row>
    <row r="104" ht="23.25" customHeight="1">
      <c r="A104" s="111">
        <v>44.0</v>
      </c>
      <c r="B104" s="112">
        <v>44977.0</v>
      </c>
      <c r="C104" s="1244">
        <v>1.702357696656E12</v>
      </c>
      <c r="D104" s="44" t="s">
        <v>2005</v>
      </c>
      <c r="E104" s="1526" t="s">
        <v>2262</v>
      </c>
      <c r="F104" s="142" t="s">
        <v>2263</v>
      </c>
      <c r="G104" s="68" t="s">
        <v>30</v>
      </c>
      <c r="H104" s="64">
        <v>2.0</v>
      </c>
      <c r="I104" s="1482">
        <v>220000.0</v>
      </c>
      <c r="J104" s="1504">
        <f t="shared" si="18"/>
        <v>440000</v>
      </c>
      <c r="K104" s="49">
        <f>sum(J104:J107)</f>
        <v>1100000</v>
      </c>
      <c r="L104" s="1505"/>
      <c r="M104" s="1506"/>
      <c r="N104" s="53">
        <f t="shared" si="21"/>
        <v>1100000</v>
      </c>
      <c r="O104" s="1508" t="s">
        <v>449</v>
      </c>
      <c r="P104" s="1508" t="s">
        <v>31</v>
      </c>
      <c r="Q104" s="1509">
        <v>62998.0</v>
      </c>
      <c r="R104" s="1510" t="s">
        <v>32</v>
      </c>
      <c r="S104" s="1511" t="s">
        <v>33</v>
      </c>
      <c r="T104" s="1512"/>
      <c r="U104" s="588"/>
      <c r="V104" s="1522"/>
      <c r="W104" s="1512"/>
      <c r="X104" s="22"/>
      <c r="Y104" s="9"/>
      <c r="Z104" s="204"/>
      <c r="AA104" s="25"/>
      <c r="AB104" s="25"/>
      <c r="AC104" s="25"/>
      <c r="AD104" s="22"/>
    </row>
    <row r="105" ht="23.25" customHeight="1">
      <c r="A105" s="62"/>
      <c r="B105" s="62"/>
      <c r="C105" s="423"/>
      <c r="D105" s="62"/>
      <c r="E105" s="62"/>
      <c r="F105" s="62"/>
      <c r="G105" s="68" t="s">
        <v>37</v>
      </c>
      <c r="H105" s="64">
        <v>1.0</v>
      </c>
      <c r="I105" s="1482">
        <v>220000.0</v>
      </c>
      <c r="J105" s="1504">
        <f t="shared" si="18"/>
        <v>220000</v>
      </c>
      <c r="K105" s="62"/>
      <c r="L105" s="62"/>
      <c r="M105" s="62"/>
      <c r="N105" s="62"/>
      <c r="O105" s="62"/>
      <c r="P105" s="62"/>
      <c r="Q105" s="62"/>
      <c r="R105" s="62"/>
      <c r="S105" s="62"/>
      <c r="T105" s="62"/>
      <c r="U105" s="62"/>
      <c r="V105" s="62"/>
      <c r="W105" s="62"/>
      <c r="X105" s="22"/>
      <c r="Y105" s="9"/>
      <c r="Z105" s="204"/>
      <c r="AA105" s="25"/>
      <c r="AB105" s="25"/>
      <c r="AC105" s="25"/>
      <c r="AD105" s="22"/>
    </row>
    <row r="106" ht="23.25" customHeight="1">
      <c r="A106" s="62"/>
      <c r="B106" s="62"/>
      <c r="C106" s="423"/>
      <c r="D106" s="62"/>
      <c r="E106" s="62"/>
      <c r="F106" s="62"/>
      <c r="G106" s="68" t="s">
        <v>165</v>
      </c>
      <c r="H106" s="64">
        <v>1.0</v>
      </c>
      <c r="I106" s="1482">
        <v>220000.0</v>
      </c>
      <c r="J106" s="1504">
        <f t="shared" si="18"/>
        <v>220000</v>
      </c>
      <c r="K106" s="62"/>
      <c r="L106" s="62"/>
      <c r="M106" s="62"/>
      <c r="N106" s="62"/>
      <c r="O106" s="62"/>
      <c r="P106" s="62"/>
      <c r="Q106" s="62"/>
      <c r="R106" s="62"/>
      <c r="S106" s="62"/>
      <c r="T106" s="62"/>
      <c r="U106" s="62"/>
      <c r="V106" s="62"/>
      <c r="W106" s="62"/>
      <c r="X106" s="22"/>
      <c r="Y106" s="9"/>
      <c r="Z106" s="204"/>
      <c r="AA106" s="25"/>
      <c r="AB106" s="25"/>
      <c r="AC106" s="25"/>
      <c r="AD106" s="22"/>
    </row>
    <row r="107" ht="23.25" customHeight="1">
      <c r="A107" s="67"/>
      <c r="B107" s="67"/>
      <c r="C107" s="102"/>
      <c r="D107" s="67"/>
      <c r="E107" s="67"/>
      <c r="F107" s="67"/>
      <c r="G107" s="68" t="s">
        <v>122</v>
      </c>
      <c r="H107" s="64">
        <v>1.0</v>
      </c>
      <c r="I107" s="1482">
        <v>220000.0</v>
      </c>
      <c r="J107" s="1504">
        <f t="shared" si="18"/>
        <v>220000</v>
      </c>
      <c r="K107" s="67"/>
      <c r="L107" s="67"/>
      <c r="M107" s="67"/>
      <c r="N107" s="67"/>
      <c r="O107" s="67"/>
      <c r="P107" s="67"/>
      <c r="Q107" s="67"/>
      <c r="R107" s="67"/>
      <c r="S107" s="67"/>
      <c r="T107" s="67"/>
      <c r="U107" s="67"/>
      <c r="V107" s="67"/>
      <c r="W107" s="67"/>
      <c r="X107" s="22"/>
      <c r="Y107" s="9"/>
      <c r="Z107" s="204"/>
      <c r="AA107" s="25"/>
      <c r="AB107" s="25"/>
      <c r="AC107" s="25"/>
      <c r="AD107" s="22"/>
    </row>
    <row r="108" ht="40.5" customHeight="1">
      <c r="A108" s="1527">
        <v>45.0</v>
      </c>
      <c r="B108" s="1528">
        <v>44977.0</v>
      </c>
      <c r="C108" s="1529">
        <v>1.690972379201E12</v>
      </c>
      <c r="D108" s="1530" t="s">
        <v>357</v>
      </c>
      <c r="E108" s="1531" t="s">
        <v>358</v>
      </c>
      <c r="F108" s="1532" t="s">
        <v>1885</v>
      </c>
      <c r="G108" s="1533" t="s">
        <v>75</v>
      </c>
      <c r="H108" s="1534"/>
      <c r="I108" s="1535"/>
      <c r="J108" s="1536"/>
      <c r="K108" s="1537"/>
      <c r="L108" s="1538"/>
      <c r="M108" s="1539"/>
      <c r="N108" s="1540"/>
      <c r="O108" s="1541" t="s">
        <v>449</v>
      </c>
      <c r="P108" s="1542"/>
      <c r="Q108" s="1543">
        <v>18000.0</v>
      </c>
      <c r="R108" s="1544" t="s">
        <v>32</v>
      </c>
      <c r="S108" s="1541" t="s">
        <v>33</v>
      </c>
      <c r="T108" s="1545"/>
      <c r="U108" s="1546"/>
      <c r="V108" s="1545"/>
      <c r="W108" s="1545" t="s">
        <v>2264</v>
      </c>
      <c r="X108" s="1547"/>
      <c r="Y108" s="1548"/>
      <c r="Z108" s="1549"/>
      <c r="AA108" s="1550"/>
      <c r="AB108" s="1550"/>
      <c r="AC108" s="1550"/>
      <c r="AD108" s="1547"/>
    </row>
    <row r="109" ht="23.25" customHeight="1">
      <c r="A109" s="62"/>
      <c r="B109" s="62"/>
      <c r="C109" s="423"/>
      <c r="D109" s="62"/>
      <c r="E109" s="62"/>
      <c r="F109" s="62"/>
      <c r="G109" s="1533" t="s">
        <v>488</v>
      </c>
      <c r="H109" s="62"/>
      <c r="I109" s="423"/>
      <c r="K109" s="62"/>
      <c r="L109" s="62"/>
      <c r="M109" s="62"/>
      <c r="N109" s="62"/>
      <c r="O109" s="62"/>
      <c r="P109" s="62"/>
      <c r="Q109" s="62"/>
      <c r="R109" s="62"/>
      <c r="S109" s="62"/>
      <c r="T109" s="62"/>
      <c r="U109" s="62"/>
      <c r="V109" s="62"/>
      <c r="W109" s="62"/>
      <c r="X109" s="492"/>
      <c r="Y109" s="282"/>
      <c r="Z109" s="1483"/>
      <c r="AA109" s="491"/>
      <c r="AB109" s="491"/>
      <c r="AC109" s="491"/>
      <c r="AD109" s="492"/>
    </row>
    <row r="110" ht="23.25" customHeight="1">
      <c r="A110" s="62"/>
      <c r="B110" s="62"/>
      <c r="C110" s="423"/>
      <c r="D110" s="62"/>
      <c r="E110" s="62"/>
      <c r="F110" s="62"/>
      <c r="G110" s="1533" t="s">
        <v>2180</v>
      </c>
      <c r="H110" s="62"/>
      <c r="I110" s="423"/>
      <c r="K110" s="62"/>
      <c r="L110" s="62"/>
      <c r="M110" s="62"/>
      <c r="N110" s="62"/>
      <c r="O110" s="62"/>
      <c r="P110" s="62"/>
      <c r="Q110" s="62"/>
      <c r="R110" s="62"/>
      <c r="S110" s="62"/>
      <c r="T110" s="62"/>
      <c r="U110" s="62"/>
      <c r="V110" s="62"/>
      <c r="W110" s="62"/>
      <c r="X110" s="492"/>
      <c r="Y110" s="282"/>
      <c r="Z110" s="1483"/>
      <c r="AA110" s="491"/>
      <c r="AB110" s="491"/>
      <c r="AC110" s="491"/>
      <c r="AD110" s="492"/>
    </row>
    <row r="111" ht="24.75" customHeight="1">
      <c r="A111" s="67"/>
      <c r="B111" s="67"/>
      <c r="C111" s="102"/>
      <c r="D111" s="67"/>
      <c r="E111" s="67"/>
      <c r="F111" s="67"/>
      <c r="G111" s="1551" t="s">
        <v>412</v>
      </c>
      <c r="H111" s="67"/>
      <c r="I111" s="102"/>
      <c r="J111" s="1552"/>
      <c r="K111" s="67"/>
      <c r="L111" s="67"/>
      <c r="M111" s="67"/>
      <c r="N111" s="67"/>
      <c r="O111" s="67"/>
      <c r="P111" s="67"/>
      <c r="Q111" s="67"/>
      <c r="R111" s="67"/>
      <c r="S111" s="67"/>
      <c r="T111" s="67"/>
      <c r="U111" s="67"/>
      <c r="V111" s="67"/>
      <c r="W111" s="67"/>
      <c r="X111" s="282"/>
      <c r="Y111" s="282"/>
      <c r="Z111" s="1483"/>
      <c r="AA111" s="281"/>
      <c r="AB111" s="281"/>
      <c r="AC111" s="281"/>
      <c r="AD111" s="282"/>
    </row>
    <row r="112" ht="44.25" customHeight="1">
      <c r="A112" s="1553">
        <v>46.0</v>
      </c>
      <c r="B112" s="1554">
        <v>44978.0</v>
      </c>
      <c r="C112" s="1555">
        <v>1.683012243884E12</v>
      </c>
      <c r="D112" s="613" t="s">
        <v>2265</v>
      </c>
      <c r="E112" s="1556" t="s">
        <v>207</v>
      </c>
      <c r="F112" s="1557" t="s">
        <v>591</v>
      </c>
      <c r="G112" s="565" t="s">
        <v>30</v>
      </c>
      <c r="H112" s="265">
        <v>5.0</v>
      </c>
      <c r="I112" s="1482">
        <v>220000.0</v>
      </c>
      <c r="J112" s="1558">
        <f t="shared" ref="J112:J114" si="22">I112*H112</f>
        <v>1100000</v>
      </c>
      <c r="K112" s="76">
        <f>SUM(J112)</f>
        <v>1100000</v>
      </c>
      <c r="L112" s="243"/>
      <c r="M112" s="243"/>
      <c r="N112" s="1559">
        <f t="shared" ref="N112:N113" si="23">K112+L112-M112</f>
        <v>1100000</v>
      </c>
      <c r="O112" s="265" t="s">
        <v>449</v>
      </c>
      <c r="P112" s="265"/>
      <c r="Q112" s="1560">
        <v>62998.0</v>
      </c>
      <c r="R112" s="721"/>
      <c r="S112" s="243"/>
      <c r="T112" s="243"/>
      <c r="U112" s="243"/>
      <c r="V112" s="1560">
        <v>1.0</v>
      </c>
      <c r="W112" s="243"/>
      <c r="X112" s="107"/>
      <c r="Y112" s="107"/>
      <c r="Z112" s="24"/>
      <c r="AA112" s="107"/>
      <c r="AB112" s="107"/>
      <c r="AC112" s="107"/>
      <c r="AD112" s="107"/>
    </row>
    <row r="113" ht="24.75" customHeight="1">
      <c r="A113" s="1465">
        <v>47.0</v>
      </c>
      <c r="B113" s="1561">
        <v>44978.0</v>
      </c>
      <c r="C113" s="1562">
        <v>1.684902521499E12</v>
      </c>
      <c r="D113" s="587" t="s">
        <v>2266</v>
      </c>
      <c r="E113" s="1563" t="s">
        <v>2267</v>
      </c>
      <c r="F113" s="587" t="s">
        <v>2268</v>
      </c>
      <c r="G113" s="565" t="s">
        <v>30</v>
      </c>
      <c r="H113" s="323">
        <v>1.0</v>
      </c>
      <c r="I113" s="1482">
        <v>220000.0</v>
      </c>
      <c r="J113" s="1558">
        <f t="shared" si="22"/>
        <v>220000</v>
      </c>
      <c r="K113" s="49">
        <f>SUM(J113:J114)</f>
        <v>660000</v>
      </c>
      <c r="L113" s="1564"/>
      <c r="M113" s="1564"/>
      <c r="N113" s="1564">
        <f t="shared" si="23"/>
        <v>660000</v>
      </c>
      <c r="O113" s="540" t="s">
        <v>449</v>
      </c>
      <c r="P113" s="540" t="s">
        <v>31</v>
      </c>
      <c r="Q113" s="1565">
        <v>53999.0</v>
      </c>
      <c r="R113" s="1566"/>
      <c r="S113" s="1565" t="s">
        <v>33</v>
      </c>
      <c r="T113" s="1564"/>
      <c r="U113" s="1564"/>
      <c r="V113" s="1565">
        <v>1.0</v>
      </c>
      <c r="W113" s="1564"/>
      <c r="X113" s="9"/>
      <c r="Y113" s="9"/>
      <c r="Z113" s="204"/>
      <c r="AA113" s="205"/>
      <c r="AB113" s="205"/>
      <c r="AC113" s="205"/>
      <c r="AD113" s="9"/>
    </row>
    <row r="114" ht="24.75" customHeight="1">
      <c r="A114" s="67"/>
      <c r="B114" s="67"/>
      <c r="C114" s="67"/>
      <c r="D114" s="67"/>
      <c r="E114" s="67"/>
      <c r="F114" s="67"/>
      <c r="G114" s="565" t="s">
        <v>35</v>
      </c>
      <c r="H114" s="323">
        <v>2.0</v>
      </c>
      <c r="I114" s="1482">
        <v>220000.0</v>
      </c>
      <c r="J114" s="1558">
        <f t="shared" si="22"/>
        <v>440000</v>
      </c>
      <c r="K114" s="67"/>
      <c r="L114" s="67"/>
      <c r="M114" s="67"/>
      <c r="N114" s="67"/>
      <c r="O114" s="67"/>
      <c r="P114" s="67"/>
      <c r="Q114" s="67"/>
      <c r="R114" s="67"/>
      <c r="S114" s="67"/>
      <c r="T114" s="67"/>
      <c r="U114" s="67"/>
      <c r="V114" s="67"/>
      <c r="W114" s="67"/>
      <c r="X114" s="9"/>
      <c r="Y114" s="9"/>
      <c r="Z114" s="204"/>
      <c r="AA114" s="205"/>
      <c r="AB114" s="205"/>
      <c r="AC114" s="205"/>
      <c r="AD114" s="9"/>
    </row>
    <row r="115" ht="24.75" customHeight="1">
      <c r="A115" s="1484">
        <v>49.0</v>
      </c>
      <c r="B115" s="1485">
        <v>44978.0</v>
      </c>
      <c r="C115" s="1567">
        <v>1.69908566263E12</v>
      </c>
      <c r="D115" s="1551" t="s">
        <v>2249</v>
      </c>
      <c r="E115" s="1568" t="s">
        <v>2269</v>
      </c>
      <c r="F115" s="1489" t="s">
        <v>2251</v>
      </c>
      <c r="G115" s="1551" t="s">
        <v>35</v>
      </c>
      <c r="H115" s="1569">
        <v>1.0</v>
      </c>
      <c r="I115" s="1492"/>
      <c r="J115" s="1570"/>
      <c r="K115" s="1494"/>
      <c r="L115" s="1571"/>
      <c r="M115" s="1571"/>
      <c r="N115" s="1571"/>
      <c r="O115" s="1569" t="s">
        <v>449</v>
      </c>
      <c r="P115" s="1569"/>
      <c r="Q115" s="1572">
        <v>22501.0</v>
      </c>
      <c r="R115" s="1573"/>
      <c r="S115" s="1571"/>
      <c r="T115" s="1571"/>
      <c r="U115" s="1571"/>
      <c r="V115" s="1571"/>
      <c r="W115" s="1574" t="s">
        <v>2270</v>
      </c>
      <c r="X115" s="282"/>
      <c r="Y115" s="282"/>
      <c r="Z115" s="1483"/>
      <c r="AA115" s="281"/>
      <c r="AB115" s="281"/>
      <c r="AC115" s="281"/>
      <c r="AD115" s="282"/>
    </row>
    <row r="116" ht="24.75" customHeight="1">
      <c r="A116" s="111">
        <v>50.0</v>
      </c>
      <c r="B116" s="112">
        <v>44980.0</v>
      </c>
      <c r="C116" s="1575">
        <v>1.68298168959E12</v>
      </c>
      <c r="D116" s="587" t="s">
        <v>2271</v>
      </c>
      <c r="E116" s="1563" t="s">
        <v>2272</v>
      </c>
      <c r="F116" s="149" t="s">
        <v>2273</v>
      </c>
      <c r="G116" s="565" t="s">
        <v>30</v>
      </c>
      <c r="H116" s="323">
        <v>3.0</v>
      </c>
      <c r="I116" s="1482">
        <v>220000.0</v>
      </c>
      <c r="J116" s="1558">
        <f t="shared" ref="J116:J123" si="24">I116*H116</f>
        <v>660000</v>
      </c>
      <c r="K116" s="49">
        <f>SUM(J116:J117)</f>
        <v>1320000</v>
      </c>
      <c r="L116" s="1564"/>
      <c r="M116" s="1564"/>
      <c r="N116" s="1576">
        <f>K116+L116-M116</f>
        <v>1320000</v>
      </c>
      <c r="O116" s="540"/>
      <c r="P116" s="540"/>
      <c r="Q116" s="1565">
        <v>68998.0</v>
      </c>
      <c r="R116" s="1566" t="s">
        <v>32</v>
      </c>
      <c r="S116" s="1564"/>
      <c r="T116" s="1564"/>
      <c r="U116" s="1564"/>
      <c r="V116" s="1565">
        <v>2.0</v>
      </c>
      <c r="W116" s="1564"/>
      <c r="X116" s="9"/>
      <c r="Y116" s="9"/>
      <c r="Z116" s="204"/>
      <c r="AA116" s="205"/>
      <c r="AB116" s="205"/>
      <c r="AC116" s="205"/>
      <c r="AD116" s="9"/>
    </row>
    <row r="117" ht="24.75" customHeight="1">
      <c r="A117" s="67"/>
      <c r="B117" s="67"/>
      <c r="C117" s="67"/>
      <c r="D117" s="67"/>
      <c r="E117" s="67"/>
      <c r="F117" s="67"/>
      <c r="G117" s="565" t="s">
        <v>165</v>
      </c>
      <c r="H117" s="323">
        <v>3.0</v>
      </c>
      <c r="I117" s="1482">
        <v>220000.0</v>
      </c>
      <c r="J117" s="1558">
        <f t="shared" si="24"/>
        <v>660000</v>
      </c>
      <c r="K117" s="67"/>
      <c r="L117" s="67"/>
      <c r="M117" s="67"/>
      <c r="N117" s="67"/>
      <c r="O117" s="67"/>
      <c r="P117" s="67"/>
      <c r="Q117" s="67"/>
      <c r="R117" s="67"/>
      <c r="S117" s="67"/>
      <c r="T117" s="67"/>
      <c r="U117" s="67"/>
      <c r="V117" s="67"/>
      <c r="W117" s="67"/>
      <c r="X117" s="9"/>
      <c r="Y117" s="9"/>
      <c r="Z117" s="204"/>
      <c r="AA117" s="205"/>
      <c r="AB117" s="205"/>
      <c r="AC117" s="205"/>
      <c r="AD117" s="9"/>
    </row>
    <row r="118" ht="24.75" customHeight="1">
      <c r="A118" s="93">
        <v>51.0</v>
      </c>
      <c r="B118" s="103">
        <v>44980.0</v>
      </c>
      <c r="C118" s="1577">
        <v>1.685332680934E12</v>
      </c>
      <c r="D118" s="565" t="s">
        <v>2274</v>
      </c>
      <c r="E118" s="1556" t="s">
        <v>2275</v>
      </c>
      <c r="F118" s="565" t="s">
        <v>2276</v>
      </c>
      <c r="G118" s="565" t="s">
        <v>30</v>
      </c>
      <c r="H118" s="565">
        <v>1.0</v>
      </c>
      <c r="I118" s="1482">
        <v>220000.0</v>
      </c>
      <c r="J118" s="1558">
        <f t="shared" si="24"/>
        <v>220000</v>
      </c>
      <c r="K118" s="1223">
        <f t="shared" ref="K118:K120" si="25">SUM(J118)</f>
        <v>220000</v>
      </c>
      <c r="L118" s="1578">
        <v>45000.0</v>
      </c>
      <c r="M118" s="1578">
        <v>25000.0</v>
      </c>
      <c r="N118" s="1579">
        <f t="shared" ref="N118:N121" si="26">K118+L118-M118</f>
        <v>240000</v>
      </c>
      <c r="O118" s="1580" t="s">
        <v>449</v>
      </c>
      <c r="P118" s="1580"/>
      <c r="Q118" s="1581"/>
      <c r="R118" s="1580"/>
      <c r="S118" s="1581"/>
      <c r="T118" s="1581"/>
      <c r="U118" s="1581"/>
      <c r="V118" s="1559"/>
      <c r="W118" s="1581"/>
      <c r="X118" s="971"/>
      <c r="Y118" s="971"/>
      <c r="Z118" s="1582"/>
      <c r="AA118" s="1583"/>
      <c r="AB118" s="1583"/>
      <c r="AC118" s="1583"/>
      <c r="AD118" s="971"/>
    </row>
    <row r="119" ht="33.0" customHeight="1">
      <c r="A119" s="694">
        <v>52.0</v>
      </c>
      <c r="B119" s="103">
        <v>44980.0</v>
      </c>
      <c r="C119" s="1584">
        <v>1.701308412079E12</v>
      </c>
      <c r="D119" s="565" t="s">
        <v>209</v>
      </c>
      <c r="E119" s="1556" t="s">
        <v>210</v>
      </c>
      <c r="F119" s="613" t="s">
        <v>2277</v>
      </c>
      <c r="G119" s="565" t="s">
        <v>30</v>
      </c>
      <c r="H119" s="565">
        <v>4.0</v>
      </c>
      <c r="I119" s="1482">
        <v>220000.0</v>
      </c>
      <c r="J119" s="1558">
        <f t="shared" si="24"/>
        <v>880000</v>
      </c>
      <c r="K119" s="1223">
        <f t="shared" si="25"/>
        <v>880000</v>
      </c>
      <c r="L119" s="1581"/>
      <c r="M119" s="1581"/>
      <c r="N119" s="1579">
        <f t="shared" si="26"/>
        <v>880000</v>
      </c>
      <c r="O119" s="1580" t="s">
        <v>449</v>
      </c>
      <c r="P119" s="1580"/>
      <c r="Q119" s="1578">
        <v>52998.0</v>
      </c>
      <c r="R119" s="1580" t="s">
        <v>32</v>
      </c>
      <c r="S119" s="1581"/>
      <c r="T119" s="1581"/>
      <c r="U119" s="1581"/>
      <c r="V119" s="1560">
        <v>1.0</v>
      </c>
      <c r="W119" s="1581"/>
      <c r="X119" s="971"/>
      <c r="Y119" s="971"/>
      <c r="Z119" s="1582"/>
      <c r="AA119" s="1583"/>
      <c r="AB119" s="1583"/>
      <c r="AC119" s="1583"/>
      <c r="AD119" s="971"/>
    </row>
    <row r="120" ht="53.25" customHeight="1">
      <c r="A120" s="93">
        <v>53.0</v>
      </c>
      <c r="B120" s="103">
        <v>44980.0</v>
      </c>
      <c r="C120" s="1585">
        <v>1.70143481119E12</v>
      </c>
      <c r="D120" s="565" t="s">
        <v>2278</v>
      </c>
      <c r="E120" s="1586" t="s">
        <v>2279</v>
      </c>
      <c r="F120" s="613" t="s">
        <v>2280</v>
      </c>
      <c r="G120" s="565" t="s">
        <v>30</v>
      </c>
      <c r="H120" s="565">
        <v>2.0</v>
      </c>
      <c r="I120" s="1587">
        <v>220000.0</v>
      </c>
      <c r="J120" s="1588">
        <f t="shared" si="24"/>
        <v>440000</v>
      </c>
      <c r="K120" s="1223">
        <f t="shared" si="25"/>
        <v>440000</v>
      </c>
      <c r="L120" s="1578">
        <v>50999.0</v>
      </c>
      <c r="M120" s="1578">
        <v>20999.0</v>
      </c>
      <c r="N120" s="1589">
        <f t="shared" si="26"/>
        <v>470000</v>
      </c>
      <c r="O120" s="1580"/>
      <c r="P120" s="1580"/>
      <c r="Q120" s="1581"/>
      <c r="R120" s="1580"/>
      <c r="S120" s="1581"/>
      <c r="T120" s="1581"/>
      <c r="U120" s="1581"/>
      <c r="V120" s="1581"/>
      <c r="W120" s="1581"/>
      <c r="X120" s="222"/>
      <c r="Y120" s="222"/>
      <c r="Z120" s="1590"/>
      <c r="AA120" s="1583"/>
      <c r="AB120" s="1583"/>
      <c r="AC120" s="1583"/>
      <c r="AD120" s="222"/>
    </row>
    <row r="121" ht="24.75" customHeight="1">
      <c r="A121" s="111">
        <v>54.0</v>
      </c>
      <c r="B121" s="1591">
        <v>44981.0</v>
      </c>
      <c r="C121" s="1592">
        <v>1.703422147197E12</v>
      </c>
      <c r="D121" s="587" t="s">
        <v>1943</v>
      </c>
      <c r="E121" s="1563" t="s">
        <v>1961</v>
      </c>
      <c r="F121" s="587" t="s">
        <v>1962</v>
      </c>
      <c r="G121" s="565" t="s">
        <v>30</v>
      </c>
      <c r="H121" s="565">
        <v>2.0</v>
      </c>
      <c r="I121" s="1593">
        <v>220000.0</v>
      </c>
      <c r="J121" s="1588">
        <f t="shared" si="24"/>
        <v>440000</v>
      </c>
      <c r="K121" s="1387">
        <f>SUM(J121:J122)</f>
        <v>880000</v>
      </c>
      <c r="L121" s="1594"/>
      <c r="M121" s="1594"/>
      <c r="N121" s="1595">
        <f t="shared" si="26"/>
        <v>880000</v>
      </c>
      <c r="O121" s="1596"/>
      <c r="P121" s="1596"/>
      <c r="Q121" s="1597">
        <v>59998.0</v>
      </c>
      <c r="R121" s="1596" t="s">
        <v>32</v>
      </c>
      <c r="S121" s="1594"/>
      <c r="T121" s="1594"/>
      <c r="U121" s="1594"/>
      <c r="V121" s="1597">
        <v>1.0</v>
      </c>
      <c r="W121" s="1594"/>
      <c r="X121" s="511"/>
      <c r="Y121" s="511"/>
      <c r="Z121" s="1598"/>
      <c r="AA121" s="511"/>
      <c r="AB121" s="511"/>
      <c r="AC121" s="511"/>
      <c r="AD121" s="511"/>
    </row>
    <row r="122" ht="24.75" customHeight="1">
      <c r="A122" s="67"/>
      <c r="B122" s="67"/>
      <c r="C122" s="67"/>
      <c r="D122" s="67"/>
      <c r="E122" s="67"/>
      <c r="F122" s="67"/>
      <c r="G122" s="565" t="s">
        <v>122</v>
      </c>
      <c r="H122" s="323">
        <v>2.0</v>
      </c>
      <c r="I122" s="1593">
        <v>220000.0</v>
      </c>
      <c r="J122" s="1588">
        <f t="shared" si="24"/>
        <v>440000</v>
      </c>
      <c r="K122" s="67"/>
      <c r="L122" s="67"/>
      <c r="M122" s="67"/>
      <c r="N122" s="67"/>
      <c r="O122" s="67"/>
      <c r="P122" s="67"/>
      <c r="Q122" s="67"/>
      <c r="R122" s="67"/>
      <c r="S122" s="67"/>
      <c r="T122" s="67"/>
      <c r="U122" s="67"/>
      <c r="V122" s="67"/>
      <c r="W122" s="67"/>
      <c r="X122" s="9"/>
      <c r="Y122" s="9"/>
      <c r="Z122" s="204"/>
      <c r="AA122" s="205"/>
      <c r="AB122" s="205"/>
      <c r="AC122" s="205"/>
      <c r="AD122" s="9"/>
    </row>
    <row r="123" ht="36.75" customHeight="1">
      <c r="A123" s="93">
        <v>55.0</v>
      </c>
      <c r="B123" s="1599">
        <v>44982.0</v>
      </c>
      <c r="C123" s="1600">
        <v>1.68352497392E12</v>
      </c>
      <c r="D123" s="613" t="s">
        <v>2281</v>
      </c>
      <c r="E123" s="1556" t="s">
        <v>2282</v>
      </c>
      <c r="F123" s="613" t="s">
        <v>2283</v>
      </c>
      <c r="G123" s="565" t="s">
        <v>30</v>
      </c>
      <c r="H123" s="565">
        <v>1.0</v>
      </c>
      <c r="I123" s="1593">
        <v>220000.0</v>
      </c>
      <c r="J123" s="1588">
        <f t="shared" si="24"/>
        <v>220000</v>
      </c>
      <c r="K123" s="1223">
        <f>SUM(J123:J124)</f>
        <v>220000</v>
      </c>
      <c r="L123" s="1578">
        <v>38000.0</v>
      </c>
      <c r="M123" s="1578">
        <v>18000.0</v>
      </c>
      <c r="N123" s="1589">
        <f>K123+L123-M123</f>
        <v>240000</v>
      </c>
      <c r="O123" s="1580"/>
      <c r="P123" s="1580"/>
      <c r="Q123" s="1581"/>
      <c r="R123" s="1581"/>
      <c r="S123" s="1581"/>
      <c r="T123" s="1581"/>
      <c r="U123" s="1581"/>
      <c r="V123" s="1581"/>
      <c r="W123" s="1581"/>
      <c r="X123" s="511"/>
      <c r="Y123" s="511"/>
      <c r="Z123" s="1598"/>
      <c r="AA123" s="511"/>
      <c r="AB123" s="511"/>
      <c r="AC123" s="511"/>
      <c r="AD123" s="511"/>
    </row>
    <row r="124" ht="24.75" customHeight="1">
      <c r="A124" s="907"/>
      <c r="B124" s="103"/>
      <c r="C124" s="1106"/>
      <c r="D124" s="1106"/>
      <c r="E124" s="1106"/>
      <c r="F124" s="1106"/>
      <c r="G124" s="1106"/>
      <c r="H124" s="1106"/>
      <c r="I124" s="1601"/>
      <c r="J124" s="1602"/>
      <c r="K124" s="1223"/>
      <c r="L124" s="201"/>
      <c r="M124" s="201"/>
      <c r="N124" s="1589"/>
      <c r="O124" s="265"/>
      <c r="P124" s="265"/>
      <c r="Q124" s="201"/>
      <c r="R124" s="201"/>
      <c r="S124" s="201"/>
      <c r="T124" s="201"/>
      <c r="U124" s="201"/>
      <c r="V124" s="201"/>
      <c r="W124" s="201"/>
      <c r="X124" s="9"/>
      <c r="Y124" s="9"/>
      <c r="Z124" s="204"/>
      <c r="AA124" s="205"/>
      <c r="AB124" s="205"/>
      <c r="AC124" s="205"/>
      <c r="AD124" s="9"/>
    </row>
    <row r="125" ht="24.75" customHeight="1">
      <c r="A125" s="907"/>
      <c r="B125" s="103"/>
      <c r="C125" s="1106"/>
      <c r="D125" s="1106"/>
      <c r="E125" s="1106"/>
      <c r="F125" s="1106"/>
      <c r="G125" s="1106"/>
      <c r="H125" s="1106"/>
      <c r="I125" s="1106"/>
      <c r="J125" s="202"/>
      <c r="K125" s="76"/>
      <c r="L125" s="202"/>
      <c r="M125" s="201"/>
      <c r="N125" s="1579">
        <f>K125+L125-M125</f>
        <v>0</v>
      </c>
      <c r="O125" s="265"/>
      <c r="P125" s="265"/>
      <c r="Q125" s="201"/>
      <c r="R125" s="201"/>
      <c r="S125" s="201"/>
      <c r="T125" s="201"/>
      <c r="U125" s="201"/>
      <c r="V125" s="201"/>
      <c r="W125" s="201"/>
      <c r="X125" s="9"/>
      <c r="Y125" s="9"/>
      <c r="Z125" s="204"/>
      <c r="AA125" s="205"/>
      <c r="AB125" s="205"/>
      <c r="AC125" s="205"/>
      <c r="AD125" s="9"/>
    </row>
    <row r="126" ht="24.75" customHeight="1">
      <c r="A126" s="9"/>
      <c r="B126" s="103"/>
      <c r="C126" s="1603"/>
      <c r="D126" s="1603"/>
      <c r="E126" s="1603"/>
      <c r="F126" s="1603"/>
      <c r="G126" s="1603"/>
      <c r="H126" s="1603"/>
      <c r="I126" s="1601"/>
      <c r="J126" s="1168">
        <f>SUM(J4:J125)</f>
        <v>64650000</v>
      </c>
      <c r="K126" s="76">
        <f>SUM(J126)</f>
        <v>64650000</v>
      </c>
      <c r="L126" s="201">
        <f t="shared" ref="L126:N126" si="27">SUM(L4:L125)</f>
        <v>512495</v>
      </c>
      <c r="M126" s="201">
        <f t="shared" si="27"/>
        <v>232495</v>
      </c>
      <c r="N126" s="201">
        <f t="shared" si="27"/>
        <v>64930000</v>
      </c>
      <c r="O126" s="201">
        <f t="shared" ref="O126:P126" si="28">SUM(O4:O83)</f>
        <v>0</v>
      </c>
      <c r="P126" s="201">
        <f t="shared" si="28"/>
        <v>0</v>
      </c>
      <c r="Q126" s="201">
        <f>SUM(Q4:Q125)</f>
        <v>2960130</v>
      </c>
      <c r="R126" s="201">
        <f>SUM(R4:R83)</f>
        <v>0</v>
      </c>
      <c r="S126" s="201">
        <f t="shared" ref="S126:V126" si="29">SUM(S4:S125)</f>
        <v>0</v>
      </c>
      <c r="T126" s="201">
        <f t="shared" si="29"/>
        <v>0</v>
      </c>
      <c r="U126" s="201">
        <f t="shared" si="29"/>
        <v>0</v>
      </c>
      <c r="V126" s="201">
        <f t="shared" si="29"/>
        <v>33</v>
      </c>
      <c r="W126" s="201">
        <f>SUM(W4:W83)</f>
        <v>0</v>
      </c>
      <c r="X126" s="9"/>
      <c r="Y126" s="9"/>
      <c r="Z126" s="204"/>
      <c r="AA126" s="205"/>
      <c r="AB126" s="205"/>
      <c r="AC126" s="205"/>
      <c r="AD126" s="9"/>
    </row>
    <row r="127" ht="24.75" customHeight="1">
      <c r="A127" s="9"/>
      <c r="B127" s="463" t="s">
        <v>385</v>
      </c>
      <c r="C127" s="16"/>
      <c r="D127" s="16"/>
      <c r="E127" s="16"/>
      <c r="F127" s="16"/>
      <c r="G127" s="16"/>
      <c r="H127" s="16"/>
      <c r="I127" s="17"/>
      <c r="J127" s="1604">
        <f>SUMIF(G4:G83, "&lt;&gt;*Omi*", J4:J83)</f>
        <v>2610000</v>
      </c>
      <c r="K127" s="1605"/>
      <c r="L127" s="208"/>
      <c r="M127" s="210"/>
      <c r="N127" s="211"/>
      <c r="O127" s="210"/>
      <c r="P127" s="210"/>
      <c r="Q127" s="23"/>
      <c r="R127" s="23"/>
      <c r="S127" s="23"/>
      <c r="T127" s="23"/>
      <c r="U127" s="464"/>
      <c r="V127" s="464"/>
      <c r="W127" s="464"/>
      <c r="X127" s="9"/>
      <c r="Y127" s="9"/>
      <c r="Z127" s="204"/>
      <c r="AA127" s="205"/>
      <c r="AB127" s="205"/>
      <c r="AC127" s="205"/>
      <c r="AD127" s="9"/>
    </row>
    <row r="128" ht="24.75" customHeight="1">
      <c r="A128" s="9"/>
      <c r="B128" s="214" t="s">
        <v>386</v>
      </c>
      <c r="C128" s="16"/>
      <c r="D128" s="16"/>
      <c r="E128" s="16"/>
      <c r="F128" s="16"/>
      <c r="G128" s="16"/>
      <c r="H128" s="16"/>
      <c r="I128" s="17"/>
      <c r="J128" s="1606">
        <f>J126-J127</f>
        <v>62040000</v>
      </c>
      <c r="K128" s="1605"/>
      <c r="L128" s="216"/>
      <c r="M128" s="216"/>
      <c r="N128" s="216"/>
      <c r="O128" s="216"/>
      <c r="P128" s="23"/>
      <c r="Q128" s="23"/>
      <c r="R128" s="23"/>
      <c r="S128" s="23"/>
      <c r="T128" s="23"/>
      <c r="U128" s="464"/>
      <c r="V128" s="464"/>
      <c r="W128" s="464"/>
      <c r="X128" s="9"/>
      <c r="Y128" s="9"/>
      <c r="Z128" s="204"/>
      <c r="AA128" s="205"/>
      <c r="AB128" s="205"/>
      <c r="AC128" s="205"/>
      <c r="AD128" s="9"/>
    </row>
    <row r="129" ht="24.75" customHeight="1">
      <c r="A129" s="9"/>
      <c r="B129" s="217" t="s">
        <v>387</v>
      </c>
      <c r="C129" s="16"/>
      <c r="D129" s="16"/>
      <c r="E129" s="16"/>
      <c r="F129" s="16"/>
      <c r="G129" s="16"/>
      <c r="H129" s="16"/>
      <c r="I129" s="17"/>
      <c r="J129" s="1604">
        <f>SUMIF(R4:R83,"Cty trả ship",Q4:Q83)</f>
        <v>1986649</v>
      </c>
      <c r="K129" s="1605"/>
      <c r="L129" s="216"/>
      <c r="M129" s="1607"/>
      <c r="N129" s="216"/>
      <c r="O129" s="216"/>
      <c r="P129" s="23"/>
      <c r="Q129" s="23"/>
      <c r="R129" s="23"/>
      <c r="S129" s="23"/>
      <c r="T129" s="23"/>
      <c r="U129" s="464"/>
      <c r="V129" s="464"/>
      <c r="W129" s="464"/>
      <c r="X129" s="9"/>
      <c r="Y129" s="218"/>
      <c r="Z129" s="219"/>
      <c r="AA129" s="205"/>
      <c r="AB129" s="205"/>
      <c r="AC129" s="205"/>
      <c r="AD129" s="9"/>
    </row>
    <row r="130" ht="24.75" customHeight="1">
      <c r="A130" s="9"/>
      <c r="B130" s="220" t="s">
        <v>388</v>
      </c>
      <c r="C130" s="16"/>
      <c r="D130" s="16"/>
      <c r="E130" s="16"/>
      <c r="F130" s="16"/>
      <c r="G130" s="16"/>
      <c r="H130" s="16"/>
      <c r="I130" s="17"/>
      <c r="J130" s="1608">
        <f>M126</f>
        <v>232495</v>
      </c>
      <c r="K130" s="1605"/>
      <c r="L130" s="208"/>
      <c r="M130" s="210"/>
      <c r="N130" s="211"/>
      <c r="O130" s="210"/>
      <c r="P130" s="210"/>
      <c r="Q130" s="23"/>
      <c r="R130" s="23"/>
      <c r="S130" s="210"/>
      <c r="T130" s="210"/>
      <c r="U130" s="466"/>
      <c r="V130" s="466"/>
      <c r="W130" s="466"/>
      <c r="X130" s="210"/>
      <c r="Y130" s="218"/>
      <c r="Z130" s="219"/>
      <c r="AA130" s="205"/>
      <c r="AB130" s="205"/>
      <c r="AC130" s="205"/>
      <c r="AD130" s="9"/>
    </row>
    <row r="131" ht="15.75" customHeight="1">
      <c r="A131" s="9"/>
      <c r="B131" s="9"/>
      <c r="C131" s="9"/>
      <c r="D131" s="9"/>
      <c r="E131" s="9"/>
      <c r="F131" s="222"/>
      <c r="G131" s="223"/>
      <c r="H131" s="224"/>
      <c r="I131" s="225"/>
      <c r="J131" s="225"/>
      <c r="K131" s="22"/>
      <c r="L131" s="9"/>
      <c r="M131" s="9"/>
      <c r="N131" s="226"/>
      <c r="O131" s="9"/>
      <c r="P131" s="9"/>
      <c r="Q131" s="9"/>
      <c r="R131" s="9"/>
      <c r="S131" s="9"/>
      <c r="T131" s="9"/>
      <c r="U131" s="913"/>
      <c r="V131" s="913"/>
      <c r="W131" s="913"/>
      <c r="X131" s="9"/>
      <c r="Y131" s="9"/>
      <c r="Z131" s="204"/>
      <c r="AA131" s="205"/>
      <c r="AB131" s="205"/>
      <c r="AC131" s="205"/>
      <c r="AD131" s="9"/>
    </row>
    <row r="132" ht="15.75" customHeight="1">
      <c r="A132" s="218"/>
      <c r="B132" s="227"/>
      <c r="C132" s="228"/>
      <c r="D132" s="229"/>
      <c r="E132" s="230"/>
      <c r="F132" s="229"/>
      <c r="G132" s="231"/>
      <c r="H132" s="231"/>
      <c r="I132" s="231"/>
      <c r="J132" s="232"/>
      <c r="K132" s="233"/>
      <c r="L132" s="232"/>
      <c r="M132" s="232"/>
      <c r="N132" s="234"/>
      <c r="O132" s="218"/>
      <c r="P132" s="218"/>
      <c r="Q132" s="218"/>
      <c r="R132" s="218"/>
      <c r="S132" s="218"/>
      <c r="T132" s="218"/>
      <c r="U132" s="601"/>
      <c r="V132" s="601"/>
      <c r="W132" s="601"/>
      <c r="X132" s="235"/>
      <c r="Y132" s="218"/>
      <c r="Z132" s="219"/>
      <c r="AA132" s="205"/>
      <c r="AB132" s="205"/>
      <c r="AC132" s="205"/>
      <c r="AD132" s="9"/>
    </row>
    <row r="133" ht="15.75" customHeight="1">
      <c r="A133" s="218"/>
      <c r="B133" s="236"/>
      <c r="C133" s="16"/>
      <c r="D133" s="17"/>
      <c r="E133" s="237" t="s">
        <v>389</v>
      </c>
      <c r="F133" s="16"/>
      <c r="G133" s="16"/>
      <c r="H133" s="16"/>
      <c r="I133" s="16"/>
      <c r="J133" s="17"/>
      <c r="K133" s="23"/>
      <c r="L133" s="218"/>
      <c r="M133" s="1171" t="s">
        <v>864</v>
      </c>
      <c r="N133" s="2"/>
      <c r="O133" s="2"/>
      <c r="P133" s="2"/>
      <c r="Q133" s="2"/>
      <c r="R133" s="2"/>
      <c r="S133" s="3"/>
      <c r="T133" s="218"/>
      <c r="U133" s="604"/>
      <c r="V133" s="604"/>
      <c r="W133" s="604"/>
      <c r="X133" s="240"/>
      <c r="Y133" s="218"/>
      <c r="Z133" s="219"/>
      <c r="AA133" s="205"/>
      <c r="AB133" s="205"/>
      <c r="AC133" s="205"/>
      <c r="AD133" s="9"/>
    </row>
    <row r="134" ht="15.75" customHeight="1">
      <c r="A134" s="218"/>
      <c r="B134" s="241" t="s">
        <v>391</v>
      </c>
      <c r="C134" s="242" t="s">
        <v>392</v>
      </c>
      <c r="D134" s="243" t="s">
        <v>393</v>
      </c>
      <c r="E134" s="244" t="s">
        <v>394</v>
      </c>
      <c r="F134" s="245" t="s">
        <v>395</v>
      </c>
      <c r="G134" s="201" t="s">
        <v>396</v>
      </c>
      <c r="H134" s="243" t="s">
        <v>397</v>
      </c>
      <c r="I134" s="246" t="s">
        <v>398</v>
      </c>
      <c r="J134" s="247" t="s">
        <v>399</v>
      </c>
      <c r="K134" s="23"/>
      <c r="L134" s="218"/>
      <c r="M134" s="1172" t="s">
        <v>400</v>
      </c>
      <c r="N134" s="1173" t="s">
        <v>2284</v>
      </c>
      <c r="O134" s="1173" t="s">
        <v>2285</v>
      </c>
      <c r="P134" s="1174" t="s">
        <v>2286</v>
      </c>
      <c r="Q134" s="1174" t="s">
        <v>2168</v>
      </c>
      <c r="R134" s="252" t="s">
        <v>405</v>
      </c>
      <c r="S134" s="253" t="s">
        <v>406</v>
      </c>
      <c r="T134" s="9"/>
      <c r="U134" s="618"/>
      <c r="V134" s="608"/>
      <c r="W134" s="608"/>
      <c r="X134" s="240"/>
      <c r="Y134" s="218"/>
      <c r="Z134" s="219"/>
      <c r="AA134" s="205"/>
      <c r="AB134" s="205"/>
      <c r="AC134" s="205"/>
      <c r="AD134" s="9"/>
    </row>
    <row r="135" ht="15.75" customHeight="1">
      <c r="A135" s="218"/>
      <c r="B135" s="254" t="s">
        <v>407</v>
      </c>
      <c r="C135" s="85" t="s">
        <v>121</v>
      </c>
      <c r="D135" s="255">
        <f t="shared" ref="D135:D174" si="30">SUMIF($G$4:$G$128,C135,$H$4:$H$128)</f>
        <v>1</v>
      </c>
      <c r="E135" s="65"/>
      <c r="F135" s="255"/>
      <c r="G135" s="256">
        <f t="shared" ref="G135:G174" si="31">D135-E135-F135</f>
        <v>1</v>
      </c>
      <c r="H135" s="128">
        <v>220000.0</v>
      </c>
      <c r="I135" s="217">
        <f t="shared" ref="I135:I174" si="32">G135*H135</f>
        <v>220000</v>
      </c>
      <c r="J135" s="257">
        <f t="shared" ref="J135:J172" si="33">SUMIF($T$4:$T$83,C135,$U$4:$U$83)</f>
        <v>0</v>
      </c>
      <c r="K135" s="23"/>
      <c r="L135" s="218"/>
      <c r="M135" s="103">
        <v>44944.0</v>
      </c>
      <c r="N135" s="261">
        <f>660000+2640000+440000</f>
        <v>3740000</v>
      </c>
      <c r="O135" s="261"/>
      <c r="P135" s="1609">
        <f>96999</f>
        <v>96999</v>
      </c>
      <c r="Q135" s="1177"/>
      <c r="R135" s="1178">
        <f t="shared" ref="R135:R146" si="34">N135+O135-P135-Q135</f>
        <v>3643001</v>
      </c>
      <c r="S135" s="483"/>
      <c r="T135" s="9"/>
      <c r="U135" s="608"/>
      <c r="V135" s="611"/>
      <c r="W135" s="611"/>
      <c r="X135" s="266"/>
      <c r="Y135" s="218"/>
      <c r="Z135" s="219"/>
      <c r="AA135" s="205"/>
      <c r="AB135" s="205"/>
      <c r="AC135" s="205"/>
      <c r="AD135" s="9"/>
    </row>
    <row r="136" ht="15.75" customHeight="1">
      <c r="A136" s="218"/>
      <c r="B136" s="62"/>
      <c r="C136" s="85" t="s">
        <v>123</v>
      </c>
      <c r="D136" s="255">
        <f t="shared" si="30"/>
        <v>0</v>
      </c>
      <c r="E136" s="65"/>
      <c r="F136" s="255"/>
      <c r="G136" s="256">
        <f t="shared" si="31"/>
        <v>0</v>
      </c>
      <c r="H136" s="128">
        <v>220000.0</v>
      </c>
      <c r="I136" s="217">
        <f t="shared" si="32"/>
        <v>0</v>
      </c>
      <c r="J136" s="257">
        <f t="shared" si="33"/>
        <v>0</v>
      </c>
      <c r="K136" s="23"/>
      <c r="L136" s="218"/>
      <c r="M136" s="103">
        <v>44957.0</v>
      </c>
      <c r="N136" s="261">
        <f>1055000</f>
        <v>1055000</v>
      </c>
      <c r="O136" s="261">
        <f>N4</f>
        <v>1760000</v>
      </c>
      <c r="P136" s="1609">
        <v>5000.0</v>
      </c>
      <c r="Q136" s="1177">
        <f>Q4+Q6</f>
        <v>153001</v>
      </c>
      <c r="R136" s="1178">
        <f t="shared" si="34"/>
        <v>2656999</v>
      </c>
      <c r="S136" s="483" t="s">
        <v>2287</v>
      </c>
      <c r="T136" s="9"/>
      <c r="U136" s="608"/>
      <c r="V136" s="611"/>
      <c r="W136" s="611"/>
      <c r="X136" s="266"/>
      <c r="Y136" s="218"/>
      <c r="Z136" s="219"/>
      <c r="AA136" s="205"/>
      <c r="AB136" s="205"/>
      <c r="AC136" s="205"/>
      <c r="AD136" s="9"/>
    </row>
    <row r="137" ht="15.75" customHeight="1">
      <c r="A137" s="218"/>
      <c r="B137" s="62"/>
      <c r="C137" s="85" t="s">
        <v>124</v>
      </c>
      <c r="D137" s="255">
        <f t="shared" si="30"/>
        <v>19</v>
      </c>
      <c r="E137" s="65"/>
      <c r="F137" s="255"/>
      <c r="G137" s="256">
        <f t="shared" si="31"/>
        <v>19</v>
      </c>
      <c r="H137" s="128">
        <v>220000.0</v>
      </c>
      <c r="I137" s="217">
        <f t="shared" si="32"/>
        <v>4180000</v>
      </c>
      <c r="J137" s="257">
        <f t="shared" si="33"/>
        <v>0</v>
      </c>
      <c r="K137" s="23"/>
      <c r="L137" s="218"/>
      <c r="M137" s="103">
        <v>44958.0</v>
      </c>
      <c r="N137" s="261"/>
      <c r="O137" s="496">
        <f>N9+N6</f>
        <v>1260000</v>
      </c>
      <c r="P137" s="487"/>
      <c r="Q137" s="1177">
        <f>Q9+Q11</f>
        <v>107998</v>
      </c>
      <c r="R137" s="1178">
        <f t="shared" si="34"/>
        <v>1152002</v>
      </c>
      <c r="S137" s="483"/>
      <c r="T137" s="9"/>
      <c r="U137" s="608"/>
      <c r="V137" s="611"/>
      <c r="W137" s="611"/>
      <c r="X137" s="266"/>
      <c r="Y137" s="218"/>
      <c r="Z137" s="219"/>
      <c r="AA137" s="205"/>
      <c r="AB137" s="205"/>
      <c r="AC137" s="205"/>
      <c r="AD137" s="9"/>
    </row>
    <row r="138" ht="15.75" customHeight="1">
      <c r="A138" s="218"/>
      <c r="B138" s="62"/>
      <c r="C138" s="129" t="s">
        <v>125</v>
      </c>
      <c r="D138" s="255">
        <f t="shared" si="30"/>
        <v>21</v>
      </c>
      <c r="E138" s="65"/>
      <c r="F138" s="255"/>
      <c r="G138" s="256">
        <f t="shared" si="31"/>
        <v>21</v>
      </c>
      <c r="H138" s="80">
        <v>220000.0</v>
      </c>
      <c r="I138" s="217">
        <f t="shared" si="32"/>
        <v>4620000</v>
      </c>
      <c r="J138" s="257">
        <f t="shared" si="33"/>
        <v>0</v>
      </c>
      <c r="K138" s="23"/>
      <c r="L138" s="218"/>
      <c r="M138" s="103">
        <v>44960.0</v>
      </c>
      <c r="N138" s="261"/>
      <c r="O138" s="261">
        <f>N14+N16+N12+N11</f>
        <v>4010000</v>
      </c>
      <c r="P138" s="487"/>
      <c r="Q138" s="487">
        <f>L14+Q16+L12+Q15</f>
        <v>260499</v>
      </c>
      <c r="R138" s="1178">
        <f t="shared" si="34"/>
        <v>3749501</v>
      </c>
      <c r="S138" s="488"/>
      <c r="T138" s="9"/>
      <c r="U138" s="608"/>
      <c r="V138" s="611"/>
      <c r="W138" s="611"/>
      <c r="X138" s="266"/>
      <c r="Y138" s="218"/>
      <c r="Z138" s="219"/>
      <c r="AA138" s="205"/>
      <c r="AB138" s="205"/>
      <c r="AC138" s="205"/>
      <c r="AD138" s="9"/>
    </row>
    <row r="139" ht="15.75" customHeight="1">
      <c r="A139" s="218"/>
      <c r="B139" s="62"/>
      <c r="C139" s="129" t="s">
        <v>129</v>
      </c>
      <c r="D139" s="255">
        <f t="shared" si="30"/>
        <v>27</v>
      </c>
      <c r="E139" s="268"/>
      <c r="F139" s="269"/>
      <c r="G139" s="256">
        <f t="shared" si="31"/>
        <v>27</v>
      </c>
      <c r="H139" s="80">
        <v>220000.0</v>
      </c>
      <c r="I139" s="217">
        <f t="shared" si="32"/>
        <v>5940000</v>
      </c>
      <c r="J139" s="257">
        <f t="shared" si="33"/>
        <v>0</v>
      </c>
      <c r="K139" s="23"/>
      <c r="L139" s="218"/>
      <c r="M139" s="103">
        <v>44963.0</v>
      </c>
      <c r="N139" s="261"/>
      <c r="O139" s="261">
        <f>N17+N28+N43+N37+N15+N36+N38</f>
        <v>17210000</v>
      </c>
      <c r="P139" s="487"/>
      <c r="Q139" s="487">
        <f>L41+Q37+Q46+Q28+Q36+Q40+Q17</f>
        <v>715852</v>
      </c>
      <c r="R139" s="1178">
        <f t="shared" si="34"/>
        <v>16494148</v>
      </c>
      <c r="S139" s="488"/>
      <c r="T139" s="9"/>
      <c r="U139" s="608"/>
      <c r="V139" s="611"/>
      <c r="W139" s="611"/>
      <c r="X139" s="266"/>
      <c r="Y139" s="218"/>
      <c r="Z139" s="219"/>
      <c r="AA139" s="205"/>
      <c r="AB139" s="205"/>
      <c r="AC139" s="205"/>
      <c r="AD139" s="9"/>
    </row>
    <row r="140" ht="15.75" customHeight="1">
      <c r="A140" s="218"/>
      <c r="B140" s="62"/>
      <c r="C140" s="85" t="s">
        <v>133</v>
      </c>
      <c r="D140" s="255">
        <f t="shared" si="30"/>
        <v>17</v>
      </c>
      <c r="E140" s="93">
        <v>1.0</v>
      </c>
      <c r="F140" s="269"/>
      <c r="G140" s="256">
        <f t="shared" si="31"/>
        <v>16</v>
      </c>
      <c r="H140" s="128">
        <v>220000.0</v>
      </c>
      <c r="I140" s="217">
        <f t="shared" si="32"/>
        <v>3520000</v>
      </c>
      <c r="J140" s="257">
        <f t="shared" si="33"/>
        <v>0</v>
      </c>
      <c r="K140" s="23"/>
      <c r="L140" s="218"/>
      <c r="M140" s="103">
        <v>44965.0</v>
      </c>
      <c r="N140" s="261"/>
      <c r="O140" s="261">
        <f>N41</f>
        <v>470000</v>
      </c>
      <c r="P140" s="1610"/>
      <c r="Q140" s="1610">
        <f>0</f>
        <v>0</v>
      </c>
      <c r="R140" s="1178">
        <f t="shared" si="34"/>
        <v>470000</v>
      </c>
      <c r="S140" s="488"/>
      <c r="T140" s="9"/>
      <c r="U140" s="608"/>
      <c r="V140" s="611"/>
      <c r="W140" s="611"/>
      <c r="X140" s="266"/>
      <c r="Y140" s="218"/>
      <c r="Z140" s="219"/>
      <c r="AA140" s="205"/>
      <c r="AB140" s="205"/>
      <c r="AC140" s="205"/>
      <c r="AD140" s="9"/>
    </row>
    <row r="141" ht="15.75" customHeight="1">
      <c r="A141" s="218"/>
      <c r="B141" s="62"/>
      <c r="C141" s="85" t="s">
        <v>135</v>
      </c>
      <c r="D141" s="255">
        <f t="shared" si="30"/>
        <v>1</v>
      </c>
      <c r="E141" s="268"/>
      <c r="F141" s="269"/>
      <c r="G141" s="256">
        <f t="shared" si="31"/>
        <v>1</v>
      </c>
      <c r="H141" s="128">
        <v>220000.0</v>
      </c>
      <c r="I141" s="217">
        <f t="shared" si="32"/>
        <v>220000</v>
      </c>
      <c r="J141" s="257">
        <f t="shared" si="33"/>
        <v>0</v>
      </c>
      <c r="K141" s="23"/>
      <c r="L141" s="218"/>
      <c r="M141" s="103">
        <v>44967.0</v>
      </c>
      <c r="N141" s="261"/>
      <c r="O141" s="261">
        <f>N46+N49+N51+N50+N40</f>
        <v>2690000</v>
      </c>
      <c r="P141" s="487"/>
      <c r="Q141" s="1177">
        <f>L49+Q51+L50+Q46</f>
        <v>196997</v>
      </c>
      <c r="R141" s="1178">
        <f t="shared" si="34"/>
        <v>2493003</v>
      </c>
      <c r="S141" s="488"/>
      <c r="T141" s="9"/>
      <c r="U141" s="608"/>
      <c r="V141" s="611"/>
      <c r="W141" s="611"/>
      <c r="X141" s="266"/>
      <c r="Y141" s="218"/>
      <c r="Z141" s="219"/>
      <c r="AA141" s="205"/>
      <c r="AB141" s="205"/>
      <c r="AC141" s="205"/>
      <c r="AD141" s="9"/>
    </row>
    <row r="142" ht="15.75" customHeight="1">
      <c r="A142" s="218"/>
      <c r="B142" s="62"/>
      <c r="C142" s="64" t="s">
        <v>2194</v>
      </c>
      <c r="D142" s="255">
        <f t="shared" si="30"/>
        <v>26</v>
      </c>
      <c r="E142" s="93">
        <v>4.0</v>
      </c>
      <c r="F142" s="269"/>
      <c r="G142" s="256">
        <f t="shared" si="31"/>
        <v>22</v>
      </c>
      <c r="H142" s="128">
        <v>80000.0</v>
      </c>
      <c r="I142" s="217">
        <f t="shared" si="32"/>
        <v>1760000</v>
      </c>
      <c r="J142" s="257">
        <f t="shared" si="33"/>
        <v>0</v>
      </c>
      <c r="K142" s="23"/>
      <c r="L142" s="218"/>
      <c r="M142" s="103">
        <v>44970.0</v>
      </c>
      <c r="N142" s="261"/>
      <c r="O142" s="261">
        <f>N59+N52+N58</f>
        <v>1980000</v>
      </c>
      <c r="P142" s="487"/>
      <c r="Q142" s="1177">
        <f>Q59+Q52+Q58+Q55</f>
        <v>208996</v>
      </c>
      <c r="R142" s="1178">
        <f t="shared" si="34"/>
        <v>1771004</v>
      </c>
      <c r="S142" s="488"/>
      <c r="T142" s="9"/>
      <c r="U142" s="608"/>
      <c r="V142" s="611"/>
      <c r="W142" s="611"/>
      <c r="X142" s="266"/>
      <c r="Y142" s="218"/>
      <c r="Z142" s="219"/>
      <c r="AA142" s="205"/>
      <c r="AB142" s="205"/>
      <c r="AC142" s="205"/>
      <c r="AD142" s="9"/>
    </row>
    <row r="143" ht="15.75" customHeight="1">
      <c r="A143" s="218"/>
      <c r="B143" s="62"/>
      <c r="C143" s="64" t="s">
        <v>488</v>
      </c>
      <c r="D143" s="255">
        <f t="shared" si="30"/>
        <v>0</v>
      </c>
      <c r="E143" s="65"/>
      <c r="F143" s="269"/>
      <c r="G143" s="256">
        <f t="shared" si="31"/>
        <v>0</v>
      </c>
      <c r="H143" s="137">
        <v>45000.0</v>
      </c>
      <c r="I143" s="217">
        <f t="shared" si="32"/>
        <v>0</v>
      </c>
      <c r="J143" s="257">
        <f t="shared" si="33"/>
        <v>0</v>
      </c>
      <c r="K143" s="23"/>
      <c r="L143" s="218"/>
      <c r="M143" s="103">
        <v>44974.0</v>
      </c>
      <c r="N143" s="261"/>
      <c r="O143" s="261">
        <f>N55+N66+N62+N65+N76+N69+N71</f>
        <v>11440000</v>
      </c>
      <c r="P143" s="487"/>
      <c r="Q143" s="1177">
        <f>Q65+L76+Q69+L62+Q71+Q74+Q66</f>
        <v>617804</v>
      </c>
      <c r="R143" s="1178">
        <f t="shared" si="34"/>
        <v>10822196</v>
      </c>
      <c r="S143" s="488"/>
      <c r="T143" s="9"/>
      <c r="U143" s="608"/>
      <c r="V143" s="611"/>
      <c r="W143" s="611"/>
      <c r="X143" s="266"/>
      <c r="Y143" s="218"/>
      <c r="Z143" s="219"/>
      <c r="AA143" s="205"/>
      <c r="AB143" s="205"/>
      <c r="AC143" s="205"/>
      <c r="AD143" s="9"/>
    </row>
    <row r="144" ht="15.75" customHeight="1">
      <c r="A144" s="218"/>
      <c r="B144" s="62"/>
      <c r="C144" s="64" t="s">
        <v>412</v>
      </c>
      <c r="D144" s="255">
        <f t="shared" si="30"/>
        <v>0</v>
      </c>
      <c r="E144" s="65"/>
      <c r="F144" s="269"/>
      <c r="G144" s="256">
        <f t="shared" si="31"/>
        <v>0</v>
      </c>
      <c r="H144" s="137">
        <v>45000.0</v>
      </c>
      <c r="I144" s="217">
        <f t="shared" si="32"/>
        <v>0</v>
      </c>
      <c r="J144" s="257">
        <f t="shared" si="33"/>
        <v>0</v>
      </c>
      <c r="K144" s="23"/>
      <c r="L144" s="218"/>
      <c r="M144" s="103">
        <v>44977.0</v>
      </c>
      <c r="N144" s="261"/>
      <c r="O144" s="261">
        <f>N74+N79+N80+N92</f>
        <v>6560000</v>
      </c>
      <c r="P144" s="487"/>
      <c r="Q144" s="1177">
        <f>Q90+Q85+Q92+Q80+L79</f>
        <v>301493</v>
      </c>
      <c r="R144" s="1178">
        <f t="shared" si="34"/>
        <v>6258507</v>
      </c>
      <c r="S144" s="488"/>
      <c r="T144" s="9"/>
      <c r="U144" s="608"/>
      <c r="V144" s="611"/>
      <c r="W144" s="611"/>
      <c r="X144" s="266"/>
      <c r="Y144" s="218"/>
      <c r="Z144" s="219"/>
      <c r="AA144" s="205"/>
      <c r="AB144" s="205"/>
      <c r="AC144" s="205"/>
      <c r="AD144" s="9"/>
    </row>
    <row r="145" ht="15.75" customHeight="1">
      <c r="A145" s="218"/>
      <c r="B145" s="62"/>
      <c r="C145" s="85" t="s">
        <v>142</v>
      </c>
      <c r="D145" s="255">
        <f t="shared" si="30"/>
        <v>1</v>
      </c>
      <c r="E145" s="65"/>
      <c r="F145" s="269"/>
      <c r="G145" s="256">
        <f t="shared" si="31"/>
        <v>1</v>
      </c>
      <c r="H145" s="128">
        <v>220000.0</v>
      </c>
      <c r="I145" s="217">
        <f t="shared" si="32"/>
        <v>220000</v>
      </c>
      <c r="J145" s="257">
        <f t="shared" si="33"/>
        <v>0</v>
      </c>
      <c r="K145" s="23"/>
      <c r="L145" s="218"/>
      <c r="M145" s="103">
        <v>44979.0</v>
      </c>
      <c r="N145" s="261"/>
      <c r="O145" s="261">
        <f>N90+N93+N98</f>
        <v>5060000</v>
      </c>
      <c r="P145" s="487"/>
      <c r="Q145" s="1177">
        <f>Q93+Q95+Q98</f>
        <v>187997</v>
      </c>
      <c r="R145" s="1178">
        <f t="shared" si="34"/>
        <v>4872003</v>
      </c>
      <c r="S145" s="488"/>
      <c r="T145" s="9"/>
      <c r="U145" s="608"/>
      <c r="V145" s="611"/>
      <c r="W145" s="611"/>
      <c r="X145" s="266"/>
      <c r="Y145" s="218"/>
      <c r="Z145" s="219"/>
      <c r="AA145" s="205"/>
      <c r="AB145" s="205"/>
      <c r="AC145" s="205"/>
      <c r="AD145" s="9"/>
    </row>
    <row r="146" ht="15.75" customHeight="1">
      <c r="A146" s="218"/>
      <c r="B146" s="62"/>
      <c r="C146" s="64" t="s">
        <v>161</v>
      </c>
      <c r="D146" s="255">
        <f t="shared" si="30"/>
        <v>14</v>
      </c>
      <c r="E146" s="65"/>
      <c r="F146" s="269"/>
      <c r="G146" s="256">
        <f t="shared" si="31"/>
        <v>14</v>
      </c>
      <c r="H146" s="128">
        <v>220000.0</v>
      </c>
      <c r="I146" s="217">
        <f t="shared" si="32"/>
        <v>3080000</v>
      </c>
      <c r="J146" s="257">
        <f t="shared" si="33"/>
        <v>0</v>
      </c>
      <c r="K146" s="23"/>
      <c r="L146" s="218"/>
      <c r="M146" s="103">
        <v>44981.0</v>
      </c>
      <c r="N146" s="261"/>
      <c r="O146" s="261">
        <f>N95+N104+N113+N99+N101</f>
        <v>5820000</v>
      </c>
      <c r="P146" s="487"/>
      <c r="Q146" s="1177">
        <f>Q104+Q108+Q99+Q113+Q112+Q115+Q103+Q101</f>
        <v>405995</v>
      </c>
      <c r="R146" s="1178">
        <f t="shared" si="34"/>
        <v>5414005</v>
      </c>
      <c r="S146" s="488"/>
      <c r="T146" s="9"/>
      <c r="U146" s="608"/>
      <c r="V146" s="611"/>
      <c r="W146" s="611"/>
      <c r="X146" s="266"/>
      <c r="Y146" s="218"/>
      <c r="Z146" s="219"/>
      <c r="AA146" s="205"/>
      <c r="AB146" s="205"/>
      <c r="AC146" s="205"/>
      <c r="AD146" s="9"/>
    </row>
    <row r="147" ht="15.75" customHeight="1">
      <c r="A147" s="218"/>
      <c r="B147" s="62"/>
      <c r="C147" s="85" t="s">
        <v>145</v>
      </c>
      <c r="D147" s="255">
        <f t="shared" si="30"/>
        <v>142</v>
      </c>
      <c r="E147" s="65"/>
      <c r="F147" s="269"/>
      <c r="G147" s="256">
        <f t="shared" si="31"/>
        <v>142</v>
      </c>
      <c r="H147" s="128">
        <v>220000.0</v>
      </c>
      <c r="I147" s="217">
        <f t="shared" si="32"/>
        <v>31240000</v>
      </c>
      <c r="J147" s="257">
        <f t="shared" si="33"/>
        <v>0</v>
      </c>
      <c r="K147" s="23"/>
      <c r="L147" s="218"/>
      <c r="M147" s="103">
        <v>44942.0</v>
      </c>
      <c r="N147" s="261">
        <f>660000</f>
        <v>660000</v>
      </c>
      <c r="O147" s="261"/>
      <c r="P147" s="487">
        <f>271199</f>
        <v>271199</v>
      </c>
      <c r="Q147" s="1177"/>
      <c r="R147" s="1178">
        <f>388801</f>
        <v>388801</v>
      </c>
      <c r="S147" s="488"/>
      <c r="T147" s="9"/>
      <c r="U147" s="608"/>
      <c r="V147" s="611"/>
      <c r="W147" s="611"/>
      <c r="X147" s="266"/>
      <c r="Y147" s="218"/>
      <c r="Z147" s="219"/>
      <c r="AA147" s="205"/>
      <c r="AB147" s="205"/>
      <c r="AC147" s="205"/>
      <c r="AD147" s="9"/>
    </row>
    <row r="148" ht="15.75" customHeight="1">
      <c r="A148" s="218"/>
      <c r="B148" s="62"/>
      <c r="C148" s="85" t="s">
        <v>153</v>
      </c>
      <c r="D148" s="255">
        <f t="shared" si="30"/>
        <v>0</v>
      </c>
      <c r="E148" s="65"/>
      <c r="F148" s="269"/>
      <c r="G148" s="256">
        <f t="shared" si="31"/>
        <v>0</v>
      </c>
      <c r="H148" s="128">
        <v>45000.0</v>
      </c>
      <c r="I148" s="217">
        <f t="shared" si="32"/>
        <v>0</v>
      </c>
      <c r="J148" s="257">
        <f t="shared" si="33"/>
        <v>0</v>
      </c>
      <c r="K148" s="23"/>
      <c r="L148" s="218"/>
      <c r="M148" s="620"/>
      <c r="N148" s="261"/>
      <c r="O148" s="261"/>
      <c r="P148" s="487"/>
      <c r="Q148" s="1177"/>
      <c r="R148" s="1178"/>
      <c r="S148" s="488"/>
      <c r="T148" s="9"/>
      <c r="U148" s="608"/>
      <c r="V148" s="611"/>
      <c r="W148" s="611"/>
      <c r="X148" s="266"/>
      <c r="Y148" s="218"/>
      <c r="Z148" s="219"/>
      <c r="AA148" s="205"/>
      <c r="AB148" s="205"/>
      <c r="AC148" s="205"/>
      <c r="AD148" s="9"/>
    </row>
    <row r="149" ht="15.75" customHeight="1">
      <c r="A149" s="218"/>
      <c r="B149" s="62"/>
      <c r="C149" s="139" t="s">
        <v>151</v>
      </c>
      <c r="D149" s="255">
        <f t="shared" si="30"/>
        <v>9</v>
      </c>
      <c r="E149" s="93"/>
      <c r="F149" s="270"/>
      <c r="G149" s="256">
        <f t="shared" si="31"/>
        <v>9</v>
      </c>
      <c r="H149" s="140">
        <v>220000.0</v>
      </c>
      <c r="I149" s="217">
        <f t="shared" si="32"/>
        <v>1980000</v>
      </c>
      <c r="J149" s="257">
        <f t="shared" si="33"/>
        <v>0</v>
      </c>
      <c r="K149" s="23"/>
      <c r="L149" s="218"/>
      <c r="M149" s="620"/>
      <c r="N149" s="261"/>
      <c r="O149" s="261"/>
      <c r="P149" s="487"/>
      <c r="Q149" s="1177"/>
      <c r="R149" s="1178"/>
      <c r="S149" s="488"/>
      <c r="T149" s="9"/>
      <c r="U149" s="608"/>
      <c r="V149" s="611"/>
      <c r="W149" s="611"/>
      <c r="X149" s="266"/>
      <c r="Y149" s="218"/>
      <c r="Z149" s="219"/>
      <c r="AA149" s="205"/>
      <c r="AB149" s="205"/>
      <c r="AC149" s="205"/>
      <c r="AD149" s="9"/>
    </row>
    <row r="150" ht="15.75" customHeight="1">
      <c r="A150" s="218"/>
      <c r="B150" s="62"/>
      <c r="C150" s="65" t="s">
        <v>148</v>
      </c>
      <c r="D150" s="255">
        <f t="shared" si="30"/>
        <v>23</v>
      </c>
      <c r="E150" s="65"/>
      <c r="F150" s="269"/>
      <c r="G150" s="256">
        <f t="shared" si="31"/>
        <v>23</v>
      </c>
      <c r="H150" s="66">
        <v>220000.0</v>
      </c>
      <c r="I150" s="217">
        <f t="shared" si="32"/>
        <v>5060000</v>
      </c>
      <c r="J150" s="257">
        <f t="shared" si="33"/>
        <v>0</v>
      </c>
      <c r="K150" s="23"/>
      <c r="L150" s="218"/>
      <c r="M150" s="620"/>
      <c r="N150" s="261"/>
      <c r="O150" s="261"/>
      <c r="P150" s="487"/>
      <c r="Q150" s="1177"/>
      <c r="R150" s="1178"/>
      <c r="S150" s="488"/>
      <c r="T150" s="9"/>
      <c r="U150" s="608"/>
      <c r="V150" s="611"/>
      <c r="W150" s="611"/>
      <c r="X150" s="266"/>
      <c r="Y150" s="218"/>
      <c r="Z150" s="219"/>
      <c r="AA150" s="205"/>
      <c r="AB150" s="205"/>
      <c r="AC150" s="205"/>
      <c r="AD150" s="9"/>
    </row>
    <row r="151" ht="15.75" customHeight="1">
      <c r="A151" s="218"/>
      <c r="B151" s="1611" t="s">
        <v>2288</v>
      </c>
      <c r="C151" s="283" t="s">
        <v>34</v>
      </c>
      <c r="D151" s="255">
        <f t="shared" si="30"/>
        <v>9</v>
      </c>
      <c r="E151" s="284"/>
      <c r="F151" s="269"/>
      <c r="G151" s="256">
        <f t="shared" si="31"/>
        <v>9</v>
      </c>
      <c r="H151" s="61">
        <v>65000.0</v>
      </c>
      <c r="I151" s="217">
        <f t="shared" si="32"/>
        <v>585000</v>
      </c>
      <c r="J151" s="257">
        <f t="shared" si="33"/>
        <v>0</v>
      </c>
      <c r="K151" s="23"/>
      <c r="L151" s="218"/>
      <c r="M151" s="620"/>
      <c r="N151" s="261"/>
      <c r="O151" s="261"/>
      <c r="P151" s="487"/>
      <c r="Q151" s="1177"/>
      <c r="R151" s="1178">
        <f>N151+O151-P151-Q151</f>
        <v>0</v>
      </c>
      <c r="S151" s="488"/>
      <c r="T151" s="617"/>
      <c r="U151" s="618"/>
      <c r="V151" s="616"/>
      <c r="W151" s="616"/>
      <c r="X151" s="266"/>
      <c r="Y151" s="218"/>
      <c r="Z151" s="219"/>
      <c r="AA151" s="205"/>
      <c r="AB151" s="205"/>
      <c r="AC151" s="205"/>
      <c r="AD151" s="9"/>
    </row>
    <row r="152" ht="15.75" customHeight="1">
      <c r="A152" s="218"/>
      <c r="B152" s="62"/>
      <c r="C152" s="285" t="s">
        <v>36</v>
      </c>
      <c r="D152" s="255">
        <f t="shared" si="30"/>
        <v>0</v>
      </c>
      <c r="E152" s="284"/>
      <c r="F152" s="269"/>
      <c r="G152" s="256">
        <f t="shared" si="31"/>
        <v>0</v>
      </c>
      <c r="H152" s="66">
        <v>180000.0</v>
      </c>
      <c r="I152" s="217">
        <f t="shared" si="32"/>
        <v>0</v>
      </c>
      <c r="J152" s="257">
        <f t="shared" si="33"/>
        <v>0</v>
      </c>
      <c r="K152" s="23"/>
      <c r="L152" s="218"/>
      <c r="M152" s="1180" t="s">
        <v>421</v>
      </c>
      <c r="N152" s="1123">
        <f t="shared" ref="N152:R152" si="35">SUM(N135:N151)</f>
        <v>5455000</v>
      </c>
      <c r="O152" s="1123">
        <f t="shared" si="35"/>
        <v>58260000</v>
      </c>
      <c r="P152" s="1123">
        <f t="shared" si="35"/>
        <v>373198</v>
      </c>
      <c r="Q152" s="1123">
        <f t="shared" si="35"/>
        <v>3156632</v>
      </c>
      <c r="R152" s="1123">
        <f t="shared" si="35"/>
        <v>60185170</v>
      </c>
      <c r="S152" s="1181"/>
      <c r="T152" s="617"/>
      <c r="U152" s="618"/>
      <c r="V152" s="616"/>
      <c r="W152" s="616"/>
      <c r="X152" s="266"/>
      <c r="Y152" s="218"/>
      <c r="Z152" s="219"/>
      <c r="AA152" s="205"/>
      <c r="AB152" s="205"/>
      <c r="AC152" s="205"/>
      <c r="AD152" s="9"/>
    </row>
    <row r="153" ht="15.75" customHeight="1">
      <c r="A153" s="218"/>
      <c r="B153" s="62"/>
      <c r="C153" s="285" t="s">
        <v>38</v>
      </c>
      <c r="D153" s="255">
        <f t="shared" si="30"/>
        <v>0</v>
      </c>
      <c r="E153" s="284"/>
      <c r="F153" s="269"/>
      <c r="G153" s="256">
        <f t="shared" si="31"/>
        <v>0</v>
      </c>
      <c r="H153" s="66">
        <v>160000.0</v>
      </c>
      <c r="I153" s="217">
        <f t="shared" si="32"/>
        <v>0</v>
      </c>
      <c r="J153" s="257">
        <f t="shared" si="33"/>
        <v>0</v>
      </c>
      <c r="K153" s="23"/>
      <c r="L153" s="218"/>
      <c r="M153" s="218"/>
      <c r="N153" s="298"/>
      <c r="O153" s="299"/>
      <c r="P153" s="299"/>
      <c r="Q153" s="299"/>
      <c r="R153" s="299"/>
      <c r="S153" s="299"/>
      <c r="T153" s="617"/>
      <c r="U153" s="618"/>
      <c r="V153" s="616"/>
      <c r="W153" s="616"/>
      <c r="X153" s="266"/>
      <c r="Y153" s="218"/>
      <c r="Z153" s="219"/>
      <c r="AA153" s="205"/>
      <c r="AB153" s="205"/>
      <c r="AC153" s="205"/>
      <c r="AD153" s="9"/>
    </row>
    <row r="154" ht="15.75" customHeight="1">
      <c r="A154" s="218"/>
      <c r="B154" s="62"/>
      <c r="C154" s="285" t="s">
        <v>43</v>
      </c>
      <c r="D154" s="255">
        <f t="shared" si="30"/>
        <v>9</v>
      </c>
      <c r="E154" s="284"/>
      <c r="F154" s="269"/>
      <c r="G154" s="256">
        <f t="shared" si="31"/>
        <v>9</v>
      </c>
      <c r="H154" s="66">
        <v>80000.0</v>
      </c>
      <c r="I154" s="217">
        <f t="shared" si="32"/>
        <v>720000</v>
      </c>
      <c r="J154" s="257">
        <f t="shared" si="33"/>
        <v>0</v>
      </c>
      <c r="K154" s="23"/>
      <c r="L154" s="218"/>
      <c r="M154" s="218"/>
      <c r="N154" s="298"/>
      <c r="O154" s="299"/>
      <c r="P154" s="299"/>
      <c r="Q154" s="299"/>
      <c r="R154" s="299"/>
      <c r="S154" s="299"/>
      <c r="T154" s="617"/>
      <c r="U154" s="618"/>
      <c r="V154" s="616"/>
      <c r="W154" s="616"/>
      <c r="X154" s="266"/>
      <c r="Y154" s="218"/>
      <c r="Z154" s="219"/>
      <c r="AA154" s="205"/>
      <c r="AB154" s="205"/>
      <c r="AC154" s="205"/>
      <c r="AD154" s="9"/>
    </row>
    <row r="155" ht="15.75" customHeight="1">
      <c r="A155" s="218"/>
      <c r="B155" s="62"/>
      <c r="C155" s="285" t="s">
        <v>48</v>
      </c>
      <c r="D155" s="255">
        <f t="shared" si="30"/>
        <v>9</v>
      </c>
      <c r="E155" s="284"/>
      <c r="F155" s="269"/>
      <c r="G155" s="256">
        <f t="shared" si="31"/>
        <v>9</v>
      </c>
      <c r="H155" s="66">
        <v>55000.0</v>
      </c>
      <c r="I155" s="217">
        <f t="shared" si="32"/>
        <v>495000</v>
      </c>
      <c r="J155" s="257">
        <f t="shared" si="33"/>
        <v>0</v>
      </c>
      <c r="K155" s="23"/>
      <c r="L155" s="218"/>
      <c r="M155" s="218"/>
      <c r="N155" s="298"/>
      <c r="O155" s="299"/>
      <c r="P155" s="299"/>
      <c r="Q155" s="299"/>
      <c r="R155" s="299"/>
      <c r="S155" s="299"/>
      <c r="T155" s="617"/>
      <c r="U155" s="618"/>
      <c r="V155" s="616"/>
      <c r="W155" s="616"/>
      <c r="X155" s="266"/>
      <c r="Y155" s="218"/>
      <c r="Z155" s="219"/>
      <c r="AA155" s="205"/>
      <c r="AB155" s="205"/>
      <c r="AC155" s="205"/>
      <c r="AD155" s="9"/>
    </row>
    <row r="156" ht="15.75" customHeight="1">
      <c r="A156" s="218"/>
      <c r="B156" s="62"/>
      <c r="C156" s="285" t="s">
        <v>60</v>
      </c>
      <c r="D156" s="255">
        <f t="shared" si="30"/>
        <v>0</v>
      </c>
      <c r="E156" s="284"/>
      <c r="F156" s="269"/>
      <c r="G156" s="256">
        <f t="shared" si="31"/>
        <v>0</v>
      </c>
      <c r="H156" s="66">
        <v>45000.0</v>
      </c>
      <c r="I156" s="217">
        <f t="shared" si="32"/>
        <v>0</v>
      </c>
      <c r="J156" s="257">
        <f t="shared" si="33"/>
        <v>0</v>
      </c>
      <c r="K156" s="23"/>
      <c r="L156" s="218"/>
      <c r="M156" s="218"/>
      <c r="N156" s="298"/>
      <c r="O156" s="299"/>
      <c r="P156" s="299"/>
      <c r="Q156" s="299"/>
      <c r="R156" s="299"/>
      <c r="S156" s="299"/>
      <c r="T156" s="617"/>
      <c r="U156" s="618"/>
      <c r="V156" s="616"/>
      <c r="W156" s="616"/>
      <c r="X156" s="266"/>
      <c r="Y156" s="218"/>
      <c r="Z156" s="219"/>
      <c r="AA156" s="205"/>
      <c r="AB156" s="205"/>
      <c r="AC156" s="205"/>
      <c r="AD156" s="9"/>
    </row>
    <row r="157" ht="15.75" customHeight="1">
      <c r="A157" s="218"/>
      <c r="B157" s="62"/>
      <c r="C157" s="285" t="s">
        <v>679</v>
      </c>
      <c r="D157" s="255">
        <f t="shared" si="30"/>
        <v>0</v>
      </c>
      <c r="E157" s="284"/>
      <c r="F157" s="269"/>
      <c r="G157" s="256">
        <f t="shared" si="31"/>
        <v>0</v>
      </c>
      <c r="H157" s="66">
        <v>110000.0</v>
      </c>
      <c r="I157" s="217">
        <f t="shared" si="32"/>
        <v>0</v>
      </c>
      <c r="J157" s="257">
        <f t="shared" si="33"/>
        <v>0</v>
      </c>
      <c r="K157" s="23"/>
      <c r="L157" s="218"/>
      <c r="M157" s="218"/>
      <c r="N157" s="298"/>
      <c r="O157" s="299"/>
      <c r="P157" s="299"/>
      <c r="Q157" s="299"/>
      <c r="R157" s="299"/>
      <c r="S157" s="299"/>
      <c r="T157" s="617"/>
      <c r="U157" s="618"/>
      <c r="V157" s="616"/>
      <c r="W157" s="616"/>
      <c r="X157" s="266"/>
      <c r="Y157" s="218"/>
      <c r="Z157" s="219"/>
      <c r="AA157" s="205"/>
      <c r="AB157" s="205"/>
      <c r="AC157" s="205"/>
      <c r="AD157" s="9"/>
    </row>
    <row r="158" ht="15.75" customHeight="1">
      <c r="A158" s="218"/>
      <c r="B158" s="62"/>
      <c r="C158" s="285" t="s">
        <v>66</v>
      </c>
      <c r="D158" s="255">
        <f t="shared" si="30"/>
        <v>0</v>
      </c>
      <c r="E158" s="284"/>
      <c r="F158" s="269"/>
      <c r="G158" s="256">
        <f t="shared" si="31"/>
        <v>0</v>
      </c>
      <c r="H158" s="66">
        <v>205000.0</v>
      </c>
      <c r="I158" s="217">
        <f t="shared" si="32"/>
        <v>0</v>
      </c>
      <c r="J158" s="257">
        <f t="shared" si="33"/>
        <v>0</v>
      </c>
      <c r="K158" s="23"/>
      <c r="L158" s="218"/>
      <c r="M158" s="218"/>
      <c r="N158" s="298"/>
      <c r="O158" s="299"/>
      <c r="P158" s="299"/>
      <c r="Q158" s="299"/>
      <c r="R158" s="299"/>
      <c r="S158" s="299"/>
      <c r="T158" s="617"/>
      <c r="U158" s="618"/>
      <c r="V158" s="616"/>
      <c r="W158" s="616"/>
      <c r="X158" s="266"/>
      <c r="Y158" s="218"/>
      <c r="Z158" s="219"/>
      <c r="AA158" s="205"/>
      <c r="AB158" s="205"/>
      <c r="AC158" s="205"/>
      <c r="AD158" s="9"/>
    </row>
    <row r="159" ht="15.75" customHeight="1">
      <c r="A159" s="218"/>
      <c r="B159" s="62"/>
      <c r="C159" s="285" t="s">
        <v>684</v>
      </c>
      <c r="D159" s="255">
        <f t="shared" si="30"/>
        <v>0</v>
      </c>
      <c r="E159" s="284"/>
      <c r="F159" s="269"/>
      <c r="G159" s="256">
        <f t="shared" si="31"/>
        <v>0</v>
      </c>
      <c r="H159" s="66">
        <v>150000.0</v>
      </c>
      <c r="I159" s="217">
        <f t="shared" si="32"/>
        <v>0</v>
      </c>
      <c r="J159" s="257">
        <f t="shared" si="33"/>
        <v>0</v>
      </c>
      <c r="K159" s="23"/>
      <c r="L159" s="218"/>
      <c r="M159" s="218"/>
      <c r="N159" s="298"/>
      <c r="O159" s="299"/>
      <c r="P159" s="299"/>
      <c r="Q159" s="299"/>
      <c r="R159" s="299"/>
      <c r="S159" s="299"/>
      <c r="T159" s="617"/>
      <c r="U159" s="618"/>
      <c r="V159" s="616"/>
      <c r="W159" s="616"/>
      <c r="X159" s="266"/>
      <c r="Y159" s="218"/>
      <c r="Z159" s="219"/>
      <c r="AA159" s="205"/>
      <c r="AB159" s="205"/>
      <c r="AC159" s="205"/>
      <c r="AD159" s="9"/>
    </row>
    <row r="160" ht="15.75" customHeight="1">
      <c r="A160" s="218"/>
      <c r="B160" s="62"/>
      <c r="C160" s="288" t="s">
        <v>71</v>
      </c>
      <c r="D160" s="255">
        <f t="shared" si="30"/>
        <v>0</v>
      </c>
      <c r="E160" s="284"/>
      <c r="F160" s="269"/>
      <c r="G160" s="256">
        <f t="shared" si="31"/>
        <v>0</v>
      </c>
      <c r="H160" s="66">
        <v>85000.0</v>
      </c>
      <c r="I160" s="217">
        <f t="shared" si="32"/>
        <v>0</v>
      </c>
      <c r="J160" s="257">
        <f t="shared" si="33"/>
        <v>0</v>
      </c>
      <c r="K160" s="23"/>
      <c r="L160" s="218"/>
      <c r="M160" s="218"/>
      <c r="N160" s="298"/>
      <c r="O160" s="299"/>
      <c r="P160" s="299"/>
      <c r="Q160" s="299"/>
      <c r="R160" s="299"/>
      <c r="S160" s="299"/>
      <c r="T160" s="617"/>
      <c r="U160" s="618"/>
      <c r="V160" s="616"/>
      <c r="W160" s="616"/>
      <c r="X160" s="266"/>
      <c r="Y160" s="218"/>
      <c r="Z160" s="219"/>
      <c r="AA160" s="205"/>
      <c r="AB160" s="205"/>
      <c r="AC160" s="205"/>
      <c r="AD160" s="9"/>
    </row>
    <row r="161" ht="15.75" customHeight="1">
      <c r="A161" s="218"/>
      <c r="B161" s="62"/>
      <c r="C161" s="285" t="s">
        <v>76</v>
      </c>
      <c r="D161" s="255">
        <f t="shared" si="30"/>
        <v>9</v>
      </c>
      <c r="E161" s="284"/>
      <c r="F161" s="269"/>
      <c r="G161" s="256">
        <f t="shared" si="31"/>
        <v>9</v>
      </c>
      <c r="H161" s="66">
        <v>90000.0</v>
      </c>
      <c r="I161" s="217">
        <f t="shared" si="32"/>
        <v>810000</v>
      </c>
      <c r="J161" s="257">
        <f t="shared" si="33"/>
        <v>0</v>
      </c>
      <c r="K161" s="23"/>
      <c r="L161" s="218"/>
      <c r="M161" s="218"/>
      <c r="N161" s="298"/>
      <c r="O161" s="299"/>
      <c r="P161" s="299"/>
      <c r="Q161" s="299"/>
      <c r="R161" s="299"/>
      <c r="S161" s="299"/>
      <c r="T161" s="617"/>
      <c r="U161" s="618"/>
      <c r="V161" s="616"/>
      <c r="W161" s="616"/>
      <c r="X161" s="266"/>
      <c r="Y161" s="218"/>
      <c r="Z161" s="219"/>
      <c r="AA161" s="205"/>
      <c r="AB161" s="205"/>
      <c r="AC161" s="205"/>
      <c r="AD161" s="9"/>
    </row>
    <row r="162" ht="15.75" customHeight="1">
      <c r="A162" s="218"/>
      <c r="B162" s="62"/>
      <c r="C162" s="285" t="s">
        <v>80</v>
      </c>
      <c r="D162" s="255">
        <f t="shared" si="30"/>
        <v>0</v>
      </c>
      <c r="E162" s="284"/>
      <c r="F162" s="269"/>
      <c r="G162" s="256">
        <f t="shared" si="31"/>
        <v>0</v>
      </c>
      <c r="H162" s="66">
        <v>85000.0</v>
      </c>
      <c r="I162" s="217">
        <f t="shared" si="32"/>
        <v>0</v>
      </c>
      <c r="J162" s="257">
        <f t="shared" si="33"/>
        <v>0</v>
      </c>
      <c r="K162" s="23"/>
      <c r="L162" s="218"/>
      <c r="M162" s="218"/>
      <c r="N162" s="298"/>
      <c r="O162" s="299"/>
      <c r="P162" s="299"/>
      <c r="Q162" s="299"/>
      <c r="R162" s="299"/>
      <c r="S162" s="299"/>
      <c r="T162" s="617"/>
      <c r="U162" s="618"/>
      <c r="V162" s="616"/>
      <c r="W162" s="616"/>
      <c r="X162" s="266"/>
      <c r="Y162" s="218"/>
      <c r="Z162" s="219"/>
      <c r="AA162" s="205"/>
      <c r="AB162" s="205"/>
      <c r="AC162" s="205"/>
      <c r="AD162" s="9"/>
    </row>
    <row r="163" ht="15.75" customHeight="1">
      <c r="A163" s="218"/>
      <c r="B163" s="62"/>
      <c r="C163" s="285" t="s">
        <v>81</v>
      </c>
      <c r="D163" s="255">
        <f t="shared" si="30"/>
        <v>0</v>
      </c>
      <c r="E163" s="284"/>
      <c r="F163" s="269"/>
      <c r="G163" s="256">
        <f t="shared" si="31"/>
        <v>0</v>
      </c>
      <c r="H163" s="66">
        <v>150000.0</v>
      </c>
      <c r="I163" s="217">
        <f t="shared" si="32"/>
        <v>0</v>
      </c>
      <c r="J163" s="257">
        <f t="shared" si="33"/>
        <v>0</v>
      </c>
      <c r="K163" s="23"/>
      <c r="L163" s="218"/>
      <c r="M163" s="218"/>
      <c r="N163" s="298"/>
      <c r="O163" s="299"/>
      <c r="P163" s="299"/>
      <c r="Q163" s="299"/>
      <c r="R163" s="299"/>
      <c r="S163" s="299"/>
      <c r="T163" s="617"/>
      <c r="U163" s="618"/>
      <c r="V163" s="616"/>
      <c r="W163" s="616"/>
      <c r="X163" s="266"/>
      <c r="Y163" s="218"/>
      <c r="Z163" s="219"/>
      <c r="AA163" s="205"/>
      <c r="AB163" s="205"/>
      <c r="AC163" s="205"/>
      <c r="AD163" s="9"/>
    </row>
    <row r="164" ht="15.75" customHeight="1">
      <c r="A164" s="218"/>
      <c r="B164" s="62"/>
      <c r="C164" s="285" t="s">
        <v>85</v>
      </c>
      <c r="D164" s="255">
        <f t="shared" si="30"/>
        <v>0</v>
      </c>
      <c r="E164" s="284"/>
      <c r="F164" s="269"/>
      <c r="G164" s="256">
        <f t="shared" si="31"/>
        <v>0</v>
      </c>
      <c r="H164" s="66">
        <v>125000.0</v>
      </c>
      <c r="I164" s="217">
        <f t="shared" si="32"/>
        <v>0</v>
      </c>
      <c r="J164" s="257">
        <f t="shared" si="33"/>
        <v>0</v>
      </c>
      <c r="K164" s="23"/>
      <c r="L164" s="218"/>
      <c r="M164" s="218"/>
      <c r="N164" s="298"/>
      <c r="O164" s="299"/>
      <c r="P164" s="299"/>
      <c r="Q164" s="299"/>
      <c r="R164" s="299"/>
      <c r="S164" s="299"/>
      <c r="T164" s="617"/>
      <c r="U164" s="618"/>
      <c r="V164" s="622"/>
      <c r="W164" s="622"/>
      <c r="X164" s="235"/>
      <c r="Y164" s="218"/>
      <c r="Z164" s="219"/>
      <c r="AA164" s="205"/>
      <c r="AB164" s="205"/>
      <c r="AC164" s="205"/>
      <c r="AD164" s="9"/>
    </row>
    <row r="165" ht="15.75" customHeight="1">
      <c r="A165" s="218"/>
      <c r="B165" s="62"/>
      <c r="C165" s="285" t="s">
        <v>89</v>
      </c>
      <c r="D165" s="255">
        <f t="shared" si="30"/>
        <v>0</v>
      </c>
      <c r="E165" s="284"/>
      <c r="F165" s="269"/>
      <c r="G165" s="256">
        <f t="shared" si="31"/>
        <v>0</v>
      </c>
      <c r="H165" s="66">
        <v>35000.0</v>
      </c>
      <c r="I165" s="217">
        <f t="shared" si="32"/>
        <v>0</v>
      </c>
      <c r="J165" s="257">
        <f t="shared" si="33"/>
        <v>0</v>
      </c>
      <c r="K165" s="23"/>
      <c r="L165" s="218"/>
      <c r="M165" s="218"/>
      <c r="N165" s="298"/>
      <c r="O165" s="299"/>
      <c r="P165" s="299"/>
      <c r="Q165" s="299"/>
      <c r="R165" s="299"/>
      <c r="S165" s="299"/>
      <c r="T165" s="617"/>
      <c r="U165" s="618"/>
      <c r="V165" s="616"/>
      <c r="W165" s="616"/>
      <c r="X165" s="266"/>
      <c r="Y165" s="218"/>
      <c r="Z165" s="219"/>
      <c r="AA165" s="205"/>
      <c r="AB165" s="205"/>
      <c r="AC165" s="205"/>
      <c r="AD165" s="9"/>
    </row>
    <row r="166" ht="15.75" customHeight="1">
      <c r="A166" s="218"/>
      <c r="B166" s="62"/>
      <c r="C166" s="285" t="s">
        <v>93</v>
      </c>
      <c r="D166" s="255">
        <f t="shared" si="30"/>
        <v>0</v>
      </c>
      <c r="E166" s="284"/>
      <c r="F166" s="269"/>
      <c r="G166" s="256">
        <f t="shared" si="31"/>
        <v>0</v>
      </c>
      <c r="H166" s="66">
        <v>90000.0</v>
      </c>
      <c r="I166" s="217">
        <f t="shared" si="32"/>
        <v>0</v>
      </c>
      <c r="J166" s="257">
        <f t="shared" si="33"/>
        <v>0</v>
      </c>
      <c r="K166" s="23"/>
      <c r="L166" s="218"/>
      <c r="M166" s="218"/>
      <c r="N166" s="298"/>
      <c r="O166" s="299"/>
      <c r="P166" s="299"/>
      <c r="Q166" s="299"/>
      <c r="R166" s="299"/>
      <c r="S166" s="299"/>
      <c r="T166" s="617"/>
      <c r="U166" s="618"/>
      <c r="V166" s="616"/>
      <c r="W166" s="616"/>
      <c r="X166" s="266"/>
      <c r="Y166" s="218"/>
      <c r="Z166" s="219"/>
      <c r="AA166" s="205"/>
      <c r="AB166" s="205"/>
      <c r="AC166" s="205"/>
      <c r="AD166" s="9"/>
    </row>
    <row r="167" ht="15.75" customHeight="1">
      <c r="A167" s="218"/>
      <c r="B167" s="62"/>
      <c r="C167" s="285" t="s">
        <v>94</v>
      </c>
      <c r="D167" s="255">
        <f t="shared" si="30"/>
        <v>0</v>
      </c>
      <c r="E167" s="284"/>
      <c r="F167" s="269"/>
      <c r="G167" s="256">
        <f t="shared" si="31"/>
        <v>0</v>
      </c>
      <c r="H167" s="66">
        <v>140000.0</v>
      </c>
      <c r="I167" s="217">
        <f t="shared" si="32"/>
        <v>0</v>
      </c>
      <c r="J167" s="257">
        <f t="shared" si="33"/>
        <v>0</v>
      </c>
      <c r="K167" s="23"/>
      <c r="L167" s="218"/>
      <c r="M167" s="218"/>
      <c r="N167" s="298"/>
      <c r="O167" s="299"/>
      <c r="P167" s="299"/>
      <c r="Q167" s="299"/>
      <c r="R167" s="299"/>
      <c r="S167" s="299"/>
      <c r="T167" s="617"/>
      <c r="U167" s="618"/>
      <c r="V167" s="611"/>
      <c r="W167" s="611"/>
      <c r="X167" s="266"/>
      <c r="Y167" s="218"/>
      <c r="Z167" s="219"/>
      <c r="AA167" s="205"/>
      <c r="AB167" s="205"/>
      <c r="AC167" s="205"/>
      <c r="AD167" s="9"/>
    </row>
    <row r="168" ht="15.75" customHeight="1">
      <c r="A168" s="218"/>
      <c r="B168" s="62"/>
      <c r="C168" s="285" t="s">
        <v>97</v>
      </c>
      <c r="D168" s="255">
        <f t="shared" si="30"/>
        <v>0</v>
      </c>
      <c r="E168" s="284"/>
      <c r="F168" s="269"/>
      <c r="G168" s="256">
        <f t="shared" si="31"/>
        <v>0</v>
      </c>
      <c r="H168" s="66">
        <v>95000.0</v>
      </c>
      <c r="I168" s="217">
        <f t="shared" si="32"/>
        <v>0</v>
      </c>
      <c r="J168" s="257">
        <f t="shared" si="33"/>
        <v>0</v>
      </c>
      <c r="K168" s="23"/>
      <c r="L168" s="218"/>
      <c r="M168" s="218"/>
      <c r="N168" s="298"/>
      <c r="O168" s="299"/>
      <c r="P168" s="299"/>
      <c r="Q168" s="299"/>
      <c r="R168" s="299"/>
      <c r="S168" s="299"/>
      <c r="T168" s="617"/>
      <c r="U168" s="608"/>
      <c r="V168" s="611"/>
      <c r="W168" s="611"/>
      <c r="X168" s="266"/>
      <c r="Y168" s="218"/>
      <c r="Z168" s="219"/>
      <c r="AA168" s="205"/>
      <c r="AB168" s="205"/>
      <c r="AC168" s="205"/>
      <c r="AD168" s="9"/>
    </row>
    <row r="169" ht="15.75" customHeight="1">
      <c r="A169" s="218"/>
      <c r="B169" s="62"/>
      <c r="C169" s="285" t="s">
        <v>99</v>
      </c>
      <c r="D169" s="255">
        <f t="shared" si="30"/>
        <v>0</v>
      </c>
      <c r="E169" s="284"/>
      <c r="F169" s="269"/>
      <c r="G169" s="256">
        <f t="shared" si="31"/>
        <v>0</v>
      </c>
      <c r="H169" s="66">
        <v>140000.0</v>
      </c>
      <c r="I169" s="217">
        <f t="shared" si="32"/>
        <v>0</v>
      </c>
      <c r="J169" s="257">
        <f t="shared" si="33"/>
        <v>0</v>
      </c>
      <c r="K169" s="23"/>
      <c r="L169" s="218"/>
      <c r="M169" s="218"/>
      <c r="N169" s="298"/>
      <c r="O169" s="299"/>
      <c r="P169" s="299"/>
      <c r="Q169" s="299"/>
      <c r="R169" s="299"/>
      <c r="S169" s="299"/>
      <c r="T169" s="218"/>
      <c r="U169" s="608"/>
      <c r="V169" s="611"/>
      <c r="W169" s="611"/>
      <c r="X169" s="266"/>
      <c r="Y169" s="218"/>
      <c r="Z169" s="219"/>
      <c r="AA169" s="205"/>
      <c r="AB169" s="205"/>
      <c r="AC169" s="205"/>
      <c r="AD169" s="9"/>
    </row>
    <row r="170" ht="15.75" customHeight="1">
      <c r="A170" s="218"/>
      <c r="B170" s="62"/>
      <c r="C170" s="285" t="s">
        <v>101</v>
      </c>
      <c r="D170" s="255">
        <f t="shared" si="30"/>
        <v>0</v>
      </c>
      <c r="E170" s="284"/>
      <c r="F170" s="269"/>
      <c r="G170" s="256">
        <f t="shared" si="31"/>
        <v>0</v>
      </c>
      <c r="H170" s="66">
        <v>150000.0</v>
      </c>
      <c r="I170" s="217">
        <f t="shared" si="32"/>
        <v>0</v>
      </c>
      <c r="J170" s="257">
        <f t="shared" si="33"/>
        <v>0</v>
      </c>
      <c r="K170" s="23"/>
      <c r="L170" s="218"/>
      <c r="M170" s="218"/>
      <c r="N170" s="298"/>
      <c r="O170" s="299"/>
      <c r="P170" s="299"/>
      <c r="Q170" s="299"/>
      <c r="R170" s="299"/>
      <c r="S170" s="299"/>
      <c r="T170" s="218"/>
      <c r="U170" s="608"/>
      <c r="V170" s="611"/>
      <c r="W170" s="611"/>
      <c r="X170" s="266"/>
      <c r="Y170" s="218"/>
      <c r="Z170" s="219"/>
      <c r="AA170" s="205"/>
      <c r="AB170" s="205"/>
      <c r="AC170" s="205"/>
      <c r="AD170" s="9"/>
    </row>
    <row r="171" ht="15.75" customHeight="1">
      <c r="A171" s="218"/>
      <c r="B171" s="62"/>
      <c r="C171" s="285" t="s">
        <v>109</v>
      </c>
      <c r="D171" s="255">
        <f t="shared" si="30"/>
        <v>0</v>
      </c>
      <c r="E171" s="284"/>
      <c r="F171" s="269"/>
      <c r="G171" s="256">
        <f t="shared" si="31"/>
        <v>0</v>
      </c>
      <c r="H171" s="66">
        <v>125000.0</v>
      </c>
      <c r="I171" s="217">
        <f t="shared" si="32"/>
        <v>0</v>
      </c>
      <c r="J171" s="257">
        <f t="shared" si="33"/>
        <v>0</v>
      </c>
      <c r="K171" s="23"/>
      <c r="L171" s="218"/>
      <c r="M171" s="218"/>
      <c r="N171" s="298"/>
      <c r="O171" s="299"/>
      <c r="P171" s="299"/>
      <c r="Q171" s="299"/>
      <c r="R171" s="299"/>
      <c r="S171" s="299"/>
      <c r="T171" s="218"/>
      <c r="U171" s="608"/>
      <c r="V171" s="622"/>
      <c r="W171" s="622"/>
      <c r="X171" s="235"/>
      <c r="Y171" s="218"/>
      <c r="Z171" s="219"/>
      <c r="AA171" s="205"/>
      <c r="AB171" s="205"/>
      <c r="AC171" s="205"/>
      <c r="AD171" s="9"/>
    </row>
    <row r="172" ht="15.75" customHeight="1">
      <c r="A172" s="218"/>
      <c r="B172" s="62"/>
      <c r="C172" s="285" t="s">
        <v>113</v>
      </c>
      <c r="D172" s="255">
        <f t="shared" si="30"/>
        <v>0</v>
      </c>
      <c r="E172" s="284"/>
      <c r="F172" s="269"/>
      <c r="G172" s="256">
        <f t="shared" si="31"/>
        <v>0</v>
      </c>
      <c r="H172" s="66">
        <v>75000.0</v>
      </c>
      <c r="I172" s="217">
        <f t="shared" si="32"/>
        <v>0</v>
      </c>
      <c r="J172" s="257">
        <f t="shared" si="33"/>
        <v>0</v>
      </c>
      <c r="K172" s="23"/>
      <c r="L172" s="218"/>
      <c r="M172" s="218"/>
      <c r="N172" s="298"/>
      <c r="O172" s="299"/>
      <c r="P172" s="299"/>
      <c r="Q172" s="299"/>
      <c r="R172" s="299"/>
      <c r="S172" s="299"/>
      <c r="T172" s="218"/>
      <c r="U172" s="608"/>
      <c r="V172" s="622"/>
      <c r="W172" s="622"/>
      <c r="X172" s="235"/>
      <c r="Y172" s="218"/>
      <c r="Z172" s="219"/>
      <c r="AA172" s="205"/>
      <c r="AB172" s="205"/>
      <c r="AC172" s="205"/>
      <c r="AD172" s="9"/>
    </row>
    <row r="173" ht="15.75" customHeight="1">
      <c r="A173" s="218"/>
      <c r="B173" s="62"/>
      <c r="C173" s="303" t="s">
        <v>2289</v>
      </c>
      <c r="D173" s="255">
        <f t="shared" si="30"/>
        <v>0</v>
      </c>
      <c r="E173" s="501"/>
      <c r="F173" s="305"/>
      <c r="G173" s="256">
        <f t="shared" si="31"/>
        <v>0</v>
      </c>
      <c r="H173" s="87">
        <v>40000.0</v>
      </c>
      <c r="I173" s="217">
        <f t="shared" si="32"/>
        <v>0</v>
      </c>
      <c r="J173" s="257"/>
      <c r="K173" s="23"/>
      <c r="L173" s="218"/>
      <c r="M173" s="218"/>
      <c r="N173" s="298"/>
      <c r="O173" s="299"/>
      <c r="P173" s="299"/>
      <c r="Q173" s="299"/>
      <c r="R173" s="299"/>
      <c r="S173" s="299"/>
      <c r="T173" s="218"/>
      <c r="U173" s="608"/>
      <c r="V173" s="622"/>
      <c r="W173" s="622"/>
      <c r="X173" s="235"/>
      <c r="Y173" s="218"/>
      <c r="Z173" s="219"/>
      <c r="AA173" s="205"/>
      <c r="AB173" s="205"/>
      <c r="AC173" s="205"/>
      <c r="AD173" s="9"/>
    </row>
    <row r="174" ht="15.75" customHeight="1">
      <c r="A174" s="218"/>
      <c r="B174" s="67"/>
      <c r="C174" s="300" t="s">
        <v>116</v>
      </c>
      <c r="D174" s="301">
        <f t="shared" si="30"/>
        <v>0</v>
      </c>
      <c r="E174" s="501"/>
      <c r="F174" s="305"/>
      <c r="G174" s="624">
        <f t="shared" si="31"/>
        <v>0</v>
      </c>
      <c r="H174" s="302">
        <v>475000.0</v>
      </c>
      <c r="I174" s="217">
        <f t="shared" si="32"/>
        <v>0</v>
      </c>
      <c r="J174" s="257">
        <f>SUMIF($T$4:$T$83,C174,$U$4:$U$83)</f>
        <v>0</v>
      </c>
      <c r="K174" s="23"/>
      <c r="L174" s="218"/>
      <c r="M174" s="218"/>
      <c r="N174" s="298"/>
      <c r="O174" s="299"/>
      <c r="P174" s="299"/>
      <c r="Q174" s="299"/>
      <c r="R174" s="299"/>
      <c r="S174" s="299"/>
      <c r="T174" s="218"/>
      <c r="U174" s="608"/>
      <c r="V174" s="622"/>
      <c r="W174" s="622"/>
      <c r="X174" s="235"/>
      <c r="Y174" s="218"/>
      <c r="Z174" s="219"/>
      <c r="AA174" s="205"/>
      <c r="AB174" s="205"/>
      <c r="AC174" s="205"/>
      <c r="AD174" s="9"/>
    </row>
    <row r="175" ht="22.5" customHeight="1">
      <c r="A175" s="218"/>
      <c r="B175" s="308" t="s">
        <v>419</v>
      </c>
      <c r="C175" s="16"/>
      <c r="D175" s="16"/>
      <c r="E175" s="16"/>
      <c r="F175" s="16"/>
      <c r="G175" s="16"/>
      <c r="H175" s="17"/>
      <c r="I175" s="309">
        <f>SUM(I135:I150)</f>
        <v>62040000</v>
      </c>
      <c r="J175" s="23"/>
      <c r="K175" s="23"/>
      <c r="L175" s="218"/>
      <c r="M175" s="218"/>
      <c r="N175" s="298"/>
      <c r="O175" s="299"/>
      <c r="P175" s="299"/>
      <c r="Q175" s="299"/>
      <c r="R175" s="299"/>
      <c r="S175" s="299"/>
      <c r="T175" s="299"/>
      <c r="U175" s="608"/>
      <c r="V175" s="601"/>
      <c r="W175" s="601"/>
      <c r="X175" s="235"/>
      <c r="Y175" s="218"/>
      <c r="Z175" s="219"/>
      <c r="AA175" s="205"/>
      <c r="AB175" s="205"/>
      <c r="AC175" s="205"/>
      <c r="AD175" s="9"/>
    </row>
    <row r="176" ht="22.5" customHeight="1">
      <c r="A176" s="218"/>
      <c r="B176" s="1612" t="s">
        <v>1528</v>
      </c>
      <c r="C176" s="16"/>
      <c r="D176" s="16"/>
      <c r="E176" s="16"/>
      <c r="F176" s="16"/>
      <c r="G176" s="16"/>
      <c r="H176" s="17"/>
      <c r="I176" s="309">
        <f>SUM(I151:I174)</f>
        <v>2610000</v>
      </c>
      <c r="J176" s="23"/>
      <c r="K176" s="504"/>
      <c r="L176" s="218"/>
      <c r="M176" s="218"/>
      <c r="N176" s="298"/>
      <c r="O176" s="299"/>
      <c r="P176" s="299"/>
      <c r="Q176" s="299"/>
      <c r="R176" s="299"/>
      <c r="S176" s="299"/>
      <c r="T176" s="299"/>
      <c r="U176" s="608"/>
      <c r="V176" s="601"/>
      <c r="W176" s="601"/>
      <c r="X176" s="235"/>
      <c r="Y176" s="218"/>
      <c r="Z176" s="219"/>
      <c r="AA176" s="205"/>
      <c r="AB176" s="205"/>
      <c r="AC176" s="205"/>
      <c r="AD176" s="9"/>
    </row>
    <row r="177" ht="22.5" customHeight="1">
      <c r="A177" s="218"/>
      <c r="B177" s="312" t="s">
        <v>421</v>
      </c>
      <c r="C177" s="16"/>
      <c r="D177" s="16"/>
      <c r="E177" s="16"/>
      <c r="F177" s="16"/>
      <c r="G177" s="16"/>
      <c r="H177" s="17"/>
      <c r="I177" s="313">
        <f>SUM(I175:I176)</f>
        <v>64650000</v>
      </c>
      <c r="J177" s="23"/>
      <c r="K177" s="323" t="s">
        <v>2290</v>
      </c>
      <c r="L177" s="316">
        <f>sumif(P4:P125,"Đã thu",K4:K125)</f>
        <v>58930000</v>
      </c>
      <c r="M177" s="218"/>
      <c r="N177" s="234"/>
      <c r="O177" s="218"/>
      <c r="P177" s="218"/>
      <c r="Q177" s="218"/>
      <c r="R177" s="218"/>
      <c r="S177" s="218"/>
      <c r="T177" s="218"/>
      <c r="U177" s="601"/>
      <c r="V177" s="601"/>
      <c r="W177" s="601"/>
      <c r="X177" s="235"/>
      <c r="Y177" s="218"/>
      <c r="Z177" s="219"/>
      <c r="AA177" s="205"/>
      <c r="AB177" s="205"/>
      <c r="AC177" s="205"/>
      <c r="AD177" s="9"/>
    </row>
    <row r="178" ht="22.5" customHeight="1">
      <c r="A178" s="218"/>
      <c r="B178" s="1613"/>
      <c r="C178" s="16"/>
      <c r="D178" s="17"/>
      <c r="E178" s="1614" t="s">
        <v>2291</v>
      </c>
      <c r="F178" s="16"/>
      <c r="G178" s="16"/>
      <c r="H178" s="17"/>
      <c r="I178" s="1615">
        <f>I177+L126-M126</f>
        <v>64930000</v>
      </c>
      <c r="J178" s="23"/>
      <c r="K178" s="507" t="s">
        <v>415</v>
      </c>
      <c r="L178" s="315">
        <f>I176</f>
        <v>2610000</v>
      </c>
      <c r="M178" s="235"/>
      <c r="N178" s="234"/>
      <c r="O178" s="218"/>
      <c r="P178" s="218"/>
      <c r="Q178" s="218"/>
      <c r="R178" s="218"/>
      <c r="S178" s="218"/>
      <c r="T178" s="218"/>
      <c r="U178" s="601"/>
      <c r="V178" s="601"/>
      <c r="W178" s="601"/>
      <c r="X178" s="235"/>
      <c r="Y178" s="218"/>
      <c r="Z178" s="219"/>
      <c r="AA178" s="205"/>
      <c r="AB178" s="205"/>
      <c r="AC178" s="205"/>
      <c r="AD178" s="9"/>
    </row>
    <row r="179" ht="22.5" customHeight="1">
      <c r="A179" s="218"/>
      <c r="B179" s="321" t="s">
        <v>425</v>
      </c>
      <c r="C179" s="16"/>
      <c r="D179" s="16"/>
      <c r="E179" s="16"/>
      <c r="F179" s="16"/>
      <c r="G179" s="16"/>
      <c r="H179" s="17"/>
      <c r="I179" s="322">
        <f>SUMIF(P4:P125,"Đã thu",N4:N125)</f>
        <v>59140000</v>
      </c>
      <c r="J179" s="23"/>
      <c r="K179" s="328" t="s">
        <v>407</v>
      </c>
      <c r="L179" s="329">
        <f>L177-L178</f>
        <v>56320000</v>
      </c>
      <c r="M179" s="235"/>
      <c r="N179" s="234"/>
      <c r="O179" s="218"/>
      <c r="P179" s="218"/>
      <c r="Q179" s="218"/>
      <c r="R179" s="218"/>
      <c r="S179" s="218"/>
      <c r="T179" s="218"/>
      <c r="U179" s="601"/>
      <c r="V179" s="601"/>
      <c r="W179" s="601"/>
      <c r="X179" s="235"/>
      <c r="Y179" s="218"/>
      <c r="Z179" s="219"/>
      <c r="AA179" s="205"/>
      <c r="AB179" s="205"/>
      <c r="AC179" s="205"/>
      <c r="AD179" s="9"/>
    </row>
    <row r="180" ht="22.5" customHeight="1">
      <c r="A180" s="325"/>
      <c r="B180" s="326" t="s">
        <v>426</v>
      </c>
      <c r="C180" s="16"/>
      <c r="D180" s="16"/>
      <c r="E180" s="16"/>
      <c r="F180" s="16"/>
      <c r="G180" s="16"/>
      <c r="H180" s="17"/>
      <c r="I180" s="327">
        <f>I178-I179</f>
        <v>5790000</v>
      </c>
      <c r="J180" s="23"/>
      <c r="K180" s="503" t="s">
        <v>2292</v>
      </c>
      <c r="L180" s="299">
        <f>L179+5220000-220000</f>
        <v>61320000</v>
      </c>
      <c r="M180" s="218"/>
      <c r="N180" s="234"/>
      <c r="O180" s="218"/>
      <c r="P180" s="218"/>
      <c r="Q180" s="218"/>
      <c r="R180" s="218"/>
      <c r="S180" s="218"/>
      <c r="T180" s="218"/>
      <c r="U180" s="601"/>
      <c r="V180" s="601"/>
      <c r="W180" s="601"/>
      <c r="X180" s="235"/>
      <c r="Y180" s="218"/>
      <c r="Z180" s="219"/>
      <c r="AA180" s="205"/>
      <c r="AB180" s="205"/>
      <c r="AC180" s="205"/>
      <c r="AD180" s="9"/>
    </row>
    <row r="181" ht="22.5" customHeight="1">
      <c r="A181" s="325"/>
      <c r="B181" s="330" t="s">
        <v>427</v>
      </c>
      <c r="C181" s="16"/>
      <c r="D181" s="16"/>
      <c r="E181" s="16"/>
      <c r="F181" s="16"/>
      <c r="G181" s="16"/>
      <c r="H181" s="17"/>
      <c r="I181" s="331">
        <f>L126+Q126</f>
        <v>3472625</v>
      </c>
      <c r="J181" s="23"/>
      <c r="K181" s="503"/>
      <c r="L181" s="299"/>
      <c r="M181" s="218"/>
      <c r="N181" s="234"/>
      <c r="O181" s="218"/>
      <c r="P181" s="218"/>
      <c r="Q181" s="218"/>
      <c r="R181" s="218"/>
      <c r="S181" s="218"/>
      <c r="T181" s="218"/>
      <c r="U181" s="601"/>
      <c r="V181" s="601"/>
      <c r="W181" s="601"/>
      <c r="X181" s="235"/>
      <c r="Y181" s="218"/>
      <c r="Z181" s="219"/>
      <c r="AA181" s="205"/>
      <c r="AB181" s="205"/>
      <c r="AC181" s="205"/>
      <c r="AD181" s="9"/>
    </row>
    <row r="182" ht="22.5" customHeight="1">
      <c r="A182" s="218"/>
      <c r="B182" s="321" t="s">
        <v>428</v>
      </c>
      <c r="C182" s="16"/>
      <c r="D182" s="16"/>
      <c r="E182" s="16"/>
      <c r="F182" s="16"/>
      <c r="G182" s="16"/>
      <c r="H182" s="17"/>
      <c r="I182" s="207">
        <f>SUMIF($S$4:$S$125,"x",Q4:Q125)+SUMIF($S$4:$S$125,"x",$L$4:$L$125)</f>
        <v>3071133</v>
      </c>
      <c r="J182" s="504" t="s">
        <v>347</v>
      </c>
      <c r="K182" s="335"/>
      <c r="L182" s="299">
        <f>I175-L179</f>
        <v>5720000</v>
      </c>
      <c r="M182" s="930"/>
      <c r="N182" s="234"/>
      <c r="O182" s="218"/>
      <c r="P182" s="218"/>
      <c r="Q182" s="218"/>
      <c r="R182" s="218"/>
      <c r="S182" s="218"/>
      <c r="T182" s="218"/>
      <c r="U182" s="601"/>
      <c r="V182" s="601"/>
      <c r="W182" s="601"/>
      <c r="X182" s="235"/>
      <c r="Y182" s="218"/>
      <c r="Z182" s="219"/>
      <c r="AA182" s="205"/>
      <c r="AB182" s="205"/>
      <c r="AC182" s="205"/>
      <c r="AD182" s="9"/>
    </row>
    <row r="183" ht="22.5" customHeight="1">
      <c r="A183" s="218"/>
      <c r="B183" s="326" t="s">
        <v>429</v>
      </c>
      <c r="C183" s="16"/>
      <c r="D183" s="16"/>
      <c r="E183" s="16"/>
      <c r="F183" s="16"/>
      <c r="G183" s="16"/>
      <c r="H183" s="17"/>
      <c r="I183" s="327">
        <f>I181-I182</f>
        <v>401492</v>
      </c>
      <c r="J183" s="23"/>
      <c r="K183" s="335"/>
      <c r="L183" s="299"/>
      <c r="M183" s="218"/>
      <c r="N183" s="234"/>
      <c r="O183" s="218"/>
      <c r="P183" s="218"/>
      <c r="Q183" s="218"/>
      <c r="R183" s="218"/>
      <c r="S183" s="218"/>
      <c r="T183" s="218"/>
      <c r="U183" s="601"/>
      <c r="V183" s="601"/>
      <c r="W183" s="601"/>
      <c r="X183" s="235"/>
      <c r="Y183" s="218"/>
      <c r="Z183" s="219"/>
      <c r="AA183" s="205"/>
      <c r="AB183" s="205"/>
      <c r="AC183" s="205"/>
      <c r="AD183" s="9"/>
    </row>
    <row r="184" ht="15.75" customHeight="1">
      <c r="A184" s="218"/>
      <c r="B184" s="336"/>
      <c r="C184" s="336"/>
      <c r="D184" s="336"/>
      <c r="E184" s="337"/>
      <c r="F184" s="338"/>
      <c r="G184" s="218"/>
      <c r="H184" s="218"/>
      <c r="I184" s="218"/>
      <c r="J184" s="218"/>
      <c r="K184" s="23"/>
      <c r="L184" s="218"/>
      <c r="M184" s="218"/>
      <c r="N184" s="234"/>
      <c r="O184" s="218"/>
      <c r="P184" s="218"/>
      <c r="Q184" s="218"/>
      <c r="R184" s="218"/>
      <c r="S184" s="218"/>
      <c r="T184" s="218"/>
      <c r="U184" s="601"/>
      <c r="V184" s="601"/>
      <c r="W184" s="601"/>
      <c r="X184" s="235"/>
      <c r="Y184" s="218"/>
      <c r="Z184" s="219"/>
      <c r="AA184" s="205"/>
      <c r="AB184" s="205"/>
      <c r="AC184" s="205"/>
      <c r="AD184" s="9"/>
    </row>
    <row r="185" ht="15.75" customHeight="1">
      <c r="A185" s="339" t="s">
        <v>430</v>
      </c>
      <c r="E185" s="337"/>
      <c r="F185" s="338"/>
      <c r="G185" s="218"/>
      <c r="H185" s="218"/>
      <c r="I185" s="218"/>
      <c r="J185" s="218"/>
      <c r="K185" s="23"/>
      <c r="L185" s="218"/>
      <c r="M185" s="218"/>
      <c r="N185" s="234"/>
      <c r="O185" s="218"/>
      <c r="P185" s="218"/>
      <c r="Q185" s="218"/>
      <c r="R185" s="218"/>
      <c r="S185" s="218"/>
      <c r="T185" s="218"/>
      <c r="U185" s="601"/>
      <c r="V185" s="601"/>
      <c r="W185" s="601"/>
      <c r="X185" s="235"/>
      <c r="Y185" s="218"/>
      <c r="Z185" s="219"/>
      <c r="AA185" s="205"/>
      <c r="AB185" s="205"/>
      <c r="AC185" s="205"/>
      <c r="AD185" s="9"/>
    </row>
    <row r="186" ht="15.75" customHeight="1">
      <c r="A186" s="340"/>
      <c r="B186" s="341"/>
      <c r="C186" s="341"/>
      <c r="D186" s="341"/>
      <c r="E186" s="341"/>
      <c r="F186" s="341"/>
      <c r="G186" s="341"/>
      <c r="H186" s="341"/>
      <c r="I186" s="341"/>
      <c r="J186" s="341"/>
      <c r="K186" s="341"/>
      <c r="L186" s="341"/>
      <c r="M186" s="341"/>
      <c r="N186" s="343"/>
      <c r="O186" s="344"/>
      <c r="P186" s="344"/>
      <c r="Q186" s="344"/>
      <c r="R186" s="344"/>
      <c r="S186" s="344"/>
      <c r="T186" s="344"/>
      <c r="U186" s="662"/>
      <c r="V186" s="662"/>
      <c r="W186" s="662"/>
      <c r="X186" s="344"/>
      <c r="Y186" s="344"/>
      <c r="Z186" s="219"/>
      <c r="AA186" s="205"/>
      <c r="AB186" s="205"/>
      <c r="AC186" s="205"/>
      <c r="AD186" s="9"/>
    </row>
    <row r="187" ht="15.75" customHeight="1">
      <c r="A187" s="340"/>
      <c r="B187" s="346" t="s">
        <v>431</v>
      </c>
      <c r="C187" s="347" t="s">
        <v>432</v>
      </c>
      <c r="D187" s="348" t="s">
        <v>433</v>
      </c>
      <c r="E187" s="348" t="s">
        <v>434</v>
      </c>
      <c r="F187" s="349" t="s">
        <v>5</v>
      </c>
      <c r="G187" s="348" t="s">
        <v>435</v>
      </c>
      <c r="H187" s="348" t="s">
        <v>25</v>
      </c>
      <c r="I187" s="349" t="s">
        <v>26</v>
      </c>
      <c r="J187" s="349" t="s">
        <v>436</v>
      </c>
      <c r="K187" s="349" t="s">
        <v>437</v>
      </c>
      <c r="L187" s="349" t="s">
        <v>438</v>
      </c>
      <c r="M187" s="932" t="s">
        <v>9</v>
      </c>
      <c r="N187" s="933" t="s">
        <v>439</v>
      </c>
      <c r="O187" s="17"/>
      <c r="P187" s="344"/>
      <c r="Q187" s="340"/>
      <c r="R187" s="340"/>
      <c r="S187" s="340"/>
      <c r="T187" s="340"/>
      <c r="U187" s="779"/>
      <c r="V187" s="780"/>
      <c r="W187" s="780"/>
      <c r="X187" s="340"/>
      <c r="Y187" s="299"/>
      <c r="Z187" s="353"/>
      <c r="AA187" s="205"/>
      <c r="AB187" s="205"/>
      <c r="AC187" s="205"/>
      <c r="AD187" s="9"/>
    </row>
    <row r="188" ht="67.5" customHeight="1">
      <c r="A188" s="354"/>
      <c r="B188" s="355">
        <v>1.0</v>
      </c>
      <c r="C188" s="125">
        <v>44930.0</v>
      </c>
      <c r="D188" s="1240">
        <v>1.682303837355E12</v>
      </c>
      <c r="E188" s="63" t="s">
        <v>2293</v>
      </c>
      <c r="F188" s="1616" t="s">
        <v>2294</v>
      </c>
      <c r="G188" s="63" t="s">
        <v>2295</v>
      </c>
      <c r="H188" s="63" t="s">
        <v>37</v>
      </c>
      <c r="I188" s="355">
        <v>1.0</v>
      </c>
      <c r="J188" s="367">
        <v>220000.0</v>
      </c>
      <c r="K188" s="368">
        <f t="shared" ref="K188:K190" si="36">J188*I188</f>
        <v>220000</v>
      </c>
      <c r="L188" s="358"/>
      <c r="M188" s="1432">
        <v>48500.0</v>
      </c>
      <c r="N188" s="1127" t="s">
        <v>875</v>
      </c>
      <c r="O188" s="17"/>
      <c r="P188" s="344"/>
      <c r="Q188" s="364"/>
      <c r="R188" s="364"/>
      <c r="S188" s="364"/>
      <c r="T188" s="364"/>
      <c r="U188" s="601"/>
      <c r="V188" s="622"/>
      <c r="W188" s="622"/>
      <c r="X188" s="364"/>
      <c r="Y188" s="364"/>
      <c r="Z188" s="365"/>
      <c r="AA188" s="205"/>
      <c r="AB188" s="205"/>
      <c r="AC188" s="205"/>
      <c r="AD188" s="9"/>
    </row>
    <row r="189" ht="66.75" customHeight="1">
      <c r="A189" s="354"/>
      <c r="B189" s="355">
        <v>2.0</v>
      </c>
      <c r="C189" s="781">
        <v>44973.0</v>
      </c>
      <c r="D189" s="1617">
        <v>1.705263223462E12</v>
      </c>
      <c r="E189" s="366" t="s">
        <v>2190</v>
      </c>
      <c r="F189" s="1618" t="s">
        <v>40</v>
      </c>
      <c r="G189" s="366" t="s">
        <v>2240</v>
      </c>
      <c r="H189" s="366" t="s">
        <v>2180</v>
      </c>
      <c r="I189" s="355">
        <v>4.0</v>
      </c>
      <c r="J189" s="367">
        <v>80000.0</v>
      </c>
      <c r="K189" s="368">
        <f t="shared" si="36"/>
        <v>320000</v>
      </c>
      <c r="L189" s="358"/>
      <c r="M189" s="1432">
        <v>36500.0</v>
      </c>
      <c r="N189" s="1127" t="s">
        <v>2296</v>
      </c>
      <c r="O189" s="17"/>
      <c r="P189" s="642"/>
      <c r="Q189" s="784"/>
      <c r="R189" s="364"/>
      <c r="S189" s="364"/>
      <c r="T189" s="364"/>
      <c r="U189" s="601"/>
      <c r="V189" s="601"/>
      <c r="W189" s="601"/>
      <c r="X189" s="370"/>
      <c r="Y189" s="364"/>
      <c r="Z189" s="365"/>
      <c r="AA189" s="205"/>
      <c r="AB189" s="205"/>
      <c r="AC189" s="205"/>
      <c r="AD189" s="9"/>
    </row>
    <row r="190" ht="63.75" customHeight="1">
      <c r="A190" s="354"/>
      <c r="B190" s="1435">
        <v>3.0</v>
      </c>
      <c r="C190" s="1619">
        <v>44978.0</v>
      </c>
      <c r="D190" s="1620">
        <v>1.69908566263E12</v>
      </c>
      <c r="E190" s="1434" t="s">
        <v>2249</v>
      </c>
      <c r="F190" s="1621" t="s">
        <v>2269</v>
      </c>
      <c r="G190" s="1434" t="s">
        <v>2297</v>
      </c>
      <c r="H190" s="1622" t="s">
        <v>35</v>
      </c>
      <c r="I190" s="1435">
        <v>1.0</v>
      </c>
      <c r="J190" s="1623">
        <v>220000.0</v>
      </c>
      <c r="K190" s="368">
        <f t="shared" si="36"/>
        <v>220000</v>
      </c>
      <c r="L190" s="358"/>
      <c r="M190" s="1432">
        <v>22501.0</v>
      </c>
      <c r="N190" s="1127" t="s">
        <v>2298</v>
      </c>
      <c r="O190" s="17"/>
      <c r="P190" s="642"/>
      <c r="Q190" s="784"/>
      <c r="R190" s="364"/>
      <c r="S190" s="364"/>
      <c r="T190" s="364"/>
      <c r="U190" s="601"/>
      <c r="V190" s="601"/>
      <c r="W190" s="601"/>
      <c r="X190" s="370"/>
      <c r="Y190" s="364"/>
      <c r="Z190" s="365"/>
      <c r="AA190" s="205"/>
      <c r="AB190" s="205"/>
      <c r="AC190" s="205"/>
      <c r="AD190" s="9"/>
    </row>
    <row r="191" ht="31.5" customHeight="1">
      <c r="A191" s="354"/>
      <c r="B191" s="1624" t="s">
        <v>421</v>
      </c>
      <c r="C191" s="1625"/>
      <c r="D191" s="1625"/>
      <c r="E191" s="1625"/>
      <c r="F191" s="1625"/>
      <c r="G191" s="1625"/>
      <c r="H191" s="1625"/>
      <c r="I191" s="1625"/>
      <c r="J191" s="938"/>
      <c r="K191" s="390">
        <f>SUM(K188:K190)</f>
        <v>760000</v>
      </c>
      <c r="L191" s="392"/>
      <c r="M191" s="967">
        <f>SUM(M188:M190)</f>
        <v>107501</v>
      </c>
      <c r="N191" s="542"/>
      <c r="O191" s="17"/>
      <c r="P191" s="344"/>
      <c r="Q191" s="364"/>
      <c r="R191" s="364"/>
      <c r="S191" s="364"/>
      <c r="T191" s="364"/>
      <c r="U191" s="601"/>
      <c r="V191" s="601"/>
      <c r="W191" s="601"/>
      <c r="X191" s="370"/>
      <c r="Y191" s="364"/>
      <c r="Z191" s="365"/>
      <c r="AA191" s="205"/>
      <c r="AB191" s="205"/>
      <c r="AC191" s="205"/>
      <c r="AD191" s="9"/>
    </row>
    <row r="192" ht="15.75" customHeight="1">
      <c r="A192" s="9"/>
      <c r="B192" s="223"/>
      <c r="C192" s="397"/>
      <c r="D192" s="9"/>
      <c r="E192" s="9"/>
      <c r="F192" s="222"/>
      <c r="G192" s="223"/>
      <c r="H192" s="224"/>
      <c r="I192" s="225"/>
      <c r="J192" s="225"/>
      <c r="K192" s="22"/>
      <c r="L192" s="9"/>
      <c r="M192" s="9"/>
      <c r="N192" s="226"/>
      <c r="O192" s="9"/>
      <c r="P192" s="9"/>
      <c r="Q192" s="9"/>
      <c r="R192" s="9"/>
      <c r="S192" s="9"/>
      <c r="T192" s="9"/>
      <c r="U192" s="913"/>
      <c r="V192" s="913"/>
      <c r="W192" s="913"/>
      <c r="X192" s="9"/>
      <c r="Y192" s="9"/>
      <c r="Z192" s="204"/>
      <c r="AA192" s="9"/>
      <c r="AB192" s="9"/>
      <c r="AC192" s="9"/>
      <c r="AD192" s="9"/>
    </row>
    <row r="193" ht="15.75" customHeight="1">
      <c r="A193" s="9"/>
      <c r="B193" s="223"/>
      <c r="C193" s="397"/>
      <c r="D193" s="9"/>
      <c r="E193" s="9"/>
      <c r="F193" s="222"/>
      <c r="G193" s="223"/>
      <c r="H193" s="224"/>
      <c r="I193" s="225"/>
      <c r="J193" s="225"/>
      <c r="K193" s="22"/>
      <c r="L193" s="9"/>
      <c r="M193" s="9"/>
      <c r="N193" s="226"/>
      <c r="O193" s="9"/>
      <c r="P193" s="9"/>
      <c r="Q193" s="9"/>
      <c r="R193" s="9"/>
      <c r="S193" s="9"/>
      <c r="T193" s="9"/>
      <c r="U193" s="913"/>
      <c r="V193" s="913"/>
      <c r="W193" s="913"/>
      <c r="X193" s="9"/>
      <c r="Y193" s="9"/>
      <c r="Z193" s="204"/>
      <c r="AA193" s="9"/>
      <c r="AB193" s="9"/>
      <c r="AC193" s="9"/>
      <c r="AD193" s="9"/>
    </row>
    <row r="194" ht="26.25" customHeight="1">
      <c r="A194" s="1626" t="s">
        <v>2299</v>
      </c>
      <c r="E194" s="9"/>
      <c r="F194" s="222"/>
      <c r="G194" s="223"/>
      <c r="H194" s="224"/>
      <c r="I194" s="225"/>
      <c r="J194" s="225"/>
      <c r="K194" s="22"/>
      <c r="L194" s="9"/>
      <c r="M194" s="9"/>
      <c r="N194" s="226"/>
      <c r="O194" s="9"/>
      <c r="P194" s="9"/>
      <c r="Q194" s="9"/>
      <c r="R194" s="9"/>
      <c r="S194" s="9"/>
      <c r="T194" s="9"/>
      <c r="U194" s="913"/>
      <c r="V194" s="913"/>
      <c r="W194" s="913"/>
      <c r="X194" s="9"/>
      <c r="Y194" s="9"/>
      <c r="Z194" s="204"/>
      <c r="AA194" s="9"/>
      <c r="AB194" s="9"/>
      <c r="AC194" s="9"/>
      <c r="AD194" s="9"/>
    </row>
    <row r="195" ht="21.75" customHeight="1">
      <c r="A195" s="340"/>
      <c r="B195" s="346" t="s">
        <v>431</v>
      </c>
      <c r="C195" s="347" t="s">
        <v>432</v>
      </c>
      <c r="D195" s="348" t="s">
        <v>433</v>
      </c>
      <c r="E195" s="348" t="s">
        <v>434</v>
      </c>
      <c r="F195" s="349" t="s">
        <v>5</v>
      </c>
      <c r="G195" s="348" t="s">
        <v>435</v>
      </c>
      <c r="H195" s="348" t="s">
        <v>25</v>
      </c>
      <c r="I195" s="349" t="s">
        <v>26</v>
      </c>
      <c r="J195" s="349" t="s">
        <v>436</v>
      </c>
      <c r="K195" s="349" t="s">
        <v>437</v>
      </c>
      <c r="L195" s="932" t="s">
        <v>9</v>
      </c>
      <c r="M195" s="933" t="s">
        <v>439</v>
      </c>
      <c r="N195" s="17"/>
      <c r="O195" s="1627"/>
      <c r="P195" s="344"/>
      <c r="Q195" s="340"/>
      <c r="R195" s="340"/>
      <c r="S195" s="340"/>
      <c r="T195" s="340"/>
      <c r="U195" s="779"/>
      <c r="V195" s="780"/>
      <c r="W195" s="780"/>
      <c r="X195" s="340"/>
      <c r="Y195" s="299"/>
      <c r="Z195" s="353"/>
      <c r="AA195" s="205"/>
      <c r="AB195" s="205"/>
      <c r="AC195" s="205"/>
      <c r="AD195" s="9"/>
    </row>
    <row r="196" ht="67.5" customHeight="1">
      <c r="A196" s="522"/>
      <c r="B196" s="69">
        <v>2.0</v>
      </c>
      <c r="C196" s="125">
        <v>44968.0</v>
      </c>
      <c r="D196" s="1628">
        <v>1.68583694833E12</v>
      </c>
      <c r="E196" s="63" t="s">
        <v>2087</v>
      </c>
      <c r="F196" s="1616" t="s">
        <v>45</v>
      </c>
      <c r="G196" s="63" t="s">
        <v>324</v>
      </c>
      <c r="H196" s="63" t="s">
        <v>30</v>
      </c>
      <c r="I196" s="69">
        <v>30.0</v>
      </c>
      <c r="J196" s="524">
        <v>220000.0</v>
      </c>
      <c r="K196" s="525">
        <f t="shared" ref="K196:K198" si="37">J196*I196</f>
        <v>6600000</v>
      </c>
      <c r="L196" s="1376">
        <v>219825.0</v>
      </c>
      <c r="M196" s="1127" t="s">
        <v>2106</v>
      </c>
      <c r="N196" s="17"/>
      <c r="O196" s="1629"/>
      <c r="P196" s="107"/>
      <c r="Q196" s="527"/>
      <c r="R196" s="527"/>
      <c r="S196" s="527"/>
      <c r="T196" s="527"/>
      <c r="U196" s="464"/>
      <c r="V196" s="466"/>
      <c r="W196" s="466"/>
      <c r="X196" s="527"/>
      <c r="Y196" s="527"/>
      <c r="Z196" s="528"/>
      <c r="AA196" s="107"/>
      <c r="AB196" s="107"/>
      <c r="AC196" s="107"/>
      <c r="AD196" s="106"/>
    </row>
    <row r="197" ht="36.75" customHeight="1">
      <c r="A197" s="522"/>
      <c r="B197" s="94">
        <v>2.0</v>
      </c>
      <c r="C197" s="95">
        <v>44974.0</v>
      </c>
      <c r="D197" s="1150">
        <v>1.687566407275E12</v>
      </c>
      <c r="E197" s="126" t="s">
        <v>2087</v>
      </c>
      <c r="F197" s="1630" t="s">
        <v>45</v>
      </c>
      <c r="G197" s="126" t="s">
        <v>324</v>
      </c>
      <c r="H197" s="1631" t="s">
        <v>30</v>
      </c>
      <c r="I197" s="69">
        <v>5.0</v>
      </c>
      <c r="J197" s="524">
        <v>220000.0</v>
      </c>
      <c r="K197" s="525">
        <f t="shared" si="37"/>
        <v>1100000</v>
      </c>
      <c r="L197" s="1028">
        <v>89999.0</v>
      </c>
      <c r="M197" s="1334" t="s">
        <v>2106</v>
      </c>
      <c r="N197" s="938"/>
      <c r="O197" s="1632"/>
      <c r="P197" s="1633"/>
      <c r="Q197" s="1634"/>
      <c r="R197" s="527"/>
      <c r="S197" s="527"/>
      <c r="T197" s="527"/>
      <c r="U197" s="464"/>
      <c r="V197" s="464"/>
      <c r="W197" s="464"/>
      <c r="X197" s="529"/>
      <c r="Y197" s="527"/>
      <c r="Z197" s="528"/>
      <c r="AA197" s="25"/>
      <c r="AB197" s="25"/>
      <c r="AC197" s="25"/>
      <c r="AD197" s="22"/>
    </row>
    <row r="198" ht="38.25" customHeight="1">
      <c r="A198" s="22"/>
      <c r="B198" s="67"/>
      <c r="C198" s="67"/>
      <c r="D198" s="67"/>
      <c r="E198" s="67"/>
      <c r="F198" s="67"/>
      <c r="G198" s="67"/>
      <c r="H198" s="155" t="s">
        <v>382</v>
      </c>
      <c r="I198" s="93">
        <v>5.0</v>
      </c>
      <c r="J198" s="524">
        <v>220000.0</v>
      </c>
      <c r="K198" s="525">
        <f t="shared" si="37"/>
        <v>1100000</v>
      </c>
      <c r="L198" s="67"/>
      <c r="M198" s="154"/>
      <c r="N198" s="102"/>
      <c r="O198" s="67"/>
      <c r="P198" s="22"/>
      <c r="Q198" s="22"/>
      <c r="R198" s="22"/>
      <c r="S198" s="22"/>
      <c r="T198" s="22"/>
      <c r="U198" s="471"/>
      <c r="V198" s="471"/>
      <c r="W198" s="471"/>
      <c r="X198" s="22"/>
      <c r="Y198" s="22"/>
      <c r="Z198" s="465"/>
      <c r="AA198" s="22"/>
      <c r="AB198" s="22"/>
      <c r="AC198" s="22"/>
      <c r="AD198" s="22"/>
    </row>
    <row r="199" ht="15.75" customHeight="1">
      <c r="A199" s="9"/>
      <c r="B199" s="223"/>
      <c r="C199" s="397"/>
      <c r="D199" s="9"/>
      <c r="E199" s="9"/>
      <c r="F199" s="222"/>
      <c r="G199" s="223"/>
      <c r="H199" s="224"/>
      <c r="I199" s="225"/>
      <c r="J199" s="225"/>
      <c r="K199" s="22"/>
      <c r="L199" s="9"/>
      <c r="M199" s="9"/>
      <c r="N199" s="226"/>
      <c r="O199" s="9"/>
      <c r="P199" s="9"/>
      <c r="Q199" s="9"/>
      <c r="R199" s="9"/>
      <c r="S199" s="9"/>
      <c r="T199" s="9"/>
      <c r="U199" s="913"/>
      <c r="V199" s="913"/>
      <c r="W199" s="913"/>
      <c r="X199" s="9"/>
      <c r="Y199" s="9"/>
      <c r="Z199" s="204"/>
      <c r="AA199" s="9"/>
      <c r="AB199" s="9"/>
      <c r="AC199" s="9"/>
      <c r="AD199" s="9"/>
    </row>
    <row r="200" ht="15.75" customHeight="1">
      <c r="A200" s="9"/>
      <c r="B200" s="223"/>
      <c r="C200" s="397"/>
      <c r="D200" s="9"/>
      <c r="E200" s="9"/>
      <c r="F200" s="222"/>
      <c r="G200" s="223"/>
      <c r="H200" s="224"/>
      <c r="I200" s="225"/>
      <c r="J200" s="225"/>
      <c r="K200" s="22"/>
      <c r="L200" s="9"/>
      <c r="M200" s="9"/>
      <c r="N200" s="226"/>
      <c r="O200" s="9"/>
      <c r="P200" s="9"/>
      <c r="Q200" s="9"/>
      <c r="R200" s="9"/>
      <c r="S200" s="9"/>
      <c r="T200" s="9"/>
      <c r="U200" s="913"/>
      <c r="V200" s="913"/>
      <c r="W200" s="913"/>
      <c r="X200" s="9"/>
      <c r="Y200" s="9"/>
      <c r="Z200" s="204"/>
      <c r="AA200" s="9"/>
      <c r="AB200" s="9"/>
      <c r="AC200" s="9"/>
      <c r="AD200" s="9"/>
    </row>
    <row r="201" ht="15.75" customHeight="1">
      <c r="A201" s="9"/>
      <c r="B201" s="223"/>
      <c r="C201" s="397"/>
      <c r="D201" s="9"/>
      <c r="E201" s="9"/>
      <c r="F201" s="222"/>
      <c r="G201" s="223"/>
      <c r="H201" s="224"/>
      <c r="I201" s="225"/>
      <c r="J201" s="225"/>
      <c r="K201" s="22"/>
      <c r="L201" s="9"/>
      <c r="M201" s="9"/>
      <c r="N201" s="226"/>
      <c r="O201" s="9"/>
      <c r="P201" s="9"/>
      <c r="Q201" s="9"/>
      <c r="R201" s="9"/>
      <c r="S201" s="9"/>
      <c r="T201" s="9"/>
      <c r="U201" s="913"/>
      <c r="V201" s="913"/>
      <c r="W201" s="913"/>
      <c r="X201" s="9"/>
      <c r="Y201" s="9"/>
      <c r="Z201" s="204"/>
      <c r="AA201" s="9"/>
      <c r="AB201" s="9"/>
      <c r="AC201" s="9"/>
      <c r="AD201" s="9"/>
    </row>
    <row r="202" ht="15.75" customHeight="1">
      <c r="A202" s="9"/>
      <c r="B202" s="223"/>
      <c r="C202" s="397"/>
      <c r="D202" s="9"/>
      <c r="E202" s="9"/>
      <c r="F202" s="222"/>
      <c r="G202" s="223"/>
      <c r="H202" s="224"/>
      <c r="I202" s="225"/>
      <c r="J202" s="225"/>
      <c r="K202" s="22"/>
      <c r="L202" s="9"/>
      <c r="M202" s="9"/>
      <c r="N202" s="226"/>
      <c r="O202" s="9"/>
      <c r="P202" s="9"/>
      <c r="Q202" s="9"/>
      <c r="R202" s="9"/>
      <c r="S202" s="9"/>
      <c r="T202" s="9"/>
      <c r="U202" s="913"/>
      <c r="V202" s="913"/>
      <c r="W202" s="913"/>
      <c r="X202" s="9"/>
      <c r="Y202" s="9"/>
      <c r="Z202" s="204"/>
      <c r="AA202" s="9"/>
      <c r="AB202" s="9"/>
      <c r="AC202" s="9"/>
      <c r="AD202" s="9"/>
    </row>
    <row r="203" ht="15.75" customHeight="1">
      <c r="A203" s="9"/>
      <c r="B203" s="223"/>
      <c r="C203" s="397"/>
      <c r="D203" s="9"/>
      <c r="E203" s="9"/>
      <c r="F203" s="222"/>
      <c r="G203" s="223"/>
      <c r="H203" s="224"/>
      <c r="I203" s="225"/>
      <c r="J203" s="225"/>
      <c r="K203" s="22"/>
      <c r="L203" s="9"/>
      <c r="M203" s="9"/>
      <c r="N203" s="226"/>
      <c r="O203" s="9"/>
      <c r="P203" s="9"/>
      <c r="Q203" s="9"/>
      <c r="R203" s="9"/>
      <c r="S203" s="9"/>
      <c r="T203" s="9"/>
      <c r="U203" s="913"/>
      <c r="V203" s="913"/>
      <c r="W203" s="913"/>
      <c r="X203" s="9"/>
      <c r="Y203" s="9"/>
      <c r="Z203" s="204"/>
      <c r="AA203" s="9"/>
      <c r="AB203" s="9"/>
      <c r="AC203" s="9"/>
      <c r="AD203" s="9"/>
    </row>
    <row r="204" ht="15.75" customHeight="1">
      <c r="A204" s="9"/>
      <c r="B204" s="223"/>
      <c r="C204" s="397"/>
      <c r="D204" s="9"/>
      <c r="E204" s="9"/>
      <c r="F204" s="222"/>
      <c r="G204" s="223"/>
      <c r="H204" s="224"/>
      <c r="I204" s="225"/>
      <c r="J204" s="225"/>
      <c r="K204" s="22"/>
      <c r="L204" s="9"/>
      <c r="M204" s="9"/>
      <c r="N204" s="226"/>
      <c r="O204" s="9"/>
      <c r="P204" s="9"/>
      <c r="Q204" s="9"/>
      <c r="R204" s="9"/>
      <c r="S204" s="9"/>
      <c r="T204" s="9"/>
      <c r="U204" s="913"/>
      <c r="V204" s="913"/>
      <c r="W204" s="913"/>
      <c r="X204" s="9"/>
      <c r="Y204" s="9"/>
      <c r="Z204" s="204"/>
      <c r="AA204" s="9"/>
      <c r="AB204" s="9"/>
      <c r="AC204" s="9"/>
      <c r="AD204" s="9"/>
    </row>
    <row r="205" ht="15.75" customHeight="1">
      <c r="A205" s="9"/>
      <c r="B205" s="223"/>
      <c r="C205" s="397"/>
      <c r="D205" s="9"/>
      <c r="E205" s="9"/>
      <c r="F205" s="222"/>
      <c r="G205" s="223"/>
      <c r="H205" s="224"/>
      <c r="I205" s="225"/>
      <c r="J205" s="225"/>
      <c r="K205" s="22"/>
      <c r="L205" s="9"/>
      <c r="M205" s="9"/>
      <c r="N205" s="226"/>
      <c r="O205" s="9"/>
      <c r="P205" s="9"/>
      <c r="Q205" s="9"/>
      <c r="R205" s="9"/>
      <c r="S205" s="9"/>
      <c r="T205" s="9"/>
      <c r="U205" s="913"/>
      <c r="V205" s="913"/>
      <c r="W205" s="913"/>
      <c r="X205" s="9"/>
      <c r="Y205" s="9"/>
      <c r="Z205" s="204"/>
      <c r="AA205" s="9"/>
      <c r="AB205" s="9"/>
      <c r="AC205" s="9"/>
      <c r="AD205" s="9"/>
    </row>
    <row r="206" ht="15.75" customHeight="1">
      <c r="A206" s="9"/>
      <c r="B206" s="223"/>
      <c r="C206" s="397"/>
      <c r="D206" s="9"/>
      <c r="E206" s="9"/>
      <c r="F206" s="222"/>
      <c r="G206" s="223"/>
      <c r="H206" s="224"/>
      <c r="I206" s="225"/>
      <c r="J206" s="225"/>
      <c r="K206" s="22"/>
      <c r="L206" s="9"/>
      <c r="M206" s="9"/>
      <c r="N206" s="226"/>
      <c r="O206" s="9"/>
      <c r="P206" s="9"/>
      <c r="Q206" s="9"/>
      <c r="R206" s="9"/>
      <c r="S206" s="9"/>
      <c r="T206" s="9"/>
      <c r="U206" s="913"/>
      <c r="V206" s="913"/>
      <c r="W206" s="913"/>
      <c r="X206" s="9"/>
      <c r="Y206" s="9"/>
      <c r="Z206" s="204"/>
      <c r="AA206" s="9"/>
      <c r="AB206" s="9"/>
      <c r="AC206" s="9"/>
      <c r="AD206" s="9"/>
    </row>
    <row r="207" ht="15.75" customHeight="1">
      <c r="A207" s="9"/>
      <c r="B207" s="223"/>
      <c r="C207" s="397"/>
      <c r="D207" s="9"/>
      <c r="E207" s="9"/>
      <c r="F207" s="222"/>
      <c r="G207" s="223"/>
      <c r="H207" s="224"/>
      <c r="I207" s="225"/>
      <c r="J207" s="225"/>
      <c r="K207" s="22"/>
      <c r="L207" s="9"/>
      <c r="M207" s="9"/>
      <c r="N207" s="226"/>
      <c r="O207" s="9"/>
      <c r="P207" s="9"/>
      <c r="Q207" s="9"/>
      <c r="R207" s="9"/>
      <c r="S207" s="9"/>
      <c r="T207" s="9"/>
      <c r="U207" s="913"/>
      <c r="V207" s="913"/>
      <c r="W207" s="913"/>
      <c r="X207" s="9"/>
      <c r="Y207" s="9"/>
      <c r="Z207" s="204"/>
      <c r="AA207" s="9"/>
      <c r="AB207" s="9"/>
      <c r="AC207" s="9"/>
      <c r="AD207" s="9"/>
    </row>
    <row r="208" ht="15.7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204"/>
      <c r="AA208" s="9"/>
      <c r="AB208" s="9"/>
      <c r="AC208" s="9"/>
      <c r="AD208" s="9"/>
    </row>
    <row r="209" ht="15.7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204"/>
      <c r="AA209" s="9"/>
      <c r="AB209" s="9"/>
      <c r="AC209" s="9"/>
      <c r="AD209" s="9"/>
    </row>
    <row r="210" ht="15.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204"/>
      <c r="AA210" s="9"/>
      <c r="AB210" s="9"/>
      <c r="AC210" s="9"/>
      <c r="AD210" s="9"/>
    </row>
    <row r="211" ht="15.7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204"/>
      <c r="AA211" s="9"/>
      <c r="AB211" s="9"/>
      <c r="AC211" s="9"/>
      <c r="AD211" s="9"/>
    </row>
    <row r="212" ht="15.7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204"/>
      <c r="AA212" s="9"/>
      <c r="AB212" s="9"/>
      <c r="AC212" s="9"/>
      <c r="AD212" s="9"/>
    </row>
    <row r="213" ht="15.7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204"/>
      <c r="AA213" s="9"/>
      <c r="AB213" s="9"/>
      <c r="AC213" s="9"/>
      <c r="AD213" s="9"/>
    </row>
    <row r="214" ht="15.7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204"/>
      <c r="AA214" s="9"/>
      <c r="AB214" s="9"/>
      <c r="AC214" s="9"/>
      <c r="AD214" s="9"/>
    </row>
    <row r="215" ht="15.7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204"/>
      <c r="AA215" s="9"/>
      <c r="AB215" s="9"/>
      <c r="AC215" s="9"/>
      <c r="AD215" s="9"/>
    </row>
    <row r="216"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204"/>
      <c r="AA216" s="9"/>
      <c r="AB216" s="9"/>
      <c r="AC216" s="9"/>
      <c r="AD216" s="9"/>
    </row>
    <row r="217"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204"/>
      <c r="AA217" s="9"/>
      <c r="AB217" s="9"/>
      <c r="AC217" s="9"/>
      <c r="AD217" s="9"/>
    </row>
    <row r="218"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204"/>
      <c r="AA218" s="9"/>
      <c r="AB218" s="9"/>
      <c r="AC218" s="9"/>
      <c r="AD218" s="9"/>
    </row>
    <row r="219"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204"/>
      <c r="AA219" s="9"/>
      <c r="AB219" s="9"/>
      <c r="AC219" s="9"/>
      <c r="AD219" s="9"/>
    </row>
    <row r="220"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204"/>
      <c r="AA220" s="9"/>
      <c r="AB220" s="9"/>
      <c r="AC220" s="9"/>
      <c r="AD220" s="9"/>
    </row>
    <row r="221"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204"/>
      <c r="AA221" s="9"/>
      <c r="AB221" s="9"/>
      <c r="AC221" s="9"/>
      <c r="AD221" s="9"/>
    </row>
    <row r="222"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204"/>
      <c r="AA222" s="9"/>
      <c r="AB222" s="9"/>
      <c r="AC222" s="9"/>
      <c r="AD222" s="9"/>
    </row>
    <row r="223"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204"/>
      <c r="AA223" s="9"/>
      <c r="AB223" s="9"/>
      <c r="AC223" s="9"/>
      <c r="AD223" s="9"/>
    </row>
    <row r="224"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204"/>
      <c r="AA224" s="9"/>
      <c r="AB224" s="9"/>
      <c r="AC224" s="9"/>
      <c r="AD224" s="9"/>
    </row>
    <row r="225"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204"/>
      <c r="AA225" s="9"/>
      <c r="AB225" s="9"/>
      <c r="AC225" s="9"/>
      <c r="AD225" s="9"/>
    </row>
    <row r="2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204"/>
      <c r="AA226" s="9"/>
      <c r="AB226" s="9"/>
      <c r="AC226" s="9"/>
      <c r="AD226" s="9"/>
    </row>
    <row r="227"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204"/>
      <c r="AA227" s="9"/>
      <c r="AB227" s="9"/>
      <c r="AC227" s="9"/>
      <c r="AD227" s="9"/>
    </row>
    <row r="228"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204"/>
      <c r="AA228" s="9"/>
      <c r="AB228" s="9"/>
      <c r="AC228" s="9"/>
      <c r="AD228" s="9"/>
    </row>
    <row r="229"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204"/>
      <c r="AA229" s="9"/>
      <c r="AB229" s="9"/>
      <c r="AC229" s="9"/>
      <c r="AD229" s="9"/>
    </row>
    <row r="230"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204"/>
      <c r="AA230" s="9"/>
      <c r="AB230" s="9"/>
      <c r="AC230" s="9"/>
      <c r="AD230" s="9"/>
    </row>
    <row r="231"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204"/>
      <c r="AA231" s="9"/>
      <c r="AB231" s="9"/>
      <c r="AC231" s="9"/>
      <c r="AD231" s="9"/>
    </row>
    <row r="232"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204"/>
      <c r="AA232" s="9"/>
      <c r="AB232" s="9"/>
      <c r="AC232" s="9"/>
      <c r="AD232" s="9"/>
    </row>
    <row r="233"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204"/>
      <c r="AA233" s="9"/>
      <c r="AB233" s="9"/>
      <c r="AC233" s="9"/>
      <c r="AD233" s="9"/>
    </row>
    <row r="234"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204"/>
      <c r="AA234" s="9"/>
      <c r="AB234" s="9"/>
      <c r="AC234" s="9"/>
      <c r="AD234" s="9"/>
    </row>
    <row r="235"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204"/>
      <c r="AA235" s="9"/>
      <c r="AB235" s="9"/>
      <c r="AC235" s="9"/>
      <c r="AD235" s="9"/>
    </row>
    <row r="23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204"/>
      <c r="AA236" s="9"/>
      <c r="AB236" s="9"/>
      <c r="AC236" s="9"/>
      <c r="AD236" s="9"/>
    </row>
    <row r="237"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204"/>
      <c r="AA237" s="9"/>
      <c r="AB237" s="9"/>
      <c r="AC237" s="9"/>
      <c r="AD237" s="9"/>
    </row>
    <row r="238"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204"/>
      <c r="AA238" s="9"/>
      <c r="AB238" s="9"/>
      <c r="AC238" s="9"/>
      <c r="AD238" s="9"/>
    </row>
    <row r="239"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204"/>
      <c r="AA239" s="9"/>
      <c r="AB239" s="9"/>
      <c r="AC239" s="9"/>
      <c r="AD239" s="9"/>
    </row>
    <row r="240"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204"/>
      <c r="AA240" s="9"/>
      <c r="AB240" s="9"/>
      <c r="AC240" s="9"/>
      <c r="AD240" s="9"/>
    </row>
    <row r="241"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204"/>
      <c r="AA241" s="9"/>
      <c r="AB241" s="9"/>
      <c r="AC241" s="9"/>
      <c r="AD241" s="9"/>
    </row>
    <row r="242"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204"/>
      <c r="AA242" s="9"/>
      <c r="AB242" s="9"/>
      <c r="AC242" s="9"/>
      <c r="AD242" s="9"/>
    </row>
    <row r="243"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204"/>
      <c r="AA243" s="9"/>
      <c r="AB243" s="9"/>
      <c r="AC243" s="9"/>
      <c r="AD243" s="9"/>
    </row>
    <row r="244"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204"/>
      <c r="AA244" s="9"/>
      <c r="AB244" s="9"/>
      <c r="AC244" s="9"/>
      <c r="AD244" s="9"/>
    </row>
    <row r="245"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204"/>
      <c r="AA245" s="9"/>
      <c r="AB245" s="9"/>
      <c r="AC245" s="9"/>
      <c r="AD245" s="9"/>
    </row>
    <row r="24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204"/>
      <c r="AA246" s="9"/>
      <c r="AB246" s="9"/>
      <c r="AC246" s="9"/>
      <c r="AD246" s="9"/>
    </row>
    <row r="247"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204"/>
      <c r="AA247" s="9"/>
      <c r="AB247" s="9"/>
      <c r="AC247" s="9"/>
      <c r="AD247" s="9"/>
    </row>
    <row r="248" ht="15.7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204"/>
      <c r="AA248" s="9"/>
      <c r="AB248" s="9"/>
      <c r="AC248" s="9"/>
      <c r="AD248" s="9"/>
    </row>
    <row r="249"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204"/>
      <c r="AA249" s="9"/>
      <c r="AB249" s="9"/>
      <c r="AC249" s="9"/>
      <c r="AD249" s="9"/>
    </row>
    <row r="250"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204"/>
      <c r="AA250" s="9"/>
      <c r="AB250" s="9"/>
      <c r="AC250" s="9"/>
      <c r="AD250" s="9"/>
    </row>
    <row r="251"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204"/>
      <c r="AA251" s="9"/>
      <c r="AB251" s="9"/>
      <c r="AC251" s="9"/>
      <c r="AD251" s="9"/>
    </row>
    <row r="252"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204"/>
      <c r="AA252" s="9"/>
      <c r="AB252" s="9"/>
      <c r="AC252" s="9"/>
      <c r="AD252" s="9"/>
    </row>
    <row r="253" ht="15.7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204"/>
      <c r="AA253" s="9"/>
      <c r="AB253" s="9"/>
      <c r="AC253" s="9"/>
      <c r="AD253" s="9"/>
    </row>
    <row r="254"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204"/>
      <c r="AA254" s="9"/>
      <c r="AB254" s="9"/>
      <c r="AC254" s="9"/>
      <c r="AD254" s="9"/>
    </row>
    <row r="255"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204"/>
      <c r="AA255" s="9"/>
      <c r="AB255" s="9"/>
      <c r="AC255" s="9"/>
      <c r="AD255" s="9"/>
    </row>
    <row r="25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204"/>
      <c r="AA256" s="9"/>
      <c r="AB256" s="9"/>
      <c r="AC256" s="9"/>
      <c r="AD256" s="9"/>
    </row>
    <row r="257"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204"/>
      <c r="AA257" s="9"/>
      <c r="AB257" s="9"/>
      <c r="AC257" s="9"/>
      <c r="AD257" s="9"/>
    </row>
    <row r="258"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204"/>
      <c r="AA258" s="9"/>
      <c r="AB258" s="9"/>
      <c r="AC258" s="9"/>
      <c r="AD258" s="9"/>
    </row>
    <row r="259"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204"/>
      <c r="AA259" s="9"/>
      <c r="AB259" s="9"/>
      <c r="AC259" s="9"/>
      <c r="AD259" s="9"/>
    </row>
    <row r="260"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204"/>
      <c r="AA260" s="9"/>
      <c r="AB260" s="9"/>
      <c r="AC260" s="9"/>
      <c r="AD260" s="9"/>
    </row>
    <row r="261"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204"/>
      <c r="AA261" s="9"/>
      <c r="AB261" s="9"/>
      <c r="AC261" s="9"/>
      <c r="AD261" s="9"/>
    </row>
    <row r="262"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204"/>
      <c r="AA262" s="9"/>
      <c r="AB262" s="9"/>
      <c r="AC262" s="9"/>
      <c r="AD262" s="9"/>
    </row>
    <row r="263"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204"/>
      <c r="AA263" s="9"/>
      <c r="AB263" s="9"/>
      <c r="AC263" s="9"/>
      <c r="AD263" s="9"/>
    </row>
    <row r="264"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204"/>
      <c r="AA264" s="9"/>
      <c r="AB264" s="9"/>
      <c r="AC264" s="9"/>
      <c r="AD264" s="9"/>
    </row>
    <row r="265"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204"/>
      <c r="AA265" s="9"/>
      <c r="AB265" s="9"/>
      <c r="AC265" s="9"/>
      <c r="AD265" s="9"/>
    </row>
    <row r="26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204"/>
      <c r="AA266" s="9"/>
      <c r="AB266" s="9"/>
      <c r="AC266" s="9"/>
      <c r="AD266" s="9"/>
    </row>
    <row r="267"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204"/>
      <c r="AA267" s="9"/>
      <c r="AB267" s="9"/>
      <c r="AC267" s="9"/>
      <c r="AD267" s="9"/>
    </row>
    <row r="268"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204"/>
      <c r="AA268" s="9"/>
      <c r="AB268" s="9"/>
      <c r="AC268" s="9"/>
      <c r="AD268" s="9"/>
    </row>
    <row r="269"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204"/>
      <c r="AA269" s="9"/>
      <c r="AB269" s="9"/>
      <c r="AC269" s="9"/>
      <c r="AD269" s="9"/>
    </row>
    <row r="270"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204"/>
      <c r="AA270" s="9"/>
      <c r="AB270" s="9"/>
      <c r="AC270" s="9"/>
      <c r="AD270" s="9"/>
    </row>
    <row r="271"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204"/>
      <c r="AA271" s="9"/>
      <c r="AB271" s="9"/>
      <c r="AC271" s="9"/>
      <c r="AD271" s="9"/>
    </row>
    <row r="272"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204"/>
      <c r="AA272" s="9"/>
      <c r="AB272" s="9"/>
      <c r="AC272" s="9"/>
      <c r="AD272" s="9"/>
    </row>
    <row r="273"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204"/>
      <c r="AA273" s="9"/>
      <c r="AB273" s="9"/>
      <c r="AC273" s="9"/>
      <c r="AD273" s="9"/>
    </row>
    <row r="274"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204"/>
      <c r="AA274" s="9"/>
      <c r="AB274" s="9"/>
      <c r="AC274" s="9"/>
      <c r="AD274" s="9"/>
    </row>
    <row r="275"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204"/>
      <c r="AA275" s="9"/>
      <c r="AB275" s="9"/>
      <c r="AC275" s="9"/>
      <c r="AD275" s="9"/>
    </row>
    <row r="27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204"/>
      <c r="AA276" s="9"/>
      <c r="AB276" s="9"/>
      <c r="AC276" s="9"/>
      <c r="AD276" s="9"/>
    </row>
    <row r="277"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204"/>
      <c r="AA277" s="9"/>
      <c r="AB277" s="9"/>
      <c r="AC277" s="9"/>
      <c r="AD277" s="9"/>
    </row>
    <row r="278"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204"/>
      <c r="AA278" s="9"/>
      <c r="AB278" s="9"/>
      <c r="AC278" s="9"/>
      <c r="AD278" s="9"/>
    </row>
    <row r="279"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204"/>
      <c r="AA279" s="9"/>
      <c r="AB279" s="9"/>
      <c r="AC279" s="9"/>
      <c r="AD279" s="9"/>
    </row>
    <row r="280"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204"/>
      <c r="AA280" s="9"/>
      <c r="AB280" s="9"/>
      <c r="AC280" s="9"/>
      <c r="AD280" s="9"/>
    </row>
    <row r="281"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204"/>
      <c r="AA281" s="9"/>
      <c r="AB281" s="9"/>
      <c r="AC281" s="9"/>
      <c r="AD281" s="9"/>
    </row>
    <row r="282"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204"/>
      <c r="AA282" s="9"/>
      <c r="AB282" s="9"/>
      <c r="AC282" s="9"/>
      <c r="AD282" s="9"/>
    </row>
    <row r="283"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204"/>
      <c r="AA283" s="9"/>
      <c r="AB283" s="9"/>
      <c r="AC283" s="9"/>
      <c r="AD283" s="9"/>
    </row>
    <row r="284" ht="15.7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204"/>
      <c r="AA284" s="9"/>
      <c r="AB284" s="9"/>
      <c r="AC284" s="9"/>
      <c r="AD284" s="9"/>
    </row>
    <row r="285" ht="15.7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204"/>
      <c r="AA285" s="9"/>
      <c r="AB285" s="9"/>
      <c r="AC285" s="9"/>
      <c r="AD285" s="9"/>
    </row>
    <row r="286" ht="15.7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204"/>
      <c r="AA286" s="9"/>
      <c r="AB286" s="9"/>
      <c r="AC286" s="9"/>
      <c r="AD286" s="9"/>
    </row>
    <row r="287" ht="15.7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204"/>
      <c r="AA287" s="9"/>
      <c r="AB287" s="9"/>
      <c r="AC287" s="9"/>
      <c r="AD287" s="9"/>
    </row>
    <row r="288" ht="15.7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204"/>
      <c r="AA288" s="9"/>
      <c r="AB288" s="9"/>
      <c r="AC288" s="9"/>
      <c r="AD288" s="9"/>
    </row>
    <row r="289" ht="15.7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204"/>
      <c r="AA289" s="9"/>
      <c r="AB289" s="9"/>
      <c r="AC289" s="9"/>
      <c r="AD289" s="9"/>
    </row>
    <row r="290" ht="15.7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204"/>
      <c r="AA290" s="9"/>
      <c r="AB290" s="9"/>
      <c r="AC290" s="9"/>
      <c r="AD290" s="9"/>
    </row>
    <row r="291" ht="15.7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204"/>
      <c r="AA291" s="9"/>
      <c r="AB291" s="9"/>
      <c r="AC291" s="9"/>
      <c r="AD291" s="9"/>
    </row>
    <row r="292" ht="15.7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204"/>
      <c r="AA292" s="9"/>
      <c r="AB292" s="9"/>
      <c r="AC292" s="9"/>
      <c r="AD292" s="9"/>
    </row>
    <row r="293" ht="15.7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204"/>
      <c r="AA293" s="9"/>
      <c r="AB293" s="9"/>
      <c r="AC293" s="9"/>
      <c r="AD293" s="9"/>
    </row>
    <row r="294" ht="15.7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204"/>
      <c r="AA294" s="9"/>
      <c r="AB294" s="9"/>
      <c r="AC294" s="9"/>
      <c r="AD294" s="9"/>
    </row>
    <row r="295" ht="15.7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204"/>
      <c r="AA295" s="9"/>
      <c r="AB295" s="9"/>
      <c r="AC295" s="9"/>
      <c r="AD295" s="9"/>
    </row>
    <row r="296" ht="15.7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204"/>
      <c r="AA296" s="9"/>
      <c r="AB296" s="9"/>
      <c r="AC296" s="9"/>
      <c r="AD296" s="9"/>
    </row>
    <row r="297" ht="15.7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204"/>
      <c r="AA297" s="9"/>
      <c r="AB297" s="9"/>
      <c r="AC297" s="9"/>
      <c r="AD297" s="9"/>
    </row>
    <row r="298" ht="15.7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204"/>
      <c r="AA298" s="9"/>
      <c r="AB298" s="9"/>
      <c r="AC298" s="9"/>
      <c r="AD298" s="9"/>
    </row>
    <row r="299" ht="15.7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204"/>
      <c r="AA299" s="9"/>
      <c r="AB299" s="9"/>
      <c r="AC299" s="9"/>
      <c r="AD299" s="9"/>
    </row>
    <row r="300" ht="15.7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204"/>
      <c r="AA300" s="9"/>
      <c r="AB300" s="9"/>
      <c r="AC300" s="9"/>
      <c r="AD300" s="9"/>
    </row>
    <row r="301" ht="15.7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204"/>
      <c r="AA301" s="9"/>
      <c r="AB301" s="9"/>
      <c r="AC301" s="9"/>
      <c r="AD301" s="9"/>
    </row>
    <row r="302" ht="15.7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204"/>
      <c r="AA302" s="9"/>
      <c r="AB302" s="9"/>
      <c r="AC302" s="9"/>
      <c r="AD302" s="9"/>
    </row>
    <row r="303" ht="15.7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204"/>
      <c r="AA303" s="9"/>
      <c r="AB303" s="9"/>
      <c r="AC303" s="9"/>
      <c r="AD303" s="9"/>
    </row>
    <row r="304" ht="15.7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204"/>
      <c r="AA304" s="9"/>
      <c r="AB304" s="9"/>
      <c r="AC304" s="9"/>
      <c r="AD304" s="9"/>
    </row>
    <row r="305" ht="15.7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204"/>
      <c r="AA305" s="9"/>
      <c r="AB305" s="9"/>
      <c r="AC305" s="9"/>
      <c r="AD305" s="9"/>
    </row>
    <row r="306" ht="15.7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204"/>
      <c r="AA306" s="9"/>
      <c r="AB306" s="9"/>
      <c r="AC306" s="9"/>
      <c r="AD306" s="9"/>
    </row>
    <row r="307" ht="15.7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204"/>
      <c r="AA307" s="9"/>
      <c r="AB307" s="9"/>
      <c r="AC307" s="9"/>
      <c r="AD307" s="9"/>
    </row>
    <row r="308" ht="15.7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204"/>
      <c r="AA308" s="9"/>
      <c r="AB308" s="9"/>
      <c r="AC308" s="9"/>
      <c r="AD308" s="9"/>
    </row>
    <row r="309" ht="15.7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204"/>
      <c r="AA309" s="9"/>
      <c r="AB309" s="9"/>
      <c r="AC309" s="9"/>
      <c r="AD309" s="9"/>
    </row>
    <row r="310" ht="15.7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204"/>
      <c r="AA310" s="9"/>
      <c r="AB310" s="9"/>
      <c r="AC310" s="9"/>
      <c r="AD310" s="9"/>
    </row>
    <row r="311" ht="15.7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204"/>
      <c r="AA311" s="9"/>
      <c r="AB311" s="9"/>
      <c r="AC311" s="9"/>
      <c r="AD311" s="9"/>
    </row>
    <row r="312" ht="15.7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204"/>
      <c r="AA312" s="9"/>
      <c r="AB312" s="9"/>
      <c r="AC312" s="9"/>
      <c r="AD312" s="9"/>
    </row>
    <row r="313" ht="15.7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204"/>
      <c r="AA313" s="9"/>
      <c r="AB313" s="9"/>
      <c r="AC313" s="9"/>
      <c r="AD313" s="9"/>
    </row>
    <row r="314" ht="15.7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204"/>
      <c r="AA314" s="9"/>
      <c r="AB314" s="9"/>
      <c r="AC314" s="9"/>
      <c r="AD314" s="9"/>
    </row>
    <row r="315" ht="15.7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204"/>
      <c r="AA315" s="9"/>
      <c r="AB315" s="9"/>
      <c r="AC315" s="9"/>
      <c r="AD315" s="9"/>
    </row>
    <row r="316" ht="15.7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204"/>
      <c r="AA316" s="9"/>
      <c r="AB316" s="9"/>
      <c r="AC316" s="9"/>
      <c r="AD316" s="9"/>
    </row>
    <row r="317" ht="15.7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204"/>
      <c r="AA317" s="9"/>
      <c r="AB317" s="9"/>
      <c r="AC317" s="9"/>
      <c r="AD317" s="9"/>
    </row>
    <row r="318" ht="15.7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204"/>
      <c r="AA318" s="9"/>
      <c r="AB318" s="9"/>
      <c r="AC318" s="9"/>
      <c r="AD318" s="9"/>
    </row>
    <row r="319" ht="15.7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204"/>
      <c r="AA319" s="9"/>
      <c r="AB319" s="9"/>
      <c r="AC319" s="9"/>
      <c r="AD319" s="9"/>
    </row>
    <row r="320" ht="15.7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204"/>
      <c r="AA320" s="9"/>
      <c r="AB320" s="9"/>
      <c r="AC320" s="9"/>
      <c r="AD320" s="9"/>
    </row>
    <row r="321" ht="15.7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204"/>
      <c r="AA321" s="9"/>
      <c r="AB321" s="9"/>
      <c r="AC321" s="9"/>
      <c r="AD321" s="9"/>
    </row>
    <row r="322" ht="15.7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204"/>
      <c r="AA322" s="9"/>
      <c r="AB322" s="9"/>
      <c r="AC322" s="9"/>
      <c r="AD322" s="9"/>
    </row>
    <row r="323" ht="15.7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204"/>
      <c r="AA323" s="9"/>
      <c r="AB323" s="9"/>
      <c r="AC323" s="9"/>
      <c r="AD323" s="9"/>
    </row>
    <row r="324" ht="15.7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204"/>
      <c r="AA324" s="9"/>
      <c r="AB324" s="9"/>
      <c r="AC324" s="9"/>
      <c r="AD324" s="9"/>
    </row>
    <row r="325" ht="15.7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204"/>
      <c r="AA325" s="9"/>
      <c r="AB325" s="9"/>
      <c r="AC325" s="9"/>
      <c r="AD325" s="9"/>
    </row>
    <row r="326" ht="15.7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204"/>
      <c r="AA326" s="9"/>
      <c r="AB326" s="9"/>
      <c r="AC326" s="9"/>
      <c r="AD326" s="9"/>
    </row>
    <row r="327" ht="15.7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204"/>
      <c r="AA327" s="9"/>
      <c r="AB327" s="9"/>
      <c r="AC327" s="9"/>
      <c r="AD327" s="9"/>
    </row>
    <row r="328" ht="15.7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204"/>
      <c r="AA328" s="9"/>
      <c r="AB328" s="9"/>
      <c r="AC328" s="9"/>
      <c r="AD328" s="9"/>
    </row>
    <row r="329" ht="15.7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204"/>
      <c r="AA329" s="9"/>
      <c r="AB329" s="9"/>
      <c r="AC329" s="9"/>
      <c r="AD329" s="9"/>
    </row>
    <row r="330" ht="15.7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204"/>
      <c r="AA330" s="9"/>
      <c r="AB330" s="9"/>
      <c r="AC330" s="9"/>
      <c r="AD330" s="9"/>
    </row>
    <row r="331" ht="15.7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204"/>
      <c r="AA331" s="9"/>
      <c r="AB331" s="9"/>
      <c r="AC331" s="9"/>
      <c r="AD331" s="9"/>
    </row>
    <row r="332" ht="15.7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204"/>
      <c r="AA332" s="9"/>
      <c r="AB332" s="9"/>
      <c r="AC332" s="9"/>
      <c r="AD332" s="9"/>
    </row>
    <row r="333" ht="15.7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204"/>
      <c r="AA333" s="9"/>
      <c r="AB333" s="9"/>
      <c r="AC333" s="9"/>
      <c r="AD333" s="9"/>
    </row>
    <row r="334" ht="15.7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204"/>
      <c r="AA334" s="9"/>
      <c r="AB334" s="9"/>
      <c r="AC334" s="9"/>
      <c r="AD334" s="9"/>
    </row>
    <row r="335" ht="15.7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204"/>
      <c r="AA335" s="9"/>
      <c r="AB335" s="9"/>
      <c r="AC335" s="9"/>
      <c r="AD335" s="9"/>
    </row>
    <row r="336" ht="15.7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204"/>
      <c r="AA336" s="9"/>
      <c r="AB336" s="9"/>
      <c r="AC336" s="9"/>
      <c r="AD336" s="9"/>
    </row>
    <row r="337" ht="15.7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204"/>
      <c r="AA337" s="9"/>
      <c r="AB337" s="9"/>
      <c r="AC337" s="9"/>
      <c r="AD337" s="9"/>
    </row>
    <row r="338" ht="15.7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204"/>
      <c r="AA338" s="9"/>
      <c r="AB338" s="9"/>
      <c r="AC338" s="9"/>
      <c r="AD338" s="9"/>
    </row>
    <row r="339" ht="15.7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204"/>
      <c r="AA339" s="9"/>
      <c r="AB339" s="9"/>
      <c r="AC339" s="9"/>
      <c r="AD339" s="9"/>
    </row>
    <row r="340" ht="15.7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204"/>
      <c r="AA340" s="9"/>
      <c r="AB340" s="9"/>
      <c r="AC340" s="9"/>
      <c r="AD340" s="9"/>
    </row>
    <row r="341" ht="15.7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204"/>
      <c r="AA341" s="9"/>
      <c r="AB341" s="9"/>
      <c r="AC341" s="9"/>
      <c r="AD341" s="9"/>
    </row>
    <row r="342" ht="15.7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204"/>
      <c r="AA342" s="9"/>
      <c r="AB342" s="9"/>
      <c r="AC342" s="9"/>
      <c r="AD342" s="9"/>
    </row>
    <row r="343" ht="15.7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204"/>
      <c r="AA343" s="9"/>
      <c r="AB343" s="9"/>
      <c r="AC343" s="9"/>
      <c r="AD343" s="9"/>
    </row>
    <row r="344" ht="15.7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204"/>
      <c r="AA344" s="9"/>
      <c r="AB344" s="9"/>
      <c r="AC344" s="9"/>
      <c r="AD344" s="9"/>
    </row>
    <row r="345" ht="15.7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204"/>
      <c r="AA345" s="9"/>
      <c r="AB345" s="9"/>
      <c r="AC345" s="9"/>
      <c r="AD345" s="9"/>
    </row>
    <row r="346" ht="15.7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204"/>
      <c r="AA346" s="9"/>
      <c r="AB346" s="9"/>
      <c r="AC346" s="9"/>
      <c r="AD346" s="9"/>
    </row>
    <row r="347" ht="15.7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204"/>
      <c r="AA347" s="9"/>
      <c r="AB347" s="9"/>
      <c r="AC347" s="9"/>
      <c r="AD347" s="9"/>
    </row>
    <row r="348" ht="15.7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204"/>
      <c r="AA348" s="9"/>
      <c r="AB348" s="9"/>
      <c r="AC348" s="9"/>
      <c r="AD348" s="9"/>
    </row>
    <row r="349" ht="15.7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204"/>
      <c r="AA349" s="9"/>
      <c r="AB349" s="9"/>
      <c r="AC349" s="9"/>
      <c r="AD349" s="9"/>
    </row>
    <row r="350" ht="15.7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204"/>
      <c r="AA350" s="9"/>
      <c r="AB350" s="9"/>
      <c r="AC350" s="9"/>
      <c r="AD350" s="9"/>
    </row>
    <row r="351" ht="15.7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204"/>
      <c r="AA351" s="9"/>
      <c r="AB351" s="9"/>
      <c r="AC351" s="9"/>
      <c r="AD351" s="9"/>
    </row>
    <row r="352" ht="15.7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204"/>
      <c r="AA352" s="9"/>
      <c r="AB352" s="9"/>
      <c r="AC352" s="9"/>
      <c r="AD352" s="9"/>
    </row>
    <row r="353" ht="15.7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204"/>
      <c r="AA353" s="9"/>
      <c r="AB353" s="9"/>
      <c r="AC353" s="9"/>
      <c r="AD353" s="9"/>
    </row>
    <row r="354" ht="15.7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204"/>
      <c r="AA354" s="9"/>
      <c r="AB354" s="9"/>
      <c r="AC354" s="9"/>
      <c r="AD354" s="9"/>
    </row>
    <row r="355" ht="15.7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204"/>
      <c r="AA355" s="9"/>
      <c r="AB355" s="9"/>
      <c r="AC355" s="9"/>
      <c r="AD355" s="9"/>
    </row>
    <row r="356" ht="15.7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204"/>
      <c r="AA356" s="9"/>
      <c r="AB356" s="9"/>
      <c r="AC356" s="9"/>
      <c r="AD356" s="9"/>
    </row>
    <row r="357" ht="15.7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204"/>
      <c r="AA357" s="9"/>
      <c r="AB357" s="9"/>
      <c r="AC357" s="9"/>
      <c r="AD357" s="9"/>
    </row>
    <row r="358" ht="15.7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204"/>
      <c r="AA358" s="9"/>
      <c r="AB358" s="9"/>
      <c r="AC358" s="9"/>
      <c r="AD358" s="9"/>
    </row>
    <row r="359" ht="15.7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204"/>
      <c r="AA359" s="9"/>
      <c r="AB359" s="9"/>
      <c r="AC359" s="9"/>
      <c r="AD359" s="9"/>
    </row>
    <row r="360" ht="15.7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204"/>
      <c r="AA360" s="9"/>
      <c r="AB360" s="9"/>
      <c r="AC360" s="9"/>
      <c r="AD360" s="9"/>
    </row>
    <row r="361" ht="15.7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204"/>
      <c r="AA361" s="9"/>
      <c r="AB361" s="9"/>
      <c r="AC361" s="9"/>
      <c r="AD361" s="9"/>
    </row>
    <row r="362" ht="15.7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204"/>
      <c r="AA362" s="9"/>
      <c r="AB362" s="9"/>
      <c r="AC362" s="9"/>
      <c r="AD362" s="9"/>
    </row>
    <row r="363" ht="15.7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204"/>
      <c r="AA363" s="9"/>
      <c r="AB363" s="9"/>
      <c r="AC363" s="9"/>
      <c r="AD363" s="9"/>
    </row>
    <row r="364" ht="15.7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204"/>
      <c r="AA364" s="9"/>
      <c r="AB364" s="9"/>
      <c r="AC364" s="9"/>
      <c r="AD364" s="9"/>
    </row>
    <row r="365" ht="15.7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204"/>
      <c r="AA365" s="9"/>
      <c r="AB365" s="9"/>
      <c r="AC365" s="9"/>
      <c r="AD365" s="9"/>
    </row>
    <row r="366" ht="15.7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204"/>
      <c r="AA366" s="9"/>
      <c r="AB366" s="9"/>
      <c r="AC366" s="9"/>
      <c r="AD366" s="9"/>
    </row>
    <row r="367" ht="15.7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204"/>
      <c r="AA367" s="9"/>
      <c r="AB367" s="9"/>
      <c r="AC367" s="9"/>
      <c r="AD367" s="9"/>
    </row>
    <row r="368" ht="15.7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204"/>
      <c r="AA368" s="9"/>
      <c r="AB368" s="9"/>
      <c r="AC368" s="9"/>
      <c r="AD368" s="9"/>
    </row>
    <row r="369" ht="15.7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204"/>
      <c r="AA369" s="9"/>
      <c r="AB369" s="9"/>
      <c r="AC369" s="9"/>
      <c r="AD369" s="9"/>
    </row>
    <row r="370" ht="15.7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204"/>
      <c r="AA370" s="9"/>
      <c r="AB370" s="9"/>
      <c r="AC370" s="9"/>
      <c r="AD370" s="9"/>
    </row>
    <row r="371" ht="15.7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204"/>
      <c r="AA371" s="9"/>
      <c r="AB371" s="9"/>
      <c r="AC371" s="9"/>
      <c r="AD371" s="9"/>
    </row>
    <row r="372" ht="15.7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204"/>
      <c r="AA372" s="9"/>
      <c r="AB372" s="9"/>
      <c r="AC372" s="9"/>
      <c r="AD372" s="9"/>
    </row>
    <row r="373" ht="15.7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204"/>
      <c r="AA373" s="9"/>
      <c r="AB373" s="9"/>
      <c r="AC373" s="9"/>
      <c r="AD373" s="9"/>
    </row>
    <row r="374" ht="15.7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204"/>
      <c r="AA374" s="9"/>
      <c r="AB374" s="9"/>
      <c r="AC374" s="9"/>
      <c r="AD374" s="9"/>
    </row>
    <row r="375" ht="15.7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204"/>
      <c r="AA375" s="9"/>
      <c r="AB375" s="9"/>
      <c r="AC375" s="9"/>
      <c r="AD375" s="9"/>
    </row>
    <row r="376" ht="15.7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204"/>
      <c r="AA376" s="9"/>
      <c r="AB376" s="9"/>
      <c r="AC376" s="9"/>
      <c r="AD376" s="9"/>
    </row>
    <row r="377" ht="15.7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204"/>
      <c r="AA377" s="9"/>
      <c r="AB377" s="9"/>
      <c r="AC377" s="9"/>
      <c r="AD377" s="9"/>
    </row>
    <row r="378" ht="15.7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204"/>
      <c r="AA378" s="9"/>
      <c r="AB378" s="9"/>
      <c r="AC378" s="9"/>
      <c r="AD378" s="9"/>
    </row>
    <row r="379" ht="15.7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204"/>
      <c r="AA379" s="9"/>
      <c r="AB379" s="9"/>
      <c r="AC379" s="9"/>
      <c r="AD379" s="9"/>
    </row>
    <row r="380" ht="15.7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204"/>
      <c r="AA380" s="9"/>
      <c r="AB380" s="9"/>
      <c r="AC380" s="9"/>
      <c r="AD380" s="9"/>
    </row>
    <row r="381" ht="15.7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204"/>
      <c r="AA381" s="9"/>
      <c r="AB381" s="9"/>
      <c r="AC381" s="9"/>
      <c r="AD381" s="9"/>
    </row>
    <row r="382" ht="15.7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204"/>
      <c r="AA382" s="9"/>
      <c r="AB382" s="9"/>
      <c r="AC382" s="9"/>
      <c r="AD382" s="9"/>
    </row>
    <row r="383" ht="15.7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204"/>
      <c r="AA383" s="9"/>
      <c r="AB383" s="9"/>
      <c r="AC383" s="9"/>
      <c r="AD383" s="9"/>
    </row>
    <row r="384" ht="15.7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204"/>
      <c r="AA384" s="9"/>
      <c r="AB384" s="9"/>
      <c r="AC384" s="9"/>
      <c r="AD384" s="9"/>
    </row>
    <row r="385" ht="15.7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204"/>
      <c r="AA385" s="9"/>
      <c r="AB385" s="9"/>
      <c r="AC385" s="9"/>
      <c r="AD385" s="9"/>
    </row>
    <row r="386" ht="15.7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204"/>
      <c r="AA386" s="9"/>
      <c r="AB386" s="9"/>
      <c r="AC386" s="9"/>
      <c r="AD386" s="9"/>
    </row>
    <row r="387" ht="15.7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204"/>
      <c r="AA387" s="9"/>
      <c r="AB387" s="9"/>
      <c r="AC387" s="9"/>
      <c r="AD387" s="9"/>
    </row>
    <row r="388" ht="15.7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204"/>
      <c r="AA388" s="9"/>
      <c r="AB388" s="9"/>
      <c r="AC388" s="9"/>
      <c r="AD388" s="9"/>
    </row>
    <row r="389" ht="15.7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204"/>
      <c r="AA389" s="9"/>
      <c r="AB389" s="9"/>
      <c r="AC389" s="9"/>
      <c r="AD389" s="9"/>
    </row>
    <row r="390" ht="15.7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204"/>
      <c r="AA390" s="9"/>
      <c r="AB390" s="9"/>
      <c r="AC390" s="9"/>
      <c r="AD390" s="9"/>
    </row>
    <row r="391" ht="15.7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204"/>
      <c r="AA391" s="9"/>
      <c r="AB391" s="9"/>
      <c r="AC391" s="9"/>
      <c r="AD391" s="9"/>
    </row>
    <row r="392" ht="15.7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204"/>
      <c r="AA392" s="9"/>
      <c r="AB392" s="9"/>
      <c r="AC392" s="9"/>
      <c r="AD392" s="9"/>
    </row>
    <row r="393" ht="15.7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204"/>
      <c r="AA393" s="9"/>
      <c r="AB393" s="9"/>
      <c r="AC393" s="9"/>
      <c r="AD393" s="9"/>
    </row>
    <row r="394" ht="15.7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204"/>
      <c r="AA394" s="9"/>
      <c r="AB394" s="9"/>
      <c r="AC394" s="9"/>
      <c r="AD394" s="9"/>
    </row>
    <row r="395" ht="15.7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204"/>
      <c r="AA395" s="9"/>
      <c r="AB395" s="9"/>
      <c r="AC395" s="9"/>
      <c r="AD395" s="9"/>
    </row>
    <row r="396" ht="15.7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204"/>
      <c r="AA396" s="9"/>
      <c r="AB396" s="9"/>
      <c r="AC396" s="9"/>
      <c r="AD396" s="9"/>
    </row>
    <row r="397" ht="15.7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204"/>
      <c r="AA397" s="9"/>
      <c r="AB397" s="9"/>
      <c r="AC397" s="9"/>
      <c r="AD397" s="9"/>
    </row>
    <row r="398" ht="15.7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204"/>
      <c r="AA398" s="9"/>
      <c r="AB398" s="9"/>
      <c r="AC398" s="9"/>
      <c r="AD398" s="9"/>
    </row>
    <row r="399" ht="15.7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204"/>
      <c r="AA399" s="9"/>
      <c r="AB399" s="9"/>
      <c r="AC399" s="9"/>
      <c r="AD399" s="9"/>
    </row>
    <row r="400" ht="15.7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204"/>
      <c r="AA400" s="9"/>
      <c r="AB400" s="9"/>
      <c r="AC400" s="9"/>
      <c r="AD400" s="9"/>
    </row>
    <row r="401" ht="15.7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204"/>
      <c r="AA401" s="9"/>
      <c r="AB401" s="9"/>
      <c r="AC401" s="9"/>
      <c r="AD401" s="9"/>
    </row>
    <row r="402" ht="15.7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204"/>
      <c r="AA402" s="9"/>
      <c r="AB402" s="9"/>
      <c r="AC402" s="9"/>
      <c r="AD402" s="9"/>
    </row>
    <row r="403" ht="15.7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204"/>
      <c r="AA403" s="9"/>
      <c r="AB403" s="9"/>
      <c r="AC403" s="9"/>
      <c r="AD403" s="9"/>
    </row>
    <row r="404" ht="15.7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204"/>
      <c r="AA404" s="9"/>
      <c r="AB404" s="9"/>
      <c r="AC404" s="9"/>
      <c r="AD404" s="9"/>
    </row>
    <row r="405" ht="15.7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204"/>
      <c r="AA405" s="9"/>
      <c r="AB405" s="9"/>
      <c r="AC405" s="9"/>
      <c r="AD405" s="9"/>
    </row>
    <row r="406" ht="15.7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204"/>
      <c r="AA406" s="9"/>
      <c r="AB406" s="9"/>
      <c r="AC406" s="9"/>
      <c r="AD406" s="9"/>
    </row>
    <row r="407" ht="15.7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204"/>
      <c r="AA407" s="9"/>
      <c r="AB407" s="9"/>
      <c r="AC407" s="9"/>
      <c r="AD407" s="9"/>
    </row>
    <row r="408" ht="15.7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204"/>
      <c r="AA408" s="9"/>
      <c r="AB408" s="9"/>
      <c r="AC408" s="9"/>
      <c r="AD408" s="9"/>
    </row>
    <row r="409" ht="15.7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204"/>
      <c r="AA409" s="9"/>
      <c r="AB409" s="9"/>
      <c r="AC409" s="9"/>
      <c r="AD409" s="9"/>
    </row>
    <row r="410" ht="15.7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204"/>
      <c r="AA410" s="9"/>
      <c r="AB410" s="9"/>
      <c r="AC410" s="9"/>
      <c r="AD410" s="9"/>
    </row>
    <row r="411" ht="15.7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204"/>
      <c r="AA411" s="9"/>
      <c r="AB411" s="9"/>
      <c r="AC411" s="9"/>
      <c r="AD411" s="9"/>
    </row>
    <row r="412" ht="15.7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204"/>
      <c r="AA412" s="9"/>
      <c r="AB412" s="9"/>
      <c r="AC412" s="9"/>
      <c r="AD412" s="9"/>
    </row>
    <row r="413" ht="15.7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204"/>
      <c r="AA413" s="9"/>
      <c r="AB413" s="9"/>
      <c r="AC413" s="9"/>
      <c r="AD413" s="9"/>
    </row>
    <row r="414" ht="15.7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204"/>
      <c r="AA414" s="9"/>
      <c r="AB414" s="9"/>
      <c r="AC414" s="9"/>
      <c r="AD414" s="9"/>
    </row>
    <row r="415" ht="15.7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204"/>
      <c r="AA415" s="9"/>
      <c r="AB415" s="9"/>
      <c r="AC415" s="9"/>
      <c r="AD415" s="9"/>
    </row>
    <row r="416" ht="15.7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204"/>
      <c r="AA416" s="9"/>
      <c r="AB416" s="9"/>
      <c r="AC416" s="9"/>
      <c r="AD416" s="9"/>
    </row>
    <row r="417" ht="15.7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204"/>
      <c r="AA417" s="9"/>
      <c r="AB417" s="9"/>
      <c r="AC417" s="9"/>
      <c r="AD417" s="9"/>
    </row>
    <row r="418" ht="15.7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204"/>
      <c r="AA418" s="9"/>
      <c r="AB418" s="9"/>
      <c r="AC418" s="9"/>
      <c r="AD418" s="9"/>
    </row>
    <row r="419" ht="15.7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204"/>
      <c r="AA419" s="9"/>
      <c r="AB419" s="9"/>
      <c r="AC419" s="9"/>
      <c r="AD419" s="9"/>
    </row>
    <row r="420" ht="15.7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204"/>
      <c r="AA420" s="9"/>
      <c r="AB420" s="9"/>
      <c r="AC420" s="9"/>
      <c r="AD420" s="9"/>
    </row>
    <row r="421" ht="15.7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204"/>
      <c r="AA421" s="9"/>
      <c r="AB421" s="9"/>
      <c r="AC421" s="9"/>
      <c r="AD421" s="9"/>
    </row>
    <row r="422" ht="15.7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204"/>
      <c r="AA422" s="9"/>
      <c r="AB422" s="9"/>
      <c r="AC422" s="9"/>
      <c r="AD422" s="9"/>
    </row>
    <row r="423" ht="15.7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204"/>
      <c r="AA423" s="9"/>
      <c r="AB423" s="9"/>
      <c r="AC423" s="9"/>
      <c r="AD423" s="9"/>
    </row>
    <row r="424" ht="15.7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204"/>
      <c r="AA424" s="9"/>
      <c r="AB424" s="9"/>
      <c r="AC424" s="9"/>
      <c r="AD424" s="9"/>
    </row>
    <row r="425" ht="15.7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204"/>
      <c r="AA425" s="9"/>
      <c r="AB425" s="9"/>
      <c r="AC425" s="9"/>
      <c r="AD425" s="9"/>
    </row>
    <row r="426" ht="15.7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204"/>
      <c r="AA426" s="9"/>
      <c r="AB426" s="9"/>
      <c r="AC426" s="9"/>
      <c r="AD426" s="9"/>
    </row>
    <row r="427" ht="15.7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204"/>
      <c r="AA427" s="9"/>
      <c r="AB427" s="9"/>
      <c r="AC427" s="9"/>
      <c r="AD427" s="9"/>
    </row>
    <row r="428" ht="15.7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204"/>
      <c r="AA428" s="9"/>
      <c r="AB428" s="9"/>
      <c r="AC428" s="9"/>
      <c r="AD428" s="9"/>
    </row>
    <row r="429" ht="15.7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204"/>
      <c r="AA429" s="9"/>
      <c r="AB429" s="9"/>
      <c r="AC429" s="9"/>
      <c r="AD429" s="9"/>
    </row>
    <row r="430" ht="15.7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204"/>
      <c r="AA430" s="9"/>
      <c r="AB430" s="9"/>
      <c r="AC430" s="9"/>
      <c r="AD430" s="9"/>
    </row>
    <row r="431" ht="15.7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204"/>
      <c r="AA431" s="9"/>
      <c r="AB431" s="9"/>
      <c r="AC431" s="9"/>
      <c r="AD431" s="9"/>
    </row>
    <row r="432" ht="15.7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204"/>
      <c r="AA432" s="9"/>
      <c r="AB432" s="9"/>
      <c r="AC432" s="9"/>
      <c r="AD432" s="9"/>
    </row>
    <row r="433" ht="15.7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204"/>
      <c r="AA433" s="9"/>
      <c r="AB433" s="9"/>
      <c r="AC433" s="9"/>
      <c r="AD433" s="9"/>
    </row>
    <row r="434" ht="15.7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204"/>
      <c r="AA434" s="9"/>
      <c r="AB434" s="9"/>
      <c r="AC434" s="9"/>
      <c r="AD434" s="9"/>
    </row>
    <row r="435" ht="15.7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204"/>
      <c r="AA435" s="9"/>
      <c r="AB435" s="9"/>
      <c r="AC435" s="9"/>
      <c r="AD435" s="9"/>
    </row>
    <row r="436" ht="15.7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204"/>
      <c r="AA436" s="9"/>
      <c r="AB436" s="9"/>
      <c r="AC436" s="9"/>
      <c r="AD436" s="9"/>
    </row>
    <row r="437" ht="15.7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204"/>
      <c r="AA437" s="9"/>
      <c r="AB437" s="9"/>
      <c r="AC437" s="9"/>
      <c r="AD437" s="9"/>
    </row>
    <row r="438" ht="15.7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204"/>
      <c r="AA438" s="9"/>
      <c r="AB438" s="9"/>
      <c r="AC438" s="9"/>
      <c r="AD438" s="9"/>
    </row>
    <row r="439" ht="15.7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204"/>
      <c r="AA439" s="9"/>
      <c r="AB439" s="9"/>
      <c r="AC439" s="9"/>
      <c r="AD439" s="9"/>
    </row>
    <row r="440" ht="15.7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204"/>
      <c r="AA440" s="9"/>
      <c r="AB440" s="9"/>
      <c r="AC440" s="9"/>
      <c r="AD440" s="9"/>
    </row>
    <row r="441" ht="15.7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204"/>
      <c r="AA441" s="9"/>
      <c r="AB441" s="9"/>
      <c r="AC441" s="9"/>
      <c r="AD441" s="9"/>
    </row>
    <row r="442" ht="15.7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204"/>
      <c r="AA442" s="9"/>
      <c r="AB442" s="9"/>
      <c r="AC442" s="9"/>
      <c r="AD442" s="9"/>
    </row>
    <row r="443" ht="15.7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204"/>
      <c r="AA443" s="9"/>
      <c r="AB443" s="9"/>
      <c r="AC443" s="9"/>
      <c r="AD443" s="9"/>
    </row>
    <row r="444" ht="15.7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204"/>
      <c r="AA444" s="9"/>
      <c r="AB444" s="9"/>
      <c r="AC444" s="9"/>
      <c r="AD444" s="9"/>
    </row>
    <row r="445" ht="15.7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204"/>
      <c r="AA445" s="9"/>
      <c r="AB445" s="9"/>
      <c r="AC445" s="9"/>
      <c r="AD445" s="9"/>
    </row>
    <row r="446" ht="15.7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204"/>
      <c r="AA446" s="9"/>
      <c r="AB446" s="9"/>
      <c r="AC446" s="9"/>
      <c r="AD446" s="9"/>
    </row>
    <row r="447" ht="15.7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204"/>
      <c r="AA447" s="9"/>
      <c r="AB447" s="9"/>
      <c r="AC447" s="9"/>
      <c r="AD447" s="9"/>
    </row>
    <row r="448" ht="15.7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204"/>
      <c r="AA448" s="9"/>
      <c r="AB448" s="9"/>
      <c r="AC448" s="9"/>
      <c r="AD448" s="9"/>
    </row>
    <row r="449" ht="15.7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204"/>
      <c r="AA449" s="9"/>
      <c r="AB449" s="9"/>
      <c r="AC449" s="9"/>
      <c r="AD449" s="9"/>
    </row>
    <row r="450" ht="15.7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204"/>
      <c r="AA450" s="9"/>
      <c r="AB450" s="9"/>
      <c r="AC450" s="9"/>
      <c r="AD450" s="9"/>
    </row>
    <row r="451" ht="15.7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204"/>
      <c r="AA451" s="9"/>
      <c r="AB451" s="9"/>
      <c r="AC451" s="9"/>
      <c r="AD451" s="9"/>
    </row>
    <row r="452" ht="15.7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204"/>
      <c r="AA452" s="9"/>
      <c r="AB452" s="9"/>
      <c r="AC452" s="9"/>
      <c r="AD452" s="9"/>
    </row>
    <row r="453" ht="15.7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204"/>
      <c r="AA453" s="9"/>
      <c r="AB453" s="9"/>
      <c r="AC453" s="9"/>
      <c r="AD453" s="9"/>
    </row>
    <row r="454" ht="15.7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204"/>
      <c r="AA454" s="9"/>
      <c r="AB454" s="9"/>
      <c r="AC454" s="9"/>
      <c r="AD454" s="9"/>
    </row>
    <row r="455" ht="15.7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204"/>
      <c r="AA455" s="9"/>
      <c r="AB455" s="9"/>
      <c r="AC455" s="9"/>
      <c r="AD455" s="9"/>
    </row>
    <row r="456" ht="15.7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204"/>
      <c r="AA456" s="9"/>
      <c r="AB456" s="9"/>
      <c r="AC456" s="9"/>
      <c r="AD456" s="9"/>
    </row>
    <row r="457" ht="15.7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204"/>
      <c r="AA457" s="9"/>
      <c r="AB457" s="9"/>
      <c r="AC457" s="9"/>
      <c r="AD457" s="9"/>
    </row>
    <row r="458" ht="15.7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204"/>
      <c r="AA458" s="9"/>
      <c r="AB458" s="9"/>
      <c r="AC458" s="9"/>
      <c r="AD458" s="9"/>
    </row>
    <row r="459" ht="15.7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204"/>
      <c r="AA459" s="9"/>
      <c r="AB459" s="9"/>
      <c r="AC459" s="9"/>
      <c r="AD459" s="9"/>
    </row>
    <row r="460" ht="15.7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204"/>
      <c r="AA460" s="9"/>
      <c r="AB460" s="9"/>
      <c r="AC460" s="9"/>
      <c r="AD460" s="9"/>
    </row>
    <row r="461" ht="15.7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204"/>
      <c r="AA461" s="9"/>
      <c r="AB461" s="9"/>
      <c r="AC461" s="9"/>
      <c r="AD461" s="9"/>
    </row>
    <row r="462" ht="15.7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204"/>
      <c r="AA462" s="9"/>
      <c r="AB462" s="9"/>
      <c r="AC462" s="9"/>
      <c r="AD462" s="9"/>
    </row>
    <row r="463" ht="15.7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204"/>
      <c r="AA463" s="9"/>
      <c r="AB463" s="9"/>
      <c r="AC463" s="9"/>
      <c r="AD463" s="9"/>
    </row>
    <row r="464" ht="15.7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204"/>
      <c r="AA464" s="9"/>
      <c r="AB464" s="9"/>
      <c r="AC464" s="9"/>
      <c r="AD464" s="9"/>
    </row>
    <row r="465" ht="15.7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204"/>
      <c r="AA465" s="9"/>
      <c r="AB465" s="9"/>
      <c r="AC465" s="9"/>
      <c r="AD465" s="9"/>
    </row>
    <row r="466" ht="15.7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204"/>
      <c r="AA466" s="9"/>
      <c r="AB466" s="9"/>
      <c r="AC466" s="9"/>
      <c r="AD466" s="9"/>
    </row>
    <row r="467" ht="15.7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204"/>
      <c r="AA467" s="9"/>
      <c r="AB467" s="9"/>
      <c r="AC467" s="9"/>
      <c r="AD467" s="9"/>
    </row>
    <row r="468" ht="15.7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204"/>
      <c r="AA468" s="9"/>
      <c r="AB468" s="9"/>
      <c r="AC468" s="9"/>
      <c r="AD468" s="9"/>
    </row>
    <row r="469" ht="15.7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204"/>
      <c r="AA469" s="9"/>
      <c r="AB469" s="9"/>
      <c r="AC469" s="9"/>
      <c r="AD469" s="9"/>
    </row>
    <row r="470" ht="15.7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204"/>
      <c r="AA470" s="9"/>
      <c r="AB470" s="9"/>
      <c r="AC470" s="9"/>
      <c r="AD470" s="9"/>
    </row>
    <row r="471" ht="15.7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204"/>
      <c r="AA471" s="9"/>
      <c r="AB471" s="9"/>
      <c r="AC471" s="9"/>
      <c r="AD471" s="9"/>
    </row>
    <row r="472" ht="15.7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204"/>
      <c r="AA472" s="9"/>
      <c r="AB472" s="9"/>
      <c r="AC472" s="9"/>
      <c r="AD472" s="9"/>
    </row>
    <row r="473" ht="15.7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204"/>
      <c r="AA473" s="9"/>
      <c r="AB473" s="9"/>
      <c r="AC473" s="9"/>
      <c r="AD473" s="9"/>
    </row>
    <row r="474" ht="15.7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204"/>
      <c r="AA474" s="9"/>
      <c r="AB474" s="9"/>
      <c r="AC474" s="9"/>
      <c r="AD474" s="9"/>
    </row>
    <row r="475" ht="15.7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204"/>
      <c r="AA475" s="9"/>
      <c r="AB475" s="9"/>
      <c r="AC475" s="9"/>
      <c r="AD475" s="9"/>
    </row>
    <row r="476" ht="15.7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204"/>
      <c r="AA476" s="9"/>
      <c r="AB476" s="9"/>
      <c r="AC476" s="9"/>
      <c r="AD476" s="9"/>
    </row>
    <row r="477" ht="15.7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204"/>
      <c r="AA477" s="9"/>
      <c r="AB477" s="9"/>
      <c r="AC477" s="9"/>
      <c r="AD477" s="9"/>
    </row>
    <row r="478" ht="15.7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204"/>
      <c r="AA478" s="9"/>
      <c r="AB478" s="9"/>
      <c r="AC478" s="9"/>
      <c r="AD478" s="9"/>
    </row>
    <row r="479"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204"/>
      <c r="AA479" s="9"/>
      <c r="AB479" s="9"/>
      <c r="AC479" s="9"/>
      <c r="AD479" s="9"/>
    </row>
    <row r="480"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204"/>
      <c r="AA480" s="9"/>
      <c r="AB480" s="9"/>
      <c r="AC480" s="9"/>
      <c r="AD480" s="9"/>
    </row>
    <row r="481"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204"/>
      <c r="AA481" s="9"/>
      <c r="AB481" s="9"/>
      <c r="AC481" s="9"/>
      <c r="AD481" s="9"/>
    </row>
    <row r="482"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204"/>
      <c r="AA482" s="9"/>
      <c r="AB482" s="9"/>
      <c r="AC482" s="9"/>
      <c r="AD482" s="9"/>
    </row>
    <row r="483"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204"/>
      <c r="AA483" s="9"/>
      <c r="AB483" s="9"/>
      <c r="AC483" s="9"/>
      <c r="AD483" s="9"/>
    </row>
    <row r="484"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204"/>
      <c r="AA484" s="9"/>
      <c r="AB484" s="9"/>
      <c r="AC484" s="9"/>
      <c r="AD484" s="9"/>
    </row>
    <row r="485"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204"/>
      <c r="AA485" s="9"/>
      <c r="AB485" s="9"/>
      <c r="AC485" s="9"/>
      <c r="AD485" s="9"/>
    </row>
    <row r="486"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204"/>
      <c r="AA486" s="9"/>
      <c r="AB486" s="9"/>
      <c r="AC486" s="9"/>
      <c r="AD486" s="9"/>
    </row>
    <row r="487"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204"/>
      <c r="AA487" s="9"/>
      <c r="AB487" s="9"/>
      <c r="AC487" s="9"/>
      <c r="AD487" s="9"/>
    </row>
    <row r="488"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204"/>
      <c r="AA488" s="9"/>
      <c r="AB488" s="9"/>
      <c r="AC488" s="9"/>
      <c r="AD488" s="9"/>
    </row>
    <row r="489"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204"/>
      <c r="AA489" s="9"/>
      <c r="AB489" s="9"/>
      <c r="AC489" s="9"/>
      <c r="AD489" s="9"/>
    </row>
    <row r="490"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204"/>
      <c r="AA490" s="9"/>
      <c r="AB490" s="9"/>
      <c r="AC490" s="9"/>
      <c r="AD490" s="9"/>
    </row>
    <row r="491"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204"/>
      <c r="AA491" s="9"/>
      <c r="AB491" s="9"/>
      <c r="AC491" s="9"/>
      <c r="AD491" s="9"/>
    </row>
    <row r="492"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204"/>
      <c r="AA492" s="9"/>
      <c r="AB492" s="9"/>
      <c r="AC492" s="9"/>
      <c r="AD492" s="9"/>
    </row>
    <row r="493"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204"/>
      <c r="AA493" s="9"/>
      <c r="AB493" s="9"/>
      <c r="AC493" s="9"/>
      <c r="AD493" s="9"/>
    </row>
    <row r="494"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204"/>
      <c r="AA494" s="9"/>
      <c r="AB494" s="9"/>
      <c r="AC494" s="9"/>
      <c r="AD494" s="9"/>
    </row>
    <row r="495"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204"/>
      <c r="AA495" s="9"/>
      <c r="AB495" s="9"/>
      <c r="AC495" s="9"/>
      <c r="AD495" s="9"/>
    </row>
    <row r="496"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204"/>
      <c r="AA496" s="9"/>
      <c r="AB496" s="9"/>
      <c r="AC496" s="9"/>
      <c r="AD496" s="9"/>
    </row>
    <row r="497"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204"/>
      <c r="AA497" s="9"/>
      <c r="AB497" s="9"/>
      <c r="AC497" s="9"/>
      <c r="AD497" s="9"/>
    </row>
    <row r="498"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204"/>
      <c r="AA498" s="9"/>
      <c r="AB498" s="9"/>
      <c r="AC498" s="9"/>
      <c r="AD498" s="9"/>
    </row>
    <row r="499"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204"/>
      <c r="AA499" s="9"/>
      <c r="AB499" s="9"/>
      <c r="AC499" s="9"/>
      <c r="AD499" s="9"/>
    </row>
    <row r="500"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204"/>
      <c r="AA500" s="9"/>
      <c r="AB500" s="9"/>
      <c r="AC500" s="9"/>
      <c r="AD500" s="9"/>
    </row>
    <row r="501"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204"/>
      <c r="AA501" s="9"/>
      <c r="AB501" s="9"/>
      <c r="AC501" s="9"/>
      <c r="AD501" s="9"/>
    </row>
    <row r="502"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204"/>
      <c r="AA502" s="9"/>
      <c r="AB502" s="9"/>
      <c r="AC502" s="9"/>
      <c r="AD502" s="9"/>
    </row>
    <row r="503"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204"/>
      <c r="AA503" s="9"/>
      <c r="AB503" s="9"/>
      <c r="AC503" s="9"/>
      <c r="AD503" s="9"/>
    </row>
    <row r="504"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204"/>
      <c r="AA504" s="9"/>
      <c r="AB504" s="9"/>
      <c r="AC504" s="9"/>
      <c r="AD504" s="9"/>
    </row>
    <row r="505"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204"/>
      <c r="AA505" s="9"/>
      <c r="AB505" s="9"/>
      <c r="AC505" s="9"/>
      <c r="AD505" s="9"/>
    </row>
    <row r="506"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204"/>
      <c r="AA506" s="9"/>
      <c r="AB506" s="9"/>
      <c r="AC506" s="9"/>
      <c r="AD506" s="9"/>
    </row>
    <row r="507"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204"/>
      <c r="AA507" s="9"/>
      <c r="AB507" s="9"/>
      <c r="AC507" s="9"/>
      <c r="AD507" s="9"/>
    </row>
    <row r="508"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204"/>
      <c r="AA508" s="9"/>
      <c r="AB508" s="9"/>
      <c r="AC508" s="9"/>
      <c r="AD508" s="9"/>
    </row>
    <row r="509"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204"/>
      <c r="AA509" s="9"/>
      <c r="AB509" s="9"/>
      <c r="AC509" s="9"/>
      <c r="AD509" s="9"/>
    </row>
    <row r="510"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204"/>
      <c r="AA510" s="9"/>
      <c r="AB510" s="9"/>
      <c r="AC510" s="9"/>
      <c r="AD510" s="9"/>
    </row>
    <row r="511"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204"/>
      <c r="AA511" s="9"/>
      <c r="AB511" s="9"/>
      <c r="AC511" s="9"/>
      <c r="AD511" s="9"/>
    </row>
    <row r="512"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204"/>
      <c r="AA512" s="9"/>
      <c r="AB512" s="9"/>
      <c r="AC512" s="9"/>
      <c r="AD512" s="9"/>
    </row>
    <row r="513"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204"/>
      <c r="AA513" s="9"/>
      <c r="AB513" s="9"/>
      <c r="AC513" s="9"/>
      <c r="AD513" s="9"/>
    </row>
    <row r="514"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204"/>
      <c r="AA514" s="9"/>
      <c r="AB514" s="9"/>
      <c r="AC514" s="9"/>
      <c r="AD514" s="9"/>
    </row>
    <row r="515"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204"/>
      <c r="AA515" s="9"/>
      <c r="AB515" s="9"/>
      <c r="AC515" s="9"/>
      <c r="AD515" s="9"/>
    </row>
    <row r="516"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204"/>
      <c r="AA516" s="9"/>
      <c r="AB516" s="9"/>
      <c r="AC516" s="9"/>
      <c r="AD516" s="9"/>
    </row>
    <row r="517"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204"/>
      <c r="AA517" s="9"/>
      <c r="AB517" s="9"/>
      <c r="AC517" s="9"/>
      <c r="AD517" s="9"/>
    </row>
    <row r="518"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204"/>
      <c r="AA518" s="9"/>
      <c r="AB518" s="9"/>
      <c r="AC518" s="9"/>
      <c r="AD518" s="9"/>
    </row>
    <row r="519"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204"/>
      <c r="AA519" s="9"/>
      <c r="AB519" s="9"/>
      <c r="AC519" s="9"/>
      <c r="AD519" s="9"/>
    </row>
    <row r="520"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204"/>
      <c r="AA520" s="9"/>
      <c r="AB520" s="9"/>
      <c r="AC520" s="9"/>
      <c r="AD520" s="9"/>
    </row>
    <row r="521"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204"/>
      <c r="AA521" s="9"/>
      <c r="AB521" s="9"/>
      <c r="AC521" s="9"/>
      <c r="AD521" s="9"/>
    </row>
    <row r="522"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204"/>
      <c r="AA522" s="9"/>
      <c r="AB522" s="9"/>
      <c r="AC522" s="9"/>
      <c r="AD522" s="9"/>
    </row>
    <row r="523"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204"/>
      <c r="AA523" s="9"/>
      <c r="AB523" s="9"/>
      <c r="AC523" s="9"/>
      <c r="AD523" s="9"/>
    </row>
    <row r="524"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204"/>
      <c r="AA524" s="9"/>
      <c r="AB524" s="9"/>
      <c r="AC524" s="9"/>
      <c r="AD524" s="9"/>
    </row>
    <row r="525"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204"/>
      <c r="AA525" s="9"/>
      <c r="AB525" s="9"/>
      <c r="AC525" s="9"/>
      <c r="AD525" s="9"/>
    </row>
    <row r="526"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204"/>
      <c r="AA526" s="9"/>
      <c r="AB526" s="9"/>
      <c r="AC526" s="9"/>
      <c r="AD526" s="9"/>
    </row>
    <row r="527"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204"/>
      <c r="AA527" s="9"/>
      <c r="AB527" s="9"/>
      <c r="AC527" s="9"/>
      <c r="AD527" s="9"/>
    </row>
    <row r="528"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204"/>
      <c r="AA528" s="9"/>
      <c r="AB528" s="9"/>
      <c r="AC528" s="9"/>
      <c r="AD528" s="9"/>
    </row>
    <row r="529"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204"/>
      <c r="AA529" s="9"/>
      <c r="AB529" s="9"/>
      <c r="AC529" s="9"/>
      <c r="AD529" s="9"/>
    </row>
    <row r="530"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204"/>
      <c r="AA530" s="9"/>
      <c r="AB530" s="9"/>
      <c r="AC530" s="9"/>
      <c r="AD530" s="9"/>
    </row>
    <row r="531"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204"/>
      <c r="AA531" s="9"/>
      <c r="AB531" s="9"/>
      <c r="AC531" s="9"/>
      <c r="AD531" s="9"/>
    </row>
    <row r="532"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204"/>
      <c r="AA532" s="9"/>
      <c r="AB532" s="9"/>
      <c r="AC532" s="9"/>
      <c r="AD532" s="9"/>
    </row>
    <row r="533"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204"/>
      <c r="AA533" s="9"/>
      <c r="AB533" s="9"/>
      <c r="AC533" s="9"/>
      <c r="AD533" s="9"/>
    </row>
    <row r="534"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204"/>
      <c r="AA534" s="9"/>
      <c r="AB534" s="9"/>
      <c r="AC534" s="9"/>
      <c r="AD534" s="9"/>
    </row>
    <row r="535"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204"/>
      <c r="AA535" s="9"/>
      <c r="AB535" s="9"/>
      <c r="AC535" s="9"/>
      <c r="AD535" s="9"/>
    </row>
    <row r="536"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204"/>
      <c r="AA536" s="9"/>
      <c r="AB536" s="9"/>
      <c r="AC536" s="9"/>
      <c r="AD536" s="9"/>
    </row>
    <row r="537"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204"/>
      <c r="AA537" s="9"/>
      <c r="AB537" s="9"/>
      <c r="AC537" s="9"/>
      <c r="AD537" s="9"/>
    </row>
    <row r="538"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204"/>
      <c r="AA538" s="9"/>
      <c r="AB538" s="9"/>
      <c r="AC538" s="9"/>
      <c r="AD538" s="9"/>
    </row>
    <row r="539"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204"/>
      <c r="AA539" s="9"/>
      <c r="AB539" s="9"/>
      <c r="AC539" s="9"/>
      <c r="AD539" s="9"/>
    </row>
    <row r="540"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204"/>
      <c r="AA540" s="9"/>
      <c r="AB540" s="9"/>
      <c r="AC540" s="9"/>
      <c r="AD540" s="9"/>
    </row>
    <row r="541"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204"/>
      <c r="AA541" s="9"/>
      <c r="AB541" s="9"/>
      <c r="AC541" s="9"/>
      <c r="AD541" s="9"/>
    </row>
    <row r="542"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204"/>
      <c r="AA542" s="9"/>
      <c r="AB542" s="9"/>
      <c r="AC542" s="9"/>
      <c r="AD542" s="9"/>
    </row>
    <row r="543"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204"/>
      <c r="AA543" s="9"/>
      <c r="AB543" s="9"/>
      <c r="AC543" s="9"/>
      <c r="AD543" s="9"/>
    </row>
    <row r="544"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204"/>
      <c r="AA544" s="9"/>
      <c r="AB544" s="9"/>
      <c r="AC544" s="9"/>
      <c r="AD544" s="9"/>
    </row>
    <row r="545"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204"/>
      <c r="AA545" s="9"/>
      <c r="AB545" s="9"/>
      <c r="AC545" s="9"/>
      <c r="AD545" s="9"/>
    </row>
    <row r="546"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204"/>
      <c r="AA546" s="9"/>
      <c r="AB546" s="9"/>
      <c r="AC546" s="9"/>
      <c r="AD546" s="9"/>
    </row>
    <row r="547"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204"/>
      <c r="AA547" s="9"/>
      <c r="AB547" s="9"/>
      <c r="AC547" s="9"/>
      <c r="AD547" s="9"/>
    </row>
    <row r="548"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204"/>
      <c r="AA548" s="9"/>
      <c r="AB548" s="9"/>
      <c r="AC548" s="9"/>
      <c r="AD548" s="9"/>
    </row>
    <row r="549"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204"/>
      <c r="AA549" s="9"/>
      <c r="AB549" s="9"/>
      <c r="AC549" s="9"/>
      <c r="AD549" s="9"/>
    </row>
    <row r="550"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204"/>
      <c r="AA550" s="9"/>
      <c r="AB550" s="9"/>
      <c r="AC550" s="9"/>
      <c r="AD550" s="9"/>
    </row>
    <row r="551"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204"/>
      <c r="AA551" s="9"/>
      <c r="AB551" s="9"/>
      <c r="AC551" s="9"/>
      <c r="AD551" s="9"/>
    </row>
    <row r="552"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204"/>
      <c r="AA552" s="9"/>
      <c r="AB552" s="9"/>
      <c r="AC552" s="9"/>
      <c r="AD552" s="9"/>
    </row>
    <row r="553"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204"/>
      <c r="AA553" s="9"/>
      <c r="AB553" s="9"/>
      <c r="AC553" s="9"/>
      <c r="AD553" s="9"/>
    </row>
    <row r="554"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204"/>
      <c r="AA554" s="9"/>
      <c r="AB554" s="9"/>
      <c r="AC554" s="9"/>
      <c r="AD554" s="9"/>
    </row>
    <row r="555"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204"/>
      <c r="AA555" s="9"/>
      <c r="AB555" s="9"/>
      <c r="AC555" s="9"/>
      <c r="AD555" s="9"/>
    </row>
    <row r="556"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204"/>
      <c r="AA556" s="9"/>
      <c r="AB556" s="9"/>
      <c r="AC556" s="9"/>
      <c r="AD556" s="9"/>
    </row>
    <row r="557"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204"/>
      <c r="AA557" s="9"/>
      <c r="AB557" s="9"/>
      <c r="AC557" s="9"/>
      <c r="AD557" s="9"/>
    </row>
    <row r="558"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204"/>
      <c r="AA558" s="9"/>
      <c r="AB558" s="9"/>
      <c r="AC558" s="9"/>
      <c r="AD558" s="9"/>
    </row>
    <row r="559"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204"/>
      <c r="AA559" s="9"/>
      <c r="AB559" s="9"/>
      <c r="AC559" s="9"/>
      <c r="AD559" s="9"/>
    </row>
    <row r="560"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204"/>
      <c r="AA560" s="9"/>
      <c r="AB560" s="9"/>
      <c r="AC560" s="9"/>
      <c r="AD560" s="9"/>
    </row>
    <row r="561"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204"/>
      <c r="AA561" s="9"/>
      <c r="AB561" s="9"/>
      <c r="AC561" s="9"/>
      <c r="AD561" s="9"/>
    </row>
    <row r="562"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204"/>
      <c r="AA562" s="9"/>
      <c r="AB562" s="9"/>
      <c r="AC562" s="9"/>
      <c r="AD562" s="9"/>
    </row>
    <row r="563"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204"/>
      <c r="AA563" s="9"/>
      <c r="AB563" s="9"/>
      <c r="AC563" s="9"/>
      <c r="AD563" s="9"/>
    </row>
    <row r="564"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204"/>
      <c r="AA564" s="9"/>
      <c r="AB564" s="9"/>
      <c r="AC564" s="9"/>
      <c r="AD564" s="9"/>
    </row>
    <row r="565"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204"/>
      <c r="AA565" s="9"/>
      <c r="AB565" s="9"/>
      <c r="AC565" s="9"/>
      <c r="AD565" s="9"/>
    </row>
    <row r="566"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204"/>
      <c r="AA566" s="9"/>
      <c r="AB566" s="9"/>
      <c r="AC566" s="9"/>
      <c r="AD566" s="9"/>
    </row>
    <row r="567"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204"/>
      <c r="AA567" s="9"/>
      <c r="AB567" s="9"/>
      <c r="AC567" s="9"/>
      <c r="AD567" s="9"/>
    </row>
    <row r="568"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204"/>
      <c r="AA568" s="9"/>
      <c r="AB568" s="9"/>
      <c r="AC568" s="9"/>
      <c r="AD568" s="9"/>
    </row>
    <row r="569"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204"/>
      <c r="AA569" s="9"/>
      <c r="AB569" s="9"/>
      <c r="AC569" s="9"/>
      <c r="AD569" s="9"/>
    </row>
    <row r="570"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204"/>
      <c r="AA570" s="9"/>
      <c r="AB570" s="9"/>
      <c r="AC570" s="9"/>
      <c r="AD570" s="9"/>
    </row>
    <row r="571"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204"/>
      <c r="AA571" s="9"/>
      <c r="AB571" s="9"/>
      <c r="AC571" s="9"/>
      <c r="AD571" s="9"/>
    </row>
    <row r="572"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204"/>
      <c r="AA572" s="9"/>
      <c r="AB572" s="9"/>
      <c r="AC572" s="9"/>
      <c r="AD572" s="9"/>
    </row>
    <row r="573"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204"/>
      <c r="AA573" s="9"/>
      <c r="AB573" s="9"/>
      <c r="AC573" s="9"/>
      <c r="AD573" s="9"/>
    </row>
    <row r="574"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204"/>
      <c r="AA574" s="9"/>
      <c r="AB574" s="9"/>
      <c r="AC574" s="9"/>
      <c r="AD574" s="9"/>
    </row>
    <row r="575"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204"/>
      <c r="AA575" s="9"/>
      <c r="AB575" s="9"/>
      <c r="AC575" s="9"/>
      <c r="AD575" s="9"/>
    </row>
    <row r="576"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204"/>
      <c r="AA576" s="9"/>
      <c r="AB576" s="9"/>
      <c r="AC576" s="9"/>
      <c r="AD576" s="9"/>
    </row>
    <row r="577"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204"/>
      <c r="AA577" s="9"/>
      <c r="AB577" s="9"/>
      <c r="AC577" s="9"/>
      <c r="AD577" s="9"/>
    </row>
    <row r="578"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204"/>
      <c r="AA578" s="9"/>
      <c r="AB578" s="9"/>
      <c r="AC578" s="9"/>
      <c r="AD578" s="9"/>
    </row>
    <row r="579"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204"/>
      <c r="AA579" s="9"/>
      <c r="AB579" s="9"/>
      <c r="AC579" s="9"/>
      <c r="AD579" s="9"/>
    </row>
    <row r="580"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204"/>
      <c r="AA580" s="9"/>
      <c r="AB580" s="9"/>
      <c r="AC580" s="9"/>
      <c r="AD580" s="9"/>
    </row>
    <row r="581"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204"/>
      <c r="AA581" s="9"/>
      <c r="AB581" s="9"/>
      <c r="AC581" s="9"/>
      <c r="AD581" s="9"/>
    </row>
    <row r="582"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204"/>
      <c r="AA582" s="9"/>
      <c r="AB582" s="9"/>
      <c r="AC582" s="9"/>
      <c r="AD582" s="9"/>
    </row>
    <row r="583"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204"/>
      <c r="AA583" s="9"/>
      <c r="AB583" s="9"/>
      <c r="AC583" s="9"/>
      <c r="AD583" s="9"/>
    </row>
    <row r="584"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204"/>
      <c r="AA584" s="9"/>
      <c r="AB584" s="9"/>
      <c r="AC584" s="9"/>
      <c r="AD584" s="9"/>
    </row>
    <row r="585"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204"/>
      <c r="AA585" s="9"/>
      <c r="AB585" s="9"/>
      <c r="AC585" s="9"/>
      <c r="AD585" s="9"/>
    </row>
    <row r="586"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204"/>
      <c r="AA586" s="9"/>
      <c r="AB586" s="9"/>
      <c r="AC586" s="9"/>
      <c r="AD586" s="9"/>
    </row>
    <row r="587"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204"/>
      <c r="AA587" s="9"/>
      <c r="AB587" s="9"/>
      <c r="AC587" s="9"/>
      <c r="AD587" s="9"/>
    </row>
    <row r="588"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204"/>
      <c r="AA588" s="9"/>
      <c r="AB588" s="9"/>
      <c r="AC588" s="9"/>
      <c r="AD588" s="9"/>
    </row>
    <row r="589"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204"/>
      <c r="AA589" s="9"/>
      <c r="AB589" s="9"/>
      <c r="AC589" s="9"/>
      <c r="AD589" s="9"/>
    </row>
    <row r="590"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204"/>
      <c r="AA590" s="9"/>
      <c r="AB590" s="9"/>
      <c r="AC590" s="9"/>
      <c r="AD590" s="9"/>
    </row>
    <row r="591"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204"/>
      <c r="AA591" s="9"/>
      <c r="AB591" s="9"/>
      <c r="AC591" s="9"/>
      <c r="AD591" s="9"/>
    </row>
    <row r="592"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204"/>
      <c r="AA592" s="9"/>
      <c r="AB592" s="9"/>
      <c r="AC592" s="9"/>
      <c r="AD592" s="9"/>
    </row>
    <row r="593"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204"/>
      <c r="AA593" s="9"/>
      <c r="AB593" s="9"/>
      <c r="AC593" s="9"/>
      <c r="AD593" s="9"/>
    </row>
    <row r="594"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204"/>
      <c r="AA594" s="9"/>
      <c r="AB594" s="9"/>
      <c r="AC594" s="9"/>
      <c r="AD594" s="9"/>
    </row>
    <row r="595"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204"/>
      <c r="AA595" s="9"/>
      <c r="AB595" s="9"/>
      <c r="AC595" s="9"/>
      <c r="AD595" s="9"/>
    </row>
    <row r="596"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204"/>
      <c r="AA596" s="9"/>
      <c r="AB596" s="9"/>
      <c r="AC596" s="9"/>
      <c r="AD596" s="9"/>
    </row>
    <row r="597"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204"/>
      <c r="AA597" s="9"/>
      <c r="AB597" s="9"/>
      <c r="AC597" s="9"/>
      <c r="AD597" s="9"/>
    </row>
    <row r="598"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204"/>
      <c r="AA598" s="9"/>
      <c r="AB598" s="9"/>
      <c r="AC598" s="9"/>
      <c r="AD598" s="9"/>
    </row>
    <row r="599"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204"/>
      <c r="AA599" s="9"/>
      <c r="AB599" s="9"/>
      <c r="AC599" s="9"/>
      <c r="AD599" s="9"/>
    </row>
    <row r="600"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204"/>
      <c r="AA600" s="9"/>
      <c r="AB600" s="9"/>
      <c r="AC600" s="9"/>
      <c r="AD600" s="9"/>
    </row>
    <row r="601"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204"/>
      <c r="AA601" s="9"/>
      <c r="AB601" s="9"/>
      <c r="AC601" s="9"/>
      <c r="AD601" s="9"/>
    </row>
    <row r="602"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204"/>
      <c r="AA602" s="9"/>
      <c r="AB602" s="9"/>
      <c r="AC602" s="9"/>
      <c r="AD602" s="9"/>
    </row>
    <row r="603"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204"/>
      <c r="AA603" s="9"/>
      <c r="AB603" s="9"/>
      <c r="AC603" s="9"/>
      <c r="AD603" s="9"/>
    </row>
    <row r="604"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204"/>
      <c r="AA604" s="9"/>
      <c r="AB604" s="9"/>
      <c r="AC604" s="9"/>
      <c r="AD604" s="9"/>
    </row>
    <row r="605"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204"/>
      <c r="AA605" s="9"/>
      <c r="AB605" s="9"/>
      <c r="AC605" s="9"/>
      <c r="AD605" s="9"/>
    </row>
    <row r="606"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204"/>
      <c r="AA606" s="9"/>
      <c r="AB606" s="9"/>
      <c r="AC606" s="9"/>
      <c r="AD606" s="9"/>
    </row>
    <row r="607"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204"/>
      <c r="AA607" s="9"/>
      <c r="AB607" s="9"/>
      <c r="AC607" s="9"/>
      <c r="AD607" s="9"/>
    </row>
    <row r="608"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204"/>
      <c r="AA608" s="9"/>
      <c r="AB608" s="9"/>
      <c r="AC608" s="9"/>
      <c r="AD608" s="9"/>
    </row>
    <row r="609"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204"/>
      <c r="AA609" s="9"/>
      <c r="AB609" s="9"/>
      <c r="AC609" s="9"/>
      <c r="AD609" s="9"/>
    </row>
    <row r="610"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204"/>
      <c r="AA610" s="9"/>
      <c r="AB610" s="9"/>
      <c r="AC610" s="9"/>
      <c r="AD610" s="9"/>
    </row>
    <row r="611"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204"/>
      <c r="AA611" s="9"/>
      <c r="AB611" s="9"/>
      <c r="AC611" s="9"/>
      <c r="AD611" s="9"/>
    </row>
    <row r="612"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204"/>
      <c r="AA612" s="9"/>
      <c r="AB612" s="9"/>
      <c r="AC612" s="9"/>
      <c r="AD612" s="9"/>
    </row>
    <row r="613"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204"/>
      <c r="AA613" s="9"/>
      <c r="AB613" s="9"/>
      <c r="AC613" s="9"/>
      <c r="AD613" s="9"/>
    </row>
    <row r="614"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204"/>
      <c r="AA614" s="9"/>
      <c r="AB614" s="9"/>
      <c r="AC614" s="9"/>
      <c r="AD614" s="9"/>
    </row>
    <row r="615"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204"/>
      <c r="AA615" s="9"/>
      <c r="AB615" s="9"/>
      <c r="AC615" s="9"/>
      <c r="AD615" s="9"/>
    </row>
    <row r="616"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204"/>
      <c r="AA616" s="9"/>
      <c r="AB616" s="9"/>
      <c r="AC616" s="9"/>
      <c r="AD616" s="9"/>
    </row>
    <row r="617"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204"/>
      <c r="AA617" s="9"/>
      <c r="AB617" s="9"/>
      <c r="AC617" s="9"/>
      <c r="AD617" s="9"/>
    </row>
    <row r="618"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204"/>
      <c r="AA618" s="9"/>
      <c r="AB618" s="9"/>
      <c r="AC618" s="9"/>
      <c r="AD618" s="9"/>
    </row>
    <row r="619"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204"/>
      <c r="AA619" s="9"/>
      <c r="AB619" s="9"/>
      <c r="AC619" s="9"/>
      <c r="AD619" s="9"/>
    </row>
    <row r="620"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204"/>
      <c r="AA620" s="9"/>
      <c r="AB620" s="9"/>
      <c r="AC620" s="9"/>
      <c r="AD620" s="9"/>
    </row>
    <row r="621"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204"/>
      <c r="AA621" s="9"/>
      <c r="AB621" s="9"/>
      <c r="AC621" s="9"/>
      <c r="AD621" s="9"/>
    </row>
    <row r="622"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204"/>
      <c r="AA622" s="9"/>
      <c r="AB622" s="9"/>
      <c r="AC622" s="9"/>
      <c r="AD622" s="9"/>
    </row>
    <row r="623"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204"/>
      <c r="AA623" s="9"/>
      <c r="AB623" s="9"/>
      <c r="AC623" s="9"/>
      <c r="AD623" s="9"/>
    </row>
    <row r="624"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204"/>
      <c r="AA624" s="9"/>
      <c r="AB624" s="9"/>
      <c r="AC624" s="9"/>
      <c r="AD624" s="9"/>
    </row>
    <row r="625"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204"/>
      <c r="AA625" s="9"/>
      <c r="AB625" s="9"/>
      <c r="AC625" s="9"/>
      <c r="AD625" s="9"/>
    </row>
    <row r="626"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204"/>
      <c r="AA626" s="9"/>
      <c r="AB626" s="9"/>
      <c r="AC626" s="9"/>
      <c r="AD626" s="9"/>
    </row>
    <row r="627"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204"/>
      <c r="AA627" s="9"/>
      <c r="AB627" s="9"/>
      <c r="AC627" s="9"/>
      <c r="AD627" s="9"/>
    </row>
    <row r="628"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204"/>
      <c r="AA628" s="9"/>
      <c r="AB628" s="9"/>
      <c r="AC628" s="9"/>
      <c r="AD628" s="9"/>
    </row>
    <row r="629"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204"/>
      <c r="AA629" s="9"/>
      <c r="AB629" s="9"/>
      <c r="AC629" s="9"/>
      <c r="AD629" s="9"/>
    </row>
    <row r="630"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204"/>
      <c r="AA630" s="9"/>
      <c r="AB630" s="9"/>
      <c r="AC630" s="9"/>
      <c r="AD630" s="9"/>
    </row>
    <row r="631"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204"/>
      <c r="AA631" s="9"/>
      <c r="AB631" s="9"/>
      <c r="AC631" s="9"/>
      <c r="AD631" s="9"/>
    </row>
    <row r="632"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204"/>
      <c r="AA632" s="9"/>
      <c r="AB632" s="9"/>
      <c r="AC632" s="9"/>
      <c r="AD632" s="9"/>
    </row>
    <row r="633"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204"/>
      <c r="AA633" s="9"/>
      <c r="AB633" s="9"/>
      <c r="AC633" s="9"/>
      <c r="AD633" s="9"/>
    </row>
    <row r="634"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204"/>
      <c r="AA634" s="9"/>
      <c r="AB634" s="9"/>
      <c r="AC634" s="9"/>
      <c r="AD634" s="9"/>
    </row>
    <row r="635"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204"/>
      <c r="AA635" s="9"/>
      <c r="AB635" s="9"/>
      <c r="AC635" s="9"/>
      <c r="AD635" s="9"/>
    </row>
    <row r="636"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204"/>
      <c r="AA636" s="9"/>
      <c r="AB636" s="9"/>
      <c r="AC636" s="9"/>
      <c r="AD636" s="9"/>
    </row>
    <row r="637"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204"/>
      <c r="AA637" s="9"/>
      <c r="AB637" s="9"/>
      <c r="AC637" s="9"/>
      <c r="AD637" s="9"/>
    </row>
    <row r="638"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204"/>
      <c r="AA638" s="9"/>
      <c r="AB638" s="9"/>
      <c r="AC638" s="9"/>
      <c r="AD638" s="9"/>
    </row>
    <row r="639"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204"/>
      <c r="AA639" s="9"/>
      <c r="AB639" s="9"/>
      <c r="AC639" s="9"/>
      <c r="AD639" s="9"/>
    </row>
    <row r="640"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204"/>
      <c r="AA640" s="9"/>
      <c r="AB640" s="9"/>
      <c r="AC640" s="9"/>
      <c r="AD640" s="9"/>
    </row>
    <row r="641"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204"/>
      <c r="AA641" s="9"/>
      <c r="AB641" s="9"/>
      <c r="AC641" s="9"/>
      <c r="AD641" s="9"/>
    </row>
    <row r="642"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204"/>
      <c r="AA642" s="9"/>
      <c r="AB642" s="9"/>
      <c r="AC642" s="9"/>
      <c r="AD642" s="9"/>
    </row>
    <row r="643"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204"/>
      <c r="AA643" s="9"/>
      <c r="AB643" s="9"/>
      <c r="AC643" s="9"/>
      <c r="AD643" s="9"/>
    </row>
    <row r="644"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204"/>
      <c r="AA644" s="9"/>
      <c r="AB644" s="9"/>
      <c r="AC644" s="9"/>
      <c r="AD644" s="9"/>
    </row>
    <row r="645"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204"/>
      <c r="AA645" s="9"/>
      <c r="AB645" s="9"/>
      <c r="AC645" s="9"/>
      <c r="AD645" s="9"/>
    </row>
    <row r="646"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204"/>
      <c r="AA646" s="9"/>
      <c r="AB646" s="9"/>
      <c r="AC646" s="9"/>
      <c r="AD646" s="9"/>
    </row>
    <row r="647"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204"/>
      <c r="AA647" s="9"/>
      <c r="AB647" s="9"/>
      <c r="AC647" s="9"/>
      <c r="AD647" s="9"/>
    </row>
    <row r="648"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204"/>
      <c r="AA648" s="9"/>
      <c r="AB648" s="9"/>
      <c r="AC648" s="9"/>
      <c r="AD648" s="9"/>
    </row>
    <row r="649"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204"/>
      <c r="AA649" s="9"/>
      <c r="AB649" s="9"/>
      <c r="AC649" s="9"/>
      <c r="AD649" s="9"/>
    </row>
    <row r="650"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204"/>
      <c r="AA650" s="9"/>
      <c r="AB650" s="9"/>
      <c r="AC650" s="9"/>
      <c r="AD650" s="9"/>
    </row>
    <row r="651"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204"/>
      <c r="AA651" s="9"/>
      <c r="AB651" s="9"/>
      <c r="AC651" s="9"/>
      <c r="AD651" s="9"/>
    </row>
    <row r="652"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204"/>
      <c r="AA652" s="9"/>
      <c r="AB652" s="9"/>
      <c r="AC652" s="9"/>
      <c r="AD652" s="9"/>
    </row>
    <row r="653"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204"/>
      <c r="AA653" s="9"/>
      <c r="AB653" s="9"/>
      <c r="AC653" s="9"/>
      <c r="AD653" s="9"/>
    </row>
    <row r="654"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204"/>
      <c r="AA654" s="9"/>
      <c r="AB654" s="9"/>
      <c r="AC654" s="9"/>
      <c r="AD654" s="9"/>
    </row>
    <row r="655"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204"/>
      <c r="AA655" s="9"/>
      <c r="AB655" s="9"/>
      <c r="AC655" s="9"/>
      <c r="AD655" s="9"/>
    </row>
    <row r="656"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204"/>
      <c r="AA656" s="9"/>
      <c r="AB656" s="9"/>
      <c r="AC656" s="9"/>
      <c r="AD656" s="9"/>
    </row>
    <row r="657"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204"/>
      <c r="AA657" s="9"/>
      <c r="AB657" s="9"/>
      <c r="AC657" s="9"/>
      <c r="AD657" s="9"/>
    </row>
    <row r="658"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204"/>
      <c r="AA658" s="9"/>
      <c r="AB658" s="9"/>
      <c r="AC658" s="9"/>
      <c r="AD658" s="9"/>
    </row>
    <row r="659"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204"/>
      <c r="AA659" s="9"/>
      <c r="AB659" s="9"/>
      <c r="AC659" s="9"/>
      <c r="AD659" s="9"/>
    </row>
    <row r="660"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204"/>
      <c r="AA660" s="9"/>
      <c r="AB660" s="9"/>
      <c r="AC660" s="9"/>
      <c r="AD660" s="9"/>
    </row>
    <row r="661"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204"/>
      <c r="AA661" s="9"/>
      <c r="AB661" s="9"/>
      <c r="AC661" s="9"/>
      <c r="AD661" s="9"/>
    </row>
    <row r="662"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204"/>
      <c r="AA662" s="9"/>
      <c r="AB662" s="9"/>
      <c r="AC662" s="9"/>
      <c r="AD662" s="9"/>
    </row>
    <row r="663"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204"/>
      <c r="AA663" s="9"/>
      <c r="AB663" s="9"/>
      <c r="AC663" s="9"/>
      <c r="AD663" s="9"/>
    </row>
    <row r="664"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204"/>
      <c r="AA664" s="9"/>
      <c r="AB664" s="9"/>
      <c r="AC664" s="9"/>
      <c r="AD664" s="9"/>
    </row>
    <row r="665"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204"/>
      <c r="AA665" s="9"/>
      <c r="AB665" s="9"/>
      <c r="AC665" s="9"/>
      <c r="AD665" s="9"/>
    </row>
    <row r="666"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204"/>
      <c r="AA666" s="9"/>
      <c r="AB666" s="9"/>
      <c r="AC666" s="9"/>
      <c r="AD666" s="9"/>
    </row>
    <row r="667"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204"/>
      <c r="AA667" s="9"/>
      <c r="AB667" s="9"/>
      <c r="AC667" s="9"/>
      <c r="AD667" s="9"/>
    </row>
    <row r="668"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204"/>
      <c r="AA668" s="9"/>
      <c r="AB668" s="9"/>
      <c r="AC668" s="9"/>
      <c r="AD668" s="9"/>
    </row>
    <row r="669"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204"/>
      <c r="AA669" s="9"/>
      <c r="AB669" s="9"/>
      <c r="AC669" s="9"/>
      <c r="AD669" s="9"/>
    </row>
    <row r="670"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204"/>
      <c r="AA670" s="9"/>
      <c r="AB670" s="9"/>
      <c r="AC670" s="9"/>
      <c r="AD670" s="9"/>
    </row>
    <row r="671"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204"/>
      <c r="AA671" s="9"/>
      <c r="AB671" s="9"/>
      <c r="AC671" s="9"/>
      <c r="AD671" s="9"/>
    </row>
    <row r="672"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204"/>
      <c r="AA672" s="9"/>
      <c r="AB672" s="9"/>
      <c r="AC672" s="9"/>
      <c r="AD672" s="9"/>
    </row>
    <row r="673"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204"/>
      <c r="AA673" s="9"/>
      <c r="AB673" s="9"/>
      <c r="AC673" s="9"/>
      <c r="AD673" s="9"/>
    </row>
    <row r="674"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204"/>
      <c r="AA674" s="9"/>
      <c r="AB674" s="9"/>
      <c r="AC674" s="9"/>
      <c r="AD674" s="9"/>
    </row>
    <row r="675"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204"/>
      <c r="AA675" s="9"/>
      <c r="AB675" s="9"/>
      <c r="AC675" s="9"/>
      <c r="AD675" s="9"/>
    </row>
    <row r="676"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204"/>
      <c r="AA676" s="9"/>
      <c r="AB676" s="9"/>
      <c r="AC676" s="9"/>
      <c r="AD676" s="9"/>
    </row>
    <row r="677"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204"/>
      <c r="AA677" s="9"/>
      <c r="AB677" s="9"/>
      <c r="AC677" s="9"/>
      <c r="AD677" s="9"/>
    </row>
    <row r="678"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204"/>
      <c r="AA678" s="9"/>
      <c r="AB678" s="9"/>
      <c r="AC678" s="9"/>
      <c r="AD678" s="9"/>
    </row>
    <row r="679"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204"/>
      <c r="AA679" s="9"/>
      <c r="AB679" s="9"/>
      <c r="AC679" s="9"/>
      <c r="AD679" s="9"/>
    </row>
    <row r="680"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204"/>
      <c r="AA680" s="9"/>
      <c r="AB680" s="9"/>
      <c r="AC680" s="9"/>
      <c r="AD680" s="9"/>
    </row>
    <row r="681"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204"/>
      <c r="AA681" s="9"/>
      <c r="AB681" s="9"/>
      <c r="AC681" s="9"/>
      <c r="AD681" s="9"/>
    </row>
    <row r="682"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204"/>
      <c r="AA682" s="9"/>
      <c r="AB682" s="9"/>
      <c r="AC682" s="9"/>
      <c r="AD682" s="9"/>
    </row>
    <row r="683"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204"/>
      <c r="AA683" s="9"/>
      <c r="AB683" s="9"/>
      <c r="AC683" s="9"/>
      <c r="AD683" s="9"/>
    </row>
    <row r="684"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204"/>
      <c r="AA684" s="9"/>
      <c r="AB684" s="9"/>
      <c r="AC684" s="9"/>
      <c r="AD684" s="9"/>
    </row>
    <row r="685"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204"/>
      <c r="AA685" s="9"/>
      <c r="AB685" s="9"/>
      <c r="AC685" s="9"/>
      <c r="AD685" s="9"/>
    </row>
    <row r="686"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204"/>
      <c r="AA686" s="9"/>
      <c r="AB686" s="9"/>
      <c r="AC686" s="9"/>
      <c r="AD686" s="9"/>
    </row>
    <row r="687"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204"/>
      <c r="AA687" s="9"/>
      <c r="AB687" s="9"/>
      <c r="AC687" s="9"/>
      <c r="AD687" s="9"/>
    </row>
    <row r="688"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204"/>
      <c r="AA688" s="9"/>
      <c r="AB688" s="9"/>
      <c r="AC688" s="9"/>
      <c r="AD688" s="9"/>
    </row>
    <row r="689"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204"/>
      <c r="AA689" s="9"/>
      <c r="AB689" s="9"/>
      <c r="AC689" s="9"/>
      <c r="AD689" s="9"/>
    </row>
    <row r="690"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204"/>
      <c r="AA690" s="9"/>
      <c r="AB690" s="9"/>
      <c r="AC690" s="9"/>
      <c r="AD690" s="9"/>
    </row>
    <row r="691"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204"/>
      <c r="AA691" s="9"/>
      <c r="AB691" s="9"/>
      <c r="AC691" s="9"/>
      <c r="AD691" s="9"/>
    </row>
    <row r="692"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204"/>
      <c r="AA692" s="9"/>
      <c r="AB692" s="9"/>
      <c r="AC692" s="9"/>
      <c r="AD692" s="9"/>
    </row>
    <row r="693"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204"/>
      <c r="AA693" s="9"/>
      <c r="AB693" s="9"/>
      <c r="AC693" s="9"/>
      <c r="AD693" s="9"/>
    </row>
    <row r="694"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204"/>
      <c r="AA694" s="9"/>
      <c r="AB694" s="9"/>
      <c r="AC694" s="9"/>
      <c r="AD694" s="9"/>
    </row>
    <row r="695"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204"/>
      <c r="AA695" s="9"/>
      <c r="AB695" s="9"/>
      <c r="AC695" s="9"/>
      <c r="AD695" s="9"/>
    </row>
    <row r="696"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204"/>
      <c r="AA696" s="9"/>
      <c r="AB696" s="9"/>
      <c r="AC696" s="9"/>
      <c r="AD696" s="9"/>
    </row>
    <row r="697"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204"/>
      <c r="AA697" s="9"/>
      <c r="AB697" s="9"/>
      <c r="AC697" s="9"/>
      <c r="AD697" s="9"/>
    </row>
    <row r="698"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204"/>
      <c r="AA698" s="9"/>
      <c r="AB698" s="9"/>
      <c r="AC698" s="9"/>
      <c r="AD698" s="9"/>
    </row>
    <row r="699"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204"/>
      <c r="AA699" s="9"/>
      <c r="AB699" s="9"/>
      <c r="AC699" s="9"/>
      <c r="AD699" s="9"/>
    </row>
    <row r="700"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204"/>
      <c r="AA700" s="9"/>
      <c r="AB700" s="9"/>
      <c r="AC700" s="9"/>
      <c r="AD700" s="9"/>
    </row>
    <row r="701"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204"/>
      <c r="AA701" s="9"/>
      <c r="AB701" s="9"/>
      <c r="AC701" s="9"/>
      <c r="AD701" s="9"/>
    </row>
    <row r="702"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204"/>
      <c r="AA702" s="9"/>
      <c r="AB702" s="9"/>
      <c r="AC702" s="9"/>
      <c r="AD702" s="9"/>
    </row>
    <row r="703"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204"/>
      <c r="AA703" s="9"/>
      <c r="AB703" s="9"/>
      <c r="AC703" s="9"/>
      <c r="AD703" s="9"/>
    </row>
    <row r="704"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204"/>
      <c r="AA704" s="9"/>
      <c r="AB704" s="9"/>
      <c r="AC704" s="9"/>
      <c r="AD704" s="9"/>
    </row>
    <row r="705"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204"/>
      <c r="AA705" s="9"/>
      <c r="AB705" s="9"/>
      <c r="AC705" s="9"/>
      <c r="AD705" s="9"/>
    </row>
    <row r="706"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204"/>
      <c r="AA706" s="9"/>
      <c r="AB706" s="9"/>
      <c r="AC706" s="9"/>
      <c r="AD706" s="9"/>
    </row>
    <row r="707"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204"/>
      <c r="AA707" s="9"/>
      <c r="AB707" s="9"/>
      <c r="AC707" s="9"/>
      <c r="AD707" s="9"/>
    </row>
    <row r="708"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204"/>
      <c r="AA708" s="9"/>
      <c r="AB708" s="9"/>
      <c r="AC708" s="9"/>
      <c r="AD708" s="9"/>
    </row>
    <row r="709"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204"/>
      <c r="AA709" s="9"/>
      <c r="AB709" s="9"/>
      <c r="AC709" s="9"/>
      <c r="AD709" s="9"/>
    </row>
    <row r="710"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204"/>
      <c r="AA710" s="9"/>
      <c r="AB710" s="9"/>
      <c r="AC710" s="9"/>
      <c r="AD710" s="9"/>
    </row>
    <row r="711"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204"/>
      <c r="AA711" s="9"/>
      <c r="AB711" s="9"/>
      <c r="AC711" s="9"/>
      <c r="AD711" s="9"/>
    </row>
    <row r="712"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204"/>
      <c r="AA712" s="9"/>
      <c r="AB712" s="9"/>
      <c r="AC712" s="9"/>
      <c r="AD712" s="9"/>
    </row>
    <row r="713"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204"/>
      <c r="AA713" s="9"/>
      <c r="AB713" s="9"/>
      <c r="AC713" s="9"/>
      <c r="AD713" s="9"/>
    </row>
    <row r="714"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204"/>
      <c r="AA714" s="9"/>
      <c r="AB714" s="9"/>
      <c r="AC714" s="9"/>
      <c r="AD714" s="9"/>
    </row>
    <row r="715"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204"/>
      <c r="AA715" s="9"/>
      <c r="AB715" s="9"/>
      <c r="AC715" s="9"/>
      <c r="AD715" s="9"/>
    </row>
    <row r="716"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204"/>
      <c r="AA716" s="9"/>
      <c r="AB716" s="9"/>
      <c r="AC716" s="9"/>
      <c r="AD716" s="9"/>
    </row>
    <row r="717"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204"/>
      <c r="AA717" s="9"/>
      <c r="AB717" s="9"/>
      <c r="AC717" s="9"/>
      <c r="AD717" s="9"/>
    </row>
    <row r="718"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204"/>
      <c r="AA718" s="9"/>
      <c r="AB718" s="9"/>
      <c r="AC718" s="9"/>
      <c r="AD718" s="9"/>
    </row>
    <row r="719"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204"/>
      <c r="AA719" s="9"/>
      <c r="AB719" s="9"/>
      <c r="AC719" s="9"/>
      <c r="AD719" s="9"/>
    </row>
    <row r="720"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204"/>
      <c r="AA720" s="9"/>
      <c r="AB720" s="9"/>
      <c r="AC720" s="9"/>
      <c r="AD720" s="9"/>
    </row>
    <row r="721"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204"/>
      <c r="AA721" s="9"/>
      <c r="AB721" s="9"/>
      <c r="AC721" s="9"/>
      <c r="AD721" s="9"/>
    </row>
    <row r="722"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204"/>
      <c r="AA722" s="9"/>
      <c r="AB722" s="9"/>
      <c r="AC722" s="9"/>
      <c r="AD722" s="9"/>
    </row>
    <row r="723"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204"/>
      <c r="AA723" s="9"/>
      <c r="AB723" s="9"/>
      <c r="AC723" s="9"/>
      <c r="AD723" s="9"/>
    </row>
    <row r="724"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204"/>
      <c r="AA724" s="9"/>
      <c r="AB724" s="9"/>
      <c r="AC724" s="9"/>
      <c r="AD724" s="9"/>
    </row>
    <row r="725"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204"/>
      <c r="AA725" s="9"/>
      <c r="AB725" s="9"/>
      <c r="AC725" s="9"/>
      <c r="AD725" s="9"/>
    </row>
    <row r="726"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204"/>
      <c r="AA726" s="9"/>
      <c r="AB726" s="9"/>
      <c r="AC726" s="9"/>
      <c r="AD726" s="9"/>
    </row>
    <row r="727"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204"/>
      <c r="AA727" s="9"/>
      <c r="AB727" s="9"/>
      <c r="AC727" s="9"/>
      <c r="AD727" s="9"/>
    </row>
    <row r="728"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204"/>
      <c r="AA728" s="9"/>
      <c r="AB728" s="9"/>
      <c r="AC728" s="9"/>
      <c r="AD728" s="9"/>
    </row>
    <row r="729"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204"/>
      <c r="AA729" s="9"/>
      <c r="AB729" s="9"/>
      <c r="AC729" s="9"/>
      <c r="AD729" s="9"/>
    </row>
    <row r="730"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204"/>
      <c r="AA730" s="9"/>
      <c r="AB730" s="9"/>
      <c r="AC730" s="9"/>
      <c r="AD730" s="9"/>
    </row>
    <row r="731"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204"/>
      <c r="AA731" s="9"/>
      <c r="AB731" s="9"/>
      <c r="AC731" s="9"/>
      <c r="AD731" s="9"/>
    </row>
    <row r="732"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204"/>
      <c r="AA732" s="9"/>
      <c r="AB732" s="9"/>
      <c r="AC732" s="9"/>
      <c r="AD732" s="9"/>
    </row>
    <row r="733"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204"/>
      <c r="AA733" s="9"/>
      <c r="AB733" s="9"/>
      <c r="AC733" s="9"/>
      <c r="AD733" s="9"/>
    </row>
    <row r="734"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204"/>
      <c r="AA734" s="9"/>
      <c r="AB734" s="9"/>
      <c r="AC734" s="9"/>
      <c r="AD734" s="9"/>
    </row>
    <row r="735"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204"/>
      <c r="AA735" s="9"/>
      <c r="AB735" s="9"/>
      <c r="AC735" s="9"/>
      <c r="AD735" s="9"/>
    </row>
    <row r="736"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204"/>
      <c r="AA736" s="9"/>
      <c r="AB736" s="9"/>
      <c r="AC736" s="9"/>
      <c r="AD736" s="9"/>
    </row>
    <row r="737"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204"/>
      <c r="AA737" s="9"/>
      <c r="AB737" s="9"/>
      <c r="AC737" s="9"/>
      <c r="AD737" s="9"/>
    </row>
    <row r="738"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204"/>
      <c r="AA738" s="9"/>
      <c r="AB738" s="9"/>
      <c r="AC738" s="9"/>
      <c r="AD738" s="9"/>
    </row>
    <row r="739"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204"/>
      <c r="AA739" s="9"/>
      <c r="AB739" s="9"/>
      <c r="AC739" s="9"/>
      <c r="AD739" s="9"/>
    </row>
    <row r="740"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204"/>
      <c r="AA740" s="9"/>
      <c r="AB740" s="9"/>
      <c r="AC740" s="9"/>
      <c r="AD740" s="9"/>
    </row>
    <row r="741"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204"/>
      <c r="AA741" s="9"/>
      <c r="AB741" s="9"/>
      <c r="AC741" s="9"/>
      <c r="AD741" s="9"/>
    </row>
    <row r="742"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204"/>
      <c r="AA742" s="9"/>
      <c r="AB742" s="9"/>
      <c r="AC742" s="9"/>
      <c r="AD742" s="9"/>
    </row>
    <row r="743"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204"/>
      <c r="AA743" s="9"/>
      <c r="AB743" s="9"/>
      <c r="AC743" s="9"/>
      <c r="AD743" s="9"/>
    </row>
    <row r="744"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204"/>
      <c r="AA744" s="9"/>
      <c r="AB744" s="9"/>
      <c r="AC744" s="9"/>
      <c r="AD744" s="9"/>
    </row>
    <row r="745"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204"/>
      <c r="AA745" s="9"/>
      <c r="AB745" s="9"/>
      <c r="AC745" s="9"/>
      <c r="AD745" s="9"/>
    </row>
    <row r="746"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204"/>
      <c r="AA746" s="9"/>
      <c r="AB746" s="9"/>
      <c r="AC746" s="9"/>
      <c r="AD746" s="9"/>
    </row>
    <row r="747"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204"/>
      <c r="AA747" s="9"/>
      <c r="AB747" s="9"/>
      <c r="AC747" s="9"/>
      <c r="AD747" s="9"/>
    </row>
    <row r="748"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204"/>
      <c r="AA748" s="9"/>
      <c r="AB748" s="9"/>
      <c r="AC748" s="9"/>
      <c r="AD748" s="9"/>
    </row>
    <row r="749"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204"/>
      <c r="AA749" s="9"/>
      <c r="AB749" s="9"/>
      <c r="AC749" s="9"/>
      <c r="AD749" s="9"/>
    </row>
    <row r="750"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204"/>
      <c r="AA750" s="9"/>
      <c r="AB750" s="9"/>
      <c r="AC750" s="9"/>
      <c r="AD750" s="9"/>
    </row>
    <row r="751"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204"/>
      <c r="AA751" s="9"/>
      <c r="AB751" s="9"/>
      <c r="AC751" s="9"/>
      <c r="AD751" s="9"/>
    </row>
    <row r="752"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204"/>
      <c r="AA752" s="9"/>
      <c r="AB752" s="9"/>
      <c r="AC752" s="9"/>
      <c r="AD752" s="9"/>
    </row>
    <row r="753"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204"/>
      <c r="AA753" s="9"/>
      <c r="AB753" s="9"/>
      <c r="AC753" s="9"/>
      <c r="AD753" s="9"/>
    </row>
    <row r="754"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204"/>
      <c r="AA754" s="9"/>
      <c r="AB754" s="9"/>
      <c r="AC754" s="9"/>
      <c r="AD754" s="9"/>
    </row>
    <row r="755"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204"/>
      <c r="AA755" s="9"/>
      <c r="AB755" s="9"/>
      <c r="AC755" s="9"/>
      <c r="AD755" s="9"/>
    </row>
    <row r="756"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204"/>
      <c r="AA756" s="9"/>
      <c r="AB756" s="9"/>
      <c r="AC756" s="9"/>
      <c r="AD756" s="9"/>
    </row>
    <row r="757"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204"/>
      <c r="AA757" s="9"/>
      <c r="AB757" s="9"/>
      <c r="AC757" s="9"/>
      <c r="AD757" s="9"/>
    </row>
    <row r="758"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204"/>
      <c r="AA758" s="9"/>
      <c r="AB758" s="9"/>
      <c r="AC758" s="9"/>
      <c r="AD758" s="9"/>
    </row>
    <row r="759"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204"/>
      <c r="AA759" s="9"/>
      <c r="AB759" s="9"/>
      <c r="AC759" s="9"/>
      <c r="AD759" s="9"/>
    </row>
    <row r="760"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204"/>
      <c r="AA760" s="9"/>
      <c r="AB760" s="9"/>
      <c r="AC760" s="9"/>
      <c r="AD760" s="9"/>
    </row>
    <row r="761"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204"/>
      <c r="AA761" s="9"/>
      <c r="AB761" s="9"/>
      <c r="AC761" s="9"/>
      <c r="AD761" s="9"/>
    </row>
    <row r="762"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204"/>
      <c r="AA762" s="9"/>
      <c r="AB762" s="9"/>
      <c r="AC762" s="9"/>
      <c r="AD762" s="9"/>
    </row>
    <row r="763"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204"/>
      <c r="AA763" s="9"/>
      <c r="AB763" s="9"/>
      <c r="AC763" s="9"/>
      <c r="AD763" s="9"/>
    </row>
    <row r="764"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204"/>
      <c r="AA764" s="9"/>
      <c r="AB764" s="9"/>
      <c r="AC764" s="9"/>
      <c r="AD764" s="9"/>
    </row>
    <row r="765"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204"/>
      <c r="AA765" s="9"/>
      <c r="AB765" s="9"/>
      <c r="AC765" s="9"/>
      <c r="AD765" s="9"/>
    </row>
    <row r="766"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204"/>
      <c r="AA766" s="9"/>
      <c r="AB766" s="9"/>
      <c r="AC766" s="9"/>
      <c r="AD766" s="9"/>
    </row>
    <row r="767"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204"/>
      <c r="AA767" s="9"/>
      <c r="AB767" s="9"/>
      <c r="AC767" s="9"/>
      <c r="AD767" s="9"/>
    </row>
    <row r="768"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204"/>
      <c r="AA768" s="9"/>
      <c r="AB768" s="9"/>
      <c r="AC768" s="9"/>
      <c r="AD768" s="9"/>
    </row>
    <row r="769"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204"/>
      <c r="AA769" s="9"/>
      <c r="AB769" s="9"/>
      <c r="AC769" s="9"/>
      <c r="AD769" s="9"/>
    </row>
    <row r="770"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204"/>
      <c r="AA770" s="9"/>
      <c r="AB770" s="9"/>
      <c r="AC770" s="9"/>
      <c r="AD770" s="9"/>
    </row>
    <row r="771"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204"/>
      <c r="AA771" s="9"/>
      <c r="AB771" s="9"/>
      <c r="AC771" s="9"/>
      <c r="AD771" s="9"/>
    </row>
    <row r="772"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204"/>
      <c r="AA772" s="9"/>
      <c r="AB772" s="9"/>
      <c r="AC772" s="9"/>
      <c r="AD772" s="9"/>
    </row>
    <row r="773"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204"/>
      <c r="AA773" s="9"/>
      <c r="AB773" s="9"/>
      <c r="AC773" s="9"/>
      <c r="AD773" s="9"/>
    </row>
    <row r="774"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204"/>
      <c r="AA774" s="9"/>
      <c r="AB774" s="9"/>
      <c r="AC774" s="9"/>
      <c r="AD774" s="9"/>
    </row>
    <row r="775"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204"/>
      <c r="AA775" s="9"/>
      <c r="AB775" s="9"/>
      <c r="AC775" s="9"/>
      <c r="AD775" s="9"/>
    </row>
    <row r="776"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204"/>
      <c r="AA776" s="9"/>
      <c r="AB776" s="9"/>
      <c r="AC776" s="9"/>
      <c r="AD776" s="9"/>
    </row>
    <row r="777"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204"/>
      <c r="AA777" s="9"/>
      <c r="AB777" s="9"/>
      <c r="AC777" s="9"/>
      <c r="AD777" s="9"/>
    </row>
    <row r="778"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204"/>
      <c r="AA778" s="9"/>
      <c r="AB778" s="9"/>
      <c r="AC778" s="9"/>
      <c r="AD778" s="9"/>
    </row>
    <row r="779"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204"/>
      <c r="AA779" s="9"/>
      <c r="AB779" s="9"/>
      <c r="AC779" s="9"/>
      <c r="AD779" s="9"/>
    </row>
    <row r="780"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204"/>
      <c r="AA780" s="9"/>
      <c r="AB780" s="9"/>
      <c r="AC780" s="9"/>
      <c r="AD780" s="9"/>
    </row>
    <row r="781"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204"/>
      <c r="AA781" s="9"/>
      <c r="AB781" s="9"/>
      <c r="AC781" s="9"/>
      <c r="AD781" s="9"/>
    </row>
    <row r="782"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204"/>
      <c r="AA782" s="9"/>
      <c r="AB782" s="9"/>
      <c r="AC782" s="9"/>
      <c r="AD782" s="9"/>
    </row>
    <row r="783"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204"/>
      <c r="AA783" s="9"/>
      <c r="AB783" s="9"/>
      <c r="AC783" s="9"/>
      <c r="AD783" s="9"/>
    </row>
    <row r="784"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204"/>
      <c r="AA784" s="9"/>
      <c r="AB784" s="9"/>
      <c r="AC784" s="9"/>
      <c r="AD784" s="9"/>
    </row>
    <row r="785"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204"/>
      <c r="AA785" s="9"/>
      <c r="AB785" s="9"/>
      <c r="AC785" s="9"/>
      <c r="AD785" s="9"/>
    </row>
    <row r="786"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204"/>
      <c r="AA786" s="9"/>
      <c r="AB786" s="9"/>
      <c r="AC786" s="9"/>
      <c r="AD786" s="9"/>
    </row>
    <row r="787"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204"/>
      <c r="AA787" s="9"/>
      <c r="AB787" s="9"/>
      <c r="AC787" s="9"/>
      <c r="AD787" s="9"/>
    </row>
    <row r="788"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204"/>
      <c r="AA788" s="9"/>
      <c r="AB788" s="9"/>
      <c r="AC788" s="9"/>
      <c r="AD788" s="9"/>
    </row>
    <row r="789"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204"/>
      <c r="AA789" s="9"/>
      <c r="AB789" s="9"/>
      <c r="AC789" s="9"/>
      <c r="AD789" s="9"/>
    </row>
    <row r="790"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204"/>
      <c r="AA790" s="9"/>
      <c r="AB790" s="9"/>
      <c r="AC790" s="9"/>
      <c r="AD790" s="9"/>
    </row>
    <row r="791"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204"/>
      <c r="AA791" s="9"/>
      <c r="AB791" s="9"/>
      <c r="AC791" s="9"/>
      <c r="AD791" s="9"/>
    </row>
    <row r="792"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204"/>
      <c r="AA792" s="9"/>
      <c r="AB792" s="9"/>
      <c r="AC792" s="9"/>
      <c r="AD792" s="9"/>
    </row>
    <row r="793"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204"/>
      <c r="AA793" s="9"/>
      <c r="AB793" s="9"/>
      <c r="AC793" s="9"/>
      <c r="AD793" s="9"/>
    </row>
    <row r="794"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204"/>
      <c r="AA794" s="9"/>
      <c r="AB794" s="9"/>
      <c r="AC794" s="9"/>
      <c r="AD794" s="9"/>
    </row>
    <row r="795"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204"/>
      <c r="AA795" s="9"/>
      <c r="AB795" s="9"/>
      <c r="AC795" s="9"/>
      <c r="AD795" s="9"/>
    </row>
    <row r="796"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204"/>
      <c r="AA796" s="9"/>
      <c r="AB796" s="9"/>
      <c r="AC796" s="9"/>
      <c r="AD796" s="9"/>
    </row>
    <row r="797"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204"/>
      <c r="AA797" s="9"/>
      <c r="AB797" s="9"/>
      <c r="AC797" s="9"/>
      <c r="AD797" s="9"/>
    </row>
    <row r="798"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204"/>
      <c r="AA798" s="9"/>
      <c r="AB798" s="9"/>
      <c r="AC798" s="9"/>
      <c r="AD798" s="9"/>
    </row>
    <row r="799"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204"/>
      <c r="AA799" s="9"/>
      <c r="AB799" s="9"/>
      <c r="AC799" s="9"/>
      <c r="AD799" s="9"/>
    </row>
    <row r="800"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204"/>
      <c r="AA800" s="9"/>
      <c r="AB800" s="9"/>
      <c r="AC800" s="9"/>
      <c r="AD800" s="9"/>
    </row>
    <row r="801"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204"/>
      <c r="AA801" s="9"/>
      <c r="AB801" s="9"/>
      <c r="AC801" s="9"/>
      <c r="AD801" s="9"/>
    </row>
    <row r="802"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204"/>
      <c r="AA802" s="9"/>
      <c r="AB802" s="9"/>
      <c r="AC802" s="9"/>
      <c r="AD802" s="9"/>
    </row>
    <row r="803"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204"/>
      <c r="AA803" s="9"/>
      <c r="AB803" s="9"/>
      <c r="AC803" s="9"/>
      <c r="AD803" s="9"/>
    </row>
    <row r="804"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204"/>
      <c r="AA804" s="9"/>
      <c r="AB804" s="9"/>
      <c r="AC804" s="9"/>
      <c r="AD804" s="9"/>
    </row>
    <row r="805"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204"/>
      <c r="AA805" s="9"/>
      <c r="AB805" s="9"/>
      <c r="AC805" s="9"/>
      <c r="AD805" s="9"/>
    </row>
    <row r="806"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204"/>
      <c r="AA806" s="9"/>
      <c r="AB806" s="9"/>
      <c r="AC806" s="9"/>
      <c r="AD806" s="9"/>
    </row>
    <row r="807"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204"/>
      <c r="AA807" s="9"/>
      <c r="AB807" s="9"/>
      <c r="AC807" s="9"/>
      <c r="AD807" s="9"/>
    </row>
    <row r="808"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204"/>
      <c r="AA808" s="9"/>
      <c r="AB808" s="9"/>
      <c r="AC808" s="9"/>
      <c r="AD808" s="9"/>
    </row>
    <row r="809"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204"/>
      <c r="AA809" s="9"/>
      <c r="AB809" s="9"/>
      <c r="AC809" s="9"/>
      <c r="AD809" s="9"/>
    </row>
    <row r="810"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204"/>
      <c r="AA810" s="9"/>
      <c r="AB810" s="9"/>
      <c r="AC810" s="9"/>
      <c r="AD810" s="9"/>
    </row>
    <row r="811"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204"/>
      <c r="AA811" s="9"/>
      <c r="AB811" s="9"/>
      <c r="AC811" s="9"/>
      <c r="AD811" s="9"/>
    </row>
    <row r="812"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204"/>
      <c r="AA812" s="9"/>
      <c r="AB812" s="9"/>
      <c r="AC812" s="9"/>
      <c r="AD812" s="9"/>
    </row>
    <row r="813"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204"/>
      <c r="AA813" s="9"/>
      <c r="AB813" s="9"/>
      <c r="AC813" s="9"/>
      <c r="AD813" s="9"/>
    </row>
    <row r="814"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204"/>
      <c r="AA814" s="9"/>
      <c r="AB814" s="9"/>
      <c r="AC814" s="9"/>
      <c r="AD814" s="9"/>
    </row>
    <row r="815"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204"/>
      <c r="AA815" s="9"/>
      <c r="AB815" s="9"/>
      <c r="AC815" s="9"/>
      <c r="AD815" s="9"/>
    </row>
    <row r="816"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204"/>
      <c r="AA816" s="9"/>
      <c r="AB816" s="9"/>
      <c r="AC816" s="9"/>
      <c r="AD816" s="9"/>
    </row>
    <row r="817"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204"/>
      <c r="AA817" s="9"/>
      <c r="AB817" s="9"/>
      <c r="AC817" s="9"/>
      <c r="AD817" s="9"/>
    </row>
    <row r="818"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204"/>
      <c r="AA818" s="9"/>
      <c r="AB818" s="9"/>
      <c r="AC818" s="9"/>
      <c r="AD818" s="9"/>
    </row>
    <row r="819"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204"/>
      <c r="AA819" s="9"/>
      <c r="AB819" s="9"/>
      <c r="AC819" s="9"/>
      <c r="AD819" s="9"/>
    </row>
    <row r="820"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204"/>
      <c r="AA820" s="9"/>
      <c r="AB820" s="9"/>
      <c r="AC820" s="9"/>
      <c r="AD820" s="9"/>
    </row>
    <row r="821"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204"/>
      <c r="AA821" s="9"/>
      <c r="AB821" s="9"/>
      <c r="AC821" s="9"/>
      <c r="AD821" s="9"/>
    </row>
    <row r="822"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204"/>
      <c r="AA822" s="9"/>
      <c r="AB822" s="9"/>
      <c r="AC822" s="9"/>
      <c r="AD822" s="9"/>
    </row>
    <row r="823"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204"/>
      <c r="AA823" s="9"/>
      <c r="AB823" s="9"/>
      <c r="AC823" s="9"/>
      <c r="AD823" s="9"/>
    </row>
    <row r="824"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204"/>
      <c r="AA824" s="9"/>
      <c r="AB824" s="9"/>
      <c r="AC824" s="9"/>
      <c r="AD824" s="9"/>
    </row>
    <row r="825"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204"/>
      <c r="AA825" s="9"/>
      <c r="AB825" s="9"/>
      <c r="AC825" s="9"/>
      <c r="AD825" s="9"/>
    </row>
    <row r="826"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204"/>
      <c r="AA826" s="9"/>
      <c r="AB826" s="9"/>
      <c r="AC826" s="9"/>
      <c r="AD826" s="9"/>
    </row>
    <row r="827"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204"/>
      <c r="AA827" s="9"/>
      <c r="AB827" s="9"/>
      <c r="AC827" s="9"/>
      <c r="AD827" s="9"/>
    </row>
    <row r="828"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204"/>
      <c r="AA828" s="9"/>
      <c r="AB828" s="9"/>
      <c r="AC828" s="9"/>
      <c r="AD828" s="9"/>
    </row>
    <row r="829"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204"/>
      <c r="AA829" s="9"/>
      <c r="AB829" s="9"/>
      <c r="AC829" s="9"/>
      <c r="AD829" s="9"/>
    </row>
    <row r="830"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204"/>
      <c r="AA830" s="9"/>
      <c r="AB830" s="9"/>
      <c r="AC830" s="9"/>
      <c r="AD830" s="9"/>
    </row>
    <row r="831"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204"/>
      <c r="AA831" s="9"/>
      <c r="AB831" s="9"/>
      <c r="AC831" s="9"/>
      <c r="AD831" s="9"/>
    </row>
    <row r="832"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204"/>
      <c r="AA832" s="9"/>
      <c r="AB832" s="9"/>
      <c r="AC832" s="9"/>
      <c r="AD832" s="9"/>
    </row>
    <row r="833"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204"/>
      <c r="AA833" s="9"/>
      <c r="AB833" s="9"/>
      <c r="AC833" s="9"/>
      <c r="AD833" s="9"/>
    </row>
    <row r="834"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204"/>
      <c r="AA834" s="9"/>
      <c r="AB834" s="9"/>
      <c r="AC834" s="9"/>
      <c r="AD834" s="9"/>
    </row>
    <row r="835"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204"/>
      <c r="AA835" s="9"/>
      <c r="AB835" s="9"/>
      <c r="AC835" s="9"/>
      <c r="AD835" s="9"/>
    </row>
    <row r="836"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204"/>
      <c r="AA836" s="9"/>
      <c r="AB836" s="9"/>
      <c r="AC836" s="9"/>
      <c r="AD836" s="9"/>
    </row>
    <row r="837"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204"/>
      <c r="AA837" s="9"/>
      <c r="AB837" s="9"/>
      <c r="AC837" s="9"/>
      <c r="AD837" s="9"/>
    </row>
    <row r="838"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204"/>
      <c r="AA838" s="9"/>
      <c r="AB838" s="9"/>
      <c r="AC838" s="9"/>
      <c r="AD838" s="9"/>
    </row>
    <row r="839"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204"/>
      <c r="AA839" s="9"/>
      <c r="AB839" s="9"/>
      <c r="AC839" s="9"/>
      <c r="AD839" s="9"/>
    </row>
    <row r="840"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204"/>
      <c r="AA840" s="9"/>
      <c r="AB840" s="9"/>
      <c r="AC840" s="9"/>
      <c r="AD840" s="9"/>
    </row>
    <row r="841"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204"/>
      <c r="AA841" s="9"/>
      <c r="AB841" s="9"/>
      <c r="AC841" s="9"/>
      <c r="AD841" s="9"/>
    </row>
    <row r="842"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204"/>
      <c r="AA842" s="9"/>
      <c r="AB842" s="9"/>
      <c r="AC842" s="9"/>
      <c r="AD842" s="9"/>
    </row>
    <row r="843"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204"/>
      <c r="AA843" s="9"/>
      <c r="AB843" s="9"/>
      <c r="AC843" s="9"/>
      <c r="AD843" s="9"/>
    </row>
    <row r="844"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204"/>
      <c r="AA844" s="9"/>
      <c r="AB844" s="9"/>
      <c r="AC844" s="9"/>
      <c r="AD844" s="9"/>
    </row>
    <row r="845"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204"/>
      <c r="AA845" s="9"/>
      <c r="AB845" s="9"/>
      <c r="AC845" s="9"/>
      <c r="AD845" s="9"/>
    </row>
    <row r="846"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204"/>
      <c r="AA846" s="9"/>
      <c r="AB846" s="9"/>
      <c r="AC846" s="9"/>
      <c r="AD846" s="9"/>
    </row>
    <row r="847"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204"/>
      <c r="AA847" s="9"/>
      <c r="AB847" s="9"/>
      <c r="AC847" s="9"/>
      <c r="AD847" s="9"/>
    </row>
    <row r="848"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204"/>
      <c r="AA848" s="9"/>
      <c r="AB848" s="9"/>
      <c r="AC848" s="9"/>
      <c r="AD848" s="9"/>
    </row>
    <row r="849"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204"/>
      <c r="AA849" s="9"/>
      <c r="AB849" s="9"/>
      <c r="AC849" s="9"/>
      <c r="AD849" s="9"/>
    </row>
    <row r="850"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204"/>
      <c r="AA850" s="9"/>
      <c r="AB850" s="9"/>
      <c r="AC850" s="9"/>
      <c r="AD850" s="9"/>
    </row>
    <row r="851"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204"/>
      <c r="AA851" s="9"/>
      <c r="AB851" s="9"/>
      <c r="AC851" s="9"/>
      <c r="AD851" s="9"/>
    </row>
    <row r="852"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204"/>
      <c r="AA852" s="9"/>
      <c r="AB852" s="9"/>
      <c r="AC852" s="9"/>
      <c r="AD852" s="9"/>
    </row>
    <row r="853"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204"/>
      <c r="AA853" s="9"/>
      <c r="AB853" s="9"/>
      <c r="AC853" s="9"/>
      <c r="AD853" s="9"/>
    </row>
    <row r="854"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204"/>
      <c r="AA854" s="9"/>
      <c r="AB854" s="9"/>
      <c r="AC854" s="9"/>
      <c r="AD854" s="9"/>
    </row>
    <row r="855"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204"/>
      <c r="AA855" s="9"/>
      <c r="AB855" s="9"/>
      <c r="AC855" s="9"/>
      <c r="AD855" s="9"/>
    </row>
    <row r="856"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204"/>
      <c r="AA856" s="9"/>
      <c r="AB856" s="9"/>
      <c r="AC856" s="9"/>
      <c r="AD856" s="9"/>
    </row>
    <row r="857"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204"/>
      <c r="AA857" s="9"/>
      <c r="AB857" s="9"/>
      <c r="AC857" s="9"/>
      <c r="AD857" s="9"/>
    </row>
    <row r="858"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204"/>
      <c r="AA858" s="9"/>
      <c r="AB858" s="9"/>
      <c r="AC858" s="9"/>
      <c r="AD858" s="9"/>
    </row>
    <row r="859"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204"/>
      <c r="AA859" s="9"/>
      <c r="AB859" s="9"/>
      <c r="AC859" s="9"/>
      <c r="AD859" s="9"/>
    </row>
    <row r="860"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204"/>
      <c r="AA860" s="9"/>
      <c r="AB860" s="9"/>
      <c r="AC860" s="9"/>
      <c r="AD860" s="9"/>
    </row>
    <row r="861"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204"/>
      <c r="AA861" s="9"/>
      <c r="AB861" s="9"/>
      <c r="AC861" s="9"/>
      <c r="AD861" s="9"/>
    </row>
    <row r="862"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204"/>
      <c r="AA862" s="9"/>
      <c r="AB862" s="9"/>
      <c r="AC862" s="9"/>
      <c r="AD862" s="9"/>
    </row>
    <row r="863"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204"/>
      <c r="AA863" s="9"/>
      <c r="AB863" s="9"/>
      <c r="AC863" s="9"/>
      <c r="AD863" s="9"/>
    </row>
    <row r="864"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204"/>
      <c r="AA864" s="9"/>
      <c r="AB864" s="9"/>
      <c r="AC864" s="9"/>
      <c r="AD864" s="9"/>
    </row>
    <row r="865"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204"/>
      <c r="AA865" s="9"/>
      <c r="AB865" s="9"/>
      <c r="AC865" s="9"/>
      <c r="AD865" s="9"/>
    </row>
    <row r="866"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204"/>
      <c r="AA866" s="9"/>
      <c r="AB866" s="9"/>
      <c r="AC866" s="9"/>
      <c r="AD866" s="9"/>
    </row>
    <row r="867"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204"/>
      <c r="AA867" s="9"/>
      <c r="AB867" s="9"/>
      <c r="AC867" s="9"/>
      <c r="AD867" s="9"/>
    </row>
    <row r="868"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204"/>
      <c r="AA868" s="9"/>
      <c r="AB868" s="9"/>
      <c r="AC868" s="9"/>
      <c r="AD868" s="9"/>
    </row>
    <row r="869"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204"/>
      <c r="AA869" s="9"/>
      <c r="AB869" s="9"/>
      <c r="AC869" s="9"/>
      <c r="AD869" s="9"/>
    </row>
    <row r="870"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204"/>
      <c r="AA870" s="9"/>
      <c r="AB870" s="9"/>
      <c r="AC870" s="9"/>
      <c r="AD870" s="9"/>
    </row>
    <row r="871"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204"/>
      <c r="AA871" s="9"/>
      <c r="AB871" s="9"/>
      <c r="AC871" s="9"/>
      <c r="AD871" s="9"/>
    </row>
    <row r="872"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204"/>
      <c r="AA872" s="9"/>
      <c r="AB872" s="9"/>
      <c r="AC872" s="9"/>
      <c r="AD872" s="9"/>
    </row>
    <row r="873"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204"/>
      <c r="AA873" s="9"/>
      <c r="AB873" s="9"/>
      <c r="AC873" s="9"/>
      <c r="AD873" s="9"/>
    </row>
    <row r="874"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204"/>
      <c r="AA874" s="9"/>
      <c r="AB874" s="9"/>
      <c r="AC874" s="9"/>
      <c r="AD874" s="9"/>
    </row>
    <row r="875"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204"/>
      <c r="AA875" s="9"/>
      <c r="AB875" s="9"/>
      <c r="AC875" s="9"/>
      <c r="AD875" s="9"/>
    </row>
    <row r="876"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204"/>
      <c r="AA876" s="9"/>
      <c r="AB876" s="9"/>
      <c r="AC876" s="9"/>
      <c r="AD876" s="9"/>
    </row>
    <row r="877"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204"/>
      <c r="AA877" s="9"/>
      <c r="AB877" s="9"/>
      <c r="AC877" s="9"/>
      <c r="AD877" s="9"/>
    </row>
    <row r="878"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204"/>
      <c r="AA878" s="9"/>
      <c r="AB878" s="9"/>
      <c r="AC878" s="9"/>
      <c r="AD878" s="9"/>
    </row>
    <row r="879"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204"/>
      <c r="AA879" s="9"/>
      <c r="AB879" s="9"/>
      <c r="AC879" s="9"/>
      <c r="AD879" s="9"/>
    </row>
    <row r="880"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204"/>
      <c r="AA880" s="9"/>
      <c r="AB880" s="9"/>
      <c r="AC880" s="9"/>
      <c r="AD880" s="9"/>
    </row>
    <row r="881"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204"/>
      <c r="AA881" s="9"/>
      <c r="AB881" s="9"/>
      <c r="AC881" s="9"/>
      <c r="AD881" s="9"/>
    </row>
    <row r="882"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204"/>
      <c r="AA882" s="9"/>
      <c r="AB882" s="9"/>
      <c r="AC882" s="9"/>
      <c r="AD882" s="9"/>
    </row>
    <row r="883"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204"/>
      <c r="AA883" s="9"/>
      <c r="AB883" s="9"/>
      <c r="AC883" s="9"/>
      <c r="AD883" s="9"/>
    </row>
    <row r="884"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204"/>
      <c r="AA884" s="9"/>
      <c r="AB884" s="9"/>
      <c r="AC884" s="9"/>
      <c r="AD884" s="9"/>
    </row>
    <row r="885"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204"/>
      <c r="AA885" s="9"/>
      <c r="AB885" s="9"/>
      <c r="AC885" s="9"/>
      <c r="AD885" s="9"/>
    </row>
    <row r="886"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204"/>
      <c r="AA886" s="9"/>
      <c r="AB886" s="9"/>
      <c r="AC886" s="9"/>
      <c r="AD886" s="9"/>
    </row>
    <row r="887"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204"/>
      <c r="AA887" s="9"/>
      <c r="AB887" s="9"/>
      <c r="AC887" s="9"/>
      <c r="AD887" s="9"/>
    </row>
    <row r="888"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204"/>
      <c r="AA888" s="9"/>
      <c r="AB888" s="9"/>
      <c r="AC888" s="9"/>
      <c r="AD888" s="9"/>
    </row>
    <row r="889"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204"/>
      <c r="AA889" s="9"/>
      <c r="AB889" s="9"/>
      <c r="AC889" s="9"/>
      <c r="AD889" s="9"/>
    </row>
    <row r="890"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204"/>
      <c r="AA890" s="9"/>
      <c r="AB890" s="9"/>
      <c r="AC890" s="9"/>
      <c r="AD890" s="9"/>
    </row>
    <row r="891"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204"/>
      <c r="AA891" s="9"/>
      <c r="AB891" s="9"/>
      <c r="AC891" s="9"/>
      <c r="AD891" s="9"/>
    </row>
    <row r="892"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204"/>
      <c r="AA892" s="9"/>
      <c r="AB892" s="9"/>
      <c r="AC892" s="9"/>
      <c r="AD892" s="9"/>
    </row>
    <row r="893"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204"/>
      <c r="AA893" s="9"/>
      <c r="AB893" s="9"/>
      <c r="AC893" s="9"/>
      <c r="AD893" s="9"/>
    </row>
    <row r="894"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204"/>
      <c r="AA894" s="9"/>
      <c r="AB894" s="9"/>
      <c r="AC894" s="9"/>
      <c r="AD894" s="9"/>
    </row>
    <row r="895"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204"/>
      <c r="AA895" s="9"/>
      <c r="AB895" s="9"/>
      <c r="AC895" s="9"/>
      <c r="AD895" s="9"/>
    </row>
    <row r="896"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204"/>
      <c r="AA896" s="9"/>
      <c r="AB896" s="9"/>
      <c r="AC896" s="9"/>
      <c r="AD896" s="9"/>
    </row>
    <row r="897"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204"/>
      <c r="AA897" s="9"/>
      <c r="AB897" s="9"/>
      <c r="AC897" s="9"/>
      <c r="AD897" s="9"/>
    </row>
    <row r="898"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204"/>
      <c r="AA898" s="9"/>
      <c r="AB898" s="9"/>
      <c r="AC898" s="9"/>
      <c r="AD898" s="9"/>
    </row>
    <row r="899"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204"/>
      <c r="AA899" s="9"/>
      <c r="AB899" s="9"/>
      <c r="AC899" s="9"/>
      <c r="AD899" s="9"/>
    </row>
    <row r="900"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204"/>
      <c r="AA900" s="9"/>
      <c r="AB900" s="9"/>
      <c r="AC900" s="9"/>
      <c r="AD900" s="9"/>
    </row>
    <row r="901"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204"/>
      <c r="AA901" s="9"/>
      <c r="AB901" s="9"/>
      <c r="AC901" s="9"/>
      <c r="AD901" s="9"/>
    </row>
    <row r="902"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204"/>
      <c r="AA902" s="9"/>
      <c r="AB902" s="9"/>
      <c r="AC902" s="9"/>
      <c r="AD902" s="9"/>
    </row>
    <row r="903"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204"/>
      <c r="AA903" s="9"/>
      <c r="AB903" s="9"/>
      <c r="AC903" s="9"/>
      <c r="AD903" s="9"/>
    </row>
    <row r="904"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204"/>
      <c r="AA904" s="9"/>
      <c r="AB904" s="9"/>
      <c r="AC904" s="9"/>
      <c r="AD904" s="9"/>
    </row>
    <row r="905"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204"/>
      <c r="AA905" s="9"/>
      <c r="AB905" s="9"/>
      <c r="AC905" s="9"/>
      <c r="AD905" s="9"/>
    </row>
    <row r="906"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204"/>
      <c r="AA906" s="9"/>
      <c r="AB906" s="9"/>
      <c r="AC906" s="9"/>
      <c r="AD906" s="9"/>
    </row>
    <row r="907"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204"/>
      <c r="AA907" s="9"/>
      <c r="AB907" s="9"/>
      <c r="AC907" s="9"/>
      <c r="AD907" s="9"/>
    </row>
    <row r="908"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204"/>
      <c r="AA908" s="9"/>
      <c r="AB908" s="9"/>
      <c r="AC908" s="9"/>
      <c r="AD908" s="9"/>
    </row>
    <row r="909"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204"/>
      <c r="AA909" s="9"/>
      <c r="AB909" s="9"/>
      <c r="AC909" s="9"/>
      <c r="AD909" s="9"/>
    </row>
    <row r="910"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204"/>
      <c r="AA910" s="9"/>
      <c r="AB910" s="9"/>
      <c r="AC910" s="9"/>
      <c r="AD910" s="9"/>
    </row>
    <row r="911"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204"/>
      <c r="AA911" s="9"/>
      <c r="AB911" s="9"/>
      <c r="AC911" s="9"/>
      <c r="AD911" s="9"/>
    </row>
    <row r="912"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204"/>
      <c r="AA912" s="9"/>
      <c r="AB912" s="9"/>
      <c r="AC912" s="9"/>
      <c r="AD912" s="9"/>
    </row>
    <row r="913"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204"/>
      <c r="AA913" s="9"/>
      <c r="AB913" s="9"/>
      <c r="AC913" s="9"/>
      <c r="AD913" s="9"/>
    </row>
    <row r="914"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204"/>
      <c r="AA914" s="9"/>
      <c r="AB914" s="9"/>
      <c r="AC914" s="9"/>
      <c r="AD914" s="9"/>
    </row>
    <row r="915"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204"/>
      <c r="AA915" s="9"/>
      <c r="AB915" s="9"/>
      <c r="AC915" s="9"/>
      <c r="AD915" s="9"/>
    </row>
    <row r="916"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204"/>
      <c r="AA916" s="9"/>
      <c r="AB916" s="9"/>
      <c r="AC916" s="9"/>
      <c r="AD916" s="9"/>
    </row>
    <row r="917"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204"/>
      <c r="AA917" s="9"/>
      <c r="AB917" s="9"/>
      <c r="AC917" s="9"/>
      <c r="AD917" s="9"/>
    </row>
    <row r="918"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204"/>
      <c r="AA918" s="9"/>
      <c r="AB918" s="9"/>
      <c r="AC918" s="9"/>
      <c r="AD918" s="9"/>
    </row>
    <row r="919"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204"/>
      <c r="AA919" s="9"/>
      <c r="AB919" s="9"/>
      <c r="AC919" s="9"/>
      <c r="AD919" s="9"/>
    </row>
    <row r="920"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204"/>
      <c r="AA920" s="9"/>
      <c r="AB920" s="9"/>
      <c r="AC920" s="9"/>
      <c r="AD920" s="9"/>
    </row>
    <row r="921"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204"/>
      <c r="AA921" s="9"/>
      <c r="AB921" s="9"/>
      <c r="AC921" s="9"/>
      <c r="AD921" s="9"/>
    </row>
    <row r="922"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204"/>
      <c r="AA922" s="9"/>
      <c r="AB922" s="9"/>
      <c r="AC922" s="9"/>
      <c r="AD922" s="9"/>
    </row>
    <row r="923"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204"/>
      <c r="AA923" s="9"/>
      <c r="AB923" s="9"/>
      <c r="AC923" s="9"/>
      <c r="AD923" s="9"/>
    </row>
    <row r="924"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204"/>
      <c r="AA924" s="9"/>
      <c r="AB924" s="9"/>
      <c r="AC924" s="9"/>
      <c r="AD924" s="9"/>
    </row>
    <row r="925"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204"/>
      <c r="AA925" s="9"/>
      <c r="AB925" s="9"/>
      <c r="AC925" s="9"/>
      <c r="AD925" s="9"/>
    </row>
    <row r="926"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204"/>
      <c r="AA926" s="9"/>
      <c r="AB926" s="9"/>
      <c r="AC926" s="9"/>
      <c r="AD926" s="9"/>
    </row>
    <row r="927"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204"/>
      <c r="AA927" s="9"/>
      <c r="AB927" s="9"/>
      <c r="AC927" s="9"/>
      <c r="AD927" s="9"/>
    </row>
    <row r="928"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204"/>
      <c r="AA928" s="9"/>
      <c r="AB928" s="9"/>
      <c r="AC928" s="9"/>
      <c r="AD928" s="9"/>
    </row>
    <row r="929"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204"/>
      <c r="AA929" s="9"/>
      <c r="AB929" s="9"/>
      <c r="AC929" s="9"/>
      <c r="AD929" s="9"/>
    </row>
    <row r="930"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204"/>
      <c r="AA930" s="9"/>
      <c r="AB930" s="9"/>
      <c r="AC930" s="9"/>
      <c r="AD930" s="9"/>
    </row>
    <row r="931"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204"/>
      <c r="AA931" s="9"/>
      <c r="AB931" s="9"/>
      <c r="AC931" s="9"/>
      <c r="AD931" s="9"/>
    </row>
    <row r="932"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204"/>
      <c r="AA932" s="9"/>
      <c r="AB932" s="9"/>
      <c r="AC932" s="9"/>
      <c r="AD932" s="9"/>
    </row>
    <row r="933"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204"/>
      <c r="AA933" s="9"/>
      <c r="AB933" s="9"/>
      <c r="AC933" s="9"/>
      <c r="AD933" s="9"/>
    </row>
    <row r="934"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204"/>
      <c r="AA934" s="9"/>
      <c r="AB934" s="9"/>
      <c r="AC934" s="9"/>
      <c r="AD934" s="9"/>
    </row>
    <row r="935"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204"/>
      <c r="AA935" s="9"/>
      <c r="AB935" s="9"/>
      <c r="AC935" s="9"/>
      <c r="AD935" s="9"/>
    </row>
    <row r="936"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204"/>
      <c r="AA936" s="9"/>
      <c r="AB936" s="9"/>
      <c r="AC936" s="9"/>
      <c r="AD936" s="9"/>
    </row>
    <row r="937"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204"/>
      <c r="AA937" s="9"/>
      <c r="AB937" s="9"/>
      <c r="AC937" s="9"/>
      <c r="AD937" s="9"/>
    </row>
    <row r="938"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204"/>
      <c r="AA938" s="9"/>
      <c r="AB938" s="9"/>
      <c r="AC938" s="9"/>
      <c r="AD938" s="9"/>
    </row>
    <row r="939"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204"/>
      <c r="AA939" s="9"/>
      <c r="AB939" s="9"/>
      <c r="AC939" s="9"/>
      <c r="AD939" s="9"/>
    </row>
    <row r="940"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204"/>
      <c r="AA940" s="9"/>
      <c r="AB940" s="9"/>
      <c r="AC940" s="9"/>
      <c r="AD940" s="9"/>
    </row>
    <row r="941"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204"/>
      <c r="AA941" s="9"/>
      <c r="AB941" s="9"/>
      <c r="AC941" s="9"/>
      <c r="AD941" s="9"/>
    </row>
    <row r="942"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204"/>
      <c r="AA942" s="9"/>
      <c r="AB942" s="9"/>
      <c r="AC942" s="9"/>
      <c r="AD942" s="9"/>
    </row>
    <row r="943"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204"/>
      <c r="AA943" s="9"/>
      <c r="AB943" s="9"/>
      <c r="AC943" s="9"/>
      <c r="AD943" s="9"/>
    </row>
    <row r="944"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204"/>
      <c r="AA944" s="9"/>
      <c r="AB944" s="9"/>
      <c r="AC944" s="9"/>
      <c r="AD944" s="9"/>
    </row>
    <row r="945"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204"/>
      <c r="AA945" s="9"/>
      <c r="AB945" s="9"/>
      <c r="AC945" s="9"/>
      <c r="AD945" s="9"/>
    </row>
    <row r="946"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204"/>
      <c r="AA946" s="9"/>
      <c r="AB946" s="9"/>
      <c r="AC946" s="9"/>
      <c r="AD946" s="9"/>
    </row>
    <row r="947"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204"/>
      <c r="AA947" s="9"/>
      <c r="AB947" s="9"/>
      <c r="AC947" s="9"/>
      <c r="AD947" s="9"/>
    </row>
    <row r="948"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204"/>
      <c r="AA948" s="9"/>
      <c r="AB948" s="9"/>
      <c r="AC948" s="9"/>
      <c r="AD948" s="9"/>
    </row>
    <row r="949"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204"/>
      <c r="AA949" s="9"/>
      <c r="AB949" s="9"/>
      <c r="AC949" s="9"/>
      <c r="AD949" s="9"/>
    </row>
    <row r="950"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204"/>
      <c r="AA950" s="9"/>
      <c r="AB950" s="9"/>
      <c r="AC950" s="9"/>
      <c r="AD950" s="9"/>
    </row>
    <row r="951"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204"/>
      <c r="AA951" s="9"/>
      <c r="AB951" s="9"/>
      <c r="AC951" s="9"/>
      <c r="AD951" s="9"/>
    </row>
    <row r="952"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204"/>
      <c r="AA952" s="9"/>
      <c r="AB952" s="9"/>
      <c r="AC952" s="9"/>
      <c r="AD952" s="9"/>
    </row>
    <row r="953"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204"/>
      <c r="AA953" s="9"/>
      <c r="AB953" s="9"/>
      <c r="AC953" s="9"/>
      <c r="AD953" s="9"/>
    </row>
    <row r="954"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204"/>
      <c r="AA954" s="9"/>
      <c r="AB954" s="9"/>
      <c r="AC954" s="9"/>
      <c r="AD954" s="9"/>
    </row>
    <row r="955"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204"/>
      <c r="AA955" s="9"/>
      <c r="AB955" s="9"/>
      <c r="AC955" s="9"/>
      <c r="AD955" s="9"/>
    </row>
    <row r="956"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204"/>
      <c r="AA956" s="9"/>
      <c r="AB956" s="9"/>
      <c r="AC956" s="9"/>
      <c r="AD956" s="9"/>
    </row>
    <row r="957"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204"/>
      <c r="AA957" s="9"/>
      <c r="AB957" s="9"/>
      <c r="AC957" s="9"/>
      <c r="AD957" s="9"/>
    </row>
    <row r="958"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204"/>
      <c r="AA958" s="9"/>
      <c r="AB958" s="9"/>
      <c r="AC958" s="9"/>
      <c r="AD958" s="9"/>
    </row>
    <row r="959"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204"/>
      <c r="AA959" s="9"/>
      <c r="AB959" s="9"/>
      <c r="AC959" s="9"/>
      <c r="AD959" s="9"/>
    </row>
    <row r="960"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204"/>
      <c r="AA960" s="9"/>
      <c r="AB960" s="9"/>
      <c r="AC960" s="9"/>
      <c r="AD960" s="9"/>
    </row>
    <row r="961"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204"/>
      <c r="AA961" s="9"/>
      <c r="AB961" s="9"/>
      <c r="AC961" s="9"/>
      <c r="AD961" s="9"/>
    </row>
    <row r="962"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204"/>
      <c r="AA962" s="9"/>
      <c r="AB962" s="9"/>
      <c r="AC962" s="9"/>
      <c r="AD962" s="9"/>
    </row>
    <row r="963"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204"/>
      <c r="AA963" s="9"/>
      <c r="AB963" s="9"/>
      <c r="AC963" s="9"/>
      <c r="AD963" s="9"/>
    </row>
    <row r="964"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204"/>
      <c r="AA964" s="9"/>
      <c r="AB964" s="9"/>
      <c r="AC964" s="9"/>
      <c r="AD964" s="9"/>
    </row>
    <row r="965"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204"/>
      <c r="AA965" s="9"/>
      <c r="AB965" s="9"/>
      <c r="AC965" s="9"/>
      <c r="AD965" s="9"/>
    </row>
    <row r="966"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204"/>
      <c r="AA966" s="9"/>
      <c r="AB966" s="9"/>
      <c r="AC966" s="9"/>
      <c r="AD966" s="9"/>
    </row>
    <row r="967"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204"/>
      <c r="AA967" s="9"/>
      <c r="AB967" s="9"/>
      <c r="AC967" s="9"/>
      <c r="AD967" s="9"/>
    </row>
    <row r="968"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204"/>
      <c r="AA968" s="9"/>
      <c r="AB968" s="9"/>
      <c r="AC968" s="9"/>
      <c r="AD968" s="9"/>
    </row>
    <row r="969"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204"/>
      <c r="AA969" s="9"/>
      <c r="AB969" s="9"/>
      <c r="AC969" s="9"/>
      <c r="AD969" s="9"/>
    </row>
    <row r="970"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204"/>
      <c r="AA970" s="9"/>
      <c r="AB970" s="9"/>
      <c r="AC970" s="9"/>
      <c r="AD970" s="9"/>
    </row>
    <row r="971"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204"/>
      <c r="AA971" s="9"/>
      <c r="AB971" s="9"/>
      <c r="AC971" s="9"/>
      <c r="AD971" s="9"/>
    </row>
    <row r="972"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204"/>
      <c r="AA972" s="9"/>
      <c r="AB972" s="9"/>
      <c r="AC972" s="9"/>
      <c r="AD972" s="9"/>
    </row>
    <row r="973"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204"/>
      <c r="AA973" s="9"/>
      <c r="AB973" s="9"/>
      <c r="AC973" s="9"/>
      <c r="AD973" s="9"/>
    </row>
    <row r="974"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204"/>
      <c r="AA974" s="9"/>
      <c r="AB974" s="9"/>
      <c r="AC974" s="9"/>
      <c r="AD974" s="9"/>
    </row>
    <row r="975"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204"/>
      <c r="AA975" s="9"/>
      <c r="AB975" s="9"/>
      <c r="AC975" s="9"/>
      <c r="AD975" s="9"/>
    </row>
    <row r="976"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204"/>
      <c r="AA976" s="9"/>
      <c r="AB976" s="9"/>
      <c r="AC976" s="9"/>
      <c r="AD976" s="9"/>
    </row>
    <row r="977"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204"/>
      <c r="AA977" s="9"/>
      <c r="AB977" s="9"/>
      <c r="AC977" s="9"/>
      <c r="AD977" s="9"/>
    </row>
    <row r="978"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204"/>
      <c r="AA978" s="9"/>
      <c r="AB978" s="9"/>
      <c r="AC978" s="9"/>
      <c r="AD978" s="9"/>
    </row>
    <row r="979"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204"/>
      <c r="AA979" s="9"/>
      <c r="AB979" s="9"/>
      <c r="AC979" s="9"/>
      <c r="AD979" s="9"/>
    </row>
    <row r="980"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204"/>
      <c r="AA980" s="9"/>
      <c r="AB980" s="9"/>
      <c r="AC980" s="9"/>
      <c r="AD980" s="9"/>
    </row>
    <row r="981"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204"/>
      <c r="AA981" s="9"/>
      <c r="AB981" s="9"/>
      <c r="AC981" s="9"/>
      <c r="AD981" s="9"/>
    </row>
    <row r="982"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204"/>
      <c r="AA982" s="9"/>
      <c r="AB982" s="9"/>
      <c r="AC982" s="9"/>
      <c r="AD982" s="9"/>
    </row>
    <row r="983"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204"/>
      <c r="AA983" s="9"/>
      <c r="AB983" s="9"/>
      <c r="AC983" s="9"/>
      <c r="AD983" s="9"/>
    </row>
    <row r="984"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204"/>
      <c r="AA984" s="9"/>
      <c r="AB984" s="9"/>
      <c r="AC984" s="9"/>
      <c r="AD984" s="9"/>
    </row>
    <row r="985"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204"/>
      <c r="AA985" s="9"/>
      <c r="AB985" s="9"/>
      <c r="AC985" s="9"/>
      <c r="AD985" s="9"/>
    </row>
    <row r="986" ht="15.7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204"/>
      <c r="AA986" s="9"/>
      <c r="AB986" s="9"/>
      <c r="AC986" s="9"/>
      <c r="AD986" s="9"/>
    </row>
    <row r="987" ht="15.7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204"/>
      <c r="AA987" s="9"/>
      <c r="AB987" s="9"/>
      <c r="AC987" s="9"/>
      <c r="AD987" s="9"/>
    </row>
    <row r="988" ht="15.7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204"/>
      <c r="AA988" s="9"/>
      <c r="AB988" s="9"/>
      <c r="AC988" s="9"/>
      <c r="AD988" s="9"/>
    </row>
    <row r="989" ht="15.7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204"/>
      <c r="AA989" s="9"/>
      <c r="AB989" s="9"/>
      <c r="AC989" s="9"/>
      <c r="AD989" s="9"/>
    </row>
    <row r="990" ht="15.7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204"/>
      <c r="AA990" s="9"/>
      <c r="AB990" s="9"/>
      <c r="AC990" s="9"/>
      <c r="AD990" s="9"/>
    </row>
    <row r="991" ht="15.7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204"/>
      <c r="AA991" s="9"/>
      <c r="AB991" s="9"/>
      <c r="AC991" s="9"/>
      <c r="AD991" s="9"/>
    </row>
    <row r="992" ht="15.7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204"/>
      <c r="AA992" s="9"/>
      <c r="AB992" s="9"/>
      <c r="AC992" s="9"/>
      <c r="AD992" s="9"/>
    </row>
    <row r="993" ht="15.7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204"/>
      <c r="AA993" s="9"/>
      <c r="AB993" s="9"/>
      <c r="AC993" s="9"/>
      <c r="AD993" s="9"/>
    </row>
    <row r="994" ht="15.7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204"/>
      <c r="AA994" s="9"/>
      <c r="AB994" s="9"/>
      <c r="AC994" s="9"/>
      <c r="AD994" s="9"/>
    </row>
    <row r="995" ht="15.7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204"/>
      <c r="AA995" s="9"/>
      <c r="AB995" s="9"/>
      <c r="AC995" s="9"/>
      <c r="AD995" s="9"/>
    </row>
    <row r="996" ht="15.7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204"/>
      <c r="AA996" s="9"/>
      <c r="AB996" s="9"/>
      <c r="AC996" s="9"/>
      <c r="AD996" s="9"/>
    </row>
    <row r="997" ht="15.7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204"/>
      <c r="AA997" s="9"/>
      <c r="AB997" s="9"/>
      <c r="AC997" s="9"/>
      <c r="AD997" s="9"/>
    </row>
    <row r="998" ht="15.75"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204"/>
      <c r="AA998" s="9"/>
      <c r="AB998" s="9"/>
      <c r="AC998" s="9"/>
      <c r="AD998" s="9"/>
    </row>
    <row r="999" ht="15.75"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204"/>
      <c r="AA999" s="9"/>
      <c r="AB999" s="9"/>
      <c r="AC999" s="9"/>
      <c r="AD999" s="9"/>
    </row>
    <row r="1000" ht="15.75"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204"/>
      <c r="AA1000" s="9"/>
      <c r="AB1000" s="9"/>
      <c r="AC1000" s="9"/>
      <c r="AD1000" s="9"/>
    </row>
    <row r="1001" ht="15.75" customHeight="1">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204"/>
      <c r="AA1001" s="9"/>
      <c r="AB1001" s="9"/>
      <c r="AC1001" s="9"/>
      <c r="AD1001" s="9"/>
    </row>
    <row r="1002" ht="15.75" customHeight="1">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204"/>
      <c r="AA1002" s="9"/>
      <c r="AB1002" s="9"/>
      <c r="AC1002" s="9"/>
      <c r="AD1002" s="9"/>
    </row>
    <row r="1003" ht="15.75" customHeight="1">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204"/>
      <c r="AA1003" s="9"/>
      <c r="AB1003" s="9"/>
      <c r="AC1003" s="9"/>
      <c r="AD1003" s="9"/>
    </row>
    <row r="1004" ht="15.75" customHeight="1">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204"/>
      <c r="AA1004" s="9"/>
      <c r="AB1004" s="9"/>
      <c r="AC1004" s="9"/>
      <c r="AD1004" s="9"/>
    </row>
    <row r="1005" ht="15.75" customHeight="1">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204"/>
      <c r="AA1005" s="9"/>
      <c r="AB1005" s="9"/>
      <c r="AC1005" s="9"/>
      <c r="AD1005" s="9"/>
    </row>
    <row r="1006" ht="15.75" customHeight="1">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204"/>
      <c r="AA1006" s="9"/>
      <c r="AB1006" s="9"/>
      <c r="AC1006" s="9"/>
      <c r="AD1006" s="9"/>
    </row>
    <row r="1007" ht="15.75" customHeight="1">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204"/>
      <c r="AA1007" s="9"/>
      <c r="AB1007" s="9"/>
      <c r="AC1007" s="9"/>
      <c r="AD1007" s="9"/>
    </row>
    <row r="1008" ht="15.75" customHeight="1">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204"/>
      <c r="AA1008" s="9"/>
      <c r="AB1008" s="9"/>
      <c r="AC1008" s="9"/>
      <c r="AD1008" s="9"/>
    </row>
    <row r="1009" ht="15.75" customHeight="1">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204"/>
      <c r="AA1009" s="9"/>
      <c r="AB1009" s="9"/>
      <c r="AC1009" s="9"/>
      <c r="AD1009" s="9"/>
    </row>
    <row r="1010" ht="15.75" customHeight="1">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204"/>
      <c r="AA1010" s="9"/>
      <c r="AB1010" s="9"/>
      <c r="AC1010" s="9"/>
      <c r="AD1010" s="9"/>
    </row>
    <row r="1011" ht="15.75" customHeight="1">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204"/>
      <c r="AA1011" s="9"/>
      <c r="AB1011" s="9"/>
      <c r="AC1011" s="9"/>
      <c r="AD1011" s="9"/>
    </row>
    <row r="1012" ht="15.75" customHeight="1">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204"/>
      <c r="AA1012" s="9"/>
      <c r="AB1012" s="9"/>
      <c r="AC1012" s="9"/>
      <c r="AD1012" s="9"/>
    </row>
    <row r="1013" ht="15.75" customHeight="1">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204"/>
      <c r="AA1013" s="9"/>
      <c r="AB1013" s="9"/>
      <c r="AC1013" s="9"/>
      <c r="AD1013" s="9"/>
    </row>
    <row r="1014" ht="15.75" customHeight="1">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204"/>
      <c r="AA1014" s="9"/>
      <c r="AB1014" s="9"/>
      <c r="AC1014" s="9"/>
      <c r="AD1014" s="9"/>
    </row>
    <row r="1015" ht="15.75" customHeight="1">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204"/>
      <c r="AA1015" s="9"/>
      <c r="AB1015" s="9"/>
      <c r="AC1015" s="9"/>
      <c r="AD1015" s="9"/>
    </row>
    <row r="1016" ht="15.75" customHeight="1">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204"/>
      <c r="AA1016" s="9"/>
      <c r="AB1016" s="9"/>
      <c r="AC1016" s="9"/>
      <c r="AD1016" s="9"/>
    </row>
    <row r="1017" ht="15.75" customHeight="1">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204"/>
      <c r="AA1017" s="9"/>
      <c r="AB1017" s="9"/>
      <c r="AC1017" s="9"/>
      <c r="AD1017" s="9"/>
    </row>
    <row r="1018" ht="15.75" customHeight="1">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204"/>
      <c r="AA1018" s="9"/>
      <c r="AB1018" s="9"/>
      <c r="AC1018" s="9"/>
      <c r="AD1018" s="9"/>
    </row>
    <row r="1019" ht="15.75" customHeight="1">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204"/>
      <c r="AA1019" s="9"/>
      <c r="AB1019" s="9"/>
      <c r="AC1019" s="9"/>
      <c r="AD1019" s="9"/>
    </row>
    <row r="1020" ht="15.75" customHeight="1">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204"/>
      <c r="AA1020" s="9"/>
      <c r="AB1020" s="9"/>
      <c r="AC1020" s="9"/>
      <c r="AD1020" s="9"/>
    </row>
    <row r="1021" ht="15.75" customHeight="1">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204"/>
      <c r="AA1021" s="9"/>
      <c r="AB1021" s="9"/>
      <c r="AC1021" s="9"/>
      <c r="AD1021" s="9"/>
    </row>
    <row r="1022" ht="15.75" customHeight="1">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204"/>
      <c r="AA1022" s="9"/>
      <c r="AB1022" s="9"/>
      <c r="AC1022" s="9"/>
      <c r="AD1022" s="9"/>
    </row>
    <row r="1023" ht="15.75" customHeight="1">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204"/>
      <c r="AA1023" s="9"/>
      <c r="AB1023" s="9"/>
      <c r="AC1023" s="9"/>
      <c r="AD1023" s="9"/>
    </row>
    <row r="1024" ht="15.75" customHeight="1">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204"/>
      <c r="AA1024" s="9"/>
      <c r="AB1024" s="9"/>
      <c r="AC1024" s="9"/>
      <c r="AD1024" s="9"/>
    </row>
    <row r="1025" ht="15.75" customHeight="1">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204"/>
      <c r="AA1025" s="9"/>
      <c r="AB1025" s="9"/>
      <c r="AC1025" s="9"/>
      <c r="AD1025" s="9"/>
    </row>
    <row r="1026" ht="15.75" customHeight="1">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204"/>
      <c r="AA1026" s="9"/>
      <c r="AB1026" s="9"/>
      <c r="AC1026" s="9"/>
      <c r="AD1026" s="9"/>
    </row>
    <row r="1027" ht="15.75" customHeight="1">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204"/>
      <c r="AA1027" s="9"/>
      <c r="AB1027" s="9"/>
      <c r="AC1027" s="9"/>
      <c r="AD1027" s="9"/>
    </row>
    <row r="1028" ht="15.75" customHeight="1">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204"/>
      <c r="AA1028" s="9"/>
      <c r="AB1028" s="9"/>
      <c r="AC1028" s="9"/>
      <c r="AD1028" s="9"/>
    </row>
    <row r="1029" ht="15.75" customHeight="1">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204"/>
      <c r="AA1029" s="9"/>
      <c r="AB1029" s="9"/>
      <c r="AC1029" s="9"/>
      <c r="AD1029" s="9"/>
    </row>
    <row r="1030" ht="15.75" customHeight="1">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204"/>
      <c r="AA1030" s="9"/>
      <c r="AB1030" s="9"/>
      <c r="AC1030" s="9"/>
      <c r="AD1030" s="9"/>
    </row>
    <row r="1031" ht="15.75" customHeight="1">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204"/>
      <c r="AA1031" s="9"/>
      <c r="AB1031" s="9"/>
      <c r="AC1031" s="9"/>
      <c r="AD1031" s="9"/>
    </row>
    <row r="1032" ht="15.75" customHeight="1">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204"/>
      <c r="AA1032" s="9"/>
      <c r="AB1032" s="9"/>
      <c r="AC1032" s="9"/>
      <c r="AD1032" s="9"/>
    </row>
    <row r="1033" ht="15.75" customHeight="1">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204"/>
      <c r="AA1033" s="9"/>
      <c r="AB1033" s="9"/>
      <c r="AC1033" s="9"/>
      <c r="AD1033" s="9"/>
    </row>
    <row r="1034" ht="15.75" customHeight="1">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204"/>
      <c r="AA1034" s="9"/>
      <c r="AB1034" s="9"/>
      <c r="AC1034" s="9"/>
      <c r="AD1034" s="9"/>
    </row>
    <row r="1035" ht="15.75" customHeight="1">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204"/>
      <c r="AA1035" s="9"/>
      <c r="AB1035" s="9"/>
      <c r="AC1035" s="9"/>
      <c r="AD1035" s="9"/>
    </row>
    <row r="1036" ht="15.75" customHeight="1">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204"/>
      <c r="AA1036" s="9"/>
      <c r="AB1036" s="9"/>
      <c r="AC1036" s="9"/>
      <c r="AD1036" s="9"/>
    </row>
    <row r="1037" ht="15.75" customHeight="1">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204"/>
      <c r="AA1037" s="9"/>
      <c r="AB1037" s="9"/>
      <c r="AC1037" s="9"/>
      <c r="AD1037" s="9"/>
    </row>
    <row r="1038" ht="15.75" customHeight="1">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204"/>
      <c r="AA1038" s="9"/>
      <c r="AB1038" s="9"/>
      <c r="AC1038" s="9"/>
      <c r="AD1038" s="9"/>
    </row>
    <row r="1039" ht="15.75" customHeight="1">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204"/>
      <c r="AA1039" s="9"/>
      <c r="AB1039" s="9"/>
      <c r="AC1039" s="9"/>
      <c r="AD1039" s="9"/>
    </row>
    <row r="1040" ht="15.75" customHeight="1">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204"/>
      <c r="AA1040" s="9"/>
      <c r="AB1040" s="9"/>
      <c r="AC1040" s="9"/>
      <c r="AD1040" s="9"/>
    </row>
    <row r="1041" ht="15.75" customHeight="1">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204"/>
      <c r="AA1041" s="9"/>
      <c r="AB1041" s="9"/>
      <c r="AC1041" s="9"/>
      <c r="AD1041" s="9"/>
    </row>
    <row r="1042" ht="15.75" customHeight="1">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204"/>
      <c r="AA1042" s="9"/>
      <c r="AB1042" s="9"/>
      <c r="AC1042" s="9"/>
      <c r="AD1042" s="9"/>
    </row>
    <row r="1043" ht="15.75" customHeight="1">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204"/>
      <c r="AA1043" s="9"/>
      <c r="AB1043" s="9"/>
      <c r="AC1043" s="9"/>
      <c r="AD1043" s="9"/>
    </row>
    <row r="1044" ht="15.75" customHeight="1">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204"/>
      <c r="AA1044" s="9"/>
      <c r="AB1044" s="9"/>
      <c r="AC1044" s="9"/>
      <c r="AD1044" s="9"/>
    </row>
    <row r="1045" ht="15.75" customHeight="1">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204"/>
      <c r="AA1045" s="9"/>
      <c r="AB1045" s="9"/>
      <c r="AC1045" s="9"/>
      <c r="AD1045" s="9"/>
    </row>
    <row r="1046" ht="15.75" customHeight="1">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204"/>
      <c r="AA1046" s="9"/>
      <c r="AB1046" s="9"/>
      <c r="AC1046" s="9"/>
      <c r="AD1046" s="9"/>
    </row>
    <row r="1047" ht="15.75" customHeight="1">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204"/>
      <c r="AA1047" s="9"/>
      <c r="AB1047" s="9"/>
      <c r="AC1047" s="9"/>
      <c r="AD1047" s="9"/>
    </row>
    <row r="1048" ht="15.75" customHeight="1">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204"/>
      <c r="AA1048" s="9"/>
      <c r="AB1048" s="9"/>
      <c r="AC1048" s="9"/>
      <c r="AD1048" s="9"/>
    </row>
    <row r="1049" ht="15.75" customHeight="1">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204"/>
      <c r="AA1049" s="9"/>
      <c r="AB1049" s="9"/>
      <c r="AC1049" s="9"/>
      <c r="AD1049" s="9"/>
    </row>
    <row r="1050" ht="15.75" customHeight="1">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204"/>
      <c r="AA1050" s="9"/>
      <c r="AB1050" s="9"/>
      <c r="AC1050" s="9"/>
      <c r="AD1050" s="9"/>
    </row>
    <row r="1051" ht="15.75" customHeight="1">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204"/>
      <c r="AA1051" s="9"/>
      <c r="AB1051" s="9"/>
      <c r="AC1051" s="9"/>
      <c r="AD1051" s="9"/>
    </row>
    <row r="1052" ht="15.75" customHeight="1">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204"/>
      <c r="AA1052" s="9"/>
      <c r="AB1052" s="9"/>
      <c r="AC1052" s="9"/>
      <c r="AD1052" s="9"/>
    </row>
    <row r="1053" ht="15.75" customHeight="1">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204"/>
      <c r="AA1053" s="9"/>
      <c r="AB1053" s="9"/>
      <c r="AC1053" s="9"/>
      <c r="AD1053" s="9"/>
    </row>
    <row r="1054" ht="15.75" customHeight="1">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204"/>
      <c r="AA1054" s="9"/>
      <c r="AB1054" s="9"/>
      <c r="AC1054" s="9"/>
      <c r="AD1054" s="9"/>
    </row>
    <row r="1055" ht="15.75" customHeight="1">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204"/>
      <c r="AA1055" s="9"/>
      <c r="AB1055" s="9"/>
      <c r="AC1055" s="9"/>
      <c r="AD1055" s="9"/>
    </row>
    <row r="1056" ht="15.75" customHeight="1">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204"/>
      <c r="AA1056" s="9"/>
      <c r="AB1056" s="9"/>
      <c r="AC1056" s="9"/>
      <c r="AD1056" s="9"/>
    </row>
    <row r="1057" ht="15.75" customHeight="1">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204"/>
      <c r="AA1057" s="9"/>
      <c r="AB1057" s="9"/>
      <c r="AC1057" s="9"/>
      <c r="AD1057" s="9"/>
    </row>
    <row r="1058" ht="15.75" customHeight="1">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204"/>
      <c r="AA1058" s="9"/>
      <c r="AB1058" s="9"/>
      <c r="AC1058" s="9"/>
      <c r="AD1058" s="9"/>
    </row>
    <row r="1059" ht="15.75" customHeight="1">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204"/>
      <c r="AA1059" s="9"/>
      <c r="AB1059" s="9"/>
      <c r="AC1059" s="9"/>
      <c r="AD1059" s="9"/>
    </row>
    <row r="1060" ht="15.75" customHeight="1">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204"/>
      <c r="AA1060" s="9"/>
      <c r="AB1060" s="9"/>
      <c r="AC1060" s="9"/>
      <c r="AD1060" s="9"/>
    </row>
    <row r="1061" ht="15.75" customHeight="1">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204"/>
      <c r="AA1061" s="9"/>
      <c r="AB1061" s="9"/>
      <c r="AC1061" s="9"/>
      <c r="AD1061" s="9"/>
    </row>
  </sheetData>
  <mergeCells count="644">
    <mergeCell ref="L6:L8"/>
    <mergeCell ref="M6:M8"/>
    <mergeCell ref="N6:N8"/>
    <mergeCell ref="O6:O8"/>
    <mergeCell ref="P6:P8"/>
    <mergeCell ref="Q6:Q8"/>
    <mergeCell ref="R6:R8"/>
    <mergeCell ref="A6:A8"/>
    <mergeCell ref="B6:B8"/>
    <mergeCell ref="C6:C8"/>
    <mergeCell ref="D6:D8"/>
    <mergeCell ref="E6:E8"/>
    <mergeCell ref="F6:F8"/>
    <mergeCell ref="K6:K8"/>
    <mergeCell ref="S9:S10"/>
    <mergeCell ref="T9:T10"/>
    <mergeCell ref="L9:L10"/>
    <mergeCell ref="M9:M10"/>
    <mergeCell ref="N9:N10"/>
    <mergeCell ref="O9:O10"/>
    <mergeCell ref="P9:P10"/>
    <mergeCell ref="Q9:Q10"/>
    <mergeCell ref="R9:R10"/>
    <mergeCell ref="G2:J2"/>
    <mergeCell ref="K2:P2"/>
    <mergeCell ref="Q2:S2"/>
    <mergeCell ref="T2:U2"/>
    <mergeCell ref="V2:V3"/>
    <mergeCell ref="W2:W3"/>
    <mergeCell ref="O3:P3"/>
    <mergeCell ref="A1:G1"/>
    <mergeCell ref="A2:A3"/>
    <mergeCell ref="B2:B3"/>
    <mergeCell ref="C2:C3"/>
    <mergeCell ref="D2:D3"/>
    <mergeCell ref="E2:E3"/>
    <mergeCell ref="F2:F3"/>
    <mergeCell ref="S4:S5"/>
    <mergeCell ref="T4:T5"/>
    <mergeCell ref="U4:U5"/>
    <mergeCell ref="V4:V5"/>
    <mergeCell ref="W4:W5"/>
    <mergeCell ref="L4:L5"/>
    <mergeCell ref="M4:M5"/>
    <mergeCell ref="N4:N5"/>
    <mergeCell ref="O4:O5"/>
    <mergeCell ref="P4:P5"/>
    <mergeCell ref="Q4:Q5"/>
    <mergeCell ref="R4:R5"/>
    <mergeCell ref="A4:A5"/>
    <mergeCell ref="B4:B5"/>
    <mergeCell ref="C4:C5"/>
    <mergeCell ref="D4:D5"/>
    <mergeCell ref="E4:E5"/>
    <mergeCell ref="F4:F5"/>
    <mergeCell ref="K4:K5"/>
    <mergeCell ref="S6:S8"/>
    <mergeCell ref="T6:T8"/>
    <mergeCell ref="U6:U8"/>
    <mergeCell ref="V6:V8"/>
    <mergeCell ref="W6:W8"/>
    <mergeCell ref="U9:U10"/>
    <mergeCell ref="V9:V10"/>
    <mergeCell ref="W9:W10"/>
    <mergeCell ref="A9:A10"/>
    <mergeCell ref="B9:B10"/>
    <mergeCell ref="C9:C10"/>
    <mergeCell ref="D9:D10"/>
    <mergeCell ref="E9:E10"/>
    <mergeCell ref="F9:F10"/>
    <mergeCell ref="K9:K10"/>
    <mergeCell ref="S28:S35"/>
    <mergeCell ref="T28:T35"/>
    <mergeCell ref="L28:L35"/>
    <mergeCell ref="M28:M35"/>
    <mergeCell ref="N28:N35"/>
    <mergeCell ref="O28:O35"/>
    <mergeCell ref="P28:P35"/>
    <mergeCell ref="Q28:Q35"/>
    <mergeCell ref="R28:R35"/>
    <mergeCell ref="S12:S13"/>
    <mergeCell ref="T12:T13"/>
    <mergeCell ref="U12:U13"/>
    <mergeCell ref="V12:V13"/>
    <mergeCell ref="W12:W13"/>
    <mergeCell ref="L12:L13"/>
    <mergeCell ref="M12:M13"/>
    <mergeCell ref="N12:N13"/>
    <mergeCell ref="O12:O13"/>
    <mergeCell ref="P12:P13"/>
    <mergeCell ref="Q12:Q13"/>
    <mergeCell ref="R12:R13"/>
    <mergeCell ref="A12:A13"/>
    <mergeCell ref="B12:B13"/>
    <mergeCell ref="C12:C13"/>
    <mergeCell ref="D12:D13"/>
    <mergeCell ref="E12:E13"/>
    <mergeCell ref="F12:F13"/>
    <mergeCell ref="K12:K13"/>
    <mergeCell ref="S17:S27"/>
    <mergeCell ref="T17:T27"/>
    <mergeCell ref="U17:U27"/>
    <mergeCell ref="V17:V27"/>
    <mergeCell ref="W17:W27"/>
    <mergeCell ref="U28:U35"/>
    <mergeCell ref="V28:V35"/>
    <mergeCell ref="W28:W35"/>
    <mergeCell ref="L17:L27"/>
    <mergeCell ref="M17:M27"/>
    <mergeCell ref="N17:N27"/>
    <mergeCell ref="O17:O27"/>
    <mergeCell ref="P17:P27"/>
    <mergeCell ref="Q17:Q27"/>
    <mergeCell ref="R17:R27"/>
    <mergeCell ref="A17:A27"/>
    <mergeCell ref="B17:B27"/>
    <mergeCell ref="C17:C27"/>
    <mergeCell ref="D17:D27"/>
    <mergeCell ref="E17:E27"/>
    <mergeCell ref="F17:F27"/>
    <mergeCell ref="K17:K27"/>
    <mergeCell ref="A28:A35"/>
    <mergeCell ref="B28:B35"/>
    <mergeCell ref="C28:C35"/>
    <mergeCell ref="D28:D35"/>
    <mergeCell ref="E28:E35"/>
    <mergeCell ref="F28:F35"/>
    <mergeCell ref="K28:K35"/>
    <mergeCell ref="S43:S45"/>
    <mergeCell ref="T43:T45"/>
    <mergeCell ref="L43:L45"/>
    <mergeCell ref="M43:M45"/>
    <mergeCell ref="N43:N45"/>
    <mergeCell ref="O43:O45"/>
    <mergeCell ref="P43:P45"/>
    <mergeCell ref="Q43:Q45"/>
    <mergeCell ref="R43:R45"/>
    <mergeCell ref="S38:S39"/>
    <mergeCell ref="T38:T39"/>
    <mergeCell ref="U38:U39"/>
    <mergeCell ref="V38:V39"/>
    <mergeCell ref="W38:W39"/>
    <mergeCell ref="L38:L39"/>
    <mergeCell ref="M38:M39"/>
    <mergeCell ref="N38:N39"/>
    <mergeCell ref="O38:O39"/>
    <mergeCell ref="P38:P39"/>
    <mergeCell ref="Q38:Q39"/>
    <mergeCell ref="R38:R39"/>
    <mergeCell ref="A38:A39"/>
    <mergeCell ref="B38:B39"/>
    <mergeCell ref="C38:C39"/>
    <mergeCell ref="D38:D39"/>
    <mergeCell ref="E38:E39"/>
    <mergeCell ref="F38:F39"/>
    <mergeCell ref="K38:K39"/>
    <mergeCell ref="S41:S42"/>
    <mergeCell ref="T41:T42"/>
    <mergeCell ref="U41:U42"/>
    <mergeCell ref="V41:V42"/>
    <mergeCell ref="W41:W42"/>
    <mergeCell ref="U43:U45"/>
    <mergeCell ref="V43:V45"/>
    <mergeCell ref="W43:W45"/>
    <mergeCell ref="L41:L42"/>
    <mergeCell ref="M41:M42"/>
    <mergeCell ref="N41:N42"/>
    <mergeCell ref="O41:O42"/>
    <mergeCell ref="P41:P42"/>
    <mergeCell ref="Q41:Q42"/>
    <mergeCell ref="R41:R42"/>
    <mergeCell ref="A41:A42"/>
    <mergeCell ref="B41:B42"/>
    <mergeCell ref="C41:C42"/>
    <mergeCell ref="D41:D42"/>
    <mergeCell ref="E41:E42"/>
    <mergeCell ref="F41:F42"/>
    <mergeCell ref="K41:K42"/>
    <mergeCell ref="A43:A45"/>
    <mergeCell ref="B43:B45"/>
    <mergeCell ref="C43:C45"/>
    <mergeCell ref="D43:D45"/>
    <mergeCell ref="E43:E45"/>
    <mergeCell ref="F43:F45"/>
    <mergeCell ref="K43:K45"/>
    <mergeCell ref="S86:S89"/>
    <mergeCell ref="T86:T89"/>
    <mergeCell ref="L86:L89"/>
    <mergeCell ref="M86:M89"/>
    <mergeCell ref="N86:N89"/>
    <mergeCell ref="O86:O89"/>
    <mergeCell ref="P86:P89"/>
    <mergeCell ref="Q86:Q89"/>
    <mergeCell ref="R86:R89"/>
    <mergeCell ref="S76:S78"/>
    <mergeCell ref="T76:T78"/>
    <mergeCell ref="U76:U78"/>
    <mergeCell ref="V76:V78"/>
    <mergeCell ref="W76:W78"/>
    <mergeCell ref="L76:L78"/>
    <mergeCell ref="M76:M78"/>
    <mergeCell ref="N76:N78"/>
    <mergeCell ref="O76:O78"/>
    <mergeCell ref="P76:P78"/>
    <mergeCell ref="Q76:Q78"/>
    <mergeCell ref="R76:R78"/>
    <mergeCell ref="A76:A78"/>
    <mergeCell ref="B76:B78"/>
    <mergeCell ref="C76:C78"/>
    <mergeCell ref="D76:D78"/>
    <mergeCell ref="E76:E78"/>
    <mergeCell ref="F76:F78"/>
    <mergeCell ref="K76:K78"/>
    <mergeCell ref="S80:S84"/>
    <mergeCell ref="T80:T84"/>
    <mergeCell ref="U80:U84"/>
    <mergeCell ref="V80:V84"/>
    <mergeCell ref="W80:W84"/>
    <mergeCell ref="U86:U89"/>
    <mergeCell ref="V86:V89"/>
    <mergeCell ref="W86:W89"/>
    <mergeCell ref="L80:L84"/>
    <mergeCell ref="M80:M84"/>
    <mergeCell ref="N80:N84"/>
    <mergeCell ref="O80:O84"/>
    <mergeCell ref="P80:P84"/>
    <mergeCell ref="Q80:Q84"/>
    <mergeCell ref="R80:R84"/>
    <mergeCell ref="A80:A84"/>
    <mergeCell ref="B80:B84"/>
    <mergeCell ref="C80:C84"/>
    <mergeCell ref="D80:D84"/>
    <mergeCell ref="E80:E84"/>
    <mergeCell ref="F80:F84"/>
    <mergeCell ref="K80:K84"/>
    <mergeCell ref="A86:A89"/>
    <mergeCell ref="B86:B89"/>
    <mergeCell ref="C86:C89"/>
    <mergeCell ref="D86:D89"/>
    <mergeCell ref="E86:E89"/>
    <mergeCell ref="F86:F89"/>
    <mergeCell ref="K86:K89"/>
    <mergeCell ref="S95:S97"/>
    <mergeCell ref="T95:T97"/>
    <mergeCell ref="L95:L97"/>
    <mergeCell ref="M95:M97"/>
    <mergeCell ref="N95:N97"/>
    <mergeCell ref="O95:O97"/>
    <mergeCell ref="P95:P97"/>
    <mergeCell ref="Q95:Q97"/>
    <mergeCell ref="R95:R97"/>
    <mergeCell ref="S90:S91"/>
    <mergeCell ref="T90:T91"/>
    <mergeCell ref="U90:U91"/>
    <mergeCell ref="V90:V91"/>
    <mergeCell ref="W90:W91"/>
    <mergeCell ref="L90:L91"/>
    <mergeCell ref="M90:M91"/>
    <mergeCell ref="N90:N91"/>
    <mergeCell ref="O90:O91"/>
    <mergeCell ref="P90:P91"/>
    <mergeCell ref="Q90:Q91"/>
    <mergeCell ref="R90:R91"/>
    <mergeCell ref="A90:A91"/>
    <mergeCell ref="B90:B91"/>
    <mergeCell ref="C90:C91"/>
    <mergeCell ref="D90:D91"/>
    <mergeCell ref="E90:E91"/>
    <mergeCell ref="F90:F91"/>
    <mergeCell ref="K90:K91"/>
    <mergeCell ref="S93:S94"/>
    <mergeCell ref="T93:T94"/>
    <mergeCell ref="U93:U94"/>
    <mergeCell ref="V93:V94"/>
    <mergeCell ref="W93:W94"/>
    <mergeCell ref="U95:U97"/>
    <mergeCell ref="V95:V97"/>
    <mergeCell ref="W95:W97"/>
    <mergeCell ref="L93:L94"/>
    <mergeCell ref="M93:M94"/>
    <mergeCell ref="N93:N94"/>
    <mergeCell ref="O93:O94"/>
    <mergeCell ref="P93:P94"/>
    <mergeCell ref="Q93:Q94"/>
    <mergeCell ref="R93:R94"/>
    <mergeCell ref="A93:A94"/>
    <mergeCell ref="B93:B94"/>
    <mergeCell ref="C93:C94"/>
    <mergeCell ref="D93:D94"/>
    <mergeCell ref="E93:E94"/>
    <mergeCell ref="F93:F94"/>
    <mergeCell ref="K93:K94"/>
    <mergeCell ref="A95:A97"/>
    <mergeCell ref="B95:B97"/>
    <mergeCell ref="C95:C97"/>
    <mergeCell ref="D95:D97"/>
    <mergeCell ref="E95:E97"/>
    <mergeCell ref="F95:F97"/>
    <mergeCell ref="K95:K97"/>
    <mergeCell ref="S104:S107"/>
    <mergeCell ref="T104:T107"/>
    <mergeCell ref="L104:L107"/>
    <mergeCell ref="M104:M107"/>
    <mergeCell ref="N104:N107"/>
    <mergeCell ref="O104:O107"/>
    <mergeCell ref="P104:P107"/>
    <mergeCell ref="Q104:Q107"/>
    <mergeCell ref="R104:R107"/>
    <mergeCell ref="S99:S100"/>
    <mergeCell ref="T99:T100"/>
    <mergeCell ref="U99:U100"/>
    <mergeCell ref="V99:V100"/>
    <mergeCell ref="W99:W100"/>
    <mergeCell ref="L99:L100"/>
    <mergeCell ref="M99:M100"/>
    <mergeCell ref="N99:N100"/>
    <mergeCell ref="O99:O100"/>
    <mergeCell ref="P99:P100"/>
    <mergeCell ref="Q99:Q100"/>
    <mergeCell ref="R99:R100"/>
    <mergeCell ref="A99:A100"/>
    <mergeCell ref="B99:B100"/>
    <mergeCell ref="C99:C100"/>
    <mergeCell ref="D99:D100"/>
    <mergeCell ref="E99:E100"/>
    <mergeCell ref="F99:F100"/>
    <mergeCell ref="K99:K100"/>
    <mergeCell ref="S101:S102"/>
    <mergeCell ref="T101:T102"/>
    <mergeCell ref="U101:U102"/>
    <mergeCell ref="V101:V102"/>
    <mergeCell ref="W101:W102"/>
    <mergeCell ref="U104:U107"/>
    <mergeCell ref="V104:V107"/>
    <mergeCell ref="W104:W107"/>
    <mergeCell ref="L101:L102"/>
    <mergeCell ref="M101:M102"/>
    <mergeCell ref="N101:N102"/>
    <mergeCell ref="O101:O102"/>
    <mergeCell ref="P101:P102"/>
    <mergeCell ref="Q101:Q102"/>
    <mergeCell ref="R101:R102"/>
    <mergeCell ref="A101:A102"/>
    <mergeCell ref="B101:B102"/>
    <mergeCell ref="C101:C102"/>
    <mergeCell ref="D101:D102"/>
    <mergeCell ref="E101:E102"/>
    <mergeCell ref="F101:F102"/>
    <mergeCell ref="K101:K102"/>
    <mergeCell ref="A104:A107"/>
    <mergeCell ref="B104:B107"/>
    <mergeCell ref="C104:C107"/>
    <mergeCell ref="D104:D107"/>
    <mergeCell ref="E104:E107"/>
    <mergeCell ref="F104:F107"/>
    <mergeCell ref="K104:K107"/>
    <mergeCell ref="S116:S117"/>
    <mergeCell ref="T116:T117"/>
    <mergeCell ref="L116:L117"/>
    <mergeCell ref="M116:M117"/>
    <mergeCell ref="N116:N117"/>
    <mergeCell ref="O116:O117"/>
    <mergeCell ref="P116:P117"/>
    <mergeCell ref="Q116:Q117"/>
    <mergeCell ref="R116:R117"/>
    <mergeCell ref="P108:P111"/>
    <mergeCell ref="Q108:Q111"/>
    <mergeCell ref="R108:R111"/>
    <mergeCell ref="S108:S111"/>
    <mergeCell ref="T108:T111"/>
    <mergeCell ref="U108:U111"/>
    <mergeCell ref="V108:V111"/>
    <mergeCell ref="W108:W111"/>
    <mergeCell ref="I108:I111"/>
    <mergeCell ref="J108:J111"/>
    <mergeCell ref="K108:K111"/>
    <mergeCell ref="L108:L111"/>
    <mergeCell ref="M108:M111"/>
    <mergeCell ref="N108:N111"/>
    <mergeCell ref="O108:O111"/>
    <mergeCell ref="A108:A111"/>
    <mergeCell ref="B108:B111"/>
    <mergeCell ref="C108:C111"/>
    <mergeCell ref="D108:D111"/>
    <mergeCell ref="E108:E111"/>
    <mergeCell ref="F108:F111"/>
    <mergeCell ref="H108:H111"/>
    <mergeCell ref="S113:S114"/>
    <mergeCell ref="T113:T114"/>
    <mergeCell ref="U113:U114"/>
    <mergeCell ref="V113:V114"/>
    <mergeCell ref="W113:W114"/>
    <mergeCell ref="U116:U117"/>
    <mergeCell ref="V116:V117"/>
    <mergeCell ref="W116:W117"/>
    <mergeCell ref="L113:L114"/>
    <mergeCell ref="M113:M114"/>
    <mergeCell ref="N113:N114"/>
    <mergeCell ref="O113:O114"/>
    <mergeCell ref="P113:P114"/>
    <mergeCell ref="Q113:Q114"/>
    <mergeCell ref="R113:R114"/>
    <mergeCell ref="A113:A114"/>
    <mergeCell ref="B113:B114"/>
    <mergeCell ref="C113:C114"/>
    <mergeCell ref="D113:D114"/>
    <mergeCell ref="E113:E114"/>
    <mergeCell ref="F113:F114"/>
    <mergeCell ref="K113:K114"/>
    <mergeCell ref="A116:A117"/>
    <mergeCell ref="B116:B117"/>
    <mergeCell ref="C116:C117"/>
    <mergeCell ref="D116:D117"/>
    <mergeCell ref="E116:E117"/>
    <mergeCell ref="F116:F117"/>
    <mergeCell ref="K116:K117"/>
    <mergeCell ref="S55:S57"/>
    <mergeCell ref="T55:T57"/>
    <mergeCell ref="L55:L57"/>
    <mergeCell ref="M55:M57"/>
    <mergeCell ref="N55:N57"/>
    <mergeCell ref="O55:O57"/>
    <mergeCell ref="P55:P57"/>
    <mergeCell ref="Q55:Q57"/>
    <mergeCell ref="R55:R57"/>
    <mergeCell ref="S46:S48"/>
    <mergeCell ref="T46:T48"/>
    <mergeCell ref="U46:U48"/>
    <mergeCell ref="V46:V48"/>
    <mergeCell ref="W46:W48"/>
    <mergeCell ref="L46:L48"/>
    <mergeCell ref="M46:M48"/>
    <mergeCell ref="N46:N48"/>
    <mergeCell ref="O46:O48"/>
    <mergeCell ref="P46:P48"/>
    <mergeCell ref="Q46:Q48"/>
    <mergeCell ref="R46:R48"/>
    <mergeCell ref="A46:A48"/>
    <mergeCell ref="B46:B48"/>
    <mergeCell ref="C46:C48"/>
    <mergeCell ref="D46:D48"/>
    <mergeCell ref="E46:E48"/>
    <mergeCell ref="F46:F48"/>
    <mergeCell ref="K46:K48"/>
    <mergeCell ref="S52:S54"/>
    <mergeCell ref="T52:T54"/>
    <mergeCell ref="U52:U54"/>
    <mergeCell ref="V52:V54"/>
    <mergeCell ref="W52:W54"/>
    <mergeCell ref="U55:U57"/>
    <mergeCell ref="V55:V57"/>
    <mergeCell ref="W55:W57"/>
    <mergeCell ref="L52:L54"/>
    <mergeCell ref="M52:M54"/>
    <mergeCell ref="N52:N54"/>
    <mergeCell ref="O52:O54"/>
    <mergeCell ref="P52:P54"/>
    <mergeCell ref="Q52:Q54"/>
    <mergeCell ref="R52:R54"/>
    <mergeCell ref="A52:A54"/>
    <mergeCell ref="B52:B54"/>
    <mergeCell ref="C52:C54"/>
    <mergeCell ref="D52:D54"/>
    <mergeCell ref="E52:E54"/>
    <mergeCell ref="F52:F54"/>
    <mergeCell ref="K52:K54"/>
    <mergeCell ref="A55:A57"/>
    <mergeCell ref="B55:B57"/>
    <mergeCell ref="C55:C57"/>
    <mergeCell ref="D55:D57"/>
    <mergeCell ref="E55:E57"/>
    <mergeCell ref="F55:F57"/>
    <mergeCell ref="K55:K57"/>
    <mergeCell ref="S66:S68"/>
    <mergeCell ref="T66:T68"/>
    <mergeCell ref="L66:L68"/>
    <mergeCell ref="M66:M68"/>
    <mergeCell ref="N66:N68"/>
    <mergeCell ref="O66:O68"/>
    <mergeCell ref="P66:P68"/>
    <mergeCell ref="Q66:Q68"/>
    <mergeCell ref="R66:R68"/>
    <mergeCell ref="S59:S61"/>
    <mergeCell ref="T59:T61"/>
    <mergeCell ref="U59:U61"/>
    <mergeCell ref="V59:V61"/>
    <mergeCell ref="W59:W61"/>
    <mergeCell ref="L59:L61"/>
    <mergeCell ref="M59:M61"/>
    <mergeCell ref="N59:N61"/>
    <mergeCell ref="O59:O61"/>
    <mergeCell ref="P59:P61"/>
    <mergeCell ref="Q59:Q61"/>
    <mergeCell ref="R59:R61"/>
    <mergeCell ref="A59:A61"/>
    <mergeCell ref="B59:B61"/>
    <mergeCell ref="C59:C61"/>
    <mergeCell ref="D59:D61"/>
    <mergeCell ref="E59:E61"/>
    <mergeCell ref="F59:F61"/>
    <mergeCell ref="K59:K61"/>
    <mergeCell ref="S62:S64"/>
    <mergeCell ref="T62:T64"/>
    <mergeCell ref="U62:U64"/>
    <mergeCell ref="V62:V64"/>
    <mergeCell ref="W62:W64"/>
    <mergeCell ref="U66:U68"/>
    <mergeCell ref="V66:V68"/>
    <mergeCell ref="W66:W68"/>
    <mergeCell ref="L62:L64"/>
    <mergeCell ref="M62:M64"/>
    <mergeCell ref="N62:N64"/>
    <mergeCell ref="O62:O64"/>
    <mergeCell ref="P62:P64"/>
    <mergeCell ref="Q62:Q64"/>
    <mergeCell ref="R62:R64"/>
    <mergeCell ref="A62:A64"/>
    <mergeCell ref="B62:B64"/>
    <mergeCell ref="C62:C64"/>
    <mergeCell ref="D62:D64"/>
    <mergeCell ref="E62:E64"/>
    <mergeCell ref="F62:F64"/>
    <mergeCell ref="K62:K64"/>
    <mergeCell ref="A66:A68"/>
    <mergeCell ref="B66:B68"/>
    <mergeCell ref="C66:C68"/>
    <mergeCell ref="D66:D68"/>
    <mergeCell ref="E66:E68"/>
    <mergeCell ref="F66:F68"/>
    <mergeCell ref="K66:K68"/>
    <mergeCell ref="S74:S75"/>
    <mergeCell ref="T74:T75"/>
    <mergeCell ref="L74:L75"/>
    <mergeCell ref="M74:M75"/>
    <mergeCell ref="N74:N75"/>
    <mergeCell ref="O74:O75"/>
    <mergeCell ref="P74:P75"/>
    <mergeCell ref="Q74:Q75"/>
    <mergeCell ref="R74:R75"/>
    <mergeCell ref="S69:S70"/>
    <mergeCell ref="T69:T70"/>
    <mergeCell ref="U69:U70"/>
    <mergeCell ref="V69:V70"/>
    <mergeCell ref="W69:W70"/>
    <mergeCell ref="L69:L70"/>
    <mergeCell ref="M69:M70"/>
    <mergeCell ref="N69:N70"/>
    <mergeCell ref="O69:O70"/>
    <mergeCell ref="P69:P70"/>
    <mergeCell ref="Q69:Q70"/>
    <mergeCell ref="R69:R70"/>
    <mergeCell ref="A69:A70"/>
    <mergeCell ref="B69:B70"/>
    <mergeCell ref="C69:C70"/>
    <mergeCell ref="D69:D70"/>
    <mergeCell ref="E69:E70"/>
    <mergeCell ref="F69:F70"/>
    <mergeCell ref="K69:K70"/>
    <mergeCell ref="S71:S73"/>
    <mergeCell ref="T71:T73"/>
    <mergeCell ref="U71:U73"/>
    <mergeCell ref="V71:V73"/>
    <mergeCell ref="W71:W73"/>
    <mergeCell ref="U74:U75"/>
    <mergeCell ref="V74:V75"/>
    <mergeCell ref="W74:W75"/>
    <mergeCell ref="L71:L73"/>
    <mergeCell ref="M71:M73"/>
    <mergeCell ref="N71:N73"/>
    <mergeCell ref="O71:O73"/>
    <mergeCell ref="P71:P73"/>
    <mergeCell ref="Q71:Q73"/>
    <mergeCell ref="R71:R73"/>
    <mergeCell ref="A71:A73"/>
    <mergeCell ref="B71:B73"/>
    <mergeCell ref="C71:C73"/>
    <mergeCell ref="D71:D73"/>
    <mergeCell ref="E71:E73"/>
    <mergeCell ref="F71:F73"/>
    <mergeCell ref="K71:K73"/>
    <mergeCell ref="A74:A75"/>
    <mergeCell ref="B74:B75"/>
    <mergeCell ref="C74:C75"/>
    <mergeCell ref="D74:D75"/>
    <mergeCell ref="E74:E75"/>
    <mergeCell ref="F74:F75"/>
    <mergeCell ref="K74:K75"/>
    <mergeCell ref="N188:O188"/>
    <mergeCell ref="N189:O189"/>
    <mergeCell ref="N190:O190"/>
    <mergeCell ref="B191:J191"/>
    <mergeCell ref="N191:O191"/>
    <mergeCell ref="M195:N195"/>
    <mergeCell ref="M196:N196"/>
    <mergeCell ref="O197:O198"/>
    <mergeCell ref="A194:D194"/>
    <mergeCell ref="B197:B198"/>
    <mergeCell ref="C197:C198"/>
    <mergeCell ref="D197:D198"/>
    <mergeCell ref="E197:E198"/>
    <mergeCell ref="F197:F198"/>
    <mergeCell ref="G197:G198"/>
    <mergeCell ref="S121:S122"/>
    <mergeCell ref="T121:T122"/>
    <mergeCell ref="U121:U122"/>
    <mergeCell ref="V121:V122"/>
    <mergeCell ref="W121:W122"/>
    <mergeCell ref="L121:L122"/>
    <mergeCell ref="M121:M122"/>
    <mergeCell ref="N121:N122"/>
    <mergeCell ref="O121:O122"/>
    <mergeCell ref="P121:P122"/>
    <mergeCell ref="Q121:Q122"/>
    <mergeCell ref="R121:R122"/>
    <mergeCell ref="A121:A122"/>
    <mergeCell ref="B121:B122"/>
    <mergeCell ref="C121:C122"/>
    <mergeCell ref="D121:D122"/>
    <mergeCell ref="E121:E122"/>
    <mergeCell ref="F121:F122"/>
    <mergeCell ref="K121:K122"/>
    <mergeCell ref="B127:I127"/>
    <mergeCell ref="B128:I128"/>
    <mergeCell ref="B129:I129"/>
    <mergeCell ref="B130:I130"/>
    <mergeCell ref="B133:D133"/>
    <mergeCell ref="E133:J133"/>
    <mergeCell ref="M133:S133"/>
    <mergeCell ref="B135:B150"/>
    <mergeCell ref="B151:B174"/>
    <mergeCell ref="B175:H175"/>
    <mergeCell ref="B176:H176"/>
    <mergeCell ref="B177:H177"/>
    <mergeCell ref="B178:D178"/>
    <mergeCell ref="E178:H178"/>
    <mergeCell ref="B179:H179"/>
    <mergeCell ref="B180:H180"/>
    <mergeCell ref="B181:H181"/>
    <mergeCell ref="B182:H182"/>
    <mergeCell ref="B183:H183"/>
    <mergeCell ref="A185:D185"/>
    <mergeCell ref="N187:O187"/>
    <mergeCell ref="L197:L198"/>
    <mergeCell ref="M197:N198"/>
  </mergeCells>
  <dataValidations>
    <dataValidation type="list" allowBlank="1" showErrorMessage="1" sqref="R4 R6 R9 R11:R12 R14:R17 R28 R36:R38 R40:R41 R43 R46 R49:R52 R55 R58:R59 R62 R65:R66 R69 R71 R74 R76 R79:R80 R85:R86 R90 R92:R93 R95 R98:R99 R101 R103:R104 R108 R112:R113 R115:R116 R118:R121">
      <formula1>"Cty trả ship"</formula1>
    </dataValidation>
    <dataValidation type="list" allowBlank="1" showErrorMessage="1" sqref="P4 P6 P9 P11:P12 P14:P17 P28 P36:P38 P40:P41 P43 P46 P49:P52 P55 P58:P59 P62 P65:P66 P69 P71 P74 P76 P79:P80 P85:P86 P90 P92:P93 P95 P98:P99 P101 P103:P104 P108 P112:P113 P115:P116 P118:P121 P123:P125">
      <formula1>"Chưa thu,Đã thu"</formula1>
    </dataValidation>
    <dataValidation type="list" allowBlank="1" showErrorMessage="1" sqref="O4 O6 O9 O11:O12 O14:O17 O28 O36:O38 O40:O41 O43 O46 O49:O52 O55 O58:O59 O62 O65:O66 O69 O71 O74 O76 O79:O80 O85:O86 O90 O92:O93 O95 O98:O99 O101 O103:O104 O108 O112:O113 O115:O116 O118:O121 O123:O125">
      <formula1>"Chưa giao,Đã giao"</formula1>
    </dataValidation>
  </dataValidation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4.0" topLeftCell="E1" activePane="topRight" state="frozen"/>
      <selection activeCell="F2" sqref="F2" pane="topRight"/>
    </sheetView>
  </sheetViews>
  <sheetFormatPr customHeight="1" defaultColWidth="12.63" defaultRowHeight="15.0"/>
  <cols>
    <col customWidth="1" min="1" max="1" width="8.75"/>
    <col customWidth="1" min="2" max="2" width="14.75"/>
    <col customWidth="1" min="3" max="3" width="18.0"/>
    <col customWidth="1" min="4" max="4" width="30.63"/>
    <col customWidth="1" min="5" max="5" width="19.13"/>
    <col customWidth="1" min="6" max="6" width="55.38"/>
    <col customWidth="1" min="7" max="7" width="20.38"/>
    <col customWidth="1" min="8" max="8" width="15.13"/>
    <col customWidth="1" min="9" max="9" width="17.38"/>
    <col customWidth="1" min="10" max="10" width="16.88"/>
    <col customWidth="1" min="11" max="11" width="16.13"/>
    <col customWidth="1" min="12" max="14" width="18.75"/>
    <col customWidth="1" min="15" max="15" width="20.38"/>
    <col customWidth="1" min="16" max="16" width="19.13"/>
    <col customWidth="1" min="17" max="17" width="17.88"/>
    <col customWidth="1" min="18" max="18" width="19.38"/>
    <col customWidth="1" min="19" max="19" width="21.75"/>
    <col customWidth="1" min="20" max="20" width="20.38"/>
    <col customWidth="1" min="21" max="21" width="17.38"/>
    <col customWidth="1" min="22" max="22" width="32.75"/>
    <col customWidth="1" min="23" max="23" width="8.63"/>
    <col customWidth="1" min="24" max="24" width="21.13"/>
    <col customWidth="1" min="25" max="25" width="16.63"/>
    <col customWidth="1" min="26" max="29" width="12.63"/>
  </cols>
  <sheetData>
    <row r="1" ht="28.5" customHeight="1">
      <c r="A1" s="1" t="s">
        <v>2300</v>
      </c>
      <c r="B1" s="2"/>
      <c r="C1" s="2"/>
      <c r="D1" s="2"/>
      <c r="E1" s="2"/>
      <c r="F1" s="2"/>
      <c r="G1" s="3"/>
      <c r="H1" s="4"/>
      <c r="I1" s="4"/>
      <c r="J1" s="4"/>
      <c r="K1" s="4"/>
      <c r="L1" s="4"/>
      <c r="M1" s="4"/>
      <c r="N1" s="4"/>
      <c r="O1" s="4"/>
      <c r="P1" s="4"/>
      <c r="Q1" s="4"/>
      <c r="R1" s="4"/>
      <c r="S1" s="4"/>
      <c r="T1" s="4"/>
      <c r="U1" s="4"/>
      <c r="V1" s="4"/>
      <c r="W1" s="6"/>
      <c r="X1" s="6"/>
      <c r="Y1" s="7"/>
      <c r="Z1" s="8"/>
      <c r="AA1" s="8"/>
      <c r="AB1" s="8"/>
      <c r="AC1" s="9"/>
    </row>
    <row r="2" ht="40.5" customHeight="1">
      <c r="A2" s="10" t="s">
        <v>1</v>
      </c>
      <c r="B2" s="11" t="s">
        <v>2</v>
      </c>
      <c r="C2" s="12" t="s">
        <v>3</v>
      </c>
      <c r="D2" s="13" t="s">
        <v>4</v>
      </c>
      <c r="E2" s="14" t="s">
        <v>5</v>
      </c>
      <c r="F2" s="13" t="s">
        <v>6</v>
      </c>
      <c r="G2" s="15" t="s">
        <v>7</v>
      </c>
      <c r="H2" s="16"/>
      <c r="I2" s="16"/>
      <c r="J2" s="17"/>
      <c r="K2" s="18" t="s">
        <v>8</v>
      </c>
      <c r="L2" s="16"/>
      <c r="M2" s="16"/>
      <c r="N2" s="16"/>
      <c r="O2" s="16"/>
      <c r="P2" s="17"/>
      <c r="Q2" s="19" t="s">
        <v>9</v>
      </c>
      <c r="R2" s="16"/>
      <c r="S2" s="17"/>
      <c r="T2" s="20" t="s">
        <v>10</v>
      </c>
      <c r="U2" s="17"/>
      <c r="V2" s="21" t="s">
        <v>11</v>
      </c>
      <c r="W2" s="22"/>
      <c r="X2" s="23"/>
      <c r="Y2" s="24"/>
      <c r="Z2" s="25"/>
      <c r="AA2" s="25"/>
      <c r="AB2" s="25"/>
      <c r="AC2" s="22"/>
    </row>
    <row r="3" ht="57.75" customHeight="1">
      <c r="A3" s="26"/>
      <c r="B3" s="26"/>
      <c r="C3" s="26"/>
      <c r="D3" s="26"/>
      <c r="E3" s="26"/>
      <c r="F3" s="26"/>
      <c r="G3" s="27" t="s">
        <v>12</v>
      </c>
      <c r="H3" s="27" t="s">
        <v>13</v>
      </c>
      <c r="I3" s="28" t="s">
        <v>14</v>
      </c>
      <c r="J3" s="29" t="s">
        <v>15</v>
      </c>
      <c r="K3" s="30" t="s">
        <v>16</v>
      </c>
      <c r="L3" s="31" t="s">
        <v>17</v>
      </c>
      <c r="M3" s="32" t="s">
        <v>18</v>
      </c>
      <c r="N3" s="33" t="s">
        <v>19</v>
      </c>
      <c r="O3" s="34" t="s">
        <v>20</v>
      </c>
      <c r="P3" s="35" t="s">
        <v>21</v>
      </c>
      <c r="Q3" s="36" t="s">
        <v>22</v>
      </c>
      <c r="R3" s="37" t="s">
        <v>23</v>
      </c>
      <c r="S3" s="37" t="s">
        <v>2301</v>
      </c>
      <c r="T3" s="38" t="s">
        <v>25</v>
      </c>
      <c r="U3" s="38" t="s">
        <v>26</v>
      </c>
      <c r="V3" s="26"/>
      <c r="W3" s="22"/>
      <c r="X3" s="23"/>
      <c r="Y3" s="24"/>
      <c r="Z3" s="25"/>
      <c r="AA3" s="25"/>
      <c r="AB3" s="25"/>
      <c r="AC3" s="22"/>
    </row>
    <row r="4" ht="30.0" customHeight="1">
      <c r="A4" s="85"/>
      <c r="B4" s="1635"/>
      <c r="C4" s="812"/>
      <c r="D4" s="1636"/>
      <c r="E4" s="1637"/>
      <c r="F4" s="673"/>
      <c r="G4" s="45" t="s">
        <v>30</v>
      </c>
      <c r="H4" s="46"/>
      <c r="I4" s="47">
        <f>VLOOKUP(G4,$X$4:$Y$47,2,0)</f>
        <v>220000</v>
      </c>
      <c r="J4" s="48">
        <f>I4*H4</f>
        <v>0</v>
      </c>
      <c r="K4" s="76">
        <f t="shared" ref="K4:K8" si="1">SUM(J4)</f>
        <v>0</v>
      </c>
      <c r="L4" s="138"/>
      <c r="M4" s="575"/>
      <c r="N4" s="136"/>
      <c r="O4" s="80">
        <f t="shared" ref="O4:O50" si="2">K4+L4-M4-N4</f>
        <v>0</v>
      </c>
      <c r="P4" s="1638"/>
      <c r="Q4" s="814"/>
      <c r="R4" s="91"/>
      <c r="S4" s="91"/>
      <c r="T4" s="412"/>
      <c r="U4" s="412"/>
      <c r="V4" s="412"/>
      <c r="W4" s="22"/>
      <c r="X4" s="60" t="s">
        <v>34</v>
      </c>
      <c r="Y4" s="61">
        <v>65000.0</v>
      </c>
      <c r="Z4" s="25"/>
      <c r="AA4" s="25"/>
      <c r="AB4" s="25"/>
      <c r="AC4" s="22"/>
    </row>
    <row r="5" ht="30.0" customHeight="1">
      <c r="A5" s="996"/>
      <c r="B5" s="996"/>
      <c r="C5" s="1002"/>
      <c r="D5" s="1002"/>
      <c r="E5" s="996"/>
      <c r="F5" s="1002"/>
      <c r="G5" s="63"/>
      <c r="H5" s="64"/>
      <c r="I5" s="47"/>
      <c r="J5" s="48"/>
      <c r="K5" s="76">
        <f t="shared" si="1"/>
        <v>0</v>
      </c>
      <c r="L5" s="1002"/>
      <c r="M5" s="575"/>
      <c r="N5" s="136"/>
      <c r="O5" s="80">
        <f t="shared" si="2"/>
        <v>0</v>
      </c>
      <c r="P5" s="176"/>
      <c r="Q5" s="1002"/>
      <c r="R5" s="91"/>
      <c r="S5" s="91"/>
      <c r="T5" s="1002"/>
      <c r="U5" s="1002"/>
      <c r="V5" s="1002"/>
      <c r="W5" s="22"/>
      <c r="X5" s="65" t="s">
        <v>36</v>
      </c>
      <c r="Y5" s="66">
        <v>180000.0</v>
      </c>
      <c r="Z5" s="25"/>
      <c r="AA5" s="25"/>
      <c r="AB5" s="25"/>
      <c r="AC5" s="22"/>
    </row>
    <row r="6" ht="30.0" customHeight="1">
      <c r="A6" s="129"/>
      <c r="B6" s="1124"/>
      <c r="C6" s="129"/>
      <c r="D6" s="681"/>
      <c r="E6" s="129"/>
      <c r="F6" s="681"/>
      <c r="G6" s="68"/>
      <c r="H6" s="69"/>
      <c r="I6" s="47"/>
      <c r="J6" s="48">
        <f t="shared" ref="J6:J50" si="3">I6*H6</f>
        <v>0</v>
      </c>
      <c r="K6" s="76">
        <f t="shared" si="1"/>
        <v>0</v>
      </c>
      <c r="L6" s="89"/>
      <c r="M6" s="575"/>
      <c r="N6" s="136"/>
      <c r="O6" s="80">
        <f t="shared" si="2"/>
        <v>0</v>
      </c>
      <c r="P6" s="176"/>
      <c r="Q6" s="90"/>
      <c r="R6" s="91"/>
      <c r="S6" s="91"/>
      <c r="T6" s="85"/>
      <c r="U6" s="414"/>
      <c r="V6" s="257"/>
      <c r="W6" s="22"/>
      <c r="X6" s="65" t="s">
        <v>38</v>
      </c>
      <c r="Y6" s="66">
        <v>160000.0</v>
      </c>
      <c r="Z6" s="25"/>
      <c r="AA6" s="25"/>
      <c r="AB6" s="25"/>
      <c r="AC6" s="22"/>
    </row>
    <row r="7" ht="30.0" customHeight="1">
      <c r="A7" s="129"/>
      <c r="B7" s="1124"/>
      <c r="C7" s="129"/>
      <c r="D7" s="681"/>
      <c r="E7" s="129"/>
      <c r="F7" s="681"/>
      <c r="G7" s="681"/>
      <c r="H7" s="129"/>
      <c r="I7" s="47"/>
      <c r="J7" s="48">
        <f t="shared" si="3"/>
        <v>0</v>
      </c>
      <c r="K7" s="76">
        <f t="shared" si="1"/>
        <v>0</v>
      </c>
      <c r="L7" s="77"/>
      <c r="M7" s="575"/>
      <c r="N7" s="136"/>
      <c r="O7" s="80">
        <f t="shared" si="2"/>
        <v>0</v>
      </c>
      <c r="P7" s="176"/>
      <c r="Q7" s="90"/>
      <c r="R7" s="91"/>
      <c r="S7" s="91"/>
      <c r="T7" s="85"/>
      <c r="U7" s="414"/>
      <c r="V7" s="86"/>
      <c r="W7" s="22"/>
      <c r="X7" s="65" t="s">
        <v>43</v>
      </c>
      <c r="Y7" s="87">
        <v>65000.0</v>
      </c>
      <c r="Z7" s="25"/>
      <c r="AA7" s="25"/>
      <c r="AB7" s="25"/>
      <c r="AC7" s="22"/>
    </row>
    <row r="8" ht="30.0" customHeight="1">
      <c r="A8" s="129"/>
      <c r="B8" s="1124"/>
      <c r="C8" s="129"/>
      <c r="D8" s="681"/>
      <c r="E8" s="129"/>
      <c r="F8" s="681"/>
      <c r="G8" s="681"/>
      <c r="H8" s="129"/>
      <c r="I8" s="47"/>
      <c r="J8" s="48">
        <f t="shared" si="3"/>
        <v>0</v>
      </c>
      <c r="K8" s="76">
        <f t="shared" si="1"/>
        <v>0</v>
      </c>
      <c r="L8" s="77"/>
      <c r="M8" s="575"/>
      <c r="N8" s="136"/>
      <c r="O8" s="80">
        <f t="shared" si="2"/>
        <v>0</v>
      </c>
      <c r="P8" s="176"/>
      <c r="Q8" s="90"/>
      <c r="R8" s="91"/>
      <c r="S8" s="91"/>
      <c r="T8" s="85"/>
      <c r="U8" s="414"/>
      <c r="V8" s="86"/>
      <c r="W8" s="22"/>
      <c r="X8" s="65" t="s">
        <v>48</v>
      </c>
      <c r="Y8" s="66">
        <v>55000.0</v>
      </c>
      <c r="Z8" s="25"/>
      <c r="AA8" s="25"/>
      <c r="AB8" s="25"/>
      <c r="AC8" s="22"/>
    </row>
    <row r="9" ht="30.0" customHeight="1">
      <c r="A9" s="129"/>
      <c r="B9" s="1124"/>
      <c r="C9" s="677"/>
      <c r="D9" s="677"/>
      <c r="E9" s="129"/>
      <c r="F9" s="677"/>
      <c r="G9" s="681"/>
      <c r="H9" s="129"/>
      <c r="I9" s="47"/>
      <c r="J9" s="48">
        <f t="shared" si="3"/>
        <v>0</v>
      </c>
      <c r="K9" s="76"/>
      <c r="L9" s="138"/>
      <c r="M9" s="575"/>
      <c r="N9" s="136"/>
      <c r="O9" s="80">
        <f t="shared" si="2"/>
        <v>0</v>
      </c>
      <c r="P9" s="176"/>
      <c r="Q9" s="134"/>
      <c r="R9" s="91"/>
      <c r="S9" s="91"/>
      <c r="T9" s="419"/>
      <c r="U9" s="419"/>
      <c r="V9" s="412"/>
      <c r="W9" s="22"/>
      <c r="X9" s="93" t="s">
        <v>54</v>
      </c>
      <c r="Y9" s="87">
        <v>40000.0</v>
      </c>
      <c r="Z9" s="25"/>
      <c r="AA9" s="25"/>
      <c r="AB9" s="25"/>
      <c r="AC9" s="22"/>
    </row>
    <row r="10" ht="30.0" customHeight="1">
      <c r="A10" s="129"/>
      <c r="B10" s="1124"/>
      <c r="C10" s="677"/>
      <c r="D10" s="677"/>
      <c r="E10" s="129"/>
      <c r="F10" s="677"/>
      <c r="G10" s="681"/>
      <c r="H10" s="129"/>
      <c r="I10" s="47"/>
      <c r="J10" s="48">
        <f t="shared" si="3"/>
        <v>0</v>
      </c>
      <c r="K10" s="76">
        <f t="shared" ref="K10:K51" si="4">SUM(J10)</f>
        <v>0</v>
      </c>
      <c r="L10" s="138"/>
      <c r="M10" s="575"/>
      <c r="N10" s="136"/>
      <c r="O10" s="80">
        <f t="shared" si="2"/>
        <v>0</v>
      </c>
      <c r="P10" s="176"/>
      <c r="Q10" s="134"/>
      <c r="R10" s="91"/>
      <c r="S10" s="91"/>
      <c r="T10" s="419"/>
      <c r="U10" s="419"/>
      <c r="V10" s="412"/>
      <c r="W10" s="22"/>
      <c r="X10" s="65" t="s">
        <v>60</v>
      </c>
      <c r="Y10" s="66">
        <v>45000.0</v>
      </c>
      <c r="Z10" s="25"/>
      <c r="AA10" s="25"/>
      <c r="AB10" s="25"/>
      <c r="AC10" s="22"/>
    </row>
    <row r="11" ht="30.0" customHeight="1">
      <c r="A11" s="996"/>
      <c r="B11" s="996"/>
      <c r="C11" s="1002"/>
      <c r="D11" s="1002"/>
      <c r="E11" s="996"/>
      <c r="F11" s="1002"/>
      <c r="G11" s="681"/>
      <c r="H11" s="129"/>
      <c r="I11" s="47"/>
      <c r="J11" s="48">
        <f t="shared" si="3"/>
        <v>0</v>
      </c>
      <c r="K11" s="76">
        <f t="shared" si="4"/>
        <v>0</v>
      </c>
      <c r="L11" s="1002"/>
      <c r="M11" s="575"/>
      <c r="N11" s="136"/>
      <c r="O11" s="80">
        <f t="shared" si="2"/>
        <v>0</v>
      </c>
      <c r="P11" s="176"/>
      <c r="Q11" s="1002"/>
      <c r="R11" s="91"/>
      <c r="S11" s="91"/>
      <c r="T11" s="1002"/>
      <c r="U11" s="1002"/>
      <c r="V11" s="1002"/>
      <c r="W11" s="22"/>
      <c r="X11" s="93" t="s">
        <v>62</v>
      </c>
      <c r="Y11" s="87">
        <v>55000.0</v>
      </c>
      <c r="Z11" s="25"/>
      <c r="AA11" s="25"/>
      <c r="AB11" s="25"/>
      <c r="AC11" s="22"/>
    </row>
    <row r="12" ht="30.0" customHeight="1">
      <c r="A12" s="996"/>
      <c r="B12" s="996"/>
      <c r="C12" s="1002"/>
      <c r="D12" s="1002"/>
      <c r="E12" s="996"/>
      <c r="F12" s="1002"/>
      <c r="G12" s="457"/>
      <c r="H12" s="85"/>
      <c r="I12" s="47"/>
      <c r="J12" s="48">
        <f t="shared" si="3"/>
        <v>0</v>
      </c>
      <c r="K12" s="76">
        <f t="shared" si="4"/>
        <v>0</v>
      </c>
      <c r="L12" s="1002"/>
      <c r="M12" s="575"/>
      <c r="N12" s="136"/>
      <c r="O12" s="80">
        <f t="shared" si="2"/>
        <v>0</v>
      </c>
      <c r="P12" s="176"/>
      <c r="Q12" s="1002"/>
      <c r="R12" s="91"/>
      <c r="S12" s="91"/>
      <c r="T12" s="1002"/>
      <c r="U12" s="1002"/>
      <c r="V12" s="1002"/>
      <c r="W12" s="22"/>
      <c r="X12" s="65" t="s">
        <v>66</v>
      </c>
      <c r="Y12" s="66">
        <v>205000.0</v>
      </c>
      <c r="Z12" s="25"/>
      <c r="AA12" s="25"/>
      <c r="AB12" s="25"/>
      <c r="AC12" s="22"/>
    </row>
    <row r="13" ht="30.0" customHeight="1">
      <c r="A13" s="996"/>
      <c r="B13" s="996"/>
      <c r="C13" s="1002"/>
      <c r="D13" s="1002"/>
      <c r="E13" s="996"/>
      <c r="F13" s="1002"/>
      <c r="G13" s="457"/>
      <c r="H13" s="85"/>
      <c r="I13" s="47"/>
      <c r="J13" s="48">
        <f t="shared" si="3"/>
        <v>0</v>
      </c>
      <c r="K13" s="76">
        <f t="shared" si="4"/>
        <v>0</v>
      </c>
      <c r="L13" s="1002"/>
      <c r="M13" s="575"/>
      <c r="N13" s="136"/>
      <c r="O13" s="80">
        <f t="shared" si="2"/>
        <v>0</v>
      </c>
      <c r="P13" s="176"/>
      <c r="Q13" s="1002"/>
      <c r="R13" s="91"/>
      <c r="S13" s="91"/>
      <c r="T13" s="1002"/>
      <c r="U13" s="1002"/>
      <c r="V13" s="1002"/>
      <c r="W13" s="22"/>
      <c r="X13" s="93" t="s">
        <v>67</v>
      </c>
      <c r="Y13" s="87">
        <v>45000.0</v>
      </c>
      <c r="Z13" s="25"/>
      <c r="AA13" s="25"/>
      <c r="AB13" s="25"/>
      <c r="AC13" s="22"/>
    </row>
    <row r="14" ht="36.0" customHeight="1">
      <c r="A14" s="996"/>
      <c r="B14" s="996"/>
      <c r="C14" s="1002"/>
      <c r="D14" s="1002"/>
      <c r="E14" s="996"/>
      <c r="F14" s="1002"/>
      <c r="G14" s="457"/>
      <c r="H14" s="85"/>
      <c r="I14" s="47"/>
      <c r="J14" s="48">
        <f t="shared" si="3"/>
        <v>0</v>
      </c>
      <c r="K14" s="76">
        <f t="shared" si="4"/>
        <v>0</v>
      </c>
      <c r="L14" s="1002"/>
      <c r="M14" s="575"/>
      <c r="N14" s="136"/>
      <c r="O14" s="80">
        <f t="shared" si="2"/>
        <v>0</v>
      </c>
      <c r="P14" s="176"/>
      <c r="Q14" s="1002"/>
      <c r="R14" s="91"/>
      <c r="S14" s="91"/>
      <c r="T14" s="1002"/>
      <c r="U14" s="1002"/>
      <c r="V14" s="1002"/>
      <c r="W14" s="22"/>
      <c r="X14" s="110" t="s">
        <v>71</v>
      </c>
      <c r="Y14" s="66">
        <v>85000.0</v>
      </c>
      <c r="Z14" s="25"/>
      <c r="AA14" s="25"/>
      <c r="AB14" s="25"/>
      <c r="AC14" s="22"/>
    </row>
    <row r="15" ht="36.0" customHeight="1">
      <c r="A15" s="996"/>
      <c r="B15" s="996"/>
      <c r="C15" s="1002"/>
      <c r="D15" s="1002"/>
      <c r="E15" s="996"/>
      <c r="F15" s="1002"/>
      <c r="G15" s="457"/>
      <c r="H15" s="85"/>
      <c r="I15" s="459"/>
      <c r="J15" s="48">
        <f t="shared" si="3"/>
        <v>0</v>
      </c>
      <c r="K15" s="76">
        <f t="shared" si="4"/>
        <v>0</v>
      </c>
      <c r="L15" s="1002"/>
      <c r="M15" s="575"/>
      <c r="N15" s="136"/>
      <c r="O15" s="80">
        <f t="shared" si="2"/>
        <v>0</v>
      </c>
      <c r="P15" s="176"/>
      <c r="Q15" s="1002"/>
      <c r="R15" s="91"/>
      <c r="S15" s="91"/>
      <c r="T15" s="1002"/>
      <c r="U15" s="1002"/>
      <c r="V15" s="1002"/>
      <c r="W15" s="22"/>
      <c r="X15" s="65" t="s">
        <v>76</v>
      </c>
      <c r="Y15" s="66">
        <v>90000.0</v>
      </c>
      <c r="Z15" s="25"/>
      <c r="AA15" s="25"/>
      <c r="AB15" s="25"/>
      <c r="AC15" s="22"/>
    </row>
    <row r="16" ht="36.0" customHeight="1">
      <c r="A16" s="129"/>
      <c r="B16" s="1124"/>
      <c r="C16" s="677"/>
      <c r="D16" s="677"/>
      <c r="E16" s="129"/>
      <c r="F16" s="677"/>
      <c r="G16" s="457"/>
      <c r="H16" s="85"/>
      <c r="I16" s="459"/>
      <c r="J16" s="48">
        <f t="shared" si="3"/>
        <v>0</v>
      </c>
      <c r="K16" s="76">
        <f t="shared" si="4"/>
        <v>0</v>
      </c>
      <c r="L16" s="138"/>
      <c r="M16" s="575"/>
      <c r="N16" s="136"/>
      <c r="O16" s="80">
        <f t="shared" si="2"/>
        <v>0</v>
      </c>
      <c r="P16" s="176"/>
      <c r="Q16" s="134"/>
      <c r="R16" s="91"/>
      <c r="S16" s="91"/>
      <c r="T16" s="419"/>
      <c r="U16" s="419"/>
      <c r="V16" s="419"/>
      <c r="W16" s="22"/>
      <c r="X16" s="65" t="s">
        <v>80</v>
      </c>
      <c r="Y16" s="66">
        <v>85000.0</v>
      </c>
      <c r="Z16" s="25"/>
      <c r="AA16" s="25"/>
      <c r="AB16" s="25"/>
      <c r="AC16" s="22"/>
    </row>
    <row r="17" ht="36.0" customHeight="1">
      <c r="A17" s="996"/>
      <c r="B17" s="996"/>
      <c r="C17" s="1002"/>
      <c r="D17" s="1002"/>
      <c r="E17" s="996"/>
      <c r="F17" s="1002"/>
      <c r="G17" s="457"/>
      <c r="H17" s="85"/>
      <c r="I17" s="459"/>
      <c r="J17" s="48">
        <f t="shared" si="3"/>
        <v>0</v>
      </c>
      <c r="K17" s="76">
        <f t="shared" si="4"/>
        <v>0</v>
      </c>
      <c r="L17" s="1002"/>
      <c r="M17" s="575"/>
      <c r="N17" s="136"/>
      <c r="O17" s="80">
        <f t="shared" si="2"/>
        <v>0</v>
      </c>
      <c r="P17" s="176"/>
      <c r="Q17" s="1002"/>
      <c r="R17" s="91"/>
      <c r="S17" s="91"/>
      <c r="T17" s="1002"/>
      <c r="U17" s="1002"/>
      <c r="V17" s="1002"/>
      <c r="W17" s="22"/>
      <c r="X17" s="65" t="s">
        <v>81</v>
      </c>
      <c r="Y17" s="66">
        <v>150000.0</v>
      </c>
      <c r="Z17" s="25"/>
      <c r="AA17" s="25"/>
      <c r="AB17" s="25"/>
      <c r="AC17" s="22"/>
    </row>
    <row r="18" ht="36.0" customHeight="1">
      <c r="A18" s="129"/>
      <c r="B18" s="1124"/>
      <c r="C18" s="129"/>
      <c r="D18" s="681"/>
      <c r="E18" s="129"/>
      <c r="F18" s="681"/>
      <c r="G18" s="457"/>
      <c r="H18" s="85"/>
      <c r="I18" s="459"/>
      <c r="J18" s="48">
        <f t="shared" si="3"/>
        <v>0</v>
      </c>
      <c r="K18" s="76">
        <f t="shared" si="4"/>
        <v>0</v>
      </c>
      <c r="L18" s="77"/>
      <c r="M18" s="575"/>
      <c r="N18" s="136"/>
      <c r="O18" s="80">
        <f t="shared" si="2"/>
        <v>0</v>
      </c>
      <c r="P18" s="176"/>
      <c r="Q18" s="90"/>
      <c r="R18" s="91"/>
      <c r="S18" s="91"/>
      <c r="T18" s="85"/>
      <c r="U18" s="414"/>
      <c r="V18" s="86"/>
      <c r="W18" s="22"/>
      <c r="X18" s="65" t="s">
        <v>85</v>
      </c>
      <c r="Y18" s="66">
        <v>125000.0</v>
      </c>
      <c r="Z18" s="25"/>
      <c r="AA18" s="25"/>
      <c r="AB18" s="25"/>
      <c r="AC18" s="22"/>
    </row>
    <row r="19" ht="36.0" customHeight="1">
      <c r="A19" s="129"/>
      <c r="B19" s="1124"/>
      <c r="C19" s="129"/>
      <c r="D19" s="681"/>
      <c r="E19" s="129"/>
      <c r="F19" s="681"/>
      <c r="G19" s="457"/>
      <c r="H19" s="85"/>
      <c r="I19" s="459"/>
      <c r="J19" s="48">
        <f t="shared" si="3"/>
        <v>0</v>
      </c>
      <c r="K19" s="76">
        <f t="shared" si="4"/>
        <v>0</v>
      </c>
      <c r="L19" s="89"/>
      <c r="M19" s="575"/>
      <c r="N19" s="136"/>
      <c r="O19" s="80">
        <f t="shared" si="2"/>
        <v>0</v>
      </c>
      <c r="P19" s="176"/>
      <c r="Q19" s="90"/>
      <c r="R19" s="91"/>
      <c r="S19" s="91"/>
      <c r="T19" s="85"/>
      <c r="U19" s="414"/>
      <c r="V19" s="86"/>
      <c r="W19" s="22"/>
      <c r="X19" s="65" t="s">
        <v>89</v>
      </c>
      <c r="Y19" s="66">
        <v>35000.0</v>
      </c>
      <c r="Z19" s="25"/>
      <c r="AA19" s="25"/>
      <c r="AB19" s="25"/>
      <c r="AC19" s="22"/>
    </row>
    <row r="20" ht="36.0" customHeight="1">
      <c r="A20" s="129"/>
      <c r="B20" s="1639"/>
      <c r="C20" s="677"/>
      <c r="D20" s="677"/>
      <c r="E20" s="129"/>
      <c r="F20" s="677"/>
      <c r="G20" s="1640"/>
      <c r="H20" s="85"/>
      <c r="I20" s="459"/>
      <c r="J20" s="48">
        <f t="shared" si="3"/>
        <v>0</v>
      </c>
      <c r="K20" s="76">
        <f t="shared" si="4"/>
        <v>0</v>
      </c>
      <c r="L20" s="138"/>
      <c r="M20" s="575"/>
      <c r="N20" s="136"/>
      <c r="O20" s="80">
        <f t="shared" si="2"/>
        <v>0</v>
      </c>
      <c r="P20" s="176"/>
      <c r="Q20" s="134"/>
      <c r="R20" s="91"/>
      <c r="S20" s="91"/>
      <c r="T20" s="419"/>
      <c r="U20" s="419"/>
      <c r="V20" s="412"/>
      <c r="W20" s="22"/>
      <c r="X20" s="65" t="s">
        <v>93</v>
      </c>
      <c r="Y20" s="66">
        <v>90000.0</v>
      </c>
      <c r="Z20" s="25"/>
      <c r="AA20" s="25"/>
      <c r="AB20" s="25"/>
      <c r="AC20" s="22"/>
    </row>
    <row r="21" ht="36.0" customHeight="1">
      <c r="A21" s="996"/>
      <c r="B21" s="996"/>
      <c r="C21" s="1002"/>
      <c r="D21" s="1002"/>
      <c r="E21" s="996"/>
      <c r="F21" s="1002"/>
      <c r="G21" s="457"/>
      <c r="H21" s="85"/>
      <c r="I21" s="459"/>
      <c r="J21" s="48">
        <f t="shared" si="3"/>
        <v>0</v>
      </c>
      <c r="K21" s="76">
        <f t="shared" si="4"/>
        <v>0</v>
      </c>
      <c r="L21" s="1002"/>
      <c r="M21" s="575"/>
      <c r="N21" s="136"/>
      <c r="O21" s="80">
        <f t="shared" si="2"/>
        <v>0</v>
      </c>
      <c r="P21" s="176"/>
      <c r="Q21" s="1002"/>
      <c r="R21" s="91"/>
      <c r="S21" s="91"/>
      <c r="T21" s="1002"/>
      <c r="U21" s="1002"/>
      <c r="V21" s="1002"/>
      <c r="W21" s="22"/>
      <c r="X21" s="65" t="s">
        <v>94</v>
      </c>
      <c r="Y21" s="66">
        <v>140000.0</v>
      </c>
      <c r="Z21" s="25"/>
      <c r="AA21" s="25"/>
      <c r="AB21" s="25"/>
      <c r="AC21" s="22"/>
    </row>
    <row r="22" ht="36.0" customHeight="1">
      <c r="A22" s="996"/>
      <c r="B22" s="996"/>
      <c r="C22" s="1002"/>
      <c r="D22" s="1002"/>
      <c r="E22" s="996"/>
      <c r="F22" s="1002"/>
      <c r="G22" s="457"/>
      <c r="H22" s="85"/>
      <c r="I22" s="459"/>
      <c r="J22" s="48">
        <f t="shared" si="3"/>
        <v>0</v>
      </c>
      <c r="K22" s="76">
        <f t="shared" si="4"/>
        <v>0</v>
      </c>
      <c r="L22" s="1002"/>
      <c r="M22" s="575"/>
      <c r="N22" s="136"/>
      <c r="O22" s="80">
        <f t="shared" si="2"/>
        <v>0</v>
      </c>
      <c r="P22" s="176"/>
      <c r="Q22" s="1002"/>
      <c r="R22" s="91"/>
      <c r="S22" s="91"/>
      <c r="T22" s="1002"/>
      <c r="U22" s="1002"/>
      <c r="V22" s="1002"/>
      <c r="W22" s="22"/>
      <c r="X22" s="65" t="s">
        <v>97</v>
      </c>
      <c r="Y22" s="66">
        <v>95000.0</v>
      </c>
      <c r="Z22" s="25"/>
      <c r="AA22" s="25"/>
      <c r="AB22" s="25"/>
      <c r="AC22" s="22"/>
    </row>
    <row r="23" ht="36.0" customHeight="1">
      <c r="A23" s="996"/>
      <c r="B23" s="996"/>
      <c r="C23" s="1002"/>
      <c r="D23" s="1002"/>
      <c r="E23" s="996"/>
      <c r="F23" s="1002"/>
      <c r="G23" s="457"/>
      <c r="H23" s="85"/>
      <c r="I23" s="459"/>
      <c r="J23" s="48">
        <f t="shared" si="3"/>
        <v>0</v>
      </c>
      <c r="K23" s="76">
        <f t="shared" si="4"/>
        <v>0</v>
      </c>
      <c r="L23" s="1002"/>
      <c r="M23" s="575"/>
      <c r="N23" s="136"/>
      <c r="O23" s="80">
        <f t="shared" si="2"/>
        <v>0</v>
      </c>
      <c r="P23" s="176"/>
      <c r="Q23" s="1002"/>
      <c r="R23" s="91"/>
      <c r="S23" s="91"/>
      <c r="T23" s="1002"/>
      <c r="U23" s="1002"/>
      <c r="V23" s="1002"/>
      <c r="W23" s="22"/>
      <c r="X23" s="65" t="s">
        <v>99</v>
      </c>
      <c r="Y23" s="66">
        <v>140000.0</v>
      </c>
      <c r="Z23" s="25"/>
      <c r="AA23" s="25"/>
      <c r="AB23" s="25"/>
      <c r="AC23" s="22"/>
    </row>
    <row r="24" ht="30.0" customHeight="1">
      <c r="A24" s="996"/>
      <c r="B24" s="996"/>
      <c r="C24" s="1002"/>
      <c r="D24" s="1002"/>
      <c r="E24" s="996"/>
      <c r="F24" s="1002"/>
      <c r="G24" s="457"/>
      <c r="H24" s="85"/>
      <c r="I24" s="459"/>
      <c r="J24" s="48">
        <f t="shared" si="3"/>
        <v>0</v>
      </c>
      <c r="K24" s="76">
        <f t="shared" si="4"/>
        <v>0</v>
      </c>
      <c r="L24" s="1002"/>
      <c r="M24" s="575"/>
      <c r="N24" s="136"/>
      <c r="O24" s="80">
        <f t="shared" si="2"/>
        <v>0</v>
      </c>
      <c r="P24" s="176"/>
      <c r="Q24" s="1002"/>
      <c r="R24" s="91"/>
      <c r="S24" s="91"/>
      <c r="T24" s="1002"/>
      <c r="U24" s="1002"/>
      <c r="V24" s="1002"/>
      <c r="W24" s="22"/>
      <c r="X24" s="65" t="s">
        <v>101</v>
      </c>
      <c r="Y24" s="66">
        <v>150000.0</v>
      </c>
      <c r="Z24" s="25"/>
      <c r="AA24" s="25"/>
      <c r="AB24" s="25"/>
      <c r="AC24" s="22"/>
    </row>
    <row r="25" ht="31.5" customHeight="1">
      <c r="A25" s="996"/>
      <c r="B25" s="996"/>
      <c r="C25" s="1002"/>
      <c r="D25" s="1002"/>
      <c r="E25" s="996"/>
      <c r="F25" s="1002"/>
      <c r="G25" s="681"/>
      <c r="H25" s="129"/>
      <c r="I25" s="459"/>
      <c r="J25" s="48">
        <f t="shared" si="3"/>
        <v>0</v>
      </c>
      <c r="K25" s="76">
        <f t="shared" si="4"/>
        <v>0</v>
      </c>
      <c r="L25" s="1002"/>
      <c r="M25" s="575"/>
      <c r="N25" s="136"/>
      <c r="O25" s="80">
        <f t="shared" si="2"/>
        <v>0</v>
      </c>
      <c r="P25" s="176"/>
      <c r="Q25" s="1002"/>
      <c r="R25" s="91"/>
      <c r="S25" s="91"/>
      <c r="T25" s="1002"/>
      <c r="U25" s="1002"/>
      <c r="V25" s="1002"/>
      <c r="W25" s="1464"/>
      <c r="X25" s="65" t="s">
        <v>109</v>
      </c>
      <c r="Y25" s="66">
        <v>125000.0</v>
      </c>
      <c r="Z25" s="25"/>
      <c r="AA25" s="25"/>
      <c r="AB25" s="25"/>
      <c r="AC25" s="22"/>
    </row>
    <row r="26" ht="31.5" customHeight="1">
      <c r="A26" s="996"/>
      <c r="B26" s="996"/>
      <c r="C26" s="1002"/>
      <c r="D26" s="1002"/>
      <c r="E26" s="996"/>
      <c r="F26" s="1002"/>
      <c r="G26" s="681"/>
      <c r="H26" s="129"/>
      <c r="I26" s="459"/>
      <c r="J26" s="48">
        <f t="shared" si="3"/>
        <v>0</v>
      </c>
      <c r="K26" s="76">
        <f t="shared" si="4"/>
        <v>0</v>
      </c>
      <c r="L26" s="1002"/>
      <c r="M26" s="575"/>
      <c r="N26" s="136"/>
      <c r="O26" s="80">
        <f t="shared" si="2"/>
        <v>0</v>
      </c>
      <c r="P26" s="176"/>
      <c r="Q26" s="1002"/>
      <c r="R26" s="91"/>
      <c r="S26" s="91"/>
      <c r="T26" s="1002"/>
      <c r="U26" s="1002"/>
      <c r="V26" s="1002"/>
      <c r="W26" s="1464"/>
      <c r="X26" s="65" t="s">
        <v>113</v>
      </c>
      <c r="Y26" s="66">
        <v>75000.0</v>
      </c>
      <c r="Z26" s="25"/>
      <c r="AA26" s="25"/>
      <c r="AB26" s="25"/>
      <c r="AC26" s="22"/>
    </row>
    <row r="27" ht="31.5" customHeight="1">
      <c r="A27" s="996"/>
      <c r="B27" s="996"/>
      <c r="C27" s="1002"/>
      <c r="D27" s="1002"/>
      <c r="E27" s="996"/>
      <c r="F27" s="1002"/>
      <c r="G27" s="681"/>
      <c r="H27" s="129"/>
      <c r="I27" s="459"/>
      <c r="J27" s="48">
        <f t="shared" si="3"/>
        <v>0</v>
      </c>
      <c r="K27" s="76">
        <f t="shared" si="4"/>
        <v>0</v>
      </c>
      <c r="L27" s="1002"/>
      <c r="M27" s="575"/>
      <c r="N27" s="136"/>
      <c r="O27" s="80">
        <f t="shared" si="2"/>
        <v>0</v>
      </c>
      <c r="P27" s="176"/>
      <c r="Q27" s="1002"/>
      <c r="R27" s="91"/>
      <c r="S27" s="91"/>
      <c r="T27" s="1002"/>
      <c r="U27" s="1002"/>
      <c r="V27" s="1002"/>
      <c r="W27" s="22"/>
      <c r="X27" s="65" t="s">
        <v>116</v>
      </c>
      <c r="Y27" s="66">
        <v>475000.0</v>
      </c>
      <c r="Z27" s="25"/>
      <c r="AA27" s="25"/>
      <c r="AB27" s="25"/>
      <c r="AC27" s="22"/>
    </row>
    <row r="28" ht="31.5" customHeight="1">
      <c r="A28" s="85"/>
      <c r="B28" s="1641"/>
      <c r="C28" s="85"/>
      <c r="D28" s="457"/>
      <c r="E28" s="85"/>
      <c r="F28" s="457"/>
      <c r="G28" s="457"/>
      <c r="H28" s="85"/>
      <c r="I28" s="459"/>
      <c r="J28" s="48">
        <f t="shared" si="3"/>
        <v>0</v>
      </c>
      <c r="K28" s="76">
        <f t="shared" si="4"/>
        <v>0</v>
      </c>
      <c r="L28" s="77"/>
      <c r="M28" s="575"/>
      <c r="N28" s="136"/>
      <c r="O28" s="80">
        <f t="shared" si="2"/>
        <v>0</v>
      </c>
      <c r="P28" s="176"/>
      <c r="Q28" s="90"/>
      <c r="R28" s="91"/>
      <c r="S28" s="91"/>
      <c r="T28" s="85"/>
      <c r="U28" s="414"/>
      <c r="V28" s="86"/>
      <c r="W28" s="22"/>
      <c r="X28" s="85" t="s">
        <v>121</v>
      </c>
      <c r="Y28" s="128">
        <v>220000.0</v>
      </c>
      <c r="Z28" s="25"/>
      <c r="AA28" s="25"/>
      <c r="AB28" s="25"/>
      <c r="AC28" s="22"/>
    </row>
    <row r="29" ht="31.5" customHeight="1">
      <c r="A29" s="85"/>
      <c r="B29" s="1641"/>
      <c r="C29" s="85"/>
      <c r="D29" s="457"/>
      <c r="E29" s="85"/>
      <c r="F29" s="457"/>
      <c r="G29" s="457"/>
      <c r="H29" s="85"/>
      <c r="I29" s="459"/>
      <c r="J29" s="48">
        <f t="shared" si="3"/>
        <v>0</v>
      </c>
      <c r="K29" s="76">
        <f t="shared" si="4"/>
        <v>0</v>
      </c>
      <c r="L29" s="77"/>
      <c r="M29" s="575"/>
      <c r="N29" s="136"/>
      <c r="O29" s="80">
        <f t="shared" si="2"/>
        <v>0</v>
      </c>
      <c r="P29" s="176"/>
      <c r="Q29" s="90"/>
      <c r="R29" s="91"/>
      <c r="S29" s="91"/>
      <c r="T29" s="85"/>
      <c r="U29" s="414"/>
      <c r="V29" s="86"/>
      <c r="W29" s="22"/>
      <c r="X29" s="85" t="s">
        <v>123</v>
      </c>
      <c r="Y29" s="128">
        <v>220000.0</v>
      </c>
      <c r="Z29" s="25"/>
      <c r="AA29" s="25"/>
      <c r="AB29" s="25"/>
      <c r="AC29" s="22"/>
    </row>
    <row r="30" ht="33.0" customHeight="1">
      <c r="A30" s="85"/>
      <c r="B30" s="1641"/>
      <c r="C30" s="85"/>
      <c r="D30" s="457"/>
      <c r="E30" s="85"/>
      <c r="F30" s="457"/>
      <c r="G30" s="457"/>
      <c r="H30" s="85"/>
      <c r="I30" s="459"/>
      <c r="J30" s="48">
        <f t="shared" si="3"/>
        <v>0</v>
      </c>
      <c r="K30" s="76">
        <f t="shared" si="4"/>
        <v>0</v>
      </c>
      <c r="L30" s="89"/>
      <c r="M30" s="575"/>
      <c r="N30" s="136"/>
      <c r="O30" s="80">
        <f t="shared" si="2"/>
        <v>0</v>
      </c>
      <c r="P30" s="176"/>
      <c r="Q30" s="90"/>
      <c r="R30" s="91"/>
      <c r="S30" s="91"/>
      <c r="T30" s="85"/>
      <c r="U30" s="414"/>
      <c r="V30" s="86"/>
      <c r="W30" s="22"/>
      <c r="X30" s="85" t="s">
        <v>124</v>
      </c>
      <c r="Y30" s="128">
        <v>220000.0</v>
      </c>
      <c r="Z30" s="25"/>
      <c r="AA30" s="25"/>
      <c r="AB30" s="25"/>
      <c r="AC30" s="22"/>
    </row>
    <row r="31" ht="31.5" customHeight="1">
      <c r="A31" s="85"/>
      <c r="B31" s="1641"/>
      <c r="C31" s="419"/>
      <c r="D31" s="419"/>
      <c r="E31" s="85"/>
      <c r="F31" s="419"/>
      <c r="G31" s="457"/>
      <c r="H31" s="85"/>
      <c r="I31" s="459"/>
      <c r="J31" s="48">
        <f t="shared" si="3"/>
        <v>0</v>
      </c>
      <c r="K31" s="76">
        <f t="shared" si="4"/>
        <v>0</v>
      </c>
      <c r="L31" s="569"/>
      <c r="M31" s="575"/>
      <c r="N31" s="136"/>
      <c r="O31" s="80">
        <f t="shared" si="2"/>
        <v>0</v>
      </c>
      <c r="P31" s="176"/>
      <c r="Q31" s="134"/>
      <c r="R31" s="91"/>
      <c r="S31" s="91"/>
      <c r="T31" s="419"/>
      <c r="U31" s="419"/>
      <c r="V31" s="412"/>
      <c r="W31" s="22"/>
      <c r="X31" s="129" t="s">
        <v>125</v>
      </c>
      <c r="Y31" s="80">
        <v>220000.0</v>
      </c>
      <c r="Z31" s="25"/>
      <c r="AA31" s="25"/>
      <c r="AB31" s="25"/>
      <c r="AC31" s="22"/>
    </row>
    <row r="32" ht="31.5" customHeight="1">
      <c r="A32" s="996"/>
      <c r="B32" s="996"/>
      <c r="C32" s="1002"/>
      <c r="D32" s="1002"/>
      <c r="E32" s="996"/>
      <c r="F32" s="1002"/>
      <c r="G32" s="457"/>
      <c r="H32" s="85"/>
      <c r="I32" s="459"/>
      <c r="J32" s="48">
        <f t="shared" si="3"/>
        <v>0</v>
      </c>
      <c r="K32" s="76">
        <f t="shared" si="4"/>
        <v>0</v>
      </c>
      <c r="L32" s="1002"/>
      <c r="M32" s="575"/>
      <c r="N32" s="136"/>
      <c r="O32" s="80">
        <f t="shared" si="2"/>
        <v>0</v>
      </c>
      <c r="P32" s="176"/>
      <c r="Q32" s="1002"/>
      <c r="R32" s="91"/>
      <c r="S32" s="91"/>
      <c r="T32" s="1002"/>
      <c r="U32" s="1002"/>
      <c r="V32" s="1002"/>
      <c r="W32" s="22"/>
      <c r="X32" s="129" t="s">
        <v>129</v>
      </c>
      <c r="Y32" s="80">
        <v>220000.0</v>
      </c>
      <c r="Z32" s="25"/>
      <c r="AA32" s="25"/>
      <c r="AB32" s="25"/>
      <c r="AC32" s="22"/>
    </row>
    <row r="33" ht="33.75" customHeight="1">
      <c r="A33" s="85"/>
      <c r="B33" s="1641"/>
      <c r="C33" s="85"/>
      <c r="D33" s="457"/>
      <c r="E33" s="85"/>
      <c r="F33" s="457"/>
      <c r="G33" s="457"/>
      <c r="H33" s="85"/>
      <c r="I33" s="459"/>
      <c r="J33" s="48">
        <f t="shared" si="3"/>
        <v>0</v>
      </c>
      <c r="K33" s="76">
        <f t="shared" si="4"/>
        <v>0</v>
      </c>
      <c r="L33" s="77"/>
      <c r="M33" s="575"/>
      <c r="N33" s="136"/>
      <c r="O33" s="80">
        <f t="shared" si="2"/>
        <v>0</v>
      </c>
      <c r="P33" s="176"/>
      <c r="Q33" s="90"/>
      <c r="R33" s="91"/>
      <c r="S33" s="91"/>
      <c r="T33" s="85"/>
      <c r="U33" s="414"/>
      <c r="V33" s="86"/>
      <c r="W33" s="22"/>
      <c r="X33" s="85" t="s">
        <v>133</v>
      </c>
      <c r="Y33" s="128">
        <v>220000.0</v>
      </c>
      <c r="Z33" s="25"/>
      <c r="AA33" s="25"/>
      <c r="AB33" s="25"/>
      <c r="AC33" s="22"/>
    </row>
    <row r="34" ht="33.75" customHeight="1">
      <c r="A34" s="85"/>
      <c r="B34" s="1641"/>
      <c r="C34" s="85"/>
      <c r="D34" s="457"/>
      <c r="E34" s="85"/>
      <c r="F34" s="457"/>
      <c r="G34" s="457"/>
      <c r="H34" s="85"/>
      <c r="I34" s="459"/>
      <c r="J34" s="48">
        <f t="shared" si="3"/>
        <v>0</v>
      </c>
      <c r="K34" s="76">
        <f t="shared" si="4"/>
        <v>0</v>
      </c>
      <c r="L34" s="77"/>
      <c r="M34" s="575"/>
      <c r="N34" s="136"/>
      <c r="O34" s="80">
        <f t="shared" si="2"/>
        <v>0</v>
      </c>
      <c r="P34" s="176"/>
      <c r="Q34" s="90"/>
      <c r="R34" s="91"/>
      <c r="S34" s="91"/>
      <c r="T34" s="85"/>
      <c r="U34" s="414"/>
      <c r="V34" s="86"/>
      <c r="W34" s="22"/>
      <c r="X34" s="85" t="s">
        <v>135</v>
      </c>
      <c r="Y34" s="128">
        <v>220000.0</v>
      </c>
      <c r="Z34" s="25"/>
      <c r="AA34" s="25"/>
      <c r="AB34" s="25"/>
      <c r="AC34" s="22"/>
    </row>
    <row r="35" ht="33.75" customHeight="1">
      <c r="A35" s="85"/>
      <c r="B35" s="1641"/>
      <c r="C35" s="85"/>
      <c r="D35" s="457"/>
      <c r="E35" s="85"/>
      <c r="F35" s="457"/>
      <c r="G35" s="457"/>
      <c r="H35" s="85"/>
      <c r="I35" s="459"/>
      <c r="J35" s="48">
        <f t="shared" si="3"/>
        <v>0</v>
      </c>
      <c r="K35" s="76">
        <f t="shared" si="4"/>
        <v>0</v>
      </c>
      <c r="L35" s="77"/>
      <c r="M35" s="575"/>
      <c r="N35" s="136"/>
      <c r="O35" s="80">
        <f t="shared" si="2"/>
        <v>0</v>
      </c>
      <c r="P35" s="176"/>
      <c r="Q35" s="90"/>
      <c r="R35" s="91"/>
      <c r="S35" s="91"/>
      <c r="T35" s="85"/>
      <c r="U35" s="414"/>
      <c r="V35" s="86"/>
      <c r="W35" s="22"/>
      <c r="X35" s="85" t="s">
        <v>139</v>
      </c>
      <c r="Y35" s="128">
        <v>80000.0</v>
      </c>
      <c r="Z35" s="25"/>
      <c r="AA35" s="25"/>
      <c r="AB35" s="25"/>
      <c r="AC35" s="22"/>
    </row>
    <row r="36" ht="33.75" customHeight="1">
      <c r="A36" s="85"/>
      <c r="B36" s="1641"/>
      <c r="C36" s="419"/>
      <c r="D36" s="419"/>
      <c r="E36" s="85"/>
      <c r="F36" s="419"/>
      <c r="G36" s="457"/>
      <c r="H36" s="85"/>
      <c r="I36" s="459"/>
      <c r="J36" s="48">
        <f t="shared" si="3"/>
        <v>0</v>
      </c>
      <c r="K36" s="76">
        <f t="shared" si="4"/>
        <v>0</v>
      </c>
      <c r="L36" s="138"/>
      <c r="M36" s="575"/>
      <c r="N36" s="136"/>
      <c r="O36" s="80">
        <f t="shared" si="2"/>
        <v>0</v>
      </c>
      <c r="P36" s="176"/>
      <c r="Q36" s="134"/>
      <c r="R36" s="91"/>
      <c r="S36" s="91"/>
      <c r="T36" s="419"/>
      <c r="U36" s="419"/>
      <c r="V36" s="412"/>
      <c r="W36" s="22"/>
      <c r="X36" s="85" t="s">
        <v>142</v>
      </c>
      <c r="Y36" s="128">
        <v>220000.0</v>
      </c>
      <c r="Z36" s="25"/>
      <c r="AA36" s="25"/>
      <c r="AB36" s="25"/>
      <c r="AC36" s="22"/>
    </row>
    <row r="37" ht="33.75" customHeight="1">
      <c r="A37" s="996"/>
      <c r="B37" s="996"/>
      <c r="C37" s="1002"/>
      <c r="D37" s="1002"/>
      <c r="E37" s="996"/>
      <c r="F37" s="1002"/>
      <c r="G37" s="457"/>
      <c r="H37" s="85"/>
      <c r="I37" s="459"/>
      <c r="J37" s="48">
        <f t="shared" si="3"/>
        <v>0</v>
      </c>
      <c r="K37" s="76">
        <f t="shared" si="4"/>
        <v>0</v>
      </c>
      <c r="L37" s="1002"/>
      <c r="M37" s="575"/>
      <c r="N37" s="136"/>
      <c r="O37" s="80">
        <f t="shared" si="2"/>
        <v>0</v>
      </c>
      <c r="P37" s="176"/>
      <c r="Q37" s="1002"/>
      <c r="R37" s="91"/>
      <c r="S37" s="91"/>
      <c r="T37" s="1002"/>
      <c r="U37" s="1002"/>
      <c r="V37" s="1002"/>
      <c r="W37" s="22"/>
      <c r="X37" s="85" t="s">
        <v>145</v>
      </c>
      <c r="Y37" s="128">
        <v>220000.0</v>
      </c>
      <c r="Z37" s="25"/>
      <c r="AA37" s="25"/>
      <c r="AB37" s="25"/>
      <c r="AC37" s="22"/>
    </row>
    <row r="38" ht="33.75" customHeight="1">
      <c r="A38" s="996"/>
      <c r="B38" s="996"/>
      <c r="C38" s="1002"/>
      <c r="D38" s="1002"/>
      <c r="E38" s="996"/>
      <c r="F38" s="1002"/>
      <c r="G38" s="457"/>
      <c r="H38" s="85"/>
      <c r="I38" s="459"/>
      <c r="J38" s="48">
        <f t="shared" si="3"/>
        <v>0</v>
      </c>
      <c r="K38" s="76">
        <f t="shared" si="4"/>
        <v>0</v>
      </c>
      <c r="L38" s="1002"/>
      <c r="M38" s="575"/>
      <c r="N38" s="136"/>
      <c r="O38" s="80">
        <f t="shared" si="2"/>
        <v>0</v>
      </c>
      <c r="P38" s="176"/>
      <c r="Q38" s="1002"/>
      <c r="R38" s="91"/>
      <c r="S38" s="91"/>
      <c r="T38" s="1002"/>
      <c r="U38" s="1002"/>
      <c r="V38" s="1002"/>
      <c r="W38" s="22"/>
      <c r="X38" s="64" t="s">
        <v>148</v>
      </c>
      <c r="Y38" s="137">
        <v>220000.0</v>
      </c>
      <c r="Z38" s="25"/>
      <c r="AA38" s="25"/>
      <c r="AB38" s="25"/>
      <c r="AC38" s="22"/>
    </row>
    <row r="39" ht="33.75" customHeight="1">
      <c r="A39" s="85"/>
      <c r="B39" s="1641"/>
      <c r="C39" s="419"/>
      <c r="D39" s="419"/>
      <c r="E39" s="85"/>
      <c r="F39" s="419"/>
      <c r="G39" s="457"/>
      <c r="H39" s="85"/>
      <c r="I39" s="459"/>
      <c r="J39" s="48">
        <f t="shared" si="3"/>
        <v>0</v>
      </c>
      <c r="K39" s="76">
        <f t="shared" si="4"/>
        <v>0</v>
      </c>
      <c r="L39" s="138"/>
      <c r="M39" s="575"/>
      <c r="N39" s="136"/>
      <c r="O39" s="80">
        <f t="shared" si="2"/>
        <v>0</v>
      </c>
      <c r="P39" s="176"/>
      <c r="Q39" s="134"/>
      <c r="R39" s="91"/>
      <c r="S39" s="91"/>
      <c r="T39" s="419"/>
      <c r="U39" s="419"/>
      <c r="V39" s="412"/>
      <c r="W39" s="22"/>
      <c r="X39" s="139" t="s">
        <v>151</v>
      </c>
      <c r="Y39" s="140">
        <v>220000.0</v>
      </c>
      <c r="Z39" s="25"/>
      <c r="AA39" s="25"/>
      <c r="AB39" s="25"/>
      <c r="AC39" s="22"/>
    </row>
    <row r="40" ht="33.75" customHeight="1">
      <c r="A40" s="996"/>
      <c r="B40" s="996"/>
      <c r="C40" s="1002"/>
      <c r="D40" s="1002"/>
      <c r="E40" s="996"/>
      <c r="F40" s="1002"/>
      <c r="G40" s="457"/>
      <c r="H40" s="85"/>
      <c r="I40" s="459"/>
      <c r="J40" s="48">
        <f t="shared" si="3"/>
        <v>0</v>
      </c>
      <c r="K40" s="76">
        <f t="shared" si="4"/>
        <v>0</v>
      </c>
      <c r="L40" s="1002"/>
      <c r="M40" s="575"/>
      <c r="N40" s="136"/>
      <c r="O40" s="80">
        <f t="shared" si="2"/>
        <v>0</v>
      </c>
      <c r="P40" s="176"/>
      <c r="Q40" s="1002"/>
      <c r="R40" s="91"/>
      <c r="S40" s="91"/>
      <c r="T40" s="1002"/>
      <c r="U40" s="1002"/>
      <c r="V40" s="1002"/>
      <c r="W40" s="22"/>
      <c r="X40" s="85" t="s">
        <v>153</v>
      </c>
      <c r="Y40" s="87">
        <v>45000.0</v>
      </c>
      <c r="Z40" s="25"/>
      <c r="AA40" s="25"/>
      <c r="AB40" s="25"/>
      <c r="AC40" s="22"/>
    </row>
    <row r="41" ht="30.75" customHeight="1">
      <c r="A41" s="996"/>
      <c r="B41" s="996"/>
      <c r="C41" s="1002"/>
      <c r="D41" s="1002"/>
      <c r="E41" s="996"/>
      <c r="F41" s="1002"/>
      <c r="G41" s="457"/>
      <c r="H41" s="85"/>
      <c r="I41" s="459"/>
      <c r="J41" s="48">
        <f t="shared" si="3"/>
        <v>0</v>
      </c>
      <c r="K41" s="76">
        <f t="shared" si="4"/>
        <v>0</v>
      </c>
      <c r="L41" s="1002"/>
      <c r="M41" s="575"/>
      <c r="N41" s="136"/>
      <c r="O41" s="80">
        <f t="shared" si="2"/>
        <v>0</v>
      </c>
      <c r="P41" s="176"/>
      <c r="Q41" s="1002"/>
      <c r="R41" s="91"/>
      <c r="S41" s="91"/>
      <c r="T41" s="1002"/>
      <c r="U41" s="1002"/>
      <c r="V41" s="1002"/>
      <c r="W41" s="22"/>
      <c r="X41" s="93" t="s">
        <v>488</v>
      </c>
      <c r="Y41" s="87">
        <v>45000.0</v>
      </c>
      <c r="Z41" s="25"/>
      <c r="AA41" s="25"/>
      <c r="AB41" s="25"/>
      <c r="AC41" s="22"/>
    </row>
    <row r="42" ht="30.75" customHeight="1">
      <c r="A42" s="996"/>
      <c r="B42" s="996"/>
      <c r="C42" s="1002"/>
      <c r="D42" s="1002"/>
      <c r="E42" s="996"/>
      <c r="F42" s="1002"/>
      <c r="G42" s="457"/>
      <c r="H42" s="85"/>
      <c r="I42" s="459"/>
      <c r="J42" s="48">
        <f t="shared" si="3"/>
        <v>0</v>
      </c>
      <c r="K42" s="76">
        <f t="shared" si="4"/>
        <v>0</v>
      </c>
      <c r="L42" s="1002"/>
      <c r="M42" s="575"/>
      <c r="N42" s="136"/>
      <c r="O42" s="80">
        <f t="shared" si="2"/>
        <v>0</v>
      </c>
      <c r="P42" s="176"/>
      <c r="Q42" s="1002"/>
      <c r="R42" s="91"/>
      <c r="S42" s="91"/>
      <c r="T42" s="1002"/>
      <c r="U42" s="1002"/>
      <c r="V42" s="1002"/>
      <c r="W42" s="22"/>
      <c r="X42" s="93" t="s">
        <v>157</v>
      </c>
      <c r="Y42" s="87">
        <v>45000.0</v>
      </c>
      <c r="Z42" s="25"/>
      <c r="AA42" s="25"/>
      <c r="AB42" s="25"/>
      <c r="AC42" s="22"/>
    </row>
    <row r="43" ht="30.75" customHeight="1">
      <c r="A43" s="996"/>
      <c r="B43" s="996"/>
      <c r="C43" s="1002"/>
      <c r="D43" s="1002"/>
      <c r="E43" s="996"/>
      <c r="F43" s="1002"/>
      <c r="G43" s="457"/>
      <c r="H43" s="85"/>
      <c r="I43" s="459"/>
      <c r="J43" s="48">
        <f t="shared" si="3"/>
        <v>0</v>
      </c>
      <c r="K43" s="76">
        <f t="shared" si="4"/>
        <v>0</v>
      </c>
      <c r="L43" s="1002"/>
      <c r="M43" s="575"/>
      <c r="N43" s="136"/>
      <c r="O43" s="80">
        <f t="shared" si="2"/>
        <v>0</v>
      </c>
      <c r="P43" s="176"/>
      <c r="Q43" s="1002"/>
      <c r="R43" s="91"/>
      <c r="S43" s="91"/>
      <c r="T43" s="1002"/>
      <c r="U43" s="1002"/>
      <c r="V43" s="1002"/>
      <c r="W43" s="22"/>
      <c r="X43" s="93" t="s">
        <v>161</v>
      </c>
      <c r="Y43" s="87">
        <v>220000.0</v>
      </c>
      <c r="Z43" s="25"/>
      <c r="AA43" s="25"/>
      <c r="AB43" s="25"/>
      <c r="AC43" s="22"/>
    </row>
    <row r="44" ht="30.75" customHeight="1">
      <c r="A44" s="996"/>
      <c r="B44" s="996"/>
      <c r="C44" s="1002"/>
      <c r="D44" s="1002"/>
      <c r="E44" s="996"/>
      <c r="F44" s="1002"/>
      <c r="G44" s="457"/>
      <c r="H44" s="85"/>
      <c r="I44" s="459"/>
      <c r="J44" s="48">
        <f t="shared" si="3"/>
        <v>0</v>
      </c>
      <c r="K44" s="76">
        <f t="shared" si="4"/>
        <v>0</v>
      </c>
      <c r="L44" s="1002"/>
      <c r="M44" s="575"/>
      <c r="N44" s="136"/>
      <c r="O44" s="80">
        <f t="shared" si="2"/>
        <v>0</v>
      </c>
      <c r="P44" s="176"/>
      <c r="Q44" s="1002"/>
      <c r="R44" s="91"/>
      <c r="S44" s="91"/>
      <c r="T44" s="1002"/>
      <c r="U44" s="1002"/>
      <c r="V44" s="1002"/>
      <c r="W44" s="22"/>
      <c r="X44" s="93" t="s">
        <v>166</v>
      </c>
      <c r="Y44" s="87">
        <v>160000.0</v>
      </c>
      <c r="Z44" s="25"/>
      <c r="AA44" s="25"/>
      <c r="AB44" s="25"/>
      <c r="AC44" s="22"/>
    </row>
    <row r="45" ht="30.75" customHeight="1">
      <c r="A45" s="996"/>
      <c r="B45" s="996"/>
      <c r="C45" s="1002"/>
      <c r="D45" s="1002"/>
      <c r="E45" s="996"/>
      <c r="F45" s="1002"/>
      <c r="G45" s="457"/>
      <c r="H45" s="85"/>
      <c r="I45" s="459"/>
      <c r="J45" s="48">
        <f t="shared" si="3"/>
        <v>0</v>
      </c>
      <c r="K45" s="76">
        <f t="shared" si="4"/>
        <v>0</v>
      </c>
      <c r="L45" s="1002"/>
      <c r="M45" s="575"/>
      <c r="N45" s="136"/>
      <c r="O45" s="80">
        <f t="shared" si="2"/>
        <v>0</v>
      </c>
      <c r="P45" s="176"/>
      <c r="Q45" s="1002"/>
      <c r="R45" s="91"/>
      <c r="S45" s="91"/>
      <c r="T45" s="1002"/>
      <c r="U45" s="1002"/>
      <c r="V45" s="1002"/>
      <c r="W45" s="22"/>
      <c r="X45" s="93" t="s">
        <v>170</v>
      </c>
      <c r="Y45" s="87">
        <v>220000.0</v>
      </c>
      <c r="Z45" s="25"/>
      <c r="AA45" s="25"/>
      <c r="AB45" s="25"/>
      <c r="AC45" s="22"/>
    </row>
    <row r="46" ht="30.75" customHeight="1">
      <c r="A46" s="996"/>
      <c r="B46" s="996"/>
      <c r="C46" s="1002"/>
      <c r="D46" s="1002"/>
      <c r="E46" s="996"/>
      <c r="F46" s="1002"/>
      <c r="G46" s="457"/>
      <c r="H46" s="85"/>
      <c r="I46" s="459"/>
      <c r="J46" s="48">
        <f t="shared" si="3"/>
        <v>0</v>
      </c>
      <c r="K46" s="76">
        <f t="shared" si="4"/>
        <v>0</v>
      </c>
      <c r="L46" s="1002"/>
      <c r="M46" s="575"/>
      <c r="N46" s="136"/>
      <c r="O46" s="80">
        <f t="shared" si="2"/>
        <v>0</v>
      </c>
      <c r="P46" s="176"/>
      <c r="Q46" s="1002"/>
      <c r="R46" s="91"/>
      <c r="S46" s="91"/>
      <c r="T46" s="1002"/>
      <c r="U46" s="1002"/>
      <c r="V46" s="1002"/>
      <c r="W46" s="22"/>
      <c r="X46" s="93" t="s">
        <v>42</v>
      </c>
      <c r="Y46" s="87">
        <v>75000.0</v>
      </c>
      <c r="Z46" s="25"/>
      <c r="AA46" s="25"/>
      <c r="AB46" s="25"/>
      <c r="AC46" s="22"/>
    </row>
    <row r="47" ht="30.75" customHeight="1">
      <c r="A47" s="996"/>
      <c r="B47" s="996"/>
      <c r="C47" s="1002"/>
      <c r="D47" s="1002"/>
      <c r="E47" s="996"/>
      <c r="F47" s="1002"/>
      <c r="G47" s="457"/>
      <c r="H47" s="85"/>
      <c r="I47" s="459"/>
      <c r="J47" s="48">
        <f t="shared" si="3"/>
        <v>0</v>
      </c>
      <c r="K47" s="76">
        <f t="shared" si="4"/>
        <v>0</v>
      </c>
      <c r="L47" s="1002"/>
      <c r="M47" s="575"/>
      <c r="N47" s="136"/>
      <c r="O47" s="80">
        <f t="shared" si="2"/>
        <v>0</v>
      </c>
      <c r="P47" s="176"/>
      <c r="Q47" s="1002"/>
      <c r="R47" s="91"/>
      <c r="S47" s="91"/>
      <c r="T47" s="1002"/>
      <c r="U47" s="1002"/>
      <c r="V47" s="1002"/>
      <c r="W47" s="22"/>
      <c r="X47" s="93" t="s">
        <v>414</v>
      </c>
      <c r="Y47" s="87">
        <v>160000.0</v>
      </c>
      <c r="Z47" s="25"/>
      <c r="AA47" s="25"/>
      <c r="AB47" s="25"/>
      <c r="AC47" s="22"/>
    </row>
    <row r="48" ht="30.75" customHeight="1">
      <c r="A48" s="996"/>
      <c r="B48" s="996"/>
      <c r="C48" s="1002"/>
      <c r="D48" s="1002"/>
      <c r="E48" s="996"/>
      <c r="F48" s="1002"/>
      <c r="G48" s="457"/>
      <c r="H48" s="85"/>
      <c r="I48" s="459"/>
      <c r="J48" s="48">
        <f t="shared" si="3"/>
        <v>0</v>
      </c>
      <c r="K48" s="76">
        <f t="shared" si="4"/>
        <v>0</v>
      </c>
      <c r="L48" s="1002"/>
      <c r="M48" s="575"/>
      <c r="N48" s="136"/>
      <c r="O48" s="80">
        <f t="shared" si="2"/>
        <v>0</v>
      </c>
      <c r="P48" s="176"/>
      <c r="Q48" s="1002"/>
      <c r="R48" s="91"/>
      <c r="S48" s="91"/>
      <c r="T48" s="1002"/>
      <c r="U48" s="1002"/>
      <c r="V48" s="1002"/>
      <c r="W48" s="22"/>
      <c r="X48" s="9"/>
      <c r="Y48" s="204"/>
      <c r="Z48" s="25"/>
      <c r="AA48" s="25"/>
      <c r="AB48" s="25"/>
      <c r="AC48" s="22"/>
    </row>
    <row r="49" ht="30.75" customHeight="1">
      <c r="A49" s="996"/>
      <c r="B49" s="996"/>
      <c r="C49" s="1002"/>
      <c r="D49" s="1002"/>
      <c r="E49" s="996"/>
      <c r="F49" s="1002"/>
      <c r="G49" s="457"/>
      <c r="H49" s="85"/>
      <c r="I49" s="459"/>
      <c r="J49" s="48">
        <f t="shared" si="3"/>
        <v>0</v>
      </c>
      <c r="K49" s="76">
        <f t="shared" si="4"/>
        <v>0</v>
      </c>
      <c r="L49" s="1002"/>
      <c r="M49" s="575"/>
      <c r="N49" s="136"/>
      <c r="O49" s="80">
        <f t="shared" si="2"/>
        <v>0</v>
      </c>
      <c r="P49" s="176"/>
      <c r="Q49" s="1002"/>
      <c r="R49" s="91"/>
      <c r="S49" s="91"/>
      <c r="T49" s="1002"/>
      <c r="U49" s="1002"/>
      <c r="V49" s="1002"/>
      <c r="W49" s="22"/>
      <c r="X49" s="9"/>
      <c r="Y49" s="204"/>
      <c r="Z49" s="25"/>
      <c r="AA49" s="25"/>
      <c r="AB49" s="25"/>
      <c r="AC49" s="22"/>
    </row>
    <row r="50" ht="30.75" customHeight="1">
      <c r="A50" s="996"/>
      <c r="B50" s="996"/>
      <c r="C50" s="1002"/>
      <c r="D50" s="1002"/>
      <c r="E50" s="996"/>
      <c r="F50" s="1002"/>
      <c r="G50" s="457"/>
      <c r="H50" s="85"/>
      <c r="I50" s="459"/>
      <c r="J50" s="48">
        <f t="shared" si="3"/>
        <v>0</v>
      </c>
      <c r="K50" s="76">
        <f t="shared" si="4"/>
        <v>0</v>
      </c>
      <c r="L50" s="1002"/>
      <c r="M50" s="575"/>
      <c r="N50" s="136"/>
      <c r="O50" s="80">
        <f t="shared" si="2"/>
        <v>0</v>
      </c>
      <c r="P50" s="176"/>
      <c r="Q50" s="1002"/>
      <c r="R50" s="91"/>
      <c r="S50" s="91"/>
      <c r="T50" s="1002"/>
      <c r="U50" s="1002"/>
      <c r="V50" s="1002"/>
      <c r="W50" s="22"/>
      <c r="X50" s="9"/>
      <c r="Y50" s="204"/>
      <c r="Z50" s="25"/>
      <c r="AA50" s="25"/>
      <c r="AB50" s="25"/>
      <c r="AC50" s="22"/>
    </row>
    <row r="51" ht="30.75" customHeight="1">
      <c r="A51" s="9"/>
      <c r="B51" s="198" t="s">
        <v>384</v>
      </c>
      <c r="C51" s="16"/>
      <c r="D51" s="16"/>
      <c r="E51" s="16"/>
      <c r="F51" s="16"/>
      <c r="G51" s="16"/>
      <c r="H51" s="16"/>
      <c r="I51" s="17"/>
      <c r="J51" s="199">
        <f>sum(J4:J50)</f>
        <v>0</v>
      </c>
      <c r="K51" s="76">
        <f t="shared" si="4"/>
        <v>0</v>
      </c>
      <c r="L51" s="201">
        <f t="shared" ref="L51:N51" si="5">SUM(L4:L50)</f>
        <v>0</v>
      </c>
      <c r="M51" s="202">
        <f t="shared" si="5"/>
        <v>0</v>
      </c>
      <c r="N51" s="201">
        <f t="shared" si="5"/>
        <v>0</v>
      </c>
      <c r="O51" s="80">
        <f>K51+L51-N51-M51</f>
        <v>0</v>
      </c>
      <c r="P51" s="201">
        <f t="shared" ref="P51:V51" si="6">SUM(P4:P50)</f>
        <v>0</v>
      </c>
      <c r="Q51" s="201">
        <f t="shared" si="6"/>
        <v>0</v>
      </c>
      <c r="R51" s="201">
        <f t="shared" si="6"/>
        <v>0</v>
      </c>
      <c r="S51" s="201">
        <f t="shared" si="6"/>
        <v>0</v>
      </c>
      <c r="T51" s="201">
        <f t="shared" si="6"/>
        <v>0</v>
      </c>
      <c r="U51" s="202">
        <f t="shared" si="6"/>
        <v>0</v>
      </c>
      <c r="V51" s="202">
        <f t="shared" si="6"/>
        <v>0</v>
      </c>
      <c r="W51" s="9"/>
      <c r="X51" s="9"/>
      <c r="Y51" s="204"/>
      <c r="Z51" s="205"/>
      <c r="AA51" s="205"/>
      <c r="AB51" s="205"/>
      <c r="AC51" s="9"/>
    </row>
    <row r="52" ht="30.75" customHeight="1">
      <c r="A52" s="9"/>
      <c r="B52" s="206" t="s">
        <v>385</v>
      </c>
      <c r="C52" s="16"/>
      <c r="D52" s="16"/>
      <c r="E52" s="16"/>
      <c r="F52" s="16"/>
      <c r="G52" s="16"/>
      <c r="H52" s="16"/>
      <c r="I52" s="17"/>
      <c r="J52" s="207">
        <f>SUMIF(G4:G50, "&lt;&gt;*Omi*", J4:J50)</f>
        <v>0</v>
      </c>
      <c r="K52" s="208"/>
      <c r="L52" s="208"/>
      <c r="M52" s="209"/>
      <c r="N52" s="210"/>
      <c r="O52" s="211"/>
      <c r="P52" s="210"/>
      <c r="Q52" s="23"/>
      <c r="R52" s="23"/>
      <c r="S52" s="23"/>
      <c r="T52" s="23"/>
      <c r="U52" s="212"/>
      <c r="V52" s="213"/>
      <c r="W52" s="9"/>
      <c r="X52" s="9"/>
      <c r="Y52" s="204"/>
      <c r="Z52" s="205"/>
      <c r="AA52" s="205"/>
      <c r="AB52" s="205"/>
      <c r="AC52" s="9"/>
    </row>
    <row r="53" ht="24.75" customHeight="1">
      <c r="A53" s="9"/>
      <c r="B53" s="214" t="s">
        <v>386</v>
      </c>
      <c r="C53" s="16"/>
      <c r="D53" s="16"/>
      <c r="E53" s="16"/>
      <c r="F53" s="16"/>
      <c r="G53" s="16"/>
      <c r="H53" s="16"/>
      <c r="I53" s="17"/>
      <c r="J53" s="215">
        <f>J51-J52</f>
        <v>0</v>
      </c>
      <c r="K53" s="208"/>
      <c r="L53" s="216"/>
      <c r="M53" s="216"/>
      <c r="N53" s="216"/>
      <c r="O53" s="216"/>
      <c r="P53" s="23"/>
      <c r="Q53" s="23"/>
      <c r="R53" s="23"/>
      <c r="S53" s="23"/>
      <c r="T53" s="23"/>
      <c r="U53" s="212"/>
      <c r="V53" s="213"/>
      <c r="W53" s="9"/>
      <c r="X53" s="9"/>
      <c r="Y53" s="204"/>
      <c r="Z53" s="205"/>
      <c r="AA53" s="205"/>
      <c r="AB53" s="205"/>
      <c r="AC53" s="9"/>
    </row>
    <row r="54" ht="24.75" customHeight="1">
      <c r="A54" s="9"/>
      <c r="B54" s="217" t="s">
        <v>387</v>
      </c>
      <c r="C54" s="16"/>
      <c r="D54" s="16"/>
      <c r="E54" s="16"/>
      <c r="F54" s="16"/>
      <c r="G54" s="16"/>
      <c r="H54" s="16"/>
      <c r="I54" s="17"/>
      <c r="J54" s="207">
        <f>SUMIF(R4:R50,"Cty trả ship",Q4:Q50)</f>
        <v>0</v>
      </c>
      <c r="K54" s="208"/>
      <c r="L54" s="216"/>
      <c r="M54" s="216"/>
      <c r="N54" s="216"/>
      <c r="O54" s="216"/>
      <c r="P54" s="23"/>
      <c r="Q54" s="23"/>
      <c r="R54" s="23"/>
      <c r="S54" s="23"/>
      <c r="T54" s="23"/>
      <c r="U54" s="212"/>
      <c r="V54" s="213"/>
      <c r="W54" s="9"/>
      <c r="X54" s="218"/>
      <c r="Y54" s="219"/>
      <c r="Z54" s="205"/>
      <c r="AA54" s="205"/>
      <c r="AB54" s="205"/>
      <c r="AC54" s="9"/>
    </row>
    <row r="55" ht="24.75" customHeight="1">
      <c r="A55" s="9"/>
      <c r="B55" s="220" t="s">
        <v>388</v>
      </c>
      <c r="C55" s="16"/>
      <c r="D55" s="16"/>
      <c r="E55" s="16"/>
      <c r="F55" s="16"/>
      <c r="G55" s="16"/>
      <c r="H55" s="16"/>
      <c r="I55" s="17"/>
      <c r="J55" s="221">
        <f>N51</f>
        <v>0</v>
      </c>
      <c r="K55" s="208"/>
      <c r="L55" s="208"/>
      <c r="M55" s="210"/>
      <c r="N55" s="210"/>
      <c r="O55" s="211"/>
      <c r="P55" s="210"/>
      <c r="Q55" s="23"/>
      <c r="R55" s="23"/>
      <c r="S55" s="210"/>
      <c r="T55" s="210"/>
      <c r="U55" s="212"/>
      <c r="V55" s="213"/>
      <c r="W55" s="210"/>
      <c r="X55" s="218"/>
      <c r="Y55" s="219"/>
      <c r="Z55" s="205"/>
      <c r="AA55" s="205"/>
      <c r="AB55" s="205"/>
      <c r="AC55" s="9"/>
    </row>
    <row r="56" ht="15.75" customHeight="1">
      <c r="A56" s="9"/>
      <c r="B56" s="9"/>
      <c r="C56" s="9"/>
      <c r="D56" s="9"/>
      <c r="E56" s="9"/>
      <c r="F56" s="222"/>
      <c r="G56" s="223"/>
      <c r="H56" s="224"/>
      <c r="I56" s="225"/>
      <c r="J56" s="225"/>
      <c r="K56" s="22"/>
      <c r="L56" s="9"/>
      <c r="M56" s="9"/>
      <c r="N56" s="9"/>
      <c r="O56" s="226"/>
      <c r="P56" s="9"/>
      <c r="Q56" s="9"/>
      <c r="R56" s="9"/>
      <c r="S56" s="9"/>
      <c r="T56" s="9"/>
      <c r="U56" s="212"/>
      <c r="V56" s="213"/>
      <c r="W56" s="9"/>
      <c r="X56" s="9"/>
      <c r="Y56" s="204"/>
      <c r="Z56" s="205"/>
      <c r="AA56" s="205"/>
      <c r="AB56" s="205"/>
      <c r="AC56" s="9"/>
    </row>
    <row r="57" ht="15.75" customHeight="1">
      <c r="A57" s="218"/>
      <c r="B57" s="227"/>
      <c r="C57" s="228"/>
      <c r="D57" s="229"/>
      <c r="E57" s="230"/>
      <c r="F57" s="229"/>
      <c r="G57" s="231"/>
      <c r="H57" s="231"/>
      <c r="I57" s="231"/>
      <c r="J57" s="232"/>
      <c r="K57" s="233"/>
      <c r="L57" s="232"/>
      <c r="M57" s="232"/>
      <c r="N57" s="232"/>
      <c r="O57" s="234"/>
      <c r="P57" s="218"/>
      <c r="Q57" s="218"/>
      <c r="R57" s="218"/>
      <c r="S57" s="218"/>
      <c r="T57" s="218"/>
      <c r="U57" s="212"/>
      <c r="V57" s="213"/>
      <c r="W57" s="235"/>
      <c r="X57" s="218"/>
      <c r="Y57" s="219"/>
      <c r="Z57" s="205"/>
      <c r="AA57" s="205"/>
      <c r="AB57" s="205"/>
      <c r="AC57" s="9"/>
    </row>
    <row r="58" ht="28.5" customHeight="1">
      <c r="A58" s="218"/>
      <c r="B58" s="236"/>
      <c r="C58" s="16"/>
      <c r="D58" s="17"/>
      <c r="E58" s="237" t="s">
        <v>389</v>
      </c>
      <c r="F58" s="16"/>
      <c r="G58" s="16"/>
      <c r="H58" s="16"/>
      <c r="I58" s="16"/>
      <c r="J58" s="17"/>
      <c r="K58" s="23"/>
      <c r="L58" s="218"/>
      <c r="M58" s="238"/>
      <c r="N58" s="238"/>
      <c r="O58" s="239" t="s">
        <v>390</v>
      </c>
      <c r="P58" s="16"/>
      <c r="Q58" s="16"/>
      <c r="R58" s="16"/>
      <c r="S58" s="16"/>
      <c r="T58" s="16"/>
      <c r="U58" s="17"/>
      <c r="V58" s="213"/>
      <c r="W58" s="240"/>
      <c r="X58" s="218"/>
      <c r="Y58" s="219"/>
      <c r="Z58" s="205"/>
      <c r="AA58" s="205"/>
      <c r="AB58" s="205"/>
      <c r="AC58" s="9"/>
    </row>
    <row r="59" ht="15.75" customHeight="1">
      <c r="A59" s="218"/>
      <c r="B59" s="241" t="s">
        <v>391</v>
      </c>
      <c r="C59" s="242" t="s">
        <v>392</v>
      </c>
      <c r="D59" s="243" t="s">
        <v>393</v>
      </c>
      <c r="E59" s="244" t="s">
        <v>394</v>
      </c>
      <c r="F59" s="245" t="s">
        <v>395</v>
      </c>
      <c r="G59" s="201" t="s">
        <v>396</v>
      </c>
      <c r="H59" s="243" t="s">
        <v>397</v>
      </c>
      <c r="I59" s="246" t="s">
        <v>398</v>
      </c>
      <c r="J59" s="247" t="s">
        <v>399</v>
      </c>
      <c r="K59" s="23"/>
      <c r="L59" s="218"/>
      <c r="M59" s="248"/>
      <c r="N59" s="249"/>
      <c r="O59" s="250" t="s">
        <v>400</v>
      </c>
      <c r="P59" s="250" t="s">
        <v>1843</v>
      </c>
      <c r="Q59" s="250" t="s">
        <v>1529</v>
      </c>
      <c r="R59" s="251" t="s">
        <v>1844</v>
      </c>
      <c r="S59" s="251" t="s">
        <v>1530</v>
      </c>
      <c r="T59" s="252" t="s">
        <v>405</v>
      </c>
      <c r="U59" s="253" t="s">
        <v>406</v>
      </c>
      <c r="V59" s="213"/>
      <c r="W59" s="240"/>
      <c r="X59" s="218"/>
      <c r="Y59" s="219"/>
      <c r="Z59" s="205"/>
      <c r="AA59" s="205"/>
      <c r="AB59" s="205"/>
      <c r="AC59" s="9"/>
    </row>
    <row r="60" ht="25.5" customHeight="1">
      <c r="A60" s="218"/>
      <c r="B60" s="254" t="s">
        <v>407</v>
      </c>
      <c r="C60" s="85" t="s">
        <v>121</v>
      </c>
      <c r="D60" s="255">
        <f t="shared" ref="D60:D103" si="7">SUMIF($G$4:$G$53,C60,$H$4:$H$53)</f>
        <v>0</v>
      </c>
      <c r="E60" s="65"/>
      <c r="F60" s="255"/>
      <c r="G60" s="256">
        <f t="shared" ref="G60:G103" si="8">D60-E60-F60</f>
        <v>0</v>
      </c>
      <c r="H60" s="128">
        <v>220000.0</v>
      </c>
      <c r="I60" s="217">
        <f t="shared" ref="I60:I103" si="9">G60*H60</f>
        <v>0</v>
      </c>
      <c r="J60" s="257">
        <f t="shared" ref="J60:J103" si="10">SUMIF($T$4:$T$50,C60,$U$4:$U$50)</f>
        <v>0</v>
      </c>
      <c r="K60" s="23"/>
      <c r="L60" s="218"/>
      <c r="M60" s="258"/>
      <c r="N60" s="259"/>
      <c r="O60" s="290"/>
      <c r="P60" s="261"/>
      <c r="Q60" s="261"/>
      <c r="R60" s="262"/>
      <c r="S60" s="262"/>
      <c r="T60" s="252"/>
      <c r="U60" s="267"/>
      <c r="V60" s="213"/>
      <c r="W60" s="266"/>
      <c r="X60" s="218"/>
      <c r="Y60" s="219"/>
      <c r="Z60" s="205"/>
      <c r="AA60" s="205"/>
      <c r="AB60" s="205"/>
      <c r="AC60" s="9"/>
    </row>
    <row r="61" ht="25.5" customHeight="1">
      <c r="A61" s="218"/>
      <c r="B61" s="62"/>
      <c r="C61" s="85" t="s">
        <v>123</v>
      </c>
      <c r="D61" s="255">
        <f t="shared" si="7"/>
        <v>0</v>
      </c>
      <c r="E61" s="65"/>
      <c r="F61" s="255"/>
      <c r="G61" s="256">
        <f t="shared" si="8"/>
        <v>0</v>
      </c>
      <c r="H61" s="128">
        <v>220000.0</v>
      </c>
      <c r="I61" s="217">
        <f t="shared" si="9"/>
        <v>0</v>
      </c>
      <c r="J61" s="257">
        <f t="shared" si="10"/>
        <v>0</v>
      </c>
      <c r="K61" s="23"/>
      <c r="L61" s="218"/>
      <c r="M61" s="258"/>
      <c r="N61" s="259"/>
      <c r="O61" s="290"/>
      <c r="P61" s="261"/>
      <c r="Q61" s="261"/>
      <c r="R61" s="262"/>
      <c r="S61" s="262"/>
      <c r="T61" s="252"/>
      <c r="U61" s="267"/>
      <c r="V61" s="213"/>
      <c r="W61" s="266"/>
      <c r="X61" s="218"/>
      <c r="Y61" s="219"/>
      <c r="Z61" s="205"/>
      <c r="AA61" s="205"/>
      <c r="AB61" s="205"/>
      <c r="AC61" s="9"/>
    </row>
    <row r="62" ht="28.5" customHeight="1">
      <c r="A62" s="218"/>
      <c r="B62" s="62"/>
      <c r="C62" s="85" t="s">
        <v>124</v>
      </c>
      <c r="D62" s="255">
        <f t="shared" si="7"/>
        <v>0</v>
      </c>
      <c r="E62" s="65"/>
      <c r="F62" s="255"/>
      <c r="G62" s="256">
        <f t="shared" si="8"/>
        <v>0</v>
      </c>
      <c r="H62" s="128">
        <v>220000.0</v>
      </c>
      <c r="I62" s="217">
        <f t="shared" si="9"/>
        <v>0</v>
      </c>
      <c r="J62" s="257">
        <f t="shared" si="10"/>
        <v>0</v>
      </c>
      <c r="K62" s="23"/>
      <c r="L62" s="218"/>
      <c r="M62" s="258"/>
      <c r="N62" s="259"/>
      <c r="O62" s="290"/>
      <c r="P62" s="261"/>
      <c r="Q62" s="261"/>
      <c r="R62" s="262"/>
      <c r="S62" s="262"/>
      <c r="T62" s="252"/>
      <c r="U62" s="267"/>
      <c r="V62" s="213"/>
      <c r="W62" s="266"/>
      <c r="X62" s="218"/>
      <c r="Y62" s="219"/>
      <c r="Z62" s="205"/>
      <c r="AA62" s="205"/>
      <c r="AB62" s="205"/>
      <c r="AC62" s="9"/>
    </row>
    <row r="63" ht="25.5" customHeight="1">
      <c r="A63" s="218"/>
      <c r="B63" s="62"/>
      <c r="C63" s="129" t="s">
        <v>125</v>
      </c>
      <c r="D63" s="255">
        <f t="shared" si="7"/>
        <v>0</v>
      </c>
      <c r="E63" s="65"/>
      <c r="F63" s="255"/>
      <c r="G63" s="256">
        <f t="shared" si="8"/>
        <v>0</v>
      </c>
      <c r="H63" s="80">
        <v>220000.0</v>
      </c>
      <c r="I63" s="217">
        <f t="shared" si="9"/>
        <v>0</v>
      </c>
      <c r="J63" s="257">
        <f t="shared" si="10"/>
        <v>0</v>
      </c>
      <c r="K63" s="23"/>
      <c r="L63" s="218"/>
      <c r="M63" s="258"/>
      <c r="N63" s="259"/>
      <c r="O63" s="290"/>
      <c r="P63" s="261"/>
      <c r="Q63" s="261"/>
      <c r="R63" s="262"/>
      <c r="S63" s="262"/>
      <c r="T63" s="252"/>
      <c r="U63" s="267"/>
      <c r="V63" s="213"/>
      <c r="W63" s="266"/>
      <c r="X63" s="218"/>
      <c r="Y63" s="219"/>
      <c r="Z63" s="205"/>
      <c r="AA63" s="205"/>
      <c r="AB63" s="205"/>
      <c r="AC63" s="9"/>
    </row>
    <row r="64" ht="25.5" customHeight="1">
      <c r="A64" s="218"/>
      <c r="B64" s="62"/>
      <c r="C64" s="129" t="s">
        <v>129</v>
      </c>
      <c r="D64" s="255">
        <f t="shared" si="7"/>
        <v>0</v>
      </c>
      <c r="E64" s="268"/>
      <c r="F64" s="269"/>
      <c r="G64" s="256">
        <f t="shared" si="8"/>
        <v>0</v>
      </c>
      <c r="H64" s="80">
        <v>220000.0</v>
      </c>
      <c r="I64" s="217">
        <f t="shared" si="9"/>
        <v>0</v>
      </c>
      <c r="J64" s="257">
        <f t="shared" si="10"/>
        <v>0</v>
      </c>
      <c r="K64" s="23"/>
      <c r="L64" s="218"/>
      <c r="M64" s="258"/>
      <c r="N64" s="259"/>
      <c r="O64" s="290"/>
      <c r="P64" s="261"/>
      <c r="Q64" s="261"/>
      <c r="R64" s="262"/>
      <c r="S64" s="262"/>
      <c r="T64" s="252"/>
      <c r="U64" s="267"/>
      <c r="V64" s="213"/>
      <c r="W64" s="266"/>
      <c r="X64" s="218"/>
      <c r="Y64" s="219"/>
      <c r="Z64" s="205"/>
      <c r="AA64" s="205"/>
      <c r="AB64" s="205"/>
      <c r="AC64" s="9"/>
    </row>
    <row r="65" ht="25.5" customHeight="1">
      <c r="A65" s="218"/>
      <c r="B65" s="62"/>
      <c r="C65" s="85" t="s">
        <v>133</v>
      </c>
      <c r="D65" s="255">
        <f t="shared" si="7"/>
        <v>0</v>
      </c>
      <c r="E65" s="65"/>
      <c r="F65" s="269"/>
      <c r="G65" s="256">
        <f t="shared" si="8"/>
        <v>0</v>
      </c>
      <c r="H65" s="128">
        <v>220000.0</v>
      </c>
      <c r="I65" s="217">
        <f t="shared" si="9"/>
        <v>0</v>
      </c>
      <c r="J65" s="257">
        <f t="shared" si="10"/>
        <v>0</v>
      </c>
      <c r="K65" s="23"/>
      <c r="L65" s="218"/>
      <c r="M65" s="258"/>
      <c r="N65" s="259"/>
      <c r="O65" s="290"/>
      <c r="P65" s="261"/>
      <c r="Q65" s="261"/>
      <c r="R65" s="262"/>
      <c r="S65" s="262"/>
      <c r="T65" s="252"/>
      <c r="U65" s="267"/>
      <c r="V65" s="213"/>
      <c r="W65" s="266"/>
      <c r="X65" s="218"/>
      <c r="Y65" s="219"/>
      <c r="Z65" s="205"/>
      <c r="AA65" s="205"/>
      <c r="AB65" s="205"/>
      <c r="AC65" s="9"/>
    </row>
    <row r="66" ht="25.5" customHeight="1">
      <c r="A66" s="218"/>
      <c r="B66" s="62"/>
      <c r="C66" s="85" t="s">
        <v>135</v>
      </c>
      <c r="D66" s="255">
        <f t="shared" si="7"/>
        <v>0</v>
      </c>
      <c r="E66" s="268"/>
      <c r="F66" s="269"/>
      <c r="G66" s="256">
        <f t="shared" si="8"/>
        <v>0</v>
      </c>
      <c r="H66" s="128">
        <v>220000.0</v>
      </c>
      <c r="I66" s="217">
        <f t="shared" si="9"/>
        <v>0</v>
      </c>
      <c r="J66" s="257">
        <f t="shared" si="10"/>
        <v>0</v>
      </c>
      <c r="K66" s="23"/>
      <c r="L66" s="218"/>
      <c r="M66" s="258"/>
      <c r="N66" s="259"/>
      <c r="O66" s="290"/>
      <c r="P66" s="261"/>
      <c r="Q66" s="261"/>
      <c r="R66" s="262"/>
      <c r="S66" s="262"/>
      <c r="T66" s="252"/>
      <c r="U66" s="267"/>
      <c r="V66" s="213"/>
      <c r="W66" s="266"/>
      <c r="X66" s="218"/>
      <c r="Y66" s="219"/>
      <c r="Z66" s="205"/>
      <c r="AA66" s="205"/>
      <c r="AB66" s="205"/>
      <c r="AC66" s="9"/>
    </row>
    <row r="67" ht="25.5" customHeight="1">
      <c r="A67" s="218"/>
      <c r="B67" s="62"/>
      <c r="C67" s="85" t="s">
        <v>139</v>
      </c>
      <c r="D67" s="255">
        <f t="shared" si="7"/>
        <v>0</v>
      </c>
      <c r="E67" s="65"/>
      <c r="F67" s="269"/>
      <c r="G67" s="256">
        <f t="shared" si="8"/>
        <v>0</v>
      </c>
      <c r="H67" s="128">
        <v>80000.0</v>
      </c>
      <c r="I67" s="217">
        <f t="shared" si="9"/>
        <v>0</v>
      </c>
      <c r="J67" s="257">
        <f t="shared" si="10"/>
        <v>0</v>
      </c>
      <c r="K67" s="23"/>
      <c r="L67" s="218"/>
      <c r="M67" s="258"/>
      <c r="N67" s="259"/>
      <c r="O67" s="290"/>
      <c r="P67" s="261"/>
      <c r="Q67" s="261"/>
      <c r="R67" s="262"/>
      <c r="S67" s="262"/>
      <c r="T67" s="252"/>
      <c r="U67" s="267"/>
      <c r="V67" s="213"/>
      <c r="W67" s="266"/>
      <c r="X67" s="218"/>
      <c r="Y67" s="219"/>
      <c r="Z67" s="205"/>
      <c r="AA67" s="205"/>
      <c r="AB67" s="205"/>
      <c r="AC67" s="9"/>
    </row>
    <row r="68" ht="25.5" customHeight="1">
      <c r="A68" s="218"/>
      <c r="B68" s="62"/>
      <c r="C68" s="85" t="s">
        <v>142</v>
      </c>
      <c r="D68" s="255">
        <f t="shared" si="7"/>
        <v>0</v>
      </c>
      <c r="E68" s="65"/>
      <c r="F68" s="269"/>
      <c r="G68" s="256">
        <f t="shared" si="8"/>
        <v>0</v>
      </c>
      <c r="H68" s="128">
        <v>220000.0</v>
      </c>
      <c r="I68" s="217">
        <f t="shared" si="9"/>
        <v>0</v>
      </c>
      <c r="J68" s="257">
        <f t="shared" si="10"/>
        <v>0</v>
      </c>
      <c r="K68" s="23"/>
      <c r="L68" s="218"/>
      <c r="M68" s="258"/>
      <c r="N68" s="259"/>
      <c r="O68" s="290"/>
      <c r="P68" s="261"/>
      <c r="Q68" s="261"/>
      <c r="R68" s="262"/>
      <c r="S68" s="262"/>
      <c r="T68" s="252"/>
      <c r="U68" s="267"/>
      <c r="V68" s="213"/>
      <c r="W68" s="266"/>
      <c r="X68" s="218"/>
      <c r="Y68" s="219"/>
      <c r="Z68" s="205"/>
      <c r="AA68" s="205"/>
      <c r="AB68" s="205"/>
      <c r="AC68" s="9"/>
    </row>
    <row r="69" ht="25.5" customHeight="1">
      <c r="A69" s="218"/>
      <c r="B69" s="62"/>
      <c r="C69" s="85" t="s">
        <v>145</v>
      </c>
      <c r="D69" s="255">
        <f t="shared" si="7"/>
        <v>0</v>
      </c>
      <c r="E69" s="65"/>
      <c r="F69" s="269"/>
      <c r="G69" s="256">
        <f t="shared" si="8"/>
        <v>0</v>
      </c>
      <c r="H69" s="128">
        <v>220000.0</v>
      </c>
      <c r="I69" s="217">
        <f t="shared" si="9"/>
        <v>0</v>
      </c>
      <c r="J69" s="257">
        <f t="shared" si="10"/>
        <v>0</v>
      </c>
      <c r="K69" s="23"/>
      <c r="L69" s="218"/>
      <c r="M69" s="258"/>
      <c r="N69" s="259"/>
      <c r="O69" s="290"/>
      <c r="P69" s="261"/>
      <c r="Q69" s="261"/>
      <c r="R69" s="262"/>
      <c r="S69" s="262"/>
      <c r="T69" s="252"/>
      <c r="U69" s="267"/>
      <c r="V69" s="213"/>
      <c r="W69" s="266"/>
      <c r="X69" s="218"/>
      <c r="Y69" s="219"/>
      <c r="Z69" s="205"/>
      <c r="AA69" s="205"/>
      <c r="AB69" s="205"/>
      <c r="AC69" s="9"/>
    </row>
    <row r="70" ht="25.5" customHeight="1">
      <c r="A70" s="218"/>
      <c r="B70" s="62"/>
      <c r="C70" s="85" t="s">
        <v>153</v>
      </c>
      <c r="D70" s="255">
        <f t="shared" si="7"/>
        <v>0</v>
      </c>
      <c r="E70" s="65"/>
      <c r="F70" s="269"/>
      <c r="G70" s="256">
        <f t="shared" si="8"/>
        <v>0</v>
      </c>
      <c r="H70" s="128">
        <v>45000.0</v>
      </c>
      <c r="I70" s="217">
        <f t="shared" si="9"/>
        <v>0</v>
      </c>
      <c r="J70" s="257">
        <f t="shared" si="10"/>
        <v>0</v>
      </c>
      <c r="K70" s="23"/>
      <c r="L70" s="218"/>
      <c r="M70" s="258"/>
      <c r="N70" s="259"/>
      <c r="O70" s="290"/>
      <c r="P70" s="261"/>
      <c r="Q70" s="261"/>
      <c r="R70" s="262"/>
      <c r="S70" s="262"/>
      <c r="T70" s="252"/>
      <c r="U70" s="267"/>
      <c r="V70" s="213"/>
      <c r="W70" s="266"/>
      <c r="X70" s="218"/>
      <c r="Y70" s="219"/>
      <c r="Z70" s="205"/>
      <c r="AA70" s="205"/>
      <c r="AB70" s="205"/>
      <c r="AC70" s="9"/>
    </row>
    <row r="71" ht="25.5" customHeight="1">
      <c r="A71" s="218"/>
      <c r="B71" s="62"/>
      <c r="C71" s="273" t="s">
        <v>161</v>
      </c>
      <c r="D71" s="255">
        <f t="shared" si="7"/>
        <v>0</v>
      </c>
      <c r="E71" s="65"/>
      <c r="F71" s="269"/>
      <c r="G71" s="256">
        <f t="shared" si="8"/>
        <v>0</v>
      </c>
      <c r="H71" s="274">
        <v>220000.0</v>
      </c>
      <c r="I71" s="217">
        <f t="shared" si="9"/>
        <v>0</v>
      </c>
      <c r="J71" s="257">
        <f t="shared" si="10"/>
        <v>0</v>
      </c>
      <c r="K71" s="23"/>
      <c r="L71" s="218"/>
      <c r="M71" s="258"/>
      <c r="N71" s="259"/>
      <c r="O71" s="290"/>
      <c r="P71" s="261"/>
      <c r="Q71" s="261"/>
      <c r="R71" s="262"/>
      <c r="S71" s="262"/>
      <c r="T71" s="252"/>
      <c r="U71" s="267"/>
      <c r="V71" s="213"/>
      <c r="W71" s="266"/>
      <c r="X71" s="218"/>
      <c r="Y71" s="219"/>
      <c r="Z71" s="205"/>
      <c r="AA71" s="205"/>
      <c r="AB71" s="205"/>
      <c r="AC71" s="9"/>
    </row>
    <row r="72" ht="25.5" customHeight="1">
      <c r="A72" s="218"/>
      <c r="B72" s="62"/>
      <c r="C72" s="273" t="s">
        <v>488</v>
      </c>
      <c r="D72" s="255">
        <f t="shared" si="7"/>
        <v>0</v>
      </c>
      <c r="E72" s="65"/>
      <c r="F72" s="269"/>
      <c r="G72" s="256">
        <f t="shared" si="8"/>
        <v>0</v>
      </c>
      <c r="H72" s="274">
        <v>45000.0</v>
      </c>
      <c r="I72" s="217">
        <f t="shared" si="9"/>
        <v>0</v>
      </c>
      <c r="J72" s="257">
        <f t="shared" si="10"/>
        <v>0</v>
      </c>
      <c r="K72" s="23"/>
      <c r="L72" s="218"/>
      <c r="M72" s="258"/>
      <c r="N72" s="259"/>
      <c r="O72" s="290"/>
      <c r="P72" s="261"/>
      <c r="Q72" s="261"/>
      <c r="R72" s="262"/>
      <c r="S72" s="262"/>
      <c r="T72" s="252"/>
      <c r="U72" s="267"/>
      <c r="V72" s="213"/>
      <c r="W72" s="266"/>
      <c r="X72" s="218"/>
      <c r="Y72" s="219"/>
      <c r="Z72" s="205"/>
      <c r="AA72" s="205"/>
      <c r="AB72" s="205"/>
      <c r="AC72" s="9"/>
    </row>
    <row r="73" ht="25.5" customHeight="1">
      <c r="A73" s="218"/>
      <c r="B73" s="62"/>
      <c r="C73" s="273" t="s">
        <v>412</v>
      </c>
      <c r="D73" s="255">
        <f t="shared" si="7"/>
        <v>0</v>
      </c>
      <c r="E73" s="65"/>
      <c r="F73" s="269"/>
      <c r="G73" s="256">
        <f t="shared" si="8"/>
        <v>0</v>
      </c>
      <c r="H73" s="274">
        <v>45000.0</v>
      </c>
      <c r="I73" s="217">
        <f t="shared" si="9"/>
        <v>0</v>
      </c>
      <c r="J73" s="257">
        <f t="shared" si="10"/>
        <v>0</v>
      </c>
      <c r="K73" s="23"/>
      <c r="L73" s="218"/>
      <c r="M73" s="258"/>
      <c r="N73" s="259"/>
      <c r="O73" s="290"/>
      <c r="P73" s="261"/>
      <c r="Q73" s="261"/>
      <c r="R73" s="262"/>
      <c r="S73" s="262"/>
      <c r="T73" s="252"/>
      <c r="U73" s="267"/>
      <c r="V73" s="213"/>
      <c r="W73" s="266"/>
      <c r="X73" s="218"/>
      <c r="Y73" s="219"/>
      <c r="Z73" s="205"/>
      <c r="AA73" s="205"/>
      <c r="AB73" s="205"/>
      <c r="AC73" s="9"/>
    </row>
    <row r="74" ht="25.5" customHeight="1">
      <c r="A74" s="218"/>
      <c r="B74" s="62"/>
      <c r="C74" s="273" t="s">
        <v>151</v>
      </c>
      <c r="D74" s="255">
        <f t="shared" si="7"/>
        <v>0</v>
      </c>
      <c r="E74" s="65"/>
      <c r="F74" s="269"/>
      <c r="G74" s="256">
        <f t="shared" si="8"/>
        <v>0</v>
      </c>
      <c r="H74" s="274">
        <v>220000.0</v>
      </c>
      <c r="I74" s="217">
        <f t="shared" si="9"/>
        <v>0</v>
      </c>
      <c r="J74" s="257">
        <f t="shared" si="10"/>
        <v>0</v>
      </c>
      <c r="K74" s="23"/>
      <c r="L74" s="218"/>
      <c r="M74" s="258"/>
      <c r="N74" s="259"/>
      <c r="O74" s="290"/>
      <c r="P74" s="261"/>
      <c r="Q74" s="261"/>
      <c r="R74" s="262"/>
      <c r="S74" s="262"/>
      <c r="T74" s="252"/>
      <c r="U74" s="267"/>
      <c r="V74" s="213"/>
      <c r="W74" s="266"/>
      <c r="X74" s="218"/>
      <c r="Y74" s="219"/>
      <c r="Z74" s="205"/>
      <c r="AA74" s="205"/>
      <c r="AB74" s="205"/>
      <c r="AC74" s="9"/>
    </row>
    <row r="75" ht="25.5" customHeight="1">
      <c r="A75" s="218"/>
      <c r="B75" s="62"/>
      <c r="C75" s="65" t="s">
        <v>148</v>
      </c>
      <c r="D75" s="255">
        <f t="shared" si="7"/>
        <v>0</v>
      </c>
      <c r="E75" s="65"/>
      <c r="F75" s="269"/>
      <c r="G75" s="256">
        <f t="shared" si="8"/>
        <v>0</v>
      </c>
      <c r="H75" s="66">
        <v>220000.0</v>
      </c>
      <c r="I75" s="217">
        <f t="shared" si="9"/>
        <v>0</v>
      </c>
      <c r="J75" s="257">
        <f t="shared" si="10"/>
        <v>0</v>
      </c>
      <c r="K75" s="23"/>
      <c r="L75" s="218"/>
      <c r="M75" s="258"/>
      <c r="N75" s="259"/>
      <c r="O75" s="290"/>
      <c r="P75" s="261"/>
      <c r="Q75" s="261"/>
      <c r="R75" s="262"/>
      <c r="S75" s="262"/>
      <c r="T75" s="252"/>
      <c r="U75" s="267"/>
      <c r="V75" s="213"/>
      <c r="W75" s="266"/>
      <c r="X75" s="218"/>
      <c r="Y75" s="219"/>
      <c r="Z75" s="205"/>
      <c r="AA75" s="205"/>
      <c r="AB75" s="205"/>
      <c r="AC75" s="9"/>
    </row>
    <row r="76" ht="25.5" customHeight="1">
      <c r="A76" s="275"/>
      <c r="B76" s="62"/>
      <c r="C76" s="276" t="s">
        <v>166</v>
      </c>
      <c r="D76" s="255">
        <f t="shared" si="7"/>
        <v>0</v>
      </c>
      <c r="E76" s="65"/>
      <c r="F76" s="269"/>
      <c r="G76" s="256">
        <f t="shared" si="8"/>
        <v>0</v>
      </c>
      <c r="H76" s="277">
        <v>160000.0</v>
      </c>
      <c r="I76" s="217">
        <f t="shared" si="9"/>
        <v>0</v>
      </c>
      <c r="J76" s="257">
        <f t="shared" si="10"/>
        <v>0</v>
      </c>
      <c r="K76" s="278"/>
      <c r="L76" s="275"/>
      <c r="M76" s="259"/>
      <c r="N76" s="259"/>
      <c r="O76" s="290"/>
      <c r="P76" s="261"/>
      <c r="Q76" s="261"/>
      <c r="R76" s="262"/>
      <c r="S76" s="262"/>
      <c r="T76" s="252"/>
      <c r="U76" s="267"/>
      <c r="V76" s="213"/>
      <c r="W76" s="279"/>
      <c r="X76" s="275"/>
      <c r="Y76" s="280"/>
      <c r="Z76" s="281"/>
      <c r="AA76" s="281"/>
      <c r="AB76" s="281"/>
      <c r="AC76" s="282"/>
    </row>
    <row r="77" ht="25.5" customHeight="1">
      <c r="A77" s="275"/>
      <c r="B77" s="62"/>
      <c r="C77" s="276" t="s">
        <v>170</v>
      </c>
      <c r="D77" s="255">
        <f t="shared" si="7"/>
        <v>0</v>
      </c>
      <c r="E77" s="65"/>
      <c r="F77" s="269"/>
      <c r="G77" s="256">
        <f t="shared" si="8"/>
        <v>0</v>
      </c>
      <c r="H77" s="277">
        <v>220000.0</v>
      </c>
      <c r="I77" s="217">
        <f t="shared" si="9"/>
        <v>0</v>
      </c>
      <c r="J77" s="257">
        <f t="shared" si="10"/>
        <v>0</v>
      </c>
      <c r="K77" s="278"/>
      <c r="L77" s="275"/>
      <c r="M77" s="259"/>
      <c r="N77" s="259"/>
      <c r="O77" s="290"/>
      <c r="P77" s="261"/>
      <c r="Q77" s="261"/>
      <c r="R77" s="262"/>
      <c r="S77" s="262"/>
      <c r="T77" s="252"/>
      <c r="U77" s="267"/>
      <c r="V77" s="213"/>
      <c r="W77" s="279"/>
      <c r="X77" s="275"/>
      <c r="Y77" s="280"/>
      <c r="Z77" s="281"/>
      <c r="AA77" s="281"/>
      <c r="AB77" s="281"/>
      <c r="AC77" s="282"/>
    </row>
    <row r="78" ht="25.5" customHeight="1">
      <c r="A78" s="275"/>
      <c r="B78" s="62"/>
      <c r="C78" s="276" t="s">
        <v>414</v>
      </c>
      <c r="D78" s="255">
        <f t="shared" si="7"/>
        <v>0</v>
      </c>
      <c r="E78" s="65"/>
      <c r="F78" s="269"/>
      <c r="G78" s="256">
        <f t="shared" si="8"/>
        <v>0</v>
      </c>
      <c r="H78" s="277">
        <v>160000.0</v>
      </c>
      <c r="I78" s="217">
        <f t="shared" si="9"/>
        <v>0</v>
      </c>
      <c r="J78" s="257">
        <f t="shared" si="10"/>
        <v>0</v>
      </c>
      <c r="K78" s="278"/>
      <c r="L78" s="275"/>
      <c r="M78" s="259"/>
      <c r="N78" s="259"/>
      <c r="O78" s="290"/>
      <c r="P78" s="261"/>
      <c r="Q78" s="261"/>
      <c r="R78" s="262"/>
      <c r="S78" s="262"/>
      <c r="T78" s="252"/>
      <c r="U78" s="267"/>
      <c r="V78" s="213"/>
      <c r="W78" s="279"/>
      <c r="X78" s="275"/>
      <c r="Y78" s="280"/>
      <c r="Z78" s="281"/>
      <c r="AA78" s="281"/>
      <c r="AB78" s="281"/>
      <c r="AC78" s="282"/>
    </row>
    <row r="79" ht="25.5" customHeight="1">
      <c r="A79" s="218"/>
      <c r="B79" s="254" t="s">
        <v>415</v>
      </c>
      <c r="C79" s="283" t="s">
        <v>34</v>
      </c>
      <c r="D79" s="255">
        <f t="shared" si="7"/>
        <v>0</v>
      </c>
      <c r="E79" s="284"/>
      <c r="F79" s="269"/>
      <c r="G79" s="256">
        <f t="shared" si="8"/>
        <v>0</v>
      </c>
      <c r="H79" s="61">
        <v>65000.0</v>
      </c>
      <c r="I79" s="217">
        <f t="shared" si="9"/>
        <v>0</v>
      </c>
      <c r="J79" s="257">
        <f t="shared" si="10"/>
        <v>0</v>
      </c>
      <c r="K79" s="23"/>
      <c r="L79" s="218"/>
      <c r="M79" s="258"/>
      <c r="N79" s="259"/>
      <c r="O79" s="290"/>
      <c r="P79" s="261"/>
      <c r="Q79" s="261"/>
      <c r="R79" s="262"/>
      <c r="S79" s="262"/>
      <c r="T79" s="252"/>
      <c r="U79" s="267"/>
      <c r="V79" s="213"/>
      <c r="W79" s="266"/>
      <c r="X79" s="218"/>
      <c r="Y79" s="219"/>
      <c r="Z79" s="205"/>
      <c r="AA79" s="205"/>
      <c r="AB79" s="205"/>
      <c r="AC79" s="9"/>
    </row>
    <row r="80" ht="25.5" customHeight="1">
      <c r="A80" s="218"/>
      <c r="B80" s="62"/>
      <c r="C80" s="285" t="s">
        <v>36</v>
      </c>
      <c r="D80" s="255">
        <f t="shared" si="7"/>
        <v>0</v>
      </c>
      <c r="E80" s="284"/>
      <c r="F80" s="269"/>
      <c r="G80" s="256">
        <f t="shared" si="8"/>
        <v>0</v>
      </c>
      <c r="H80" s="66">
        <v>180000.0</v>
      </c>
      <c r="I80" s="217">
        <f t="shared" si="9"/>
        <v>0</v>
      </c>
      <c r="J80" s="257">
        <f t="shared" si="10"/>
        <v>0</v>
      </c>
      <c r="K80" s="23"/>
      <c r="L80" s="218"/>
      <c r="M80" s="286"/>
      <c r="N80" s="259"/>
      <c r="O80" s="290"/>
      <c r="P80" s="261"/>
      <c r="Q80" s="261"/>
      <c r="R80" s="262"/>
      <c r="S80" s="262"/>
      <c r="T80" s="252"/>
      <c r="U80" s="267"/>
      <c r="V80" s="213"/>
      <c r="W80" s="266"/>
      <c r="X80" s="218"/>
      <c r="Y80" s="219"/>
      <c r="Z80" s="205"/>
      <c r="AA80" s="205"/>
      <c r="AB80" s="205"/>
      <c r="AC80" s="9"/>
    </row>
    <row r="81" ht="25.5" customHeight="1">
      <c r="A81" s="218"/>
      <c r="B81" s="62"/>
      <c r="C81" s="285" t="s">
        <v>38</v>
      </c>
      <c r="D81" s="255">
        <f t="shared" si="7"/>
        <v>0</v>
      </c>
      <c r="E81" s="284"/>
      <c r="F81" s="269"/>
      <c r="G81" s="256">
        <f t="shared" si="8"/>
        <v>0</v>
      </c>
      <c r="H81" s="66">
        <v>160000.0</v>
      </c>
      <c r="I81" s="217">
        <f t="shared" si="9"/>
        <v>0</v>
      </c>
      <c r="J81" s="257">
        <f t="shared" si="10"/>
        <v>0</v>
      </c>
      <c r="K81" s="23"/>
      <c r="L81" s="218"/>
      <c r="M81" s="218"/>
      <c r="N81" s="259"/>
      <c r="O81" s="290"/>
      <c r="P81" s="261"/>
      <c r="Q81" s="261"/>
      <c r="R81" s="262"/>
      <c r="S81" s="262"/>
      <c r="T81" s="252"/>
      <c r="U81" s="267"/>
      <c r="V81" s="213"/>
      <c r="W81" s="266"/>
      <c r="X81" s="218"/>
      <c r="Y81" s="219"/>
      <c r="Z81" s="205"/>
      <c r="AA81" s="205"/>
      <c r="AB81" s="205"/>
      <c r="AC81" s="9"/>
    </row>
    <row r="82" ht="25.5" customHeight="1">
      <c r="A82" s="218"/>
      <c r="B82" s="62"/>
      <c r="C82" s="285" t="s">
        <v>43</v>
      </c>
      <c r="D82" s="255">
        <f t="shared" si="7"/>
        <v>0</v>
      </c>
      <c r="E82" s="284"/>
      <c r="F82" s="269"/>
      <c r="G82" s="256">
        <f t="shared" si="8"/>
        <v>0</v>
      </c>
      <c r="H82" s="87">
        <v>65000.0</v>
      </c>
      <c r="I82" s="217">
        <f t="shared" si="9"/>
        <v>0</v>
      </c>
      <c r="J82" s="257">
        <f t="shared" si="10"/>
        <v>0</v>
      </c>
      <c r="K82" s="23"/>
      <c r="L82" s="218"/>
      <c r="M82" s="218"/>
      <c r="N82" s="259"/>
      <c r="O82" s="290"/>
      <c r="P82" s="261"/>
      <c r="Q82" s="261"/>
      <c r="R82" s="262"/>
      <c r="S82" s="262"/>
      <c r="T82" s="252"/>
      <c r="U82" s="267"/>
      <c r="V82" s="213"/>
      <c r="W82" s="266"/>
      <c r="X82" s="218"/>
      <c r="Y82" s="219"/>
      <c r="Z82" s="205"/>
      <c r="AA82" s="205"/>
      <c r="AB82" s="205"/>
      <c r="AC82" s="9"/>
    </row>
    <row r="83" ht="25.5" customHeight="1">
      <c r="A83" s="218"/>
      <c r="B83" s="62"/>
      <c r="C83" s="285" t="s">
        <v>48</v>
      </c>
      <c r="D83" s="255">
        <f t="shared" si="7"/>
        <v>0</v>
      </c>
      <c r="E83" s="284"/>
      <c r="F83" s="269"/>
      <c r="G83" s="256">
        <f t="shared" si="8"/>
        <v>0</v>
      </c>
      <c r="H83" s="66">
        <v>55000.0</v>
      </c>
      <c r="I83" s="217">
        <f t="shared" si="9"/>
        <v>0</v>
      </c>
      <c r="J83" s="257">
        <f t="shared" si="10"/>
        <v>0</v>
      </c>
      <c r="K83" s="23"/>
      <c r="L83" s="218"/>
      <c r="M83" s="218"/>
      <c r="N83" s="259"/>
      <c r="O83" s="290"/>
      <c r="P83" s="261"/>
      <c r="Q83" s="261"/>
      <c r="R83" s="262"/>
      <c r="S83" s="262"/>
      <c r="T83" s="252"/>
      <c r="U83" s="267"/>
      <c r="V83" s="213"/>
      <c r="W83" s="266"/>
      <c r="X83" s="218"/>
      <c r="Y83" s="219"/>
      <c r="Z83" s="205"/>
      <c r="AA83" s="205"/>
      <c r="AB83" s="205"/>
      <c r="AC83" s="9"/>
    </row>
    <row r="84" ht="25.5" customHeight="1">
      <c r="A84" s="218"/>
      <c r="B84" s="62"/>
      <c r="C84" s="287" t="s">
        <v>54</v>
      </c>
      <c r="D84" s="255">
        <f t="shared" si="7"/>
        <v>0</v>
      </c>
      <c r="E84" s="284"/>
      <c r="F84" s="269"/>
      <c r="G84" s="256">
        <f t="shared" si="8"/>
        <v>0</v>
      </c>
      <c r="H84" s="87">
        <v>40000.0</v>
      </c>
      <c r="I84" s="217">
        <f t="shared" si="9"/>
        <v>0</v>
      </c>
      <c r="J84" s="257">
        <f t="shared" si="10"/>
        <v>0</v>
      </c>
      <c r="K84" s="23"/>
      <c r="L84" s="218"/>
      <c r="M84" s="218"/>
      <c r="N84" s="259"/>
      <c r="O84" s="290"/>
      <c r="P84" s="261"/>
      <c r="Q84" s="261"/>
      <c r="R84" s="262"/>
      <c r="S84" s="262"/>
      <c r="T84" s="252"/>
      <c r="U84" s="267"/>
      <c r="V84" s="213"/>
      <c r="W84" s="266"/>
      <c r="X84" s="218"/>
      <c r="Y84" s="219"/>
      <c r="Z84" s="205"/>
      <c r="AA84" s="205"/>
      <c r="AB84" s="205"/>
      <c r="AC84" s="9"/>
    </row>
    <row r="85" ht="25.5" customHeight="1">
      <c r="A85" s="218"/>
      <c r="B85" s="62"/>
      <c r="C85" s="285" t="s">
        <v>60</v>
      </c>
      <c r="D85" s="255">
        <f t="shared" si="7"/>
        <v>0</v>
      </c>
      <c r="E85" s="284"/>
      <c r="F85" s="269"/>
      <c r="G85" s="256">
        <f t="shared" si="8"/>
        <v>0</v>
      </c>
      <c r="H85" s="66">
        <v>45000.0</v>
      </c>
      <c r="I85" s="217">
        <f t="shared" si="9"/>
        <v>0</v>
      </c>
      <c r="J85" s="257">
        <f t="shared" si="10"/>
        <v>0</v>
      </c>
      <c r="K85" s="23"/>
      <c r="L85" s="218"/>
      <c r="M85" s="218"/>
      <c r="N85" s="259"/>
      <c r="O85" s="290"/>
      <c r="P85" s="261"/>
      <c r="Q85" s="261"/>
      <c r="R85" s="262"/>
      <c r="S85" s="262"/>
      <c r="T85" s="252"/>
      <c r="U85" s="267"/>
      <c r="V85" s="213"/>
      <c r="W85" s="266"/>
      <c r="X85" s="218"/>
      <c r="Y85" s="219"/>
      <c r="Z85" s="205"/>
      <c r="AA85" s="205"/>
      <c r="AB85" s="205"/>
      <c r="AC85" s="9"/>
    </row>
    <row r="86" ht="25.5" customHeight="1">
      <c r="A86" s="218"/>
      <c r="B86" s="62"/>
      <c r="C86" s="287" t="s">
        <v>62</v>
      </c>
      <c r="D86" s="255">
        <f t="shared" si="7"/>
        <v>0</v>
      </c>
      <c r="E86" s="284"/>
      <c r="F86" s="269"/>
      <c r="G86" s="256">
        <f t="shared" si="8"/>
        <v>0</v>
      </c>
      <c r="H86" s="87">
        <v>55000.0</v>
      </c>
      <c r="I86" s="217">
        <f t="shared" si="9"/>
        <v>0</v>
      </c>
      <c r="J86" s="257">
        <f t="shared" si="10"/>
        <v>0</v>
      </c>
      <c r="K86" s="23"/>
      <c r="L86" s="218"/>
      <c r="M86" s="218"/>
      <c r="N86" s="259"/>
      <c r="O86" s="290"/>
      <c r="P86" s="261"/>
      <c r="Q86" s="261"/>
      <c r="R86" s="262"/>
      <c r="S86" s="262"/>
      <c r="T86" s="252"/>
      <c r="U86" s="267"/>
      <c r="V86" s="213"/>
      <c r="W86" s="266"/>
      <c r="X86" s="218"/>
      <c r="Y86" s="219"/>
      <c r="Z86" s="205"/>
      <c r="AA86" s="205"/>
      <c r="AB86" s="205"/>
      <c r="AC86" s="9"/>
    </row>
    <row r="87" ht="25.5" customHeight="1">
      <c r="A87" s="218"/>
      <c r="B87" s="62"/>
      <c r="C87" s="285" t="s">
        <v>66</v>
      </c>
      <c r="D87" s="255">
        <f t="shared" si="7"/>
        <v>0</v>
      </c>
      <c r="E87" s="284"/>
      <c r="F87" s="269"/>
      <c r="G87" s="256">
        <f t="shared" si="8"/>
        <v>0</v>
      </c>
      <c r="H87" s="66">
        <v>205000.0</v>
      </c>
      <c r="I87" s="217">
        <f t="shared" si="9"/>
        <v>0</v>
      </c>
      <c r="J87" s="257">
        <f t="shared" si="10"/>
        <v>0</v>
      </c>
      <c r="K87" s="23"/>
      <c r="L87" s="218"/>
      <c r="M87" s="218"/>
      <c r="N87" s="259"/>
      <c r="O87" s="290"/>
      <c r="P87" s="261"/>
      <c r="Q87" s="261"/>
      <c r="R87" s="262"/>
      <c r="S87" s="262"/>
      <c r="T87" s="252"/>
      <c r="U87" s="267"/>
      <c r="V87" s="213"/>
      <c r="W87" s="266"/>
      <c r="X87" s="218"/>
      <c r="Y87" s="219"/>
      <c r="Z87" s="205"/>
      <c r="AA87" s="205"/>
      <c r="AB87" s="205"/>
      <c r="AC87" s="9"/>
    </row>
    <row r="88" ht="25.5" customHeight="1">
      <c r="A88" s="218"/>
      <c r="B88" s="62"/>
      <c r="C88" s="287" t="s">
        <v>67</v>
      </c>
      <c r="D88" s="255">
        <f t="shared" si="7"/>
        <v>0</v>
      </c>
      <c r="E88" s="284"/>
      <c r="F88" s="269"/>
      <c r="G88" s="256">
        <f t="shared" si="8"/>
        <v>0</v>
      </c>
      <c r="H88" s="87">
        <v>45000.0</v>
      </c>
      <c r="I88" s="217">
        <f t="shared" si="9"/>
        <v>0</v>
      </c>
      <c r="J88" s="257">
        <f t="shared" si="10"/>
        <v>0</v>
      </c>
      <c r="K88" s="23"/>
      <c r="L88" s="218"/>
      <c r="M88" s="218"/>
      <c r="N88" s="259"/>
      <c r="O88" s="290"/>
      <c r="P88" s="261"/>
      <c r="Q88" s="261"/>
      <c r="R88" s="262"/>
      <c r="S88" s="262"/>
      <c r="T88" s="252"/>
      <c r="U88" s="267"/>
      <c r="V88" s="213"/>
      <c r="W88" s="266"/>
      <c r="X88" s="218"/>
      <c r="Y88" s="219"/>
      <c r="Z88" s="205"/>
      <c r="AA88" s="205"/>
      <c r="AB88" s="205"/>
      <c r="AC88" s="9"/>
    </row>
    <row r="89" ht="25.5" customHeight="1">
      <c r="A89" s="218"/>
      <c r="B89" s="62"/>
      <c r="C89" s="288" t="s">
        <v>71</v>
      </c>
      <c r="D89" s="255">
        <f t="shared" si="7"/>
        <v>0</v>
      </c>
      <c r="E89" s="284"/>
      <c r="F89" s="269"/>
      <c r="G89" s="256">
        <f t="shared" si="8"/>
        <v>0</v>
      </c>
      <c r="H89" s="66">
        <v>85000.0</v>
      </c>
      <c r="I89" s="217">
        <f t="shared" si="9"/>
        <v>0</v>
      </c>
      <c r="J89" s="257">
        <f t="shared" si="10"/>
        <v>0</v>
      </c>
      <c r="K89" s="23"/>
      <c r="L89" s="218"/>
      <c r="M89" s="218"/>
      <c r="N89" s="259"/>
      <c r="O89" s="290"/>
      <c r="P89" s="290"/>
      <c r="Q89" s="290"/>
      <c r="R89" s="262"/>
      <c r="S89" s="262"/>
      <c r="T89" s="252"/>
      <c r="U89" s="267"/>
      <c r="V89" s="213"/>
      <c r="W89" s="266"/>
      <c r="X89" s="218"/>
      <c r="Y89" s="219"/>
      <c r="Z89" s="205"/>
      <c r="AA89" s="205"/>
      <c r="AB89" s="205"/>
      <c r="AC89" s="9"/>
    </row>
    <row r="90" ht="25.5" customHeight="1">
      <c r="A90" s="218"/>
      <c r="B90" s="62"/>
      <c r="C90" s="285" t="s">
        <v>76</v>
      </c>
      <c r="D90" s="255">
        <f t="shared" si="7"/>
        <v>0</v>
      </c>
      <c r="E90" s="284"/>
      <c r="F90" s="269"/>
      <c r="G90" s="256">
        <f t="shared" si="8"/>
        <v>0</v>
      </c>
      <c r="H90" s="66">
        <v>90000.0</v>
      </c>
      <c r="I90" s="217">
        <f t="shared" si="9"/>
        <v>0</v>
      </c>
      <c r="J90" s="257">
        <f t="shared" si="10"/>
        <v>0</v>
      </c>
      <c r="K90" s="23"/>
      <c r="L90" s="218"/>
      <c r="M90" s="218"/>
      <c r="N90" s="289"/>
      <c r="O90" s="290"/>
      <c r="P90" s="290"/>
      <c r="Q90" s="290"/>
      <c r="R90" s="262"/>
      <c r="S90" s="262"/>
      <c r="T90" s="252"/>
      <c r="U90" s="267"/>
      <c r="V90" s="213"/>
      <c r="W90" s="266"/>
      <c r="X90" s="218"/>
      <c r="Y90" s="219"/>
      <c r="Z90" s="205"/>
      <c r="AA90" s="205"/>
      <c r="AB90" s="205"/>
      <c r="AC90" s="9"/>
    </row>
    <row r="91" ht="25.5" customHeight="1">
      <c r="A91" s="218"/>
      <c r="B91" s="62"/>
      <c r="C91" s="285" t="s">
        <v>80</v>
      </c>
      <c r="D91" s="255">
        <f t="shared" si="7"/>
        <v>0</v>
      </c>
      <c r="E91" s="284"/>
      <c r="F91" s="269"/>
      <c r="G91" s="256">
        <f t="shared" si="8"/>
        <v>0</v>
      </c>
      <c r="H91" s="66">
        <v>85000.0</v>
      </c>
      <c r="I91" s="217">
        <f t="shared" si="9"/>
        <v>0</v>
      </c>
      <c r="J91" s="257">
        <f t="shared" si="10"/>
        <v>0</v>
      </c>
      <c r="K91" s="23"/>
      <c r="L91" s="218"/>
      <c r="M91" s="218"/>
      <c r="N91" s="218"/>
      <c r="O91" s="290"/>
      <c r="P91" s="290"/>
      <c r="Q91" s="290"/>
      <c r="R91" s="262"/>
      <c r="S91" s="262"/>
      <c r="T91" s="252"/>
      <c r="U91" s="267"/>
      <c r="V91" s="213"/>
      <c r="W91" s="266"/>
      <c r="X91" s="218"/>
      <c r="Y91" s="219"/>
      <c r="Z91" s="205"/>
      <c r="AA91" s="205"/>
      <c r="AB91" s="205"/>
      <c r="AC91" s="9"/>
    </row>
    <row r="92" ht="25.5" customHeight="1">
      <c r="A92" s="218"/>
      <c r="B92" s="62"/>
      <c r="C92" s="285" t="s">
        <v>81</v>
      </c>
      <c r="D92" s="255">
        <f t="shared" si="7"/>
        <v>0</v>
      </c>
      <c r="E92" s="284"/>
      <c r="F92" s="269"/>
      <c r="G92" s="256">
        <f t="shared" si="8"/>
        <v>0</v>
      </c>
      <c r="H92" s="66">
        <v>150000.0</v>
      </c>
      <c r="I92" s="217">
        <f t="shared" si="9"/>
        <v>0</v>
      </c>
      <c r="J92" s="257">
        <f t="shared" si="10"/>
        <v>0</v>
      </c>
      <c r="K92" s="23"/>
      <c r="L92" s="218"/>
      <c r="M92" s="218"/>
      <c r="N92" s="218"/>
      <c r="O92" s="290"/>
      <c r="P92" s="290"/>
      <c r="Q92" s="290"/>
      <c r="R92" s="262"/>
      <c r="S92" s="262"/>
      <c r="T92" s="252"/>
      <c r="U92" s="267"/>
      <c r="V92" s="213"/>
      <c r="W92" s="266"/>
      <c r="X92" s="218"/>
      <c r="Y92" s="219"/>
      <c r="Z92" s="205"/>
      <c r="AA92" s="205"/>
      <c r="AB92" s="205"/>
      <c r="AC92" s="9"/>
    </row>
    <row r="93" ht="25.5" customHeight="1">
      <c r="A93" s="218"/>
      <c r="B93" s="62"/>
      <c r="C93" s="285" t="s">
        <v>85</v>
      </c>
      <c r="D93" s="255">
        <f t="shared" si="7"/>
        <v>0</v>
      </c>
      <c r="E93" s="284"/>
      <c r="F93" s="269"/>
      <c r="G93" s="256">
        <f t="shared" si="8"/>
        <v>0</v>
      </c>
      <c r="H93" s="66">
        <v>125000.0</v>
      </c>
      <c r="I93" s="217">
        <f t="shared" si="9"/>
        <v>0</v>
      </c>
      <c r="J93" s="257">
        <f t="shared" si="10"/>
        <v>0</v>
      </c>
      <c r="K93" s="23"/>
      <c r="L93" s="218"/>
      <c r="M93" s="218"/>
      <c r="N93" s="218"/>
      <c r="O93" s="290"/>
      <c r="P93" s="290"/>
      <c r="Q93" s="290"/>
      <c r="R93" s="262"/>
      <c r="S93" s="262"/>
      <c r="T93" s="252"/>
      <c r="U93" s="267"/>
      <c r="V93" s="213"/>
      <c r="W93" s="235"/>
      <c r="X93" s="218"/>
      <c r="Y93" s="219"/>
      <c r="Z93" s="205"/>
      <c r="AA93" s="205"/>
      <c r="AB93" s="205"/>
      <c r="AC93" s="9"/>
    </row>
    <row r="94" ht="25.5" customHeight="1">
      <c r="A94" s="218"/>
      <c r="B94" s="62"/>
      <c r="C94" s="285" t="s">
        <v>89</v>
      </c>
      <c r="D94" s="255">
        <f t="shared" si="7"/>
        <v>0</v>
      </c>
      <c r="E94" s="284"/>
      <c r="F94" s="269"/>
      <c r="G94" s="256">
        <f t="shared" si="8"/>
        <v>0</v>
      </c>
      <c r="H94" s="66">
        <v>35000.0</v>
      </c>
      <c r="I94" s="217">
        <f t="shared" si="9"/>
        <v>0</v>
      </c>
      <c r="J94" s="257">
        <f t="shared" si="10"/>
        <v>0</v>
      </c>
      <c r="K94" s="23"/>
      <c r="L94" s="218"/>
      <c r="M94" s="218"/>
      <c r="N94" s="218"/>
      <c r="O94" s="290"/>
      <c r="P94" s="290"/>
      <c r="Q94" s="290"/>
      <c r="R94" s="262"/>
      <c r="S94" s="262"/>
      <c r="T94" s="252"/>
      <c r="U94" s="267"/>
      <c r="V94" s="213"/>
      <c r="W94" s="266"/>
      <c r="X94" s="218"/>
      <c r="Y94" s="219"/>
      <c r="Z94" s="205"/>
      <c r="AA94" s="205"/>
      <c r="AB94" s="205"/>
      <c r="AC94" s="9"/>
    </row>
    <row r="95" ht="25.5" customHeight="1">
      <c r="A95" s="218"/>
      <c r="B95" s="62"/>
      <c r="C95" s="285" t="s">
        <v>93</v>
      </c>
      <c r="D95" s="255">
        <f t="shared" si="7"/>
        <v>0</v>
      </c>
      <c r="E95" s="284"/>
      <c r="F95" s="269"/>
      <c r="G95" s="256">
        <f t="shared" si="8"/>
        <v>0</v>
      </c>
      <c r="H95" s="66">
        <v>90000.0</v>
      </c>
      <c r="I95" s="217">
        <f t="shared" si="9"/>
        <v>0</v>
      </c>
      <c r="J95" s="257">
        <f t="shared" si="10"/>
        <v>0</v>
      </c>
      <c r="K95" s="23"/>
      <c r="L95" s="218"/>
      <c r="M95" s="218"/>
      <c r="N95" s="218"/>
      <c r="O95" s="291" t="s">
        <v>418</v>
      </c>
      <c r="P95" s="291">
        <f t="shared" ref="P95:T95" si="11">sum(P60:P94)</f>
        <v>0</v>
      </c>
      <c r="Q95" s="291">
        <f t="shared" si="11"/>
        <v>0</v>
      </c>
      <c r="R95" s="291">
        <f t="shared" si="11"/>
        <v>0</v>
      </c>
      <c r="S95" s="291">
        <f t="shared" si="11"/>
        <v>0</v>
      </c>
      <c r="T95" s="291">
        <f t="shared" si="11"/>
        <v>0</v>
      </c>
      <c r="U95" s="291"/>
      <c r="V95" s="213"/>
      <c r="W95" s="266"/>
      <c r="X95" s="218"/>
      <c r="Y95" s="219"/>
      <c r="Z95" s="205"/>
      <c r="AA95" s="205"/>
      <c r="AB95" s="205"/>
      <c r="AC95" s="9"/>
    </row>
    <row r="96" ht="25.5" customHeight="1">
      <c r="A96" s="218"/>
      <c r="B96" s="62"/>
      <c r="C96" s="285" t="s">
        <v>94</v>
      </c>
      <c r="D96" s="255">
        <f t="shared" si="7"/>
        <v>0</v>
      </c>
      <c r="E96" s="284"/>
      <c r="F96" s="269"/>
      <c r="G96" s="256">
        <f t="shared" si="8"/>
        <v>0</v>
      </c>
      <c r="H96" s="66">
        <v>140000.0</v>
      </c>
      <c r="I96" s="217">
        <f t="shared" si="9"/>
        <v>0</v>
      </c>
      <c r="J96" s="257">
        <f t="shared" si="10"/>
        <v>0</v>
      </c>
      <c r="K96" s="23"/>
      <c r="L96" s="218"/>
      <c r="M96" s="218"/>
      <c r="N96" s="218"/>
      <c r="O96" s="298"/>
      <c r="P96" s="299"/>
      <c r="Q96" s="299"/>
      <c r="R96" s="299"/>
      <c r="S96" s="299"/>
      <c r="T96" s="617"/>
      <c r="U96" s="212"/>
      <c r="V96" s="213"/>
      <c r="W96" s="266"/>
      <c r="X96" s="218"/>
      <c r="Y96" s="219"/>
      <c r="Z96" s="205"/>
      <c r="AA96" s="205"/>
      <c r="AB96" s="205"/>
      <c r="AC96" s="9"/>
    </row>
    <row r="97" ht="25.5" customHeight="1">
      <c r="A97" s="218"/>
      <c r="B97" s="62"/>
      <c r="C97" s="285" t="s">
        <v>97</v>
      </c>
      <c r="D97" s="255">
        <f t="shared" si="7"/>
        <v>0</v>
      </c>
      <c r="E97" s="284"/>
      <c r="F97" s="269"/>
      <c r="G97" s="256">
        <f t="shared" si="8"/>
        <v>0</v>
      </c>
      <c r="H97" s="66">
        <v>95000.0</v>
      </c>
      <c r="I97" s="217">
        <f t="shared" si="9"/>
        <v>0</v>
      </c>
      <c r="J97" s="257">
        <f t="shared" si="10"/>
        <v>0</v>
      </c>
      <c r="K97" s="23"/>
      <c r="L97" s="218"/>
      <c r="M97" s="218"/>
      <c r="N97" s="218"/>
      <c r="O97" s="298"/>
      <c r="P97" s="299"/>
      <c r="Q97" s="299"/>
      <c r="R97" s="299"/>
      <c r="S97" s="299"/>
      <c r="T97" s="617"/>
      <c r="U97" s="212"/>
      <c r="V97" s="213"/>
      <c r="W97" s="266"/>
      <c r="X97" s="218"/>
      <c r="Y97" s="219"/>
      <c r="Z97" s="205"/>
      <c r="AA97" s="205"/>
      <c r="AB97" s="205"/>
      <c r="AC97" s="9"/>
    </row>
    <row r="98" ht="25.5" customHeight="1">
      <c r="A98" s="218"/>
      <c r="B98" s="62"/>
      <c r="C98" s="285" t="s">
        <v>99</v>
      </c>
      <c r="D98" s="255">
        <f t="shared" si="7"/>
        <v>0</v>
      </c>
      <c r="E98" s="284"/>
      <c r="F98" s="269"/>
      <c r="G98" s="256">
        <f t="shared" si="8"/>
        <v>0</v>
      </c>
      <c r="H98" s="66">
        <v>140000.0</v>
      </c>
      <c r="I98" s="217">
        <f t="shared" si="9"/>
        <v>0</v>
      </c>
      <c r="J98" s="257">
        <f t="shared" si="10"/>
        <v>0</v>
      </c>
      <c r="K98" s="23"/>
      <c r="L98" s="218"/>
      <c r="M98" s="218"/>
      <c r="N98" s="218"/>
      <c r="O98" s="298"/>
      <c r="P98" s="299"/>
      <c r="Q98" s="299"/>
      <c r="R98" s="299"/>
      <c r="S98" s="299"/>
      <c r="T98" s="218"/>
      <c r="U98" s="212"/>
      <c r="V98" s="213"/>
      <c r="W98" s="266"/>
      <c r="X98" s="218"/>
      <c r="Y98" s="219"/>
      <c r="Z98" s="205"/>
      <c r="AA98" s="205"/>
      <c r="AB98" s="205"/>
      <c r="AC98" s="9"/>
    </row>
    <row r="99" ht="25.5" customHeight="1">
      <c r="A99" s="218"/>
      <c r="B99" s="62"/>
      <c r="C99" s="285" t="s">
        <v>101</v>
      </c>
      <c r="D99" s="255">
        <f t="shared" si="7"/>
        <v>0</v>
      </c>
      <c r="E99" s="284"/>
      <c r="F99" s="269"/>
      <c r="G99" s="256">
        <f t="shared" si="8"/>
        <v>0</v>
      </c>
      <c r="H99" s="66">
        <v>150000.0</v>
      </c>
      <c r="I99" s="217">
        <f t="shared" si="9"/>
        <v>0</v>
      </c>
      <c r="J99" s="257">
        <f t="shared" si="10"/>
        <v>0</v>
      </c>
      <c r="K99" s="23"/>
      <c r="L99" s="218"/>
      <c r="M99" s="218"/>
      <c r="N99" s="218"/>
      <c r="O99" s="298"/>
      <c r="P99" s="299"/>
      <c r="Q99" s="299"/>
      <c r="R99" s="299"/>
      <c r="S99" s="299"/>
      <c r="T99" s="218"/>
      <c r="U99" s="212"/>
      <c r="V99" s="213"/>
      <c r="W99" s="266"/>
      <c r="X99" s="218"/>
      <c r="Y99" s="219"/>
      <c r="Z99" s="205"/>
      <c r="AA99" s="205"/>
      <c r="AB99" s="205"/>
      <c r="AC99" s="9"/>
    </row>
    <row r="100" ht="25.5" customHeight="1">
      <c r="A100" s="218"/>
      <c r="B100" s="62"/>
      <c r="C100" s="285" t="s">
        <v>109</v>
      </c>
      <c r="D100" s="255">
        <f t="shared" si="7"/>
        <v>0</v>
      </c>
      <c r="E100" s="284"/>
      <c r="F100" s="269"/>
      <c r="G100" s="256">
        <f t="shared" si="8"/>
        <v>0</v>
      </c>
      <c r="H100" s="66">
        <v>125000.0</v>
      </c>
      <c r="I100" s="217">
        <f t="shared" si="9"/>
        <v>0</v>
      </c>
      <c r="J100" s="257">
        <f t="shared" si="10"/>
        <v>0</v>
      </c>
      <c r="K100" s="23"/>
      <c r="L100" s="218"/>
      <c r="M100" s="218"/>
      <c r="N100" s="218"/>
      <c r="O100" s="298"/>
      <c r="P100" s="299"/>
      <c r="Q100" s="299"/>
      <c r="R100" s="299"/>
      <c r="S100" s="299"/>
      <c r="T100" s="218"/>
      <c r="U100" s="212"/>
      <c r="V100" s="213"/>
      <c r="W100" s="235"/>
      <c r="X100" s="218"/>
      <c r="Y100" s="219"/>
      <c r="Z100" s="205"/>
      <c r="AA100" s="205"/>
      <c r="AB100" s="205"/>
      <c r="AC100" s="9"/>
    </row>
    <row r="101" ht="25.5" customHeight="1">
      <c r="A101" s="218"/>
      <c r="B101" s="62"/>
      <c r="C101" s="285" t="s">
        <v>113</v>
      </c>
      <c r="D101" s="255">
        <f t="shared" si="7"/>
        <v>0</v>
      </c>
      <c r="E101" s="284"/>
      <c r="F101" s="269"/>
      <c r="G101" s="256">
        <f t="shared" si="8"/>
        <v>0</v>
      </c>
      <c r="H101" s="66">
        <v>75000.0</v>
      </c>
      <c r="I101" s="217">
        <f t="shared" si="9"/>
        <v>0</v>
      </c>
      <c r="J101" s="257">
        <f t="shared" si="10"/>
        <v>0</v>
      </c>
      <c r="K101" s="23"/>
      <c r="L101" s="218"/>
      <c r="M101" s="218"/>
      <c r="N101" s="218"/>
      <c r="O101" s="298"/>
      <c r="P101" s="299"/>
      <c r="Q101" s="299"/>
      <c r="R101" s="299"/>
      <c r="S101" s="299"/>
      <c r="T101" s="218"/>
      <c r="U101" s="212"/>
      <c r="V101" s="213"/>
      <c r="W101" s="235"/>
      <c r="X101" s="218"/>
      <c r="Y101" s="219"/>
      <c r="Z101" s="205"/>
      <c r="AA101" s="205"/>
      <c r="AB101" s="205"/>
      <c r="AC101" s="9"/>
    </row>
    <row r="102" ht="25.5" customHeight="1">
      <c r="A102" s="218"/>
      <c r="B102" s="62"/>
      <c r="C102" s="300" t="s">
        <v>116</v>
      </c>
      <c r="D102" s="301">
        <f t="shared" si="7"/>
        <v>0</v>
      </c>
      <c r="E102" s="284"/>
      <c r="F102" s="269"/>
      <c r="G102" s="256">
        <f t="shared" si="8"/>
        <v>0</v>
      </c>
      <c r="H102" s="302">
        <v>475000.0</v>
      </c>
      <c r="I102" s="217">
        <f t="shared" si="9"/>
        <v>0</v>
      </c>
      <c r="J102" s="257">
        <f t="shared" si="10"/>
        <v>0</v>
      </c>
      <c r="K102" s="23"/>
      <c r="L102" s="218"/>
      <c r="M102" s="218"/>
      <c r="N102" s="218"/>
      <c r="O102" s="298"/>
      <c r="P102" s="299"/>
      <c r="Q102" s="299"/>
      <c r="R102" s="299"/>
      <c r="S102" s="299"/>
      <c r="T102" s="218"/>
      <c r="U102" s="212"/>
      <c r="V102" s="213"/>
      <c r="W102" s="235"/>
      <c r="X102" s="218"/>
      <c r="Y102" s="219"/>
      <c r="Z102" s="205"/>
      <c r="AA102" s="205"/>
      <c r="AB102" s="205"/>
      <c r="AC102" s="9"/>
    </row>
    <row r="103" ht="25.5" customHeight="1">
      <c r="A103" s="218"/>
      <c r="B103" s="67"/>
      <c r="C103" s="303" t="s">
        <v>42</v>
      </c>
      <c r="D103" s="301">
        <f t="shared" si="7"/>
        <v>0</v>
      </c>
      <c r="E103" s="284"/>
      <c r="F103" s="305"/>
      <c r="G103" s="256">
        <f t="shared" si="8"/>
        <v>0</v>
      </c>
      <c r="H103" s="304">
        <v>75000.0</v>
      </c>
      <c r="I103" s="217">
        <f t="shared" si="9"/>
        <v>0</v>
      </c>
      <c r="J103" s="257">
        <f t="shared" si="10"/>
        <v>0</v>
      </c>
      <c r="K103" s="23"/>
      <c r="L103" s="218"/>
      <c r="M103" s="218"/>
      <c r="N103" s="218"/>
      <c r="O103" s="298"/>
      <c r="P103" s="299"/>
      <c r="Q103" s="299"/>
      <c r="R103" s="299"/>
      <c r="S103" s="299"/>
      <c r="T103" s="218"/>
      <c r="U103" s="212"/>
      <c r="V103" s="213"/>
      <c r="W103" s="235"/>
      <c r="X103" s="218"/>
      <c r="Y103" s="219"/>
      <c r="Z103" s="205"/>
      <c r="AA103" s="205"/>
      <c r="AB103" s="205"/>
      <c r="AC103" s="9"/>
    </row>
    <row r="104" ht="30.0" customHeight="1">
      <c r="A104" s="218"/>
      <c r="B104" s="306" t="s">
        <v>419</v>
      </c>
      <c r="C104" s="16"/>
      <c r="D104" s="16"/>
      <c r="E104" s="16"/>
      <c r="F104" s="16"/>
      <c r="G104" s="16"/>
      <c r="H104" s="17"/>
      <c r="I104" s="307">
        <f>SUM(I60:I75)</f>
        <v>0</v>
      </c>
      <c r="J104" s="23"/>
      <c r="K104" s="23"/>
      <c r="L104" s="218"/>
      <c r="M104" s="218"/>
      <c r="N104" s="218"/>
      <c r="O104" s="298"/>
      <c r="P104" s="299"/>
      <c r="Q104" s="299"/>
      <c r="R104" s="299"/>
      <c r="S104" s="299"/>
      <c r="T104" s="299"/>
      <c r="U104" s="212"/>
      <c r="V104" s="213"/>
      <c r="W104" s="235"/>
      <c r="X104" s="218"/>
      <c r="Y104" s="219"/>
      <c r="Z104" s="205"/>
      <c r="AA104" s="205"/>
      <c r="AB104" s="205"/>
      <c r="AC104" s="9"/>
    </row>
    <row r="105" ht="30.0" customHeight="1">
      <c r="A105" s="218"/>
      <c r="B105" s="308" t="s">
        <v>385</v>
      </c>
      <c r="C105" s="16"/>
      <c r="D105" s="16"/>
      <c r="E105" s="16"/>
      <c r="F105" s="16"/>
      <c r="G105" s="16"/>
      <c r="H105" s="17"/>
      <c r="I105" s="309">
        <f>SUM(I79:I103)</f>
        <v>0</v>
      </c>
      <c r="J105" s="23"/>
      <c r="K105" s="310" t="s">
        <v>420</v>
      </c>
      <c r="L105" s="16"/>
      <c r="M105" s="17"/>
      <c r="N105" s="311"/>
      <c r="O105" s="298"/>
      <c r="P105" s="299"/>
      <c r="Q105" s="299"/>
      <c r="R105" s="299"/>
      <c r="S105" s="299"/>
      <c r="T105" s="299"/>
      <c r="U105" s="212"/>
      <c r="V105" s="213"/>
      <c r="W105" s="235"/>
      <c r="X105" s="218"/>
      <c r="Y105" s="219"/>
      <c r="Z105" s="205"/>
      <c r="AA105" s="205"/>
      <c r="AB105" s="205"/>
      <c r="AC105" s="9"/>
    </row>
    <row r="106" ht="30.0" customHeight="1">
      <c r="A106" s="218"/>
      <c r="B106" s="312" t="s">
        <v>421</v>
      </c>
      <c r="C106" s="16"/>
      <c r="D106" s="16"/>
      <c r="E106" s="16"/>
      <c r="F106" s="16"/>
      <c r="G106" s="16"/>
      <c r="H106" s="17"/>
      <c r="I106" s="313">
        <f>SUM(I104:I105)</f>
        <v>0</v>
      </c>
      <c r="J106" s="23"/>
      <c r="K106" s="314" t="s">
        <v>422</v>
      </c>
      <c r="L106" s="316"/>
      <c r="M106" s="316"/>
      <c r="N106" s="218"/>
      <c r="O106" s="234"/>
      <c r="P106" s="218"/>
      <c r="Q106" s="218"/>
      <c r="R106" s="218"/>
      <c r="S106" s="218"/>
      <c r="T106" s="218"/>
      <c r="U106" s="212"/>
      <c r="V106" s="213"/>
      <c r="W106" s="235"/>
      <c r="X106" s="218"/>
      <c r="Y106" s="219"/>
      <c r="Z106" s="205"/>
      <c r="AA106" s="205"/>
      <c r="AB106" s="205"/>
      <c r="AC106" s="9"/>
    </row>
    <row r="107" ht="30.0" customHeight="1">
      <c r="A107" s="218"/>
      <c r="B107" s="317"/>
      <c r="C107" s="16"/>
      <c r="D107" s="17"/>
      <c r="E107" s="318" t="s">
        <v>423</v>
      </c>
      <c r="F107" s="16"/>
      <c r="G107" s="16"/>
      <c r="H107" s="17"/>
      <c r="I107" s="319">
        <f>O51</f>
        <v>0</v>
      </c>
      <c r="J107" s="23"/>
      <c r="K107" s="320" t="s">
        <v>424</v>
      </c>
      <c r="L107" s="316">
        <f>sumif(P4:P50,"Đã thu",K4:K50)</f>
        <v>0</v>
      </c>
      <c r="M107" s="316"/>
      <c r="N107" s="218"/>
      <c r="O107" s="234"/>
      <c r="P107" s="218"/>
      <c r="Q107" s="218"/>
      <c r="R107" s="218"/>
      <c r="S107" s="218"/>
      <c r="T107" s="218"/>
      <c r="U107" s="212"/>
      <c r="V107" s="213"/>
      <c r="W107" s="235"/>
      <c r="X107" s="218"/>
      <c r="Y107" s="219"/>
      <c r="Z107" s="205"/>
      <c r="AA107" s="205"/>
      <c r="AB107" s="205"/>
      <c r="AC107" s="9"/>
    </row>
    <row r="108" ht="30.0" customHeight="1">
      <c r="A108" s="218"/>
      <c r="B108" s="321" t="s">
        <v>425</v>
      </c>
      <c r="C108" s="16"/>
      <c r="D108" s="16"/>
      <c r="E108" s="16"/>
      <c r="F108" s="16"/>
      <c r="G108" s="16"/>
      <c r="H108" s="17"/>
      <c r="I108" s="322">
        <f>SUMIF(P4:P50,"Đã thu",O4:O50)</f>
        <v>0</v>
      </c>
      <c r="J108" s="23"/>
      <c r="K108" s="507" t="s">
        <v>415</v>
      </c>
      <c r="L108" s="315">
        <f>I105</f>
        <v>0</v>
      </c>
      <c r="M108" s="324"/>
      <c r="N108" s="235"/>
      <c r="O108" s="234"/>
      <c r="P108" s="218"/>
      <c r="Q108" s="218"/>
      <c r="R108" s="218"/>
      <c r="S108" s="218"/>
      <c r="T108" s="218"/>
      <c r="U108" s="212"/>
      <c r="V108" s="213"/>
      <c r="W108" s="235"/>
      <c r="X108" s="218"/>
      <c r="Y108" s="219"/>
      <c r="Z108" s="205"/>
      <c r="AA108" s="205"/>
      <c r="AB108" s="205"/>
      <c r="AC108" s="9"/>
    </row>
    <row r="109" ht="30.0" customHeight="1">
      <c r="A109" s="325"/>
      <c r="B109" s="326" t="s">
        <v>426</v>
      </c>
      <c r="C109" s="16"/>
      <c r="D109" s="16"/>
      <c r="E109" s="16"/>
      <c r="F109" s="16"/>
      <c r="G109" s="16"/>
      <c r="H109" s="17"/>
      <c r="I109" s="327">
        <f>I107-I108</f>
        <v>0</v>
      </c>
      <c r="J109" s="23"/>
      <c r="K109" s="328" t="s">
        <v>407</v>
      </c>
      <c r="L109" s="315">
        <f>sum(L106:L107)-L108</f>
        <v>0</v>
      </c>
      <c r="M109" s="324"/>
      <c r="N109" s="235"/>
      <c r="O109" s="234"/>
      <c r="P109" s="218"/>
      <c r="Q109" s="218"/>
      <c r="R109" s="218"/>
      <c r="S109" s="218"/>
      <c r="T109" s="218"/>
      <c r="U109" s="212"/>
      <c r="V109" s="213"/>
      <c r="W109" s="235"/>
      <c r="X109" s="218"/>
      <c r="Y109" s="219"/>
      <c r="Z109" s="205"/>
      <c r="AA109" s="205"/>
      <c r="AB109" s="205"/>
      <c r="AC109" s="9"/>
    </row>
    <row r="110" ht="30.0" customHeight="1">
      <c r="A110" s="325"/>
      <c r="B110" s="330" t="s">
        <v>427</v>
      </c>
      <c r="C110" s="16"/>
      <c r="D110" s="16"/>
      <c r="E110" s="16"/>
      <c r="F110" s="16"/>
      <c r="G110" s="16"/>
      <c r="H110" s="17"/>
      <c r="I110" s="331">
        <f>L51+Q51</f>
        <v>0</v>
      </c>
      <c r="J110" s="23"/>
      <c r="K110" s="335"/>
      <c r="L110" s="299"/>
      <c r="M110" s="218"/>
      <c r="N110" s="218"/>
      <c r="O110" s="234"/>
      <c r="P110" s="218"/>
      <c r="Q110" s="218"/>
      <c r="R110" s="218"/>
      <c r="S110" s="218"/>
      <c r="T110" s="218"/>
      <c r="U110" s="212"/>
      <c r="V110" s="213"/>
      <c r="W110" s="235"/>
      <c r="X110" s="218"/>
      <c r="Y110" s="219"/>
      <c r="Z110" s="205"/>
      <c r="AA110" s="205"/>
      <c r="AB110" s="205"/>
      <c r="AC110" s="9"/>
    </row>
    <row r="111" ht="30.0" customHeight="1">
      <c r="A111" s="218"/>
      <c r="B111" s="321" t="s">
        <v>428</v>
      </c>
      <c r="C111" s="16"/>
      <c r="D111" s="16"/>
      <c r="E111" s="16"/>
      <c r="F111" s="16"/>
      <c r="G111" s="16"/>
      <c r="H111" s="17"/>
      <c r="I111" s="207">
        <f>SUMIF($S$4:$S$50,"x",Q4:Q50)+SUMIF($S$4:$S$50,"x",$L$4:$L$50)</f>
        <v>0</v>
      </c>
      <c r="J111" s="23"/>
      <c r="K111" s="335"/>
      <c r="L111" s="299"/>
      <c r="M111" s="299"/>
      <c r="N111" s="299"/>
      <c r="O111" s="234"/>
      <c r="P111" s="218"/>
      <c r="Q111" s="218"/>
      <c r="R111" s="218"/>
      <c r="S111" s="218"/>
      <c r="T111" s="218"/>
      <c r="U111" s="212"/>
      <c r="V111" s="213"/>
      <c r="W111" s="235"/>
      <c r="X111" s="218"/>
      <c r="Y111" s="219"/>
      <c r="Z111" s="205"/>
      <c r="AA111" s="205"/>
      <c r="AB111" s="205"/>
      <c r="AC111" s="9"/>
    </row>
    <row r="112" ht="30.0" customHeight="1">
      <c r="A112" s="218"/>
      <c r="B112" s="326" t="s">
        <v>429</v>
      </c>
      <c r="C112" s="16"/>
      <c r="D112" s="16"/>
      <c r="E112" s="16"/>
      <c r="F112" s="16"/>
      <c r="G112" s="16"/>
      <c r="H112" s="17"/>
      <c r="I112" s="327">
        <f>I110-I111</f>
        <v>0</v>
      </c>
      <c r="J112" s="23"/>
      <c r="K112" s="335"/>
      <c r="L112" s="299"/>
      <c r="M112" s="218"/>
      <c r="N112" s="218"/>
      <c r="O112" s="234"/>
      <c r="P112" s="218"/>
      <c r="Q112" s="218"/>
      <c r="R112" s="218"/>
      <c r="S112" s="218"/>
      <c r="T112" s="218"/>
      <c r="U112" s="212"/>
      <c r="V112" s="213"/>
      <c r="W112" s="235"/>
      <c r="X112" s="218"/>
      <c r="Y112" s="219"/>
      <c r="Z112" s="205"/>
      <c r="AA112" s="205"/>
      <c r="AB112" s="205"/>
      <c r="AC112" s="9"/>
    </row>
    <row r="113" ht="15.75" customHeight="1">
      <c r="A113" s="218"/>
      <c r="B113" s="336"/>
      <c r="C113" s="336"/>
      <c r="D113" s="336"/>
      <c r="E113" s="337"/>
      <c r="F113" s="338"/>
      <c r="G113" s="218"/>
      <c r="H113" s="218"/>
      <c r="I113" s="218"/>
      <c r="J113" s="218"/>
      <c r="K113" s="23"/>
      <c r="L113" s="218"/>
      <c r="M113" s="218"/>
      <c r="N113" s="218"/>
      <c r="O113" s="234"/>
      <c r="P113" s="218"/>
      <c r="Q113" s="218"/>
      <c r="R113" s="218"/>
      <c r="S113" s="218"/>
      <c r="T113" s="218"/>
      <c r="U113" s="212"/>
      <c r="V113" s="213"/>
      <c r="W113" s="235"/>
      <c r="X113" s="218"/>
      <c r="Y113" s="219"/>
      <c r="Z113" s="205"/>
      <c r="AA113" s="205"/>
      <c r="AB113" s="205"/>
      <c r="AC113" s="9"/>
    </row>
    <row r="114" ht="15.75" customHeight="1">
      <c r="A114" s="339" t="s">
        <v>430</v>
      </c>
      <c r="E114" s="337"/>
      <c r="F114" s="338"/>
      <c r="G114" s="218"/>
      <c r="H114" s="218"/>
      <c r="I114" s="218"/>
      <c r="J114" s="218"/>
      <c r="K114" s="23"/>
      <c r="L114" s="218"/>
      <c r="M114" s="218"/>
      <c r="N114" s="218"/>
      <c r="O114" s="234"/>
      <c r="P114" s="218"/>
      <c r="Q114" s="218"/>
      <c r="R114" s="218"/>
      <c r="S114" s="218"/>
      <c r="T114" s="218"/>
      <c r="U114" s="212"/>
      <c r="V114" s="213"/>
      <c r="W114" s="235"/>
      <c r="X114" s="218"/>
      <c r="Y114" s="219"/>
      <c r="Z114" s="205"/>
      <c r="AA114" s="205"/>
      <c r="AB114" s="205"/>
      <c r="AC114" s="9"/>
    </row>
    <row r="115" ht="15.75" customHeight="1">
      <c r="A115" s="340"/>
      <c r="B115" s="341"/>
      <c r="C115" s="341"/>
      <c r="D115" s="341"/>
      <c r="E115" s="341"/>
      <c r="F115" s="341"/>
      <c r="G115" s="341"/>
      <c r="H115" s="341"/>
      <c r="I115" s="341"/>
      <c r="J115" s="341"/>
      <c r="K115" s="341"/>
      <c r="L115" s="341"/>
      <c r="M115" s="341"/>
      <c r="N115" s="341"/>
      <c r="O115" s="343"/>
      <c r="P115" s="344"/>
      <c r="Q115" s="344"/>
      <c r="R115" s="344"/>
      <c r="S115" s="344"/>
      <c r="T115" s="344"/>
      <c r="U115" s="212"/>
      <c r="V115" s="213"/>
      <c r="W115" s="344"/>
      <c r="X115" s="344"/>
      <c r="Y115" s="219"/>
      <c r="Z115" s="205"/>
      <c r="AA115" s="205"/>
      <c r="AB115" s="205"/>
      <c r="AC115" s="9"/>
    </row>
    <row r="116" ht="15.75" customHeight="1">
      <c r="A116" s="340"/>
      <c r="B116" s="346" t="s">
        <v>431</v>
      </c>
      <c r="C116" s="347" t="s">
        <v>432</v>
      </c>
      <c r="D116" s="348" t="s">
        <v>433</v>
      </c>
      <c r="E116" s="348" t="s">
        <v>434</v>
      </c>
      <c r="F116" s="349" t="s">
        <v>5</v>
      </c>
      <c r="G116" s="348" t="s">
        <v>435</v>
      </c>
      <c r="H116" s="348" t="s">
        <v>25</v>
      </c>
      <c r="I116" s="349" t="s">
        <v>26</v>
      </c>
      <c r="J116" s="349" t="s">
        <v>436</v>
      </c>
      <c r="K116" s="349" t="s">
        <v>437</v>
      </c>
      <c r="L116" s="349" t="s">
        <v>438</v>
      </c>
      <c r="M116" s="518"/>
      <c r="N116" s="932" t="s">
        <v>9</v>
      </c>
      <c r="O116" s="933" t="s">
        <v>439</v>
      </c>
      <c r="P116" s="17"/>
      <c r="Q116" s="340"/>
      <c r="R116" s="340"/>
      <c r="S116" s="340"/>
      <c r="T116" s="340"/>
      <c r="U116" s="212"/>
      <c r="V116" s="213"/>
      <c r="W116" s="340"/>
      <c r="X116" s="299"/>
      <c r="Y116" s="353"/>
      <c r="Z116" s="205"/>
      <c r="AA116" s="205"/>
      <c r="AB116" s="205"/>
      <c r="AC116" s="9"/>
    </row>
    <row r="117" ht="36.75" customHeight="1">
      <c r="A117" s="354"/>
      <c r="B117" s="785"/>
      <c r="C117" s="1182"/>
      <c r="D117" s="357"/>
      <c r="E117" s="357"/>
      <c r="F117" s="129"/>
      <c r="G117" s="357"/>
      <c r="H117" s="357"/>
      <c r="I117" s="358"/>
      <c r="J117" s="359"/>
      <c r="K117" s="359"/>
      <c r="L117" s="358"/>
      <c r="M117" s="783"/>
      <c r="N117" s="1183"/>
      <c r="O117" s="1184"/>
      <c r="P117" s="17"/>
      <c r="Q117" s="364"/>
      <c r="R117" s="364"/>
      <c r="S117" s="364"/>
      <c r="T117" s="364"/>
      <c r="U117" s="212"/>
      <c r="V117" s="213"/>
      <c r="W117" s="364"/>
      <c r="X117" s="364"/>
      <c r="Y117" s="365"/>
      <c r="Z117" s="205"/>
      <c r="AA117" s="205"/>
      <c r="AB117" s="205"/>
      <c r="AC117" s="9"/>
    </row>
    <row r="118" ht="36.75" customHeight="1">
      <c r="A118" s="354"/>
      <c r="B118" s="785"/>
      <c r="C118" s="1182"/>
      <c r="D118" s="357"/>
      <c r="E118" s="357"/>
      <c r="F118" s="129"/>
      <c r="G118" s="357"/>
      <c r="H118" s="357"/>
      <c r="I118" s="358"/>
      <c r="J118" s="359"/>
      <c r="K118" s="359"/>
      <c r="L118" s="358"/>
      <c r="M118" s="783"/>
      <c r="N118" s="1183"/>
      <c r="O118" s="1184"/>
      <c r="P118" s="17"/>
      <c r="Q118" s="784"/>
      <c r="R118" s="364"/>
      <c r="S118" s="364"/>
      <c r="T118" s="364"/>
      <c r="U118" s="212"/>
      <c r="V118" s="213"/>
      <c r="W118" s="370"/>
      <c r="X118" s="364"/>
      <c r="Y118" s="365"/>
      <c r="Z118" s="205"/>
      <c r="AA118" s="205"/>
      <c r="AB118" s="205"/>
      <c r="AC118" s="9"/>
    </row>
    <row r="119" ht="36.75" customHeight="1">
      <c r="A119" s="354"/>
      <c r="B119" s="1185"/>
      <c r="C119" s="1186"/>
      <c r="D119" s="1187"/>
      <c r="E119" s="1187"/>
      <c r="F119" s="1188"/>
      <c r="G119" s="1187"/>
      <c r="H119" s="1187"/>
      <c r="I119" s="1189"/>
      <c r="J119" s="1190"/>
      <c r="K119" s="359"/>
      <c r="L119" s="358"/>
      <c r="M119" s="783"/>
      <c r="N119" s="1183"/>
      <c r="O119" s="1184"/>
      <c r="P119" s="17"/>
      <c r="Q119" s="784"/>
      <c r="R119" s="364"/>
      <c r="S119" s="364"/>
      <c r="T119" s="364"/>
      <c r="U119" s="212"/>
      <c r="V119" s="213"/>
      <c r="W119" s="370"/>
      <c r="X119" s="364"/>
      <c r="Y119" s="365"/>
      <c r="Z119" s="205"/>
      <c r="AA119" s="205"/>
      <c r="AB119" s="205"/>
      <c r="AC119" s="9"/>
    </row>
    <row r="120" ht="31.5" customHeight="1">
      <c r="A120" s="354"/>
      <c r="B120" s="389" t="s">
        <v>421</v>
      </c>
      <c r="C120" s="16"/>
      <c r="D120" s="16"/>
      <c r="E120" s="16"/>
      <c r="F120" s="16"/>
      <c r="G120" s="16"/>
      <c r="H120" s="16"/>
      <c r="I120" s="16"/>
      <c r="J120" s="17"/>
      <c r="K120" s="1191">
        <f>SUM(K117:K119)</f>
        <v>0</v>
      </c>
      <c r="L120" s="392"/>
      <c r="M120" s="542"/>
      <c r="N120" s="967">
        <f>SUM(N117:N119)</f>
        <v>0</v>
      </c>
      <c r="O120" s="542"/>
      <c r="P120" s="17"/>
      <c r="Q120" s="364"/>
      <c r="R120" s="364"/>
      <c r="S120" s="364"/>
      <c r="T120" s="364"/>
      <c r="U120" s="212"/>
      <c r="V120" s="213"/>
      <c r="W120" s="370"/>
      <c r="X120" s="364"/>
      <c r="Y120" s="365"/>
      <c r="Z120" s="205"/>
      <c r="AA120" s="205"/>
      <c r="AB120" s="205"/>
      <c r="AC120" s="9"/>
    </row>
    <row r="121" ht="15.75" customHeight="1">
      <c r="A121" s="344"/>
      <c r="B121" s="345"/>
      <c r="C121" s="394"/>
      <c r="D121" s="395"/>
      <c r="E121" s="395"/>
      <c r="F121" s="395"/>
      <c r="G121" s="396"/>
      <c r="H121" s="345"/>
      <c r="I121" s="344"/>
      <c r="J121" s="344"/>
      <c r="K121" s="107"/>
      <c r="L121" s="344"/>
      <c r="M121" s="344"/>
      <c r="N121" s="344"/>
      <c r="O121" s="343"/>
      <c r="P121" s="344"/>
      <c r="Q121" s="344"/>
      <c r="R121" s="344"/>
      <c r="S121" s="344"/>
      <c r="T121" s="344"/>
      <c r="U121" s="212"/>
      <c r="V121" s="213"/>
      <c r="W121" s="344"/>
      <c r="X121" s="344"/>
      <c r="Y121" s="219"/>
      <c r="Z121" s="205"/>
      <c r="AA121" s="205"/>
      <c r="AB121" s="205"/>
      <c r="AC121" s="9"/>
    </row>
    <row r="122" ht="15.75" customHeight="1">
      <c r="A122" s="9"/>
      <c r="B122" s="223"/>
      <c r="C122" s="394"/>
      <c r="D122" s="395"/>
      <c r="E122" s="395"/>
      <c r="F122" s="395"/>
      <c r="G122" s="396"/>
      <c r="H122" s="224"/>
      <c r="I122" s="225"/>
      <c r="J122" s="225"/>
      <c r="K122" s="22"/>
      <c r="L122" s="9"/>
      <c r="M122" s="9"/>
      <c r="N122" s="9"/>
      <c r="O122" s="226"/>
      <c r="P122" s="9"/>
      <c r="Q122" s="9"/>
      <c r="R122" s="9"/>
      <c r="S122" s="9"/>
      <c r="T122" s="9"/>
      <c r="U122" s="212"/>
      <c r="V122" s="213"/>
      <c r="W122" s="9"/>
      <c r="X122" s="9"/>
      <c r="Y122" s="204"/>
      <c r="Z122" s="205"/>
      <c r="AA122" s="205"/>
      <c r="AB122" s="205"/>
      <c r="AC122" s="9"/>
    </row>
    <row r="123" ht="15.75" customHeight="1">
      <c r="A123" s="9"/>
      <c r="B123" s="223"/>
      <c r="C123" s="397"/>
      <c r="D123" s="9"/>
      <c r="E123" s="9"/>
      <c r="F123" s="222"/>
      <c r="G123" s="223"/>
      <c r="H123" s="224"/>
      <c r="I123" s="225"/>
      <c r="J123" s="225"/>
      <c r="K123" s="22"/>
      <c r="L123" s="9"/>
      <c r="M123" s="9"/>
      <c r="N123" s="9"/>
      <c r="O123" s="226"/>
      <c r="P123" s="9"/>
      <c r="Q123" s="9"/>
      <c r="R123" s="9"/>
      <c r="S123" s="9"/>
      <c r="T123" s="9"/>
      <c r="U123" s="212"/>
      <c r="V123" s="213"/>
      <c r="W123" s="9"/>
      <c r="X123" s="9"/>
      <c r="Y123" s="204"/>
      <c r="Z123" s="9"/>
      <c r="AA123" s="9"/>
      <c r="AB123" s="9"/>
      <c r="AC123" s="9"/>
    </row>
    <row r="124" ht="15.75" customHeight="1">
      <c r="A124" s="9"/>
      <c r="B124" s="794" t="s">
        <v>1302</v>
      </c>
      <c r="E124" s="9"/>
      <c r="F124" s="222"/>
      <c r="G124" s="223"/>
      <c r="H124" s="224"/>
      <c r="I124" s="225"/>
      <c r="J124" s="225"/>
      <c r="K124" s="22"/>
      <c r="L124" s="9"/>
      <c r="M124" s="9"/>
      <c r="N124" s="9"/>
      <c r="O124" s="226"/>
      <c r="P124" s="9"/>
      <c r="Q124" s="9"/>
      <c r="R124" s="9"/>
      <c r="S124" s="9"/>
      <c r="T124" s="9"/>
      <c r="U124" s="212"/>
      <c r="V124" s="213"/>
      <c r="W124" s="9"/>
      <c r="X124" s="9"/>
      <c r="Y124" s="204"/>
      <c r="Z124" s="9"/>
      <c r="AA124" s="9"/>
      <c r="AB124" s="9"/>
      <c r="AC124" s="9"/>
    </row>
    <row r="125" ht="15.75" customHeight="1">
      <c r="A125" s="9"/>
      <c r="B125" s="223"/>
      <c r="C125" s="397"/>
      <c r="D125" s="9"/>
      <c r="E125" s="9"/>
      <c r="F125" s="222"/>
      <c r="G125" s="223"/>
      <c r="H125" s="224"/>
      <c r="I125" s="225"/>
      <c r="J125" s="225"/>
      <c r="K125" s="22"/>
      <c r="L125" s="9"/>
      <c r="M125" s="9"/>
      <c r="N125" s="9"/>
      <c r="O125" s="226"/>
      <c r="P125" s="9"/>
      <c r="Q125" s="9"/>
      <c r="R125" s="9"/>
      <c r="S125" s="9"/>
      <c r="T125" s="9"/>
      <c r="U125" s="212"/>
      <c r="V125" s="213"/>
      <c r="W125" s="9"/>
      <c r="X125" s="9"/>
      <c r="Y125" s="204"/>
      <c r="Z125" s="9"/>
      <c r="AA125" s="9"/>
      <c r="AB125" s="9"/>
      <c r="AC125" s="9"/>
    </row>
    <row r="126" ht="25.5" customHeight="1">
      <c r="A126" s="9"/>
      <c r="B126" s="795" t="s">
        <v>431</v>
      </c>
      <c r="C126" s="796" t="s">
        <v>432</v>
      </c>
      <c r="D126" s="795" t="s">
        <v>433</v>
      </c>
      <c r="E126" s="795" t="s">
        <v>434</v>
      </c>
      <c r="F126" s="797" t="s">
        <v>435</v>
      </c>
      <c r="G126" s="795" t="s">
        <v>5</v>
      </c>
      <c r="H126" s="797" t="s">
        <v>26</v>
      </c>
      <c r="I126" s="399"/>
      <c r="J126" s="399"/>
      <c r="K126" s="968"/>
      <c r="L126" s="9"/>
      <c r="M126" s="9"/>
      <c r="N126" s="9"/>
      <c r="O126" s="226"/>
      <c r="P126" s="9"/>
      <c r="Q126" s="9"/>
      <c r="R126" s="9"/>
      <c r="S126" s="9"/>
      <c r="T126" s="9"/>
      <c r="U126" s="212"/>
      <c r="V126" s="213"/>
      <c r="W126" s="9"/>
      <c r="X126" s="9"/>
      <c r="Y126" s="204"/>
      <c r="Z126" s="9"/>
      <c r="AA126" s="9"/>
      <c r="AB126" s="9"/>
      <c r="AC126" s="9"/>
    </row>
    <row r="127" ht="25.5" customHeight="1">
      <c r="A127" s="9"/>
      <c r="B127" s="1107"/>
      <c r="C127" s="1335"/>
      <c r="D127" s="1107"/>
      <c r="E127" s="1107"/>
      <c r="F127" s="1336"/>
      <c r="G127" s="1107"/>
      <c r="H127" s="1336"/>
      <c r="I127" s="225"/>
      <c r="J127" s="225"/>
      <c r="K127" s="22"/>
      <c r="L127" s="9"/>
      <c r="M127" s="9"/>
      <c r="N127" s="9"/>
      <c r="O127" s="226"/>
      <c r="P127" s="9"/>
      <c r="Q127" s="9"/>
      <c r="R127" s="9"/>
      <c r="S127" s="9"/>
      <c r="T127" s="9"/>
      <c r="U127" s="212"/>
      <c r="V127" s="213"/>
      <c r="W127" s="9"/>
      <c r="X127" s="9"/>
      <c r="Y127" s="204"/>
      <c r="Z127" s="9"/>
      <c r="AA127" s="9"/>
      <c r="AB127" s="9"/>
      <c r="AC127" s="9"/>
    </row>
    <row r="128" ht="25.5" customHeight="1">
      <c r="A128" s="9"/>
      <c r="B128" s="1107"/>
      <c r="C128" s="1335"/>
      <c r="D128" s="1107"/>
      <c r="E128" s="1107"/>
      <c r="F128" s="1336"/>
      <c r="G128" s="1107"/>
      <c r="H128" s="1336"/>
      <c r="I128" s="225"/>
      <c r="J128" s="225"/>
      <c r="K128" s="22"/>
      <c r="L128" s="9"/>
      <c r="M128" s="9"/>
      <c r="N128" s="9"/>
      <c r="O128" s="226"/>
      <c r="P128" s="9"/>
      <c r="Q128" s="9"/>
      <c r="R128" s="9"/>
      <c r="S128" s="9"/>
      <c r="T128" s="9"/>
      <c r="U128" s="212"/>
      <c r="V128" s="213"/>
      <c r="W128" s="9"/>
      <c r="X128" s="9"/>
      <c r="Y128" s="204"/>
      <c r="Z128" s="9"/>
      <c r="AA128" s="9"/>
      <c r="AB128" s="9"/>
      <c r="AC128" s="9"/>
    </row>
    <row r="129" ht="25.5" customHeight="1">
      <c r="A129" s="9"/>
      <c r="B129" s="1107"/>
      <c r="C129" s="1335"/>
      <c r="D129" s="1107"/>
      <c r="E129" s="1107"/>
      <c r="F129" s="1336"/>
      <c r="G129" s="1107"/>
      <c r="H129" s="1336"/>
      <c r="I129" s="225"/>
      <c r="J129" s="225"/>
      <c r="K129" s="22"/>
      <c r="L129" s="9"/>
      <c r="M129" s="9"/>
      <c r="N129" s="9"/>
      <c r="O129" s="226"/>
      <c r="P129" s="9"/>
      <c r="Q129" s="9"/>
      <c r="R129" s="9"/>
      <c r="S129" s="9"/>
      <c r="T129" s="9"/>
      <c r="U129" s="212"/>
      <c r="V129" s="213"/>
      <c r="W129" s="9"/>
      <c r="X129" s="9"/>
      <c r="Y129" s="204"/>
      <c r="Z129" s="9"/>
      <c r="AA129" s="9"/>
      <c r="AB129" s="9"/>
      <c r="AC129" s="9"/>
    </row>
    <row r="130" ht="25.5" customHeight="1">
      <c r="A130" s="9"/>
      <c r="B130" s="1107"/>
      <c r="C130" s="1335"/>
      <c r="D130" s="1107"/>
      <c r="E130" s="1107"/>
      <c r="F130" s="1336"/>
      <c r="G130" s="1107"/>
      <c r="H130" s="1336"/>
      <c r="I130" s="225"/>
      <c r="J130" s="225"/>
      <c r="K130" s="22"/>
      <c r="L130" s="9"/>
      <c r="M130" s="9"/>
      <c r="N130" s="9"/>
      <c r="O130" s="226"/>
      <c r="P130" s="9"/>
      <c r="Q130" s="9"/>
      <c r="R130" s="9"/>
      <c r="S130" s="9"/>
      <c r="T130" s="9"/>
      <c r="U130" s="212"/>
      <c r="V130" s="213"/>
      <c r="W130" s="9"/>
      <c r="X130" s="9"/>
      <c r="Y130" s="204"/>
      <c r="Z130" s="9"/>
      <c r="AA130" s="9"/>
      <c r="AB130" s="9"/>
      <c r="AC130" s="9"/>
    </row>
    <row r="131" ht="25.5" customHeight="1">
      <c r="A131" s="9"/>
      <c r="B131" s="1107"/>
      <c r="C131" s="1335"/>
      <c r="D131" s="1107"/>
      <c r="E131" s="1107"/>
      <c r="F131" s="1336"/>
      <c r="G131" s="1107"/>
      <c r="H131" s="1336"/>
      <c r="I131" s="225"/>
      <c r="J131" s="225"/>
      <c r="K131" s="22"/>
      <c r="L131" s="9"/>
      <c r="M131" s="9"/>
      <c r="N131" s="9"/>
      <c r="O131" s="226"/>
      <c r="P131" s="9"/>
      <c r="Q131" s="9"/>
      <c r="R131" s="9"/>
      <c r="S131" s="9"/>
      <c r="T131" s="9"/>
      <c r="U131" s="212"/>
      <c r="V131" s="213"/>
      <c r="W131" s="9"/>
      <c r="X131" s="9"/>
      <c r="Y131" s="204"/>
      <c r="Z131" s="9"/>
      <c r="AA131" s="9"/>
      <c r="AB131" s="9"/>
      <c r="AC131" s="9"/>
    </row>
    <row r="132" ht="25.5" customHeight="1">
      <c r="A132" s="9"/>
      <c r="B132" s="1107"/>
      <c r="C132" s="1335"/>
      <c r="D132" s="1107"/>
      <c r="E132" s="1107"/>
      <c r="F132" s="1336"/>
      <c r="G132" s="1107"/>
      <c r="H132" s="1336"/>
      <c r="I132" s="225"/>
      <c r="J132" s="225"/>
      <c r="K132" s="22"/>
      <c r="L132" s="9"/>
      <c r="M132" s="9"/>
      <c r="N132" s="9"/>
      <c r="O132" s="226"/>
      <c r="P132" s="9"/>
      <c r="Q132" s="9"/>
      <c r="R132" s="9"/>
      <c r="S132" s="9"/>
      <c r="T132" s="9"/>
      <c r="U132" s="212"/>
      <c r="V132" s="213"/>
      <c r="W132" s="9"/>
      <c r="X132" s="9"/>
      <c r="Y132" s="204"/>
      <c r="Z132" s="9"/>
      <c r="AA132" s="9"/>
      <c r="AB132" s="9"/>
      <c r="AC132" s="9"/>
    </row>
    <row r="133" ht="15.75" customHeight="1">
      <c r="A133" s="9"/>
      <c r="B133" s="223"/>
      <c r="C133" s="397"/>
      <c r="D133" s="9"/>
      <c r="E133" s="9"/>
      <c r="F133" s="222"/>
      <c r="G133" s="223"/>
      <c r="H133" s="224"/>
      <c r="I133" s="225"/>
      <c r="J133" s="225"/>
      <c r="K133" s="22"/>
      <c r="L133" s="9"/>
      <c r="M133" s="9"/>
      <c r="N133" s="9"/>
      <c r="O133" s="226"/>
      <c r="P133" s="9"/>
      <c r="Q133" s="9"/>
      <c r="R133" s="9"/>
      <c r="S133" s="9"/>
      <c r="T133" s="9"/>
      <c r="U133" s="212"/>
      <c r="V133" s="213"/>
      <c r="W133" s="9"/>
      <c r="X133" s="9"/>
      <c r="Y133" s="204"/>
      <c r="Z133" s="9"/>
      <c r="AA133" s="9"/>
      <c r="AB133" s="9"/>
      <c r="AC133" s="9"/>
    </row>
    <row r="134" ht="15.75" customHeight="1">
      <c r="A134" s="9"/>
      <c r="B134" s="223"/>
      <c r="C134" s="397"/>
      <c r="D134" s="9"/>
      <c r="E134" s="9"/>
      <c r="F134" s="222"/>
      <c r="G134" s="223"/>
      <c r="H134" s="224"/>
      <c r="I134" s="225"/>
      <c r="J134" s="225"/>
      <c r="K134" s="22"/>
      <c r="L134" s="9"/>
      <c r="M134" s="9"/>
      <c r="N134" s="9"/>
      <c r="O134" s="226"/>
      <c r="P134" s="9"/>
      <c r="Q134" s="9"/>
      <c r="R134" s="9"/>
      <c r="S134" s="9"/>
      <c r="T134" s="9"/>
      <c r="U134" s="212"/>
      <c r="V134" s="213"/>
      <c r="W134" s="9"/>
      <c r="X134" s="9"/>
      <c r="Y134" s="204"/>
      <c r="Z134" s="9"/>
      <c r="AA134" s="9"/>
      <c r="AB134" s="9"/>
      <c r="AC134" s="9"/>
    </row>
    <row r="135" ht="15.75" customHeight="1">
      <c r="A135" s="9"/>
      <c r="B135" s="223"/>
      <c r="C135" s="397"/>
      <c r="D135" s="9"/>
      <c r="E135" s="9"/>
      <c r="F135" s="222"/>
      <c r="G135" s="223"/>
      <c r="H135" s="224"/>
      <c r="I135" s="225"/>
      <c r="J135" s="225"/>
      <c r="K135" s="22"/>
      <c r="L135" s="9"/>
      <c r="M135" s="9"/>
      <c r="N135" s="9"/>
      <c r="O135" s="226"/>
      <c r="P135" s="9"/>
      <c r="Q135" s="9"/>
      <c r="R135" s="9"/>
      <c r="S135" s="9"/>
      <c r="T135" s="9"/>
      <c r="U135" s="212"/>
      <c r="V135" s="213"/>
      <c r="W135" s="9"/>
      <c r="X135" s="9"/>
      <c r="Y135" s="204"/>
      <c r="Z135" s="9"/>
      <c r="AA135" s="9"/>
      <c r="AB135" s="9"/>
      <c r="AC135" s="9"/>
    </row>
    <row r="136" ht="15.75" customHeight="1">
      <c r="A136" s="9"/>
      <c r="B136" s="223"/>
      <c r="C136" s="397"/>
      <c r="D136" s="9"/>
      <c r="E136" s="9"/>
      <c r="F136" s="222"/>
      <c r="G136" s="223"/>
      <c r="H136" s="224"/>
      <c r="I136" s="225"/>
      <c r="J136" s="225"/>
      <c r="K136" s="22"/>
      <c r="L136" s="9"/>
      <c r="M136" s="9"/>
      <c r="N136" s="9"/>
      <c r="O136" s="226"/>
      <c r="P136" s="9"/>
      <c r="Q136" s="9"/>
      <c r="R136" s="9"/>
      <c r="S136" s="9"/>
      <c r="T136" s="9"/>
      <c r="U136" s="212"/>
      <c r="V136" s="213"/>
      <c r="W136" s="9"/>
      <c r="X136" s="9"/>
      <c r="Y136" s="204"/>
      <c r="Z136" s="9"/>
      <c r="AA136" s="9"/>
      <c r="AB136" s="9"/>
      <c r="AC136" s="9"/>
    </row>
    <row r="137" ht="15.75" customHeight="1">
      <c r="A137" s="9"/>
      <c r="B137" s="223"/>
      <c r="C137" s="397"/>
      <c r="D137" s="9"/>
      <c r="E137" s="9"/>
      <c r="F137" s="222"/>
      <c r="G137" s="223"/>
      <c r="H137" s="224"/>
      <c r="I137" s="225"/>
      <c r="J137" s="225"/>
      <c r="K137" s="22"/>
      <c r="L137" s="9"/>
      <c r="M137" s="9"/>
      <c r="N137" s="9"/>
      <c r="O137" s="226"/>
      <c r="P137" s="9"/>
      <c r="Q137" s="9"/>
      <c r="R137" s="9"/>
      <c r="S137" s="9"/>
      <c r="T137" s="9"/>
      <c r="U137" s="212"/>
      <c r="V137" s="213"/>
      <c r="W137" s="9"/>
      <c r="X137" s="9"/>
      <c r="Y137" s="204"/>
      <c r="Z137" s="9"/>
      <c r="AA137" s="9"/>
      <c r="AB137" s="9"/>
      <c r="AC137" s="9"/>
    </row>
    <row r="138" ht="15.75" customHeight="1">
      <c r="A138" s="9"/>
      <c r="B138" s="223"/>
      <c r="C138" s="397"/>
      <c r="D138" s="9"/>
      <c r="E138" s="9"/>
      <c r="F138" s="222"/>
      <c r="G138" s="223"/>
      <c r="H138" s="224"/>
      <c r="I138" s="225"/>
      <c r="J138" s="225"/>
      <c r="K138" s="22"/>
      <c r="L138" s="9"/>
      <c r="M138" s="9"/>
      <c r="N138" s="9"/>
      <c r="O138" s="226"/>
      <c r="P138" s="9"/>
      <c r="Q138" s="9"/>
      <c r="R138" s="9"/>
      <c r="S138" s="9"/>
      <c r="T138" s="9"/>
      <c r="U138" s="212"/>
      <c r="V138" s="213"/>
      <c r="W138" s="9"/>
      <c r="X138" s="9"/>
      <c r="Y138" s="204"/>
      <c r="Z138" s="9"/>
      <c r="AA138" s="9"/>
      <c r="AB138" s="9"/>
      <c r="AC138" s="9"/>
    </row>
    <row r="139" ht="15.75" customHeight="1">
      <c r="A139" s="9"/>
      <c r="B139" s="223"/>
      <c r="C139" s="397"/>
      <c r="D139" s="9"/>
      <c r="E139" s="9"/>
      <c r="F139" s="222"/>
      <c r="G139" s="223"/>
      <c r="H139" s="224"/>
      <c r="I139" s="225"/>
      <c r="J139" s="225"/>
      <c r="K139" s="22"/>
      <c r="L139" s="9"/>
      <c r="M139" s="9"/>
      <c r="N139" s="9"/>
      <c r="O139" s="226"/>
      <c r="P139" s="9"/>
      <c r="Q139" s="9"/>
      <c r="R139" s="9"/>
      <c r="S139" s="9"/>
      <c r="T139" s="9"/>
      <c r="U139" s="212"/>
      <c r="V139" s="213"/>
      <c r="W139" s="9"/>
      <c r="X139" s="9"/>
      <c r="Y139" s="204"/>
      <c r="Z139" s="9"/>
      <c r="AA139" s="9"/>
      <c r="AB139" s="9"/>
      <c r="AC139" s="9"/>
    </row>
    <row r="140" ht="15.75" customHeight="1">
      <c r="A140" s="9"/>
      <c r="B140" s="223"/>
      <c r="C140" s="397"/>
      <c r="D140" s="9"/>
      <c r="E140" s="9"/>
      <c r="F140" s="222"/>
      <c r="G140" s="223"/>
      <c r="H140" s="224"/>
      <c r="I140" s="225"/>
      <c r="J140" s="225"/>
      <c r="K140" s="22"/>
      <c r="L140" s="9"/>
      <c r="M140" s="9"/>
      <c r="N140" s="9"/>
      <c r="O140" s="226"/>
      <c r="P140" s="9"/>
      <c r="Q140" s="9"/>
      <c r="R140" s="9"/>
      <c r="S140" s="9"/>
      <c r="T140" s="9"/>
      <c r="U140" s="212"/>
      <c r="V140" s="213"/>
      <c r="W140" s="9"/>
      <c r="X140" s="9"/>
      <c r="Y140" s="204"/>
      <c r="Z140" s="9"/>
      <c r="AA140" s="9"/>
      <c r="AB140" s="9"/>
      <c r="AC140" s="9"/>
    </row>
    <row r="141" ht="15.75" customHeight="1">
      <c r="A141" s="9"/>
      <c r="B141" s="223"/>
      <c r="C141" s="397"/>
      <c r="D141" s="9"/>
      <c r="E141" s="9"/>
      <c r="F141" s="222"/>
      <c r="G141" s="223"/>
      <c r="H141" s="224"/>
      <c r="I141" s="225"/>
      <c r="J141" s="225"/>
      <c r="K141" s="22"/>
      <c r="L141" s="9"/>
      <c r="M141" s="9"/>
      <c r="N141" s="9"/>
      <c r="O141" s="226"/>
      <c r="P141" s="9"/>
      <c r="Q141" s="9"/>
      <c r="R141" s="9"/>
      <c r="S141" s="9"/>
      <c r="T141" s="9"/>
      <c r="U141" s="212"/>
      <c r="V141" s="213"/>
      <c r="W141" s="9"/>
      <c r="X141" s="9"/>
      <c r="Y141" s="204"/>
      <c r="Z141" s="9"/>
      <c r="AA141" s="9"/>
      <c r="AB141" s="9"/>
      <c r="AC141" s="9"/>
    </row>
    <row r="142" ht="15.75" customHeight="1">
      <c r="A142" s="9"/>
      <c r="B142" s="223"/>
      <c r="C142" s="397"/>
      <c r="D142" s="9"/>
      <c r="E142" s="9"/>
      <c r="F142" s="222"/>
      <c r="G142" s="223"/>
      <c r="H142" s="224"/>
      <c r="I142" s="225"/>
      <c r="J142" s="225"/>
      <c r="K142" s="22"/>
      <c r="L142" s="9"/>
      <c r="M142" s="9"/>
      <c r="N142" s="9"/>
      <c r="O142" s="226"/>
      <c r="P142" s="9"/>
      <c r="Q142" s="9"/>
      <c r="R142" s="9"/>
      <c r="S142" s="9"/>
      <c r="T142" s="9"/>
      <c r="U142" s="212"/>
      <c r="V142" s="213"/>
      <c r="W142" s="9"/>
      <c r="X142" s="9"/>
      <c r="Y142" s="204"/>
      <c r="Z142" s="9"/>
      <c r="AA142" s="9"/>
      <c r="AB142" s="9"/>
      <c r="AC142" s="9"/>
    </row>
    <row r="143" ht="15.75" customHeight="1">
      <c r="A143" s="9"/>
      <c r="B143" s="223"/>
      <c r="C143" s="397"/>
      <c r="D143" s="9"/>
      <c r="E143" s="9"/>
      <c r="F143" s="222"/>
      <c r="G143" s="223"/>
      <c r="H143" s="224"/>
      <c r="I143" s="225"/>
      <c r="J143" s="225"/>
      <c r="K143" s="22"/>
      <c r="L143" s="9"/>
      <c r="M143" s="9"/>
      <c r="N143" s="9"/>
      <c r="O143" s="226"/>
      <c r="P143" s="9"/>
      <c r="Q143" s="9"/>
      <c r="R143" s="9"/>
      <c r="S143" s="9"/>
      <c r="T143" s="9"/>
      <c r="U143" s="212"/>
      <c r="V143" s="213"/>
      <c r="W143" s="9"/>
      <c r="X143" s="9"/>
      <c r="Y143" s="204"/>
      <c r="Z143" s="9"/>
      <c r="AA143" s="9"/>
      <c r="AB143" s="9"/>
      <c r="AC143" s="9"/>
    </row>
    <row r="144" ht="15.75" customHeight="1">
      <c r="A144" s="9"/>
      <c r="B144" s="9"/>
      <c r="C144" s="9"/>
      <c r="D144" s="9"/>
      <c r="E144" s="9"/>
      <c r="F144" s="9"/>
      <c r="G144" s="9"/>
      <c r="H144" s="9"/>
      <c r="I144" s="9"/>
      <c r="J144" s="9"/>
      <c r="K144" s="9"/>
      <c r="L144" s="9"/>
      <c r="M144" s="9"/>
      <c r="N144" s="9"/>
      <c r="O144" s="9"/>
      <c r="P144" s="9"/>
      <c r="Q144" s="9"/>
      <c r="R144" s="9"/>
      <c r="S144" s="9"/>
      <c r="T144" s="9"/>
      <c r="U144" s="400"/>
      <c r="V144" s="401"/>
      <c r="W144" s="9"/>
      <c r="X144" s="9"/>
      <c r="Y144" s="204"/>
      <c r="Z144" s="9"/>
      <c r="AA144" s="9"/>
      <c r="AB144" s="9"/>
      <c r="AC144" s="9"/>
    </row>
    <row r="145" ht="15.7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204"/>
      <c r="Z145" s="9"/>
      <c r="AA145" s="9"/>
      <c r="AB145" s="9"/>
      <c r="AC145" s="9"/>
    </row>
    <row r="146" ht="15.7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204"/>
      <c r="Z146" s="9"/>
      <c r="AA146" s="9"/>
      <c r="AB146" s="9"/>
      <c r="AC146" s="9"/>
    </row>
    <row r="147" ht="15.7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204"/>
      <c r="Z147" s="9"/>
      <c r="AA147" s="9"/>
      <c r="AB147" s="9"/>
      <c r="AC147" s="9"/>
    </row>
    <row r="148" ht="15.7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204"/>
      <c r="Z148" s="9"/>
      <c r="AA148" s="9"/>
      <c r="AB148" s="9"/>
      <c r="AC148" s="9"/>
    </row>
    <row r="149" ht="15.7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204"/>
      <c r="Z149" s="9"/>
      <c r="AA149" s="9"/>
      <c r="AB149" s="9"/>
      <c r="AC149" s="9"/>
    </row>
    <row r="150" ht="15.7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204"/>
      <c r="Z150" s="9"/>
      <c r="AA150" s="9"/>
      <c r="AB150" s="9"/>
      <c r="AC150" s="9"/>
    </row>
    <row r="151" ht="15.7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204"/>
      <c r="Z151" s="9"/>
      <c r="AA151" s="9"/>
      <c r="AB151" s="9"/>
      <c r="AC151" s="9"/>
    </row>
    <row r="152" ht="15.7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204"/>
      <c r="Z152" s="9"/>
      <c r="AA152" s="9"/>
      <c r="AB152" s="9"/>
      <c r="AC152" s="9"/>
    </row>
    <row r="153" ht="15.7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204"/>
      <c r="Z153" s="9"/>
      <c r="AA153" s="9"/>
      <c r="AB153" s="9"/>
      <c r="AC153" s="9"/>
    </row>
    <row r="154" ht="15.7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204"/>
      <c r="Z154" s="9"/>
      <c r="AA154" s="9"/>
      <c r="AB154" s="9"/>
      <c r="AC154" s="9"/>
    </row>
    <row r="155" ht="15.7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204"/>
      <c r="Z155" s="9"/>
      <c r="AA155" s="9"/>
      <c r="AB155" s="9"/>
      <c r="AC155" s="9"/>
    </row>
    <row r="156" ht="15.7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204"/>
      <c r="Z156" s="9"/>
      <c r="AA156" s="9"/>
      <c r="AB156" s="9"/>
      <c r="AC156" s="9"/>
    </row>
    <row r="157" ht="15.7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204"/>
      <c r="Z157" s="9"/>
      <c r="AA157" s="9"/>
      <c r="AB157" s="9"/>
      <c r="AC157" s="9"/>
    </row>
    <row r="158" ht="15.7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204"/>
      <c r="Z158" s="9"/>
      <c r="AA158" s="9"/>
      <c r="AB158" s="9"/>
      <c r="AC158" s="9"/>
    </row>
    <row r="159" ht="15.7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204"/>
      <c r="Z159" s="9"/>
      <c r="AA159" s="9"/>
      <c r="AB159" s="9"/>
      <c r="AC159" s="9"/>
    </row>
    <row r="160" ht="15.7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204"/>
      <c r="Z160" s="9"/>
      <c r="AA160" s="9"/>
      <c r="AB160" s="9"/>
      <c r="AC160" s="9"/>
    </row>
    <row r="161" ht="15.7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204"/>
      <c r="Z161" s="9"/>
      <c r="AA161" s="9"/>
      <c r="AB161" s="9"/>
      <c r="AC161" s="9"/>
    </row>
    <row r="162" ht="15.7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204"/>
      <c r="Z162" s="9"/>
      <c r="AA162" s="9"/>
      <c r="AB162" s="9"/>
      <c r="AC162" s="9"/>
    </row>
    <row r="163" ht="15.7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204"/>
      <c r="Z163" s="9"/>
      <c r="AA163" s="9"/>
      <c r="AB163" s="9"/>
      <c r="AC163" s="9"/>
    </row>
    <row r="164" ht="15.7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204"/>
      <c r="Z164" s="9"/>
      <c r="AA164" s="9"/>
      <c r="AB164" s="9"/>
      <c r="AC164" s="9"/>
    </row>
    <row r="165" ht="15.7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204"/>
      <c r="Z165" s="9"/>
      <c r="AA165" s="9"/>
      <c r="AB165" s="9"/>
      <c r="AC165" s="9"/>
    </row>
    <row r="166" ht="15.7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204"/>
      <c r="Z166" s="9"/>
      <c r="AA166" s="9"/>
      <c r="AB166" s="9"/>
      <c r="AC166" s="9"/>
    </row>
    <row r="167" ht="15.7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204"/>
      <c r="Z167" s="9"/>
      <c r="AA167" s="9"/>
      <c r="AB167" s="9"/>
      <c r="AC167" s="9"/>
    </row>
    <row r="168" ht="15.7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204"/>
      <c r="Z168" s="9"/>
      <c r="AA168" s="9"/>
      <c r="AB168" s="9"/>
      <c r="AC168" s="9"/>
    </row>
    <row r="169" ht="15.7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204"/>
      <c r="Z169" s="9"/>
      <c r="AA169" s="9"/>
      <c r="AB169" s="9"/>
      <c r="AC169" s="9"/>
    </row>
    <row r="170" ht="15.7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204"/>
      <c r="Z170" s="9"/>
      <c r="AA170" s="9"/>
      <c r="AB170" s="9"/>
      <c r="AC170" s="9"/>
    </row>
    <row r="171" ht="15.7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204"/>
      <c r="Z171" s="9"/>
      <c r="AA171" s="9"/>
      <c r="AB171" s="9"/>
      <c r="AC171" s="9"/>
    </row>
    <row r="172" ht="15.7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204"/>
      <c r="Z172" s="9"/>
      <c r="AA172" s="9"/>
      <c r="AB172" s="9"/>
      <c r="AC172" s="9"/>
    </row>
    <row r="173" ht="15.7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204"/>
      <c r="Z173" s="9"/>
      <c r="AA173" s="9"/>
      <c r="AB173" s="9"/>
      <c r="AC173" s="9"/>
    </row>
    <row r="174" ht="15.75"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204"/>
      <c r="Z174" s="9"/>
      <c r="AA174" s="9"/>
      <c r="AB174" s="9"/>
      <c r="AC174" s="9"/>
    </row>
    <row r="175" ht="15.7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204"/>
      <c r="Z175" s="9"/>
      <c r="AA175" s="9"/>
      <c r="AB175" s="9"/>
      <c r="AC175" s="9"/>
    </row>
    <row r="176" ht="15.7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204"/>
      <c r="Z176" s="9"/>
      <c r="AA176" s="9"/>
      <c r="AB176" s="9"/>
      <c r="AC176" s="9"/>
    </row>
    <row r="177" ht="15.7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204"/>
      <c r="Z177" s="9"/>
      <c r="AA177" s="9"/>
      <c r="AB177" s="9"/>
      <c r="AC177" s="9"/>
    </row>
    <row r="178" ht="15.7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204"/>
      <c r="Z178" s="9"/>
      <c r="AA178" s="9"/>
      <c r="AB178" s="9"/>
      <c r="AC178" s="9"/>
    </row>
    <row r="179" ht="15.7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204"/>
      <c r="Z179" s="9"/>
      <c r="AA179" s="9"/>
      <c r="AB179" s="9"/>
      <c r="AC179" s="9"/>
    </row>
    <row r="180" ht="15.7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204"/>
      <c r="Z180" s="9"/>
      <c r="AA180" s="9"/>
      <c r="AB180" s="9"/>
      <c r="AC180" s="9"/>
    </row>
    <row r="181" ht="15.7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204"/>
      <c r="Z181" s="9"/>
      <c r="AA181" s="9"/>
      <c r="AB181" s="9"/>
      <c r="AC181" s="9"/>
    </row>
    <row r="182" ht="15.7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204"/>
      <c r="Z182" s="9"/>
      <c r="AA182" s="9"/>
      <c r="AB182" s="9"/>
      <c r="AC182" s="9"/>
    </row>
    <row r="183" ht="15.7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204"/>
      <c r="Z183" s="9"/>
      <c r="AA183" s="9"/>
      <c r="AB183" s="9"/>
      <c r="AC183" s="9"/>
    </row>
    <row r="184" ht="15.7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204"/>
      <c r="Z184" s="9"/>
      <c r="AA184" s="9"/>
      <c r="AB184" s="9"/>
      <c r="AC184" s="9"/>
    </row>
    <row r="185" ht="15.7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204"/>
      <c r="Z185" s="9"/>
      <c r="AA185" s="9"/>
      <c r="AB185" s="9"/>
      <c r="AC185" s="9"/>
    </row>
    <row r="186" ht="15.7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204"/>
      <c r="Z186" s="9"/>
      <c r="AA186" s="9"/>
      <c r="AB186" s="9"/>
      <c r="AC186" s="9"/>
    </row>
    <row r="187" ht="15.7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204"/>
      <c r="Z187" s="9"/>
      <c r="AA187" s="9"/>
      <c r="AB187" s="9"/>
      <c r="AC187" s="9"/>
    </row>
    <row r="188" ht="15.7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204"/>
      <c r="Z188" s="9"/>
      <c r="AA188" s="9"/>
      <c r="AB188" s="9"/>
      <c r="AC188" s="9"/>
    </row>
    <row r="189" ht="15.7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204"/>
      <c r="Z189" s="9"/>
      <c r="AA189" s="9"/>
      <c r="AB189" s="9"/>
      <c r="AC189" s="9"/>
    </row>
    <row r="190" ht="15.7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204"/>
      <c r="Z190" s="9"/>
      <c r="AA190" s="9"/>
      <c r="AB190" s="9"/>
      <c r="AC190" s="9"/>
    </row>
    <row r="191" ht="15.7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204"/>
      <c r="Z191" s="9"/>
      <c r="AA191" s="9"/>
      <c r="AB191" s="9"/>
      <c r="AC191" s="9"/>
    </row>
    <row r="192" ht="15.7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204"/>
      <c r="Z192" s="9"/>
      <c r="AA192" s="9"/>
      <c r="AB192" s="9"/>
      <c r="AC192" s="9"/>
    </row>
    <row r="193" ht="15.7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204"/>
      <c r="Z193" s="9"/>
      <c r="AA193" s="9"/>
      <c r="AB193" s="9"/>
      <c r="AC193" s="9"/>
    </row>
    <row r="194" ht="15.7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204"/>
      <c r="Z194" s="9"/>
      <c r="AA194" s="9"/>
      <c r="AB194" s="9"/>
      <c r="AC194" s="9"/>
    </row>
    <row r="195" ht="15.7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204"/>
      <c r="Z195" s="9"/>
      <c r="AA195" s="9"/>
      <c r="AB195" s="9"/>
      <c r="AC195" s="9"/>
    </row>
    <row r="196" ht="15.7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204"/>
      <c r="Z196" s="9"/>
      <c r="AA196" s="9"/>
      <c r="AB196" s="9"/>
      <c r="AC196" s="9"/>
    </row>
    <row r="197" ht="15.7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204"/>
      <c r="Z197" s="9"/>
      <c r="AA197" s="9"/>
      <c r="AB197" s="9"/>
      <c r="AC197" s="9"/>
    </row>
    <row r="198" ht="15.7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204"/>
      <c r="Z198" s="9"/>
      <c r="AA198" s="9"/>
      <c r="AB198" s="9"/>
      <c r="AC198" s="9"/>
    </row>
    <row r="199" ht="15.7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204"/>
      <c r="Z199" s="9"/>
      <c r="AA199" s="9"/>
      <c r="AB199" s="9"/>
      <c r="AC199" s="9"/>
    </row>
    <row r="200" ht="15.7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204"/>
      <c r="Z200" s="9"/>
      <c r="AA200" s="9"/>
      <c r="AB200" s="9"/>
      <c r="AC200" s="9"/>
    </row>
    <row r="201" ht="15.7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204"/>
      <c r="Z201" s="9"/>
      <c r="AA201" s="9"/>
      <c r="AB201" s="9"/>
      <c r="AC201" s="9"/>
    </row>
    <row r="202" ht="15.7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204"/>
      <c r="Z202" s="9"/>
      <c r="AA202" s="9"/>
      <c r="AB202" s="9"/>
      <c r="AC202" s="9"/>
    </row>
    <row r="203" ht="15.7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204"/>
      <c r="Z203" s="9"/>
      <c r="AA203" s="9"/>
      <c r="AB203" s="9"/>
      <c r="AC203" s="9"/>
    </row>
    <row r="204" ht="15.7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204"/>
      <c r="Z204" s="9"/>
      <c r="AA204" s="9"/>
      <c r="AB204" s="9"/>
      <c r="AC204" s="9"/>
    </row>
    <row r="205" ht="15.7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204"/>
      <c r="Z205" s="9"/>
      <c r="AA205" s="9"/>
      <c r="AB205" s="9"/>
      <c r="AC205" s="9"/>
    </row>
    <row r="206" ht="15.7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204"/>
      <c r="Z206" s="9"/>
      <c r="AA206" s="9"/>
      <c r="AB206" s="9"/>
      <c r="AC206" s="9"/>
    </row>
    <row r="207" ht="15.7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204"/>
      <c r="Z207" s="9"/>
      <c r="AA207" s="9"/>
      <c r="AB207" s="9"/>
      <c r="AC207" s="9"/>
    </row>
    <row r="208" ht="15.7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204"/>
      <c r="Z208" s="9"/>
      <c r="AA208" s="9"/>
      <c r="AB208" s="9"/>
      <c r="AC208" s="9"/>
    </row>
    <row r="209" ht="15.7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204"/>
      <c r="Z209" s="9"/>
      <c r="AA209" s="9"/>
      <c r="AB209" s="9"/>
      <c r="AC209" s="9"/>
    </row>
    <row r="210" ht="15.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204"/>
      <c r="Z210" s="9"/>
      <c r="AA210" s="9"/>
      <c r="AB210" s="9"/>
      <c r="AC210" s="9"/>
    </row>
    <row r="211" ht="15.7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204"/>
      <c r="Z211" s="9"/>
      <c r="AA211" s="9"/>
      <c r="AB211" s="9"/>
      <c r="AC211" s="9"/>
    </row>
    <row r="212" ht="15.7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204"/>
      <c r="Z212" s="9"/>
      <c r="AA212" s="9"/>
      <c r="AB212" s="9"/>
      <c r="AC212" s="9"/>
    </row>
    <row r="213" ht="15.7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204"/>
      <c r="Z213" s="9"/>
      <c r="AA213" s="9"/>
      <c r="AB213" s="9"/>
      <c r="AC213" s="9"/>
    </row>
    <row r="214" ht="15.7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204"/>
      <c r="Z214" s="9"/>
      <c r="AA214" s="9"/>
      <c r="AB214" s="9"/>
      <c r="AC214" s="9"/>
    </row>
    <row r="215" ht="15.7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204"/>
      <c r="Z215" s="9"/>
      <c r="AA215" s="9"/>
      <c r="AB215" s="9"/>
      <c r="AC215" s="9"/>
    </row>
    <row r="216"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204"/>
      <c r="Z216" s="9"/>
      <c r="AA216" s="9"/>
      <c r="AB216" s="9"/>
      <c r="AC216" s="9"/>
    </row>
    <row r="217"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204"/>
      <c r="Z217" s="9"/>
      <c r="AA217" s="9"/>
      <c r="AB217" s="9"/>
      <c r="AC217" s="9"/>
    </row>
    <row r="218"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204"/>
      <c r="Z218" s="9"/>
      <c r="AA218" s="9"/>
      <c r="AB218" s="9"/>
      <c r="AC218" s="9"/>
    </row>
    <row r="219"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204"/>
      <c r="Z219" s="9"/>
      <c r="AA219" s="9"/>
      <c r="AB219" s="9"/>
      <c r="AC219" s="9"/>
    </row>
    <row r="220"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204"/>
      <c r="Z220" s="9"/>
      <c r="AA220" s="9"/>
      <c r="AB220" s="9"/>
      <c r="AC220" s="9"/>
    </row>
    <row r="221"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204"/>
      <c r="Z221" s="9"/>
      <c r="AA221" s="9"/>
      <c r="AB221" s="9"/>
      <c r="AC221" s="9"/>
    </row>
    <row r="222"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204"/>
      <c r="Z222" s="9"/>
      <c r="AA222" s="9"/>
      <c r="AB222" s="9"/>
      <c r="AC222" s="9"/>
    </row>
    <row r="223"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204"/>
      <c r="Z223" s="9"/>
      <c r="AA223" s="9"/>
      <c r="AB223" s="9"/>
      <c r="AC223" s="9"/>
    </row>
    <row r="224"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204"/>
      <c r="Z224" s="9"/>
      <c r="AA224" s="9"/>
      <c r="AB224" s="9"/>
      <c r="AC224" s="9"/>
    </row>
    <row r="225"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204"/>
      <c r="Z225" s="9"/>
      <c r="AA225" s="9"/>
      <c r="AB225" s="9"/>
      <c r="AC225" s="9"/>
    </row>
    <row r="2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204"/>
      <c r="Z226" s="9"/>
      <c r="AA226" s="9"/>
      <c r="AB226" s="9"/>
      <c r="AC226" s="9"/>
    </row>
    <row r="227"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204"/>
      <c r="Z227" s="9"/>
      <c r="AA227" s="9"/>
      <c r="AB227" s="9"/>
      <c r="AC227" s="9"/>
    </row>
    <row r="228"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204"/>
      <c r="Z228" s="9"/>
      <c r="AA228" s="9"/>
      <c r="AB228" s="9"/>
      <c r="AC228" s="9"/>
    </row>
    <row r="229"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204"/>
      <c r="Z229" s="9"/>
      <c r="AA229" s="9"/>
      <c r="AB229" s="9"/>
      <c r="AC229" s="9"/>
    </row>
    <row r="230"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204"/>
      <c r="Z230" s="9"/>
      <c r="AA230" s="9"/>
      <c r="AB230" s="9"/>
      <c r="AC230" s="9"/>
    </row>
    <row r="231"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204"/>
      <c r="Z231" s="9"/>
      <c r="AA231" s="9"/>
      <c r="AB231" s="9"/>
      <c r="AC231" s="9"/>
    </row>
    <row r="232"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204"/>
      <c r="Z232" s="9"/>
      <c r="AA232" s="9"/>
      <c r="AB232" s="9"/>
      <c r="AC232" s="9"/>
    </row>
    <row r="233"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204"/>
      <c r="Z233" s="9"/>
      <c r="AA233" s="9"/>
      <c r="AB233" s="9"/>
      <c r="AC233" s="9"/>
    </row>
    <row r="234"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204"/>
      <c r="Z234" s="9"/>
      <c r="AA234" s="9"/>
      <c r="AB234" s="9"/>
      <c r="AC234" s="9"/>
    </row>
    <row r="235"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204"/>
      <c r="Z235" s="9"/>
      <c r="AA235" s="9"/>
      <c r="AB235" s="9"/>
      <c r="AC235" s="9"/>
    </row>
    <row r="23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204"/>
      <c r="Z236" s="9"/>
      <c r="AA236" s="9"/>
      <c r="AB236" s="9"/>
      <c r="AC236" s="9"/>
    </row>
    <row r="237"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204"/>
      <c r="Z237" s="9"/>
      <c r="AA237" s="9"/>
      <c r="AB237" s="9"/>
      <c r="AC237" s="9"/>
    </row>
    <row r="238"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204"/>
      <c r="Z238" s="9"/>
      <c r="AA238" s="9"/>
      <c r="AB238" s="9"/>
      <c r="AC238" s="9"/>
    </row>
    <row r="239"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204"/>
      <c r="Z239" s="9"/>
      <c r="AA239" s="9"/>
      <c r="AB239" s="9"/>
      <c r="AC239" s="9"/>
    </row>
    <row r="240"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204"/>
      <c r="Z240" s="9"/>
      <c r="AA240" s="9"/>
      <c r="AB240" s="9"/>
      <c r="AC240" s="9"/>
    </row>
    <row r="241"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204"/>
      <c r="Z241" s="9"/>
      <c r="AA241" s="9"/>
      <c r="AB241" s="9"/>
      <c r="AC241" s="9"/>
    </row>
    <row r="242"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204"/>
      <c r="Z242" s="9"/>
      <c r="AA242" s="9"/>
      <c r="AB242" s="9"/>
      <c r="AC242" s="9"/>
    </row>
    <row r="243"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204"/>
      <c r="Z243" s="9"/>
      <c r="AA243" s="9"/>
      <c r="AB243" s="9"/>
      <c r="AC243" s="9"/>
    </row>
    <row r="244"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204"/>
      <c r="Z244" s="9"/>
      <c r="AA244" s="9"/>
      <c r="AB244" s="9"/>
      <c r="AC244" s="9"/>
    </row>
    <row r="245"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204"/>
      <c r="Z245" s="9"/>
      <c r="AA245" s="9"/>
      <c r="AB245" s="9"/>
      <c r="AC245" s="9"/>
    </row>
    <row r="24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204"/>
      <c r="Z246" s="9"/>
      <c r="AA246" s="9"/>
      <c r="AB246" s="9"/>
      <c r="AC246" s="9"/>
    </row>
    <row r="247"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204"/>
      <c r="Z247" s="9"/>
      <c r="AA247" s="9"/>
      <c r="AB247" s="9"/>
      <c r="AC247" s="9"/>
    </row>
    <row r="248" ht="15.7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204"/>
      <c r="Z248" s="9"/>
      <c r="AA248" s="9"/>
      <c r="AB248" s="9"/>
      <c r="AC248" s="9"/>
    </row>
    <row r="249"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204"/>
      <c r="Z249" s="9"/>
      <c r="AA249" s="9"/>
      <c r="AB249" s="9"/>
      <c r="AC249" s="9"/>
    </row>
    <row r="250"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204"/>
      <c r="Z250" s="9"/>
      <c r="AA250" s="9"/>
      <c r="AB250" s="9"/>
      <c r="AC250" s="9"/>
    </row>
    <row r="251"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204"/>
      <c r="Z251" s="9"/>
      <c r="AA251" s="9"/>
      <c r="AB251" s="9"/>
      <c r="AC251" s="9"/>
    </row>
    <row r="252"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204"/>
      <c r="Z252" s="9"/>
      <c r="AA252" s="9"/>
      <c r="AB252" s="9"/>
      <c r="AC252" s="9"/>
    </row>
    <row r="253" ht="15.7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204"/>
      <c r="Z253" s="9"/>
      <c r="AA253" s="9"/>
      <c r="AB253" s="9"/>
      <c r="AC253" s="9"/>
    </row>
    <row r="254"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204"/>
      <c r="Z254" s="9"/>
      <c r="AA254" s="9"/>
      <c r="AB254" s="9"/>
      <c r="AC254" s="9"/>
    </row>
    <row r="255"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204"/>
      <c r="Z255" s="9"/>
      <c r="AA255" s="9"/>
      <c r="AB255" s="9"/>
      <c r="AC255" s="9"/>
    </row>
    <row r="25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204"/>
      <c r="Z256" s="9"/>
      <c r="AA256" s="9"/>
      <c r="AB256" s="9"/>
      <c r="AC256" s="9"/>
    </row>
    <row r="257"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204"/>
      <c r="Z257" s="9"/>
      <c r="AA257" s="9"/>
      <c r="AB257" s="9"/>
      <c r="AC257" s="9"/>
    </row>
    <row r="258"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204"/>
      <c r="Z258" s="9"/>
      <c r="AA258" s="9"/>
      <c r="AB258" s="9"/>
      <c r="AC258" s="9"/>
    </row>
    <row r="259"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204"/>
      <c r="Z259" s="9"/>
      <c r="AA259" s="9"/>
      <c r="AB259" s="9"/>
      <c r="AC259" s="9"/>
    </row>
    <row r="260"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204"/>
      <c r="Z260" s="9"/>
      <c r="AA260" s="9"/>
      <c r="AB260" s="9"/>
      <c r="AC260" s="9"/>
    </row>
    <row r="261"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204"/>
      <c r="Z261" s="9"/>
      <c r="AA261" s="9"/>
      <c r="AB261" s="9"/>
      <c r="AC261" s="9"/>
    </row>
    <row r="262"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204"/>
      <c r="Z262" s="9"/>
      <c r="AA262" s="9"/>
      <c r="AB262" s="9"/>
      <c r="AC262" s="9"/>
    </row>
    <row r="263"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204"/>
      <c r="Z263" s="9"/>
      <c r="AA263" s="9"/>
      <c r="AB263" s="9"/>
      <c r="AC263" s="9"/>
    </row>
    <row r="264"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204"/>
      <c r="Z264" s="9"/>
      <c r="AA264" s="9"/>
      <c r="AB264" s="9"/>
      <c r="AC264" s="9"/>
    </row>
    <row r="265"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204"/>
      <c r="Z265" s="9"/>
      <c r="AA265" s="9"/>
      <c r="AB265" s="9"/>
      <c r="AC265" s="9"/>
    </row>
    <row r="26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204"/>
      <c r="Z266" s="9"/>
      <c r="AA266" s="9"/>
      <c r="AB266" s="9"/>
      <c r="AC266" s="9"/>
    </row>
    <row r="267"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204"/>
      <c r="Z267" s="9"/>
      <c r="AA267" s="9"/>
      <c r="AB267" s="9"/>
      <c r="AC267" s="9"/>
    </row>
    <row r="268"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204"/>
      <c r="Z268" s="9"/>
      <c r="AA268" s="9"/>
      <c r="AB268" s="9"/>
      <c r="AC268" s="9"/>
    </row>
    <row r="269"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204"/>
      <c r="Z269" s="9"/>
      <c r="AA269" s="9"/>
      <c r="AB269" s="9"/>
      <c r="AC269" s="9"/>
    </row>
    <row r="270"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204"/>
      <c r="Z270" s="9"/>
      <c r="AA270" s="9"/>
      <c r="AB270" s="9"/>
      <c r="AC270" s="9"/>
    </row>
    <row r="271"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204"/>
      <c r="Z271" s="9"/>
      <c r="AA271" s="9"/>
      <c r="AB271" s="9"/>
      <c r="AC271" s="9"/>
    </row>
    <row r="272"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204"/>
      <c r="Z272" s="9"/>
      <c r="AA272" s="9"/>
      <c r="AB272" s="9"/>
      <c r="AC272" s="9"/>
    </row>
    <row r="273"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204"/>
      <c r="Z273" s="9"/>
      <c r="AA273" s="9"/>
      <c r="AB273" s="9"/>
      <c r="AC273" s="9"/>
    </row>
    <row r="274"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204"/>
      <c r="Z274" s="9"/>
      <c r="AA274" s="9"/>
      <c r="AB274" s="9"/>
      <c r="AC274" s="9"/>
    </row>
    <row r="275"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204"/>
      <c r="Z275" s="9"/>
      <c r="AA275" s="9"/>
      <c r="AB275" s="9"/>
      <c r="AC275" s="9"/>
    </row>
    <row r="27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204"/>
      <c r="Z276" s="9"/>
      <c r="AA276" s="9"/>
      <c r="AB276" s="9"/>
      <c r="AC276" s="9"/>
    </row>
    <row r="277"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204"/>
      <c r="Z277" s="9"/>
      <c r="AA277" s="9"/>
      <c r="AB277" s="9"/>
      <c r="AC277" s="9"/>
    </row>
    <row r="278"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204"/>
      <c r="Z278" s="9"/>
      <c r="AA278" s="9"/>
      <c r="AB278" s="9"/>
      <c r="AC278" s="9"/>
    </row>
    <row r="279"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204"/>
      <c r="Z279" s="9"/>
      <c r="AA279" s="9"/>
      <c r="AB279" s="9"/>
      <c r="AC279" s="9"/>
    </row>
    <row r="280"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204"/>
      <c r="Z280" s="9"/>
      <c r="AA280" s="9"/>
      <c r="AB280" s="9"/>
      <c r="AC280" s="9"/>
    </row>
    <row r="281"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204"/>
      <c r="Z281" s="9"/>
      <c r="AA281" s="9"/>
      <c r="AB281" s="9"/>
      <c r="AC281" s="9"/>
    </row>
    <row r="282"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204"/>
      <c r="Z282" s="9"/>
      <c r="AA282" s="9"/>
      <c r="AB282" s="9"/>
      <c r="AC282" s="9"/>
    </row>
    <row r="283"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204"/>
      <c r="Z283" s="9"/>
      <c r="AA283" s="9"/>
      <c r="AB283" s="9"/>
      <c r="AC283" s="9"/>
    </row>
    <row r="284" ht="15.7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204"/>
      <c r="Z284" s="9"/>
      <c r="AA284" s="9"/>
      <c r="AB284" s="9"/>
      <c r="AC284" s="9"/>
    </row>
    <row r="285" ht="15.7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204"/>
      <c r="Z285" s="9"/>
      <c r="AA285" s="9"/>
      <c r="AB285" s="9"/>
      <c r="AC285" s="9"/>
    </row>
    <row r="286" ht="15.7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204"/>
      <c r="Z286" s="9"/>
      <c r="AA286" s="9"/>
      <c r="AB286" s="9"/>
      <c r="AC286" s="9"/>
    </row>
    <row r="287" ht="15.7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204"/>
      <c r="Z287" s="9"/>
      <c r="AA287" s="9"/>
      <c r="AB287" s="9"/>
      <c r="AC287" s="9"/>
    </row>
    <row r="288" ht="15.7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204"/>
      <c r="Z288" s="9"/>
      <c r="AA288" s="9"/>
      <c r="AB288" s="9"/>
      <c r="AC288" s="9"/>
    </row>
    <row r="289" ht="15.7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204"/>
      <c r="Z289" s="9"/>
      <c r="AA289" s="9"/>
      <c r="AB289" s="9"/>
      <c r="AC289" s="9"/>
    </row>
    <row r="290" ht="15.7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204"/>
      <c r="Z290" s="9"/>
      <c r="AA290" s="9"/>
      <c r="AB290" s="9"/>
      <c r="AC290" s="9"/>
    </row>
    <row r="291" ht="15.7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204"/>
      <c r="Z291" s="9"/>
      <c r="AA291" s="9"/>
      <c r="AB291" s="9"/>
      <c r="AC291" s="9"/>
    </row>
    <row r="292" ht="15.7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204"/>
      <c r="Z292" s="9"/>
      <c r="AA292" s="9"/>
      <c r="AB292" s="9"/>
      <c r="AC292" s="9"/>
    </row>
    <row r="293" ht="15.7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204"/>
      <c r="Z293" s="9"/>
      <c r="AA293" s="9"/>
      <c r="AB293" s="9"/>
      <c r="AC293" s="9"/>
    </row>
    <row r="294" ht="15.7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204"/>
      <c r="Z294" s="9"/>
      <c r="AA294" s="9"/>
      <c r="AB294" s="9"/>
      <c r="AC294" s="9"/>
    </row>
    <row r="295" ht="15.7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204"/>
      <c r="Z295" s="9"/>
      <c r="AA295" s="9"/>
      <c r="AB295" s="9"/>
      <c r="AC295" s="9"/>
    </row>
    <row r="296" ht="15.7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204"/>
      <c r="Z296" s="9"/>
      <c r="AA296" s="9"/>
      <c r="AB296" s="9"/>
      <c r="AC296" s="9"/>
    </row>
    <row r="297" ht="15.7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204"/>
      <c r="Z297" s="9"/>
      <c r="AA297" s="9"/>
      <c r="AB297" s="9"/>
      <c r="AC297" s="9"/>
    </row>
    <row r="298" ht="15.7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204"/>
      <c r="Z298" s="9"/>
      <c r="AA298" s="9"/>
      <c r="AB298" s="9"/>
      <c r="AC298" s="9"/>
    </row>
    <row r="299" ht="15.7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204"/>
      <c r="Z299" s="9"/>
      <c r="AA299" s="9"/>
      <c r="AB299" s="9"/>
      <c r="AC299" s="9"/>
    </row>
    <row r="300" ht="15.7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204"/>
      <c r="Z300" s="9"/>
      <c r="AA300" s="9"/>
      <c r="AB300" s="9"/>
      <c r="AC300" s="9"/>
    </row>
    <row r="301" ht="15.7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204"/>
      <c r="Z301" s="9"/>
      <c r="AA301" s="9"/>
      <c r="AB301" s="9"/>
      <c r="AC301" s="9"/>
    </row>
    <row r="302" ht="15.7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204"/>
      <c r="Z302" s="9"/>
      <c r="AA302" s="9"/>
      <c r="AB302" s="9"/>
      <c r="AC302" s="9"/>
    </row>
    <row r="303" ht="15.7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204"/>
      <c r="Z303" s="9"/>
      <c r="AA303" s="9"/>
      <c r="AB303" s="9"/>
      <c r="AC303" s="9"/>
    </row>
    <row r="304" ht="15.7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204"/>
      <c r="Z304" s="9"/>
      <c r="AA304" s="9"/>
      <c r="AB304" s="9"/>
      <c r="AC304" s="9"/>
    </row>
    <row r="305" ht="15.7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204"/>
      <c r="Z305" s="9"/>
      <c r="AA305" s="9"/>
      <c r="AB305" s="9"/>
      <c r="AC305" s="9"/>
    </row>
    <row r="306" ht="15.7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204"/>
      <c r="Z306" s="9"/>
      <c r="AA306" s="9"/>
      <c r="AB306" s="9"/>
      <c r="AC306" s="9"/>
    </row>
    <row r="307" ht="15.7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204"/>
      <c r="Z307" s="9"/>
      <c r="AA307" s="9"/>
      <c r="AB307" s="9"/>
      <c r="AC307" s="9"/>
    </row>
    <row r="308" ht="15.7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204"/>
      <c r="Z308" s="9"/>
      <c r="AA308" s="9"/>
      <c r="AB308" s="9"/>
      <c r="AC308" s="9"/>
    </row>
    <row r="309" ht="15.7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204"/>
      <c r="Z309" s="9"/>
      <c r="AA309" s="9"/>
      <c r="AB309" s="9"/>
      <c r="AC309" s="9"/>
    </row>
    <row r="310" ht="15.7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204"/>
      <c r="Z310" s="9"/>
      <c r="AA310" s="9"/>
      <c r="AB310" s="9"/>
      <c r="AC310" s="9"/>
    </row>
    <row r="311" ht="15.7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204"/>
      <c r="Z311" s="9"/>
      <c r="AA311" s="9"/>
      <c r="AB311" s="9"/>
      <c r="AC311" s="9"/>
    </row>
    <row r="312" ht="15.7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204"/>
      <c r="Z312" s="9"/>
      <c r="AA312" s="9"/>
      <c r="AB312" s="9"/>
      <c r="AC312" s="9"/>
    </row>
    <row r="313" ht="15.7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204"/>
      <c r="Z313" s="9"/>
      <c r="AA313" s="9"/>
      <c r="AB313" s="9"/>
      <c r="AC313" s="9"/>
    </row>
    <row r="314" ht="15.7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204"/>
      <c r="Z314" s="9"/>
      <c r="AA314" s="9"/>
      <c r="AB314" s="9"/>
      <c r="AC314" s="9"/>
    </row>
    <row r="315" ht="15.7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204"/>
      <c r="Z315" s="9"/>
      <c r="AA315" s="9"/>
      <c r="AB315" s="9"/>
      <c r="AC315" s="9"/>
    </row>
    <row r="316" ht="15.7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204"/>
      <c r="Z316" s="9"/>
      <c r="AA316" s="9"/>
      <c r="AB316" s="9"/>
      <c r="AC316" s="9"/>
    </row>
    <row r="317" ht="15.7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204"/>
      <c r="Z317" s="9"/>
      <c r="AA317" s="9"/>
      <c r="AB317" s="9"/>
      <c r="AC317" s="9"/>
    </row>
    <row r="318" ht="15.7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204"/>
      <c r="Z318" s="9"/>
      <c r="AA318" s="9"/>
      <c r="AB318" s="9"/>
      <c r="AC318" s="9"/>
    </row>
    <row r="319" ht="15.7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204"/>
      <c r="Z319" s="9"/>
      <c r="AA319" s="9"/>
      <c r="AB319" s="9"/>
      <c r="AC319" s="9"/>
    </row>
    <row r="320" ht="15.7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204"/>
      <c r="Z320" s="9"/>
      <c r="AA320" s="9"/>
      <c r="AB320" s="9"/>
      <c r="AC320" s="9"/>
    </row>
    <row r="321" ht="15.7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204"/>
      <c r="Z321" s="9"/>
      <c r="AA321" s="9"/>
      <c r="AB321" s="9"/>
      <c r="AC321" s="9"/>
    </row>
    <row r="322" ht="15.7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204"/>
      <c r="Z322" s="9"/>
      <c r="AA322" s="9"/>
      <c r="AB322" s="9"/>
      <c r="AC322" s="9"/>
    </row>
    <row r="323" ht="15.7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204"/>
      <c r="Z323" s="9"/>
      <c r="AA323" s="9"/>
      <c r="AB323" s="9"/>
      <c r="AC323" s="9"/>
    </row>
    <row r="324" ht="15.7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204"/>
      <c r="Z324" s="9"/>
      <c r="AA324" s="9"/>
      <c r="AB324" s="9"/>
      <c r="AC324" s="9"/>
    </row>
    <row r="325" ht="15.7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204"/>
      <c r="Z325" s="9"/>
      <c r="AA325" s="9"/>
      <c r="AB325" s="9"/>
      <c r="AC325" s="9"/>
    </row>
    <row r="326" ht="15.7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204"/>
      <c r="Z326" s="9"/>
      <c r="AA326" s="9"/>
      <c r="AB326" s="9"/>
      <c r="AC326" s="9"/>
    </row>
    <row r="327" ht="15.7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204"/>
      <c r="Z327" s="9"/>
      <c r="AA327" s="9"/>
      <c r="AB327" s="9"/>
      <c r="AC327" s="9"/>
    </row>
    <row r="328" ht="15.7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204"/>
      <c r="Z328" s="9"/>
      <c r="AA328" s="9"/>
      <c r="AB328" s="9"/>
      <c r="AC328" s="9"/>
    </row>
    <row r="329" ht="15.7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204"/>
      <c r="Z329" s="9"/>
      <c r="AA329" s="9"/>
      <c r="AB329" s="9"/>
      <c r="AC329" s="9"/>
    </row>
    <row r="330" ht="15.7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204"/>
      <c r="Z330" s="9"/>
      <c r="AA330" s="9"/>
      <c r="AB330" s="9"/>
      <c r="AC330" s="9"/>
    </row>
    <row r="331" ht="15.7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204"/>
      <c r="Z331" s="9"/>
      <c r="AA331" s="9"/>
      <c r="AB331" s="9"/>
      <c r="AC331" s="9"/>
    </row>
    <row r="332" ht="15.7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204"/>
      <c r="Z332" s="9"/>
      <c r="AA332" s="9"/>
      <c r="AB332" s="9"/>
      <c r="AC332" s="9"/>
    </row>
    <row r="333" ht="15.7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204"/>
      <c r="Z333" s="9"/>
      <c r="AA333" s="9"/>
      <c r="AB333" s="9"/>
      <c r="AC333" s="9"/>
    </row>
    <row r="334" ht="15.7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204"/>
      <c r="Z334" s="9"/>
      <c r="AA334" s="9"/>
      <c r="AB334" s="9"/>
      <c r="AC334" s="9"/>
    </row>
    <row r="335" ht="15.7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204"/>
      <c r="Z335" s="9"/>
      <c r="AA335" s="9"/>
      <c r="AB335" s="9"/>
      <c r="AC335" s="9"/>
    </row>
    <row r="336" ht="15.7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204"/>
      <c r="Z336" s="9"/>
      <c r="AA336" s="9"/>
      <c r="AB336" s="9"/>
      <c r="AC336" s="9"/>
    </row>
    <row r="337" ht="15.7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204"/>
      <c r="Z337" s="9"/>
      <c r="AA337" s="9"/>
      <c r="AB337" s="9"/>
      <c r="AC337" s="9"/>
    </row>
    <row r="338" ht="15.7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204"/>
      <c r="Z338" s="9"/>
      <c r="AA338" s="9"/>
      <c r="AB338" s="9"/>
      <c r="AC338" s="9"/>
    </row>
    <row r="339" ht="15.7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204"/>
      <c r="Z339" s="9"/>
      <c r="AA339" s="9"/>
      <c r="AB339" s="9"/>
      <c r="AC339" s="9"/>
    </row>
    <row r="340" ht="15.7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204"/>
      <c r="Z340" s="9"/>
      <c r="AA340" s="9"/>
      <c r="AB340" s="9"/>
      <c r="AC340" s="9"/>
    </row>
    <row r="341" ht="15.7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204"/>
      <c r="Z341" s="9"/>
      <c r="AA341" s="9"/>
      <c r="AB341" s="9"/>
      <c r="AC341" s="9"/>
    </row>
    <row r="342" ht="15.7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204"/>
      <c r="Z342" s="9"/>
      <c r="AA342" s="9"/>
      <c r="AB342" s="9"/>
      <c r="AC342" s="9"/>
    </row>
    <row r="343" ht="15.7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204"/>
      <c r="Z343" s="9"/>
      <c r="AA343" s="9"/>
      <c r="AB343" s="9"/>
      <c r="AC343" s="9"/>
    </row>
    <row r="344" ht="15.7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204"/>
      <c r="Z344" s="9"/>
      <c r="AA344" s="9"/>
      <c r="AB344" s="9"/>
      <c r="AC344" s="9"/>
    </row>
    <row r="345" ht="15.7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204"/>
      <c r="Z345" s="9"/>
      <c r="AA345" s="9"/>
      <c r="AB345" s="9"/>
      <c r="AC345" s="9"/>
    </row>
    <row r="346" ht="15.7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204"/>
      <c r="Z346" s="9"/>
      <c r="AA346" s="9"/>
      <c r="AB346" s="9"/>
      <c r="AC346" s="9"/>
    </row>
    <row r="347" ht="15.7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204"/>
      <c r="Z347" s="9"/>
      <c r="AA347" s="9"/>
      <c r="AB347" s="9"/>
      <c r="AC347" s="9"/>
    </row>
    <row r="348" ht="15.7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204"/>
      <c r="Z348" s="9"/>
      <c r="AA348" s="9"/>
      <c r="AB348" s="9"/>
      <c r="AC348" s="9"/>
    </row>
    <row r="349" ht="15.7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204"/>
      <c r="Z349" s="9"/>
      <c r="AA349" s="9"/>
      <c r="AB349" s="9"/>
      <c r="AC349" s="9"/>
    </row>
    <row r="350" ht="15.7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204"/>
      <c r="Z350" s="9"/>
      <c r="AA350" s="9"/>
      <c r="AB350" s="9"/>
      <c r="AC350" s="9"/>
    </row>
    <row r="351" ht="15.7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204"/>
      <c r="Z351" s="9"/>
      <c r="AA351" s="9"/>
      <c r="AB351" s="9"/>
      <c r="AC351" s="9"/>
    </row>
    <row r="352" ht="15.7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204"/>
      <c r="Z352" s="9"/>
      <c r="AA352" s="9"/>
      <c r="AB352" s="9"/>
      <c r="AC352" s="9"/>
    </row>
    <row r="353" ht="15.7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204"/>
      <c r="Z353" s="9"/>
      <c r="AA353" s="9"/>
      <c r="AB353" s="9"/>
      <c r="AC353" s="9"/>
    </row>
    <row r="354" ht="15.7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204"/>
      <c r="Z354" s="9"/>
      <c r="AA354" s="9"/>
      <c r="AB354" s="9"/>
      <c r="AC354" s="9"/>
    </row>
    <row r="355" ht="15.7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204"/>
      <c r="Z355" s="9"/>
      <c r="AA355" s="9"/>
      <c r="AB355" s="9"/>
      <c r="AC355" s="9"/>
    </row>
    <row r="356" ht="15.7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204"/>
      <c r="Z356" s="9"/>
      <c r="AA356" s="9"/>
      <c r="AB356" s="9"/>
      <c r="AC356" s="9"/>
    </row>
    <row r="357" ht="15.7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204"/>
      <c r="Z357" s="9"/>
      <c r="AA357" s="9"/>
      <c r="AB357" s="9"/>
      <c r="AC357" s="9"/>
    </row>
    <row r="358" ht="15.7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204"/>
      <c r="Z358" s="9"/>
      <c r="AA358" s="9"/>
      <c r="AB358" s="9"/>
      <c r="AC358" s="9"/>
    </row>
    <row r="359" ht="15.7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204"/>
      <c r="Z359" s="9"/>
      <c r="AA359" s="9"/>
      <c r="AB359" s="9"/>
      <c r="AC359" s="9"/>
    </row>
    <row r="360" ht="15.7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204"/>
      <c r="Z360" s="9"/>
      <c r="AA360" s="9"/>
      <c r="AB360" s="9"/>
      <c r="AC360" s="9"/>
    </row>
    <row r="361" ht="15.7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204"/>
      <c r="Z361" s="9"/>
      <c r="AA361" s="9"/>
      <c r="AB361" s="9"/>
      <c r="AC361" s="9"/>
    </row>
    <row r="362" ht="15.7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204"/>
      <c r="Z362" s="9"/>
      <c r="AA362" s="9"/>
      <c r="AB362" s="9"/>
      <c r="AC362" s="9"/>
    </row>
    <row r="363" ht="15.7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204"/>
      <c r="Z363" s="9"/>
      <c r="AA363" s="9"/>
      <c r="AB363" s="9"/>
      <c r="AC363" s="9"/>
    </row>
    <row r="364" ht="15.7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204"/>
      <c r="Z364" s="9"/>
      <c r="AA364" s="9"/>
      <c r="AB364" s="9"/>
      <c r="AC364" s="9"/>
    </row>
    <row r="365" ht="15.7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204"/>
      <c r="Z365" s="9"/>
      <c r="AA365" s="9"/>
      <c r="AB365" s="9"/>
      <c r="AC365" s="9"/>
    </row>
    <row r="366" ht="15.7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204"/>
      <c r="Z366" s="9"/>
      <c r="AA366" s="9"/>
      <c r="AB366" s="9"/>
      <c r="AC366" s="9"/>
    </row>
    <row r="367" ht="15.7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204"/>
      <c r="Z367" s="9"/>
      <c r="AA367" s="9"/>
      <c r="AB367" s="9"/>
      <c r="AC367" s="9"/>
    </row>
    <row r="368" ht="15.7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204"/>
      <c r="Z368" s="9"/>
      <c r="AA368" s="9"/>
      <c r="AB368" s="9"/>
      <c r="AC368" s="9"/>
    </row>
    <row r="369" ht="15.7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204"/>
      <c r="Z369" s="9"/>
      <c r="AA369" s="9"/>
      <c r="AB369" s="9"/>
      <c r="AC369" s="9"/>
    </row>
    <row r="370" ht="15.7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204"/>
      <c r="Z370" s="9"/>
      <c r="AA370" s="9"/>
      <c r="AB370" s="9"/>
      <c r="AC370" s="9"/>
    </row>
    <row r="371" ht="15.7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204"/>
      <c r="Z371" s="9"/>
      <c r="AA371" s="9"/>
      <c r="AB371" s="9"/>
      <c r="AC371" s="9"/>
    </row>
    <row r="372" ht="15.7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204"/>
      <c r="Z372" s="9"/>
      <c r="AA372" s="9"/>
      <c r="AB372" s="9"/>
      <c r="AC372" s="9"/>
    </row>
    <row r="373" ht="15.7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204"/>
      <c r="Z373" s="9"/>
      <c r="AA373" s="9"/>
      <c r="AB373" s="9"/>
      <c r="AC373" s="9"/>
    </row>
    <row r="374" ht="15.7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204"/>
      <c r="Z374" s="9"/>
      <c r="AA374" s="9"/>
      <c r="AB374" s="9"/>
      <c r="AC374" s="9"/>
    </row>
    <row r="375" ht="15.7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204"/>
      <c r="Z375" s="9"/>
      <c r="AA375" s="9"/>
      <c r="AB375" s="9"/>
      <c r="AC375" s="9"/>
    </row>
    <row r="376" ht="15.7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204"/>
      <c r="Z376" s="9"/>
      <c r="AA376" s="9"/>
      <c r="AB376" s="9"/>
      <c r="AC376" s="9"/>
    </row>
    <row r="377" ht="15.7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204"/>
      <c r="Z377" s="9"/>
      <c r="AA377" s="9"/>
      <c r="AB377" s="9"/>
      <c r="AC377" s="9"/>
    </row>
    <row r="378" ht="15.7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204"/>
      <c r="Z378" s="9"/>
      <c r="AA378" s="9"/>
      <c r="AB378" s="9"/>
      <c r="AC378" s="9"/>
    </row>
    <row r="379" ht="15.7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204"/>
      <c r="Z379" s="9"/>
      <c r="AA379" s="9"/>
      <c r="AB379" s="9"/>
      <c r="AC379" s="9"/>
    </row>
    <row r="380" ht="15.7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204"/>
      <c r="Z380" s="9"/>
      <c r="AA380" s="9"/>
      <c r="AB380" s="9"/>
      <c r="AC380" s="9"/>
    </row>
    <row r="381" ht="15.7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204"/>
      <c r="Z381" s="9"/>
      <c r="AA381" s="9"/>
      <c r="AB381" s="9"/>
      <c r="AC381" s="9"/>
    </row>
    <row r="382" ht="15.7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204"/>
      <c r="Z382" s="9"/>
      <c r="AA382" s="9"/>
      <c r="AB382" s="9"/>
      <c r="AC382" s="9"/>
    </row>
    <row r="383" ht="15.7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204"/>
      <c r="Z383" s="9"/>
      <c r="AA383" s="9"/>
      <c r="AB383" s="9"/>
      <c r="AC383" s="9"/>
    </row>
    <row r="384" ht="15.7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204"/>
      <c r="Z384" s="9"/>
      <c r="AA384" s="9"/>
      <c r="AB384" s="9"/>
      <c r="AC384" s="9"/>
    </row>
    <row r="385" ht="15.7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204"/>
      <c r="Z385" s="9"/>
      <c r="AA385" s="9"/>
      <c r="AB385" s="9"/>
      <c r="AC385" s="9"/>
    </row>
    <row r="386" ht="15.7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204"/>
      <c r="Z386" s="9"/>
      <c r="AA386" s="9"/>
      <c r="AB386" s="9"/>
      <c r="AC386" s="9"/>
    </row>
    <row r="387" ht="15.7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204"/>
      <c r="Z387" s="9"/>
      <c r="AA387" s="9"/>
      <c r="AB387" s="9"/>
      <c r="AC387" s="9"/>
    </row>
    <row r="388" ht="15.7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204"/>
      <c r="Z388" s="9"/>
      <c r="AA388" s="9"/>
      <c r="AB388" s="9"/>
      <c r="AC388" s="9"/>
    </row>
    <row r="389" ht="15.7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204"/>
      <c r="Z389" s="9"/>
      <c r="AA389" s="9"/>
      <c r="AB389" s="9"/>
      <c r="AC389" s="9"/>
    </row>
    <row r="390" ht="15.7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204"/>
      <c r="Z390" s="9"/>
      <c r="AA390" s="9"/>
      <c r="AB390" s="9"/>
      <c r="AC390" s="9"/>
    </row>
    <row r="391" ht="15.7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204"/>
      <c r="Z391" s="9"/>
      <c r="AA391" s="9"/>
      <c r="AB391" s="9"/>
      <c r="AC391" s="9"/>
    </row>
    <row r="392" ht="15.7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204"/>
      <c r="Z392" s="9"/>
      <c r="AA392" s="9"/>
      <c r="AB392" s="9"/>
      <c r="AC392" s="9"/>
    </row>
    <row r="393" ht="15.7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204"/>
      <c r="Z393" s="9"/>
      <c r="AA393" s="9"/>
      <c r="AB393" s="9"/>
      <c r="AC393" s="9"/>
    </row>
    <row r="394" ht="15.7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204"/>
      <c r="Z394" s="9"/>
      <c r="AA394" s="9"/>
      <c r="AB394" s="9"/>
      <c r="AC394" s="9"/>
    </row>
    <row r="395" ht="15.7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204"/>
      <c r="Z395" s="9"/>
      <c r="AA395" s="9"/>
      <c r="AB395" s="9"/>
      <c r="AC395" s="9"/>
    </row>
    <row r="396" ht="15.7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204"/>
      <c r="Z396" s="9"/>
      <c r="AA396" s="9"/>
      <c r="AB396" s="9"/>
      <c r="AC396" s="9"/>
    </row>
    <row r="397" ht="15.7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204"/>
      <c r="Z397" s="9"/>
      <c r="AA397" s="9"/>
      <c r="AB397" s="9"/>
      <c r="AC397" s="9"/>
    </row>
    <row r="398" ht="15.7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204"/>
      <c r="Z398" s="9"/>
      <c r="AA398" s="9"/>
      <c r="AB398" s="9"/>
      <c r="AC398" s="9"/>
    </row>
    <row r="399" ht="15.7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204"/>
      <c r="Z399" s="9"/>
      <c r="AA399" s="9"/>
      <c r="AB399" s="9"/>
      <c r="AC399" s="9"/>
    </row>
    <row r="400" ht="15.7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204"/>
      <c r="Z400" s="9"/>
      <c r="AA400" s="9"/>
      <c r="AB400" s="9"/>
      <c r="AC400" s="9"/>
    </row>
    <row r="401" ht="15.7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204"/>
      <c r="Z401" s="9"/>
      <c r="AA401" s="9"/>
      <c r="AB401" s="9"/>
      <c r="AC401" s="9"/>
    </row>
    <row r="402" ht="15.7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204"/>
      <c r="Z402" s="9"/>
      <c r="AA402" s="9"/>
      <c r="AB402" s="9"/>
      <c r="AC402" s="9"/>
    </row>
    <row r="403" ht="15.7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204"/>
      <c r="Z403" s="9"/>
      <c r="AA403" s="9"/>
      <c r="AB403" s="9"/>
      <c r="AC403" s="9"/>
    </row>
    <row r="404" ht="15.7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204"/>
      <c r="Z404" s="9"/>
      <c r="AA404" s="9"/>
      <c r="AB404" s="9"/>
      <c r="AC404" s="9"/>
    </row>
    <row r="405" ht="15.7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204"/>
      <c r="Z405" s="9"/>
      <c r="AA405" s="9"/>
      <c r="AB405" s="9"/>
      <c r="AC405" s="9"/>
    </row>
    <row r="406" ht="15.7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204"/>
      <c r="Z406" s="9"/>
      <c r="AA406" s="9"/>
      <c r="AB406" s="9"/>
      <c r="AC406" s="9"/>
    </row>
    <row r="407" ht="15.7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204"/>
      <c r="Z407" s="9"/>
      <c r="AA407" s="9"/>
      <c r="AB407" s="9"/>
      <c r="AC407" s="9"/>
    </row>
    <row r="408" ht="15.7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204"/>
      <c r="Z408" s="9"/>
      <c r="AA408" s="9"/>
      <c r="AB408" s="9"/>
      <c r="AC408" s="9"/>
    </row>
    <row r="409" ht="15.7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204"/>
      <c r="Z409" s="9"/>
      <c r="AA409" s="9"/>
      <c r="AB409" s="9"/>
      <c r="AC409" s="9"/>
    </row>
    <row r="410" ht="15.7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204"/>
      <c r="Z410" s="9"/>
      <c r="AA410" s="9"/>
      <c r="AB410" s="9"/>
      <c r="AC410" s="9"/>
    </row>
    <row r="411" ht="15.7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204"/>
      <c r="Z411" s="9"/>
      <c r="AA411" s="9"/>
      <c r="AB411" s="9"/>
      <c r="AC411" s="9"/>
    </row>
    <row r="412" ht="15.7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204"/>
      <c r="Z412" s="9"/>
      <c r="AA412" s="9"/>
      <c r="AB412" s="9"/>
      <c r="AC412" s="9"/>
    </row>
    <row r="413" ht="15.7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204"/>
      <c r="Z413" s="9"/>
      <c r="AA413" s="9"/>
      <c r="AB413" s="9"/>
      <c r="AC413" s="9"/>
    </row>
    <row r="414" ht="15.7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204"/>
      <c r="Z414" s="9"/>
      <c r="AA414" s="9"/>
      <c r="AB414" s="9"/>
      <c r="AC414" s="9"/>
    </row>
    <row r="415" ht="15.7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204"/>
      <c r="Z415" s="9"/>
      <c r="AA415" s="9"/>
      <c r="AB415" s="9"/>
      <c r="AC415" s="9"/>
    </row>
    <row r="416" ht="15.7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204"/>
      <c r="Z416" s="9"/>
      <c r="AA416" s="9"/>
      <c r="AB416" s="9"/>
      <c r="AC416" s="9"/>
    </row>
    <row r="417" ht="15.7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204"/>
      <c r="Z417" s="9"/>
      <c r="AA417" s="9"/>
      <c r="AB417" s="9"/>
      <c r="AC417" s="9"/>
    </row>
    <row r="418" ht="15.7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204"/>
      <c r="Z418" s="9"/>
      <c r="AA418" s="9"/>
      <c r="AB418" s="9"/>
      <c r="AC418" s="9"/>
    </row>
    <row r="419" ht="15.7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204"/>
      <c r="Z419" s="9"/>
      <c r="AA419" s="9"/>
      <c r="AB419" s="9"/>
      <c r="AC419" s="9"/>
    </row>
    <row r="420" ht="15.7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204"/>
      <c r="Z420" s="9"/>
      <c r="AA420" s="9"/>
      <c r="AB420" s="9"/>
      <c r="AC420" s="9"/>
    </row>
    <row r="421" ht="15.7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204"/>
      <c r="Z421" s="9"/>
      <c r="AA421" s="9"/>
      <c r="AB421" s="9"/>
      <c r="AC421" s="9"/>
    </row>
    <row r="422" ht="15.7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204"/>
      <c r="Z422" s="9"/>
      <c r="AA422" s="9"/>
      <c r="AB422" s="9"/>
      <c r="AC422" s="9"/>
    </row>
    <row r="423" ht="15.7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204"/>
      <c r="Z423" s="9"/>
      <c r="AA423" s="9"/>
      <c r="AB423" s="9"/>
      <c r="AC423" s="9"/>
    </row>
    <row r="424" ht="15.7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204"/>
      <c r="Z424" s="9"/>
      <c r="AA424" s="9"/>
      <c r="AB424" s="9"/>
      <c r="AC424" s="9"/>
    </row>
    <row r="425" ht="15.7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204"/>
      <c r="Z425" s="9"/>
      <c r="AA425" s="9"/>
      <c r="AB425" s="9"/>
      <c r="AC425" s="9"/>
    </row>
    <row r="426" ht="15.7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204"/>
      <c r="Z426" s="9"/>
      <c r="AA426" s="9"/>
      <c r="AB426" s="9"/>
      <c r="AC426" s="9"/>
    </row>
    <row r="427" ht="15.7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204"/>
      <c r="Z427" s="9"/>
      <c r="AA427" s="9"/>
      <c r="AB427" s="9"/>
      <c r="AC427" s="9"/>
    </row>
    <row r="428" ht="15.7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204"/>
      <c r="Z428" s="9"/>
      <c r="AA428" s="9"/>
      <c r="AB428" s="9"/>
      <c r="AC428" s="9"/>
    </row>
    <row r="429" ht="15.7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204"/>
      <c r="Z429" s="9"/>
      <c r="AA429" s="9"/>
      <c r="AB429" s="9"/>
      <c r="AC429" s="9"/>
    </row>
    <row r="430" ht="15.7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204"/>
      <c r="Z430" s="9"/>
      <c r="AA430" s="9"/>
      <c r="AB430" s="9"/>
      <c r="AC430" s="9"/>
    </row>
    <row r="431" ht="15.7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204"/>
      <c r="Z431" s="9"/>
      <c r="AA431" s="9"/>
      <c r="AB431" s="9"/>
      <c r="AC431" s="9"/>
    </row>
    <row r="432" ht="15.7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204"/>
      <c r="Z432" s="9"/>
      <c r="AA432" s="9"/>
      <c r="AB432" s="9"/>
      <c r="AC432" s="9"/>
    </row>
    <row r="433" ht="15.7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204"/>
      <c r="Z433" s="9"/>
      <c r="AA433" s="9"/>
      <c r="AB433" s="9"/>
      <c r="AC433" s="9"/>
    </row>
    <row r="434" ht="15.7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204"/>
      <c r="Z434" s="9"/>
      <c r="AA434" s="9"/>
      <c r="AB434" s="9"/>
      <c r="AC434" s="9"/>
    </row>
    <row r="435" ht="15.7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204"/>
      <c r="Z435" s="9"/>
      <c r="AA435" s="9"/>
      <c r="AB435" s="9"/>
      <c r="AC435" s="9"/>
    </row>
    <row r="436" ht="15.7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204"/>
      <c r="Z436" s="9"/>
      <c r="AA436" s="9"/>
      <c r="AB436" s="9"/>
      <c r="AC436" s="9"/>
    </row>
    <row r="437" ht="15.7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204"/>
      <c r="Z437" s="9"/>
      <c r="AA437" s="9"/>
      <c r="AB437" s="9"/>
      <c r="AC437" s="9"/>
    </row>
    <row r="438" ht="15.7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204"/>
      <c r="Z438" s="9"/>
      <c r="AA438" s="9"/>
      <c r="AB438" s="9"/>
      <c r="AC438" s="9"/>
    </row>
    <row r="439" ht="15.7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204"/>
      <c r="Z439" s="9"/>
      <c r="AA439" s="9"/>
      <c r="AB439" s="9"/>
      <c r="AC439" s="9"/>
    </row>
    <row r="440" ht="15.7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204"/>
      <c r="Z440" s="9"/>
      <c r="AA440" s="9"/>
      <c r="AB440" s="9"/>
      <c r="AC440" s="9"/>
    </row>
    <row r="441" ht="15.7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204"/>
      <c r="Z441" s="9"/>
      <c r="AA441" s="9"/>
      <c r="AB441" s="9"/>
      <c r="AC441" s="9"/>
    </row>
    <row r="442" ht="15.7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204"/>
      <c r="Z442" s="9"/>
      <c r="AA442" s="9"/>
      <c r="AB442" s="9"/>
      <c r="AC442" s="9"/>
    </row>
    <row r="443" ht="15.7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204"/>
      <c r="Z443" s="9"/>
      <c r="AA443" s="9"/>
      <c r="AB443" s="9"/>
      <c r="AC443" s="9"/>
    </row>
    <row r="444" ht="15.7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204"/>
      <c r="Z444" s="9"/>
      <c r="AA444" s="9"/>
      <c r="AB444" s="9"/>
      <c r="AC444" s="9"/>
    </row>
    <row r="445" ht="15.7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204"/>
      <c r="Z445" s="9"/>
      <c r="AA445" s="9"/>
      <c r="AB445" s="9"/>
      <c r="AC445" s="9"/>
    </row>
    <row r="446" ht="15.7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204"/>
      <c r="Z446" s="9"/>
      <c r="AA446" s="9"/>
      <c r="AB446" s="9"/>
      <c r="AC446" s="9"/>
    </row>
    <row r="447" ht="15.7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204"/>
      <c r="Z447" s="9"/>
      <c r="AA447" s="9"/>
      <c r="AB447" s="9"/>
      <c r="AC447" s="9"/>
    </row>
    <row r="448" ht="15.7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204"/>
      <c r="Z448" s="9"/>
      <c r="AA448" s="9"/>
      <c r="AB448" s="9"/>
      <c r="AC448" s="9"/>
    </row>
    <row r="449" ht="15.7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204"/>
      <c r="Z449" s="9"/>
      <c r="AA449" s="9"/>
      <c r="AB449" s="9"/>
      <c r="AC449" s="9"/>
    </row>
    <row r="450" ht="15.7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204"/>
      <c r="Z450" s="9"/>
      <c r="AA450" s="9"/>
      <c r="AB450" s="9"/>
      <c r="AC450" s="9"/>
    </row>
    <row r="451" ht="15.7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204"/>
      <c r="Z451" s="9"/>
      <c r="AA451" s="9"/>
      <c r="AB451" s="9"/>
      <c r="AC451" s="9"/>
    </row>
    <row r="452" ht="15.7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204"/>
      <c r="Z452" s="9"/>
      <c r="AA452" s="9"/>
      <c r="AB452" s="9"/>
      <c r="AC452" s="9"/>
    </row>
    <row r="453" ht="15.7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204"/>
      <c r="Z453" s="9"/>
      <c r="AA453" s="9"/>
      <c r="AB453" s="9"/>
      <c r="AC453" s="9"/>
    </row>
    <row r="454" ht="15.7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204"/>
      <c r="Z454" s="9"/>
      <c r="AA454" s="9"/>
      <c r="AB454" s="9"/>
      <c r="AC454" s="9"/>
    </row>
    <row r="455" ht="15.7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204"/>
      <c r="Z455" s="9"/>
      <c r="AA455" s="9"/>
      <c r="AB455" s="9"/>
      <c r="AC455" s="9"/>
    </row>
    <row r="456" ht="15.7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204"/>
      <c r="Z456" s="9"/>
      <c r="AA456" s="9"/>
      <c r="AB456" s="9"/>
      <c r="AC456" s="9"/>
    </row>
    <row r="457" ht="15.7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204"/>
      <c r="Z457" s="9"/>
      <c r="AA457" s="9"/>
      <c r="AB457" s="9"/>
      <c r="AC457" s="9"/>
    </row>
    <row r="458" ht="15.7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204"/>
      <c r="Z458" s="9"/>
      <c r="AA458" s="9"/>
      <c r="AB458" s="9"/>
      <c r="AC458" s="9"/>
    </row>
    <row r="459" ht="15.7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204"/>
      <c r="Z459" s="9"/>
      <c r="AA459" s="9"/>
      <c r="AB459" s="9"/>
      <c r="AC459" s="9"/>
    </row>
    <row r="460" ht="15.7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204"/>
      <c r="Z460" s="9"/>
      <c r="AA460" s="9"/>
      <c r="AB460" s="9"/>
      <c r="AC460" s="9"/>
    </row>
    <row r="461" ht="15.7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204"/>
      <c r="Z461" s="9"/>
      <c r="AA461" s="9"/>
      <c r="AB461" s="9"/>
      <c r="AC461" s="9"/>
    </row>
    <row r="462" ht="15.7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204"/>
      <c r="Z462" s="9"/>
      <c r="AA462" s="9"/>
      <c r="AB462" s="9"/>
      <c r="AC462" s="9"/>
    </row>
    <row r="463" ht="15.7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204"/>
      <c r="Z463" s="9"/>
      <c r="AA463" s="9"/>
      <c r="AB463" s="9"/>
      <c r="AC463" s="9"/>
    </row>
    <row r="464" ht="15.7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204"/>
      <c r="Z464" s="9"/>
      <c r="AA464" s="9"/>
      <c r="AB464" s="9"/>
      <c r="AC464" s="9"/>
    </row>
    <row r="465" ht="15.7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204"/>
      <c r="Z465" s="9"/>
      <c r="AA465" s="9"/>
      <c r="AB465" s="9"/>
      <c r="AC465" s="9"/>
    </row>
    <row r="466" ht="15.7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204"/>
      <c r="Z466" s="9"/>
      <c r="AA466" s="9"/>
      <c r="AB466" s="9"/>
      <c r="AC466" s="9"/>
    </row>
    <row r="467" ht="15.7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204"/>
      <c r="Z467" s="9"/>
      <c r="AA467" s="9"/>
      <c r="AB467" s="9"/>
      <c r="AC467" s="9"/>
    </row>
    <row r="468" ht="15.7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204"/>
      <c r="Z468" s="9"/>
      <c r="AA468" s="9"/>
      <c r="AB468" s="9"/>
      <c r="AC468" s="9"/>
    </row>
    <row r="469" ht="15.7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204"/>
      <c r="Z469" s="9"/>
      <c r="AA469" s="9"/>
      <c r="AB469" s="9"/>
      <c r="AC469" s="9"/>
    </row>
    <row r="470" ht="15.7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204"/>
      <c r="Z470" s="9"/>
      <c r="AA470" s="9"/>
      <c r="AB470" s="9"/>
      <c r="AC470" s="9"/>
    </row>
    <row r="471" ht="15.7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204"/>
      <c r="Z471" s="9"/>
      <c r="AA471" s="9"/>
      <c r="AB471" s="9"/>
      <c r="AC471" s="9"/>
    </row>
    <row r="472" ht="15.7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204"/>
      <c r="Z472" s="9"/>
      <c r="AA472" s="9"/>
      <c r="AB472" s="9"/>
      <c r="AC472" s="9"/>
    </row>
    <row r="473" ht="15.7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204"/>
      <c r="Z473" s="9"/>
      <c r="AA473" s="9"/>
      <c r="AB473" s="9"/>
      <c r="AC473" s="9"/>
    </row>
    <row r="474" ht="15.7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204"/>
      <c r="Z474" s="9"/>
      <c r="AA474" s="9"/>
      <c r="AB474" s="9"/>
      <c r="AC474" s="9"/>
    </row>
    <row r="475" ht="15.7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204"/>
      <c r="Z475" s="9"/>
      <c r="AA475" s="9"/>
      <c r="AB475" s="9"/>
      <c r="AC475" s="9"/>
    </row>
    <row r="476" ht="15.7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204"/>
      <c r="Z476" s="9"/>
      <c r="AA476" s="9"/>
      <c r="AB476" s="9"/>
      <c r="AC476" s="9"/>
    </row>
    <row r="477" ht="15.7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204"/>
      <c r="Z477" s="9"/>
      <c r="AA477" s="9"/>
      <c r="AB477" s="9"/>
      <c r="AC477" s="9"/>
    </row>
    <row r="478" ht="15.7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204"/>
      <c r="Z478" s="9"/>
      <c r="AA478" s="9"/>
      <c r="AB478" s="9"/>
      <c r="AC478" s="9"/>
    </row>
    <row r="479"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204"/>
      <c r="Z479" s="9"/>
      <c r="AA479" s="9"/>
      <c r="AB479" s="9"/>
      <c r="AC479" s="9"/>
    </row>
    <row r="480"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204"/>
      <c r="Z480" s="9"/>
      <c r="AA480" s="9"/>
      <c r="AB480" s="9"/>
      <c r="AC480" s="9"/>
    </row>
    <row r="481"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204"/>
      <c r="Z481" s="9"/>
      <c r="AA481" s="9"/>
      <c r="AB481" s="9"/>
      <c r="AC481" s="9"/>
    </row>
    <row r="482"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204"/>
      <c r="Z482" s="9"/>
      <c r="AA482" s="9"/>
      <c r="AB482" s="9"/>
      <c r="AC482" s="9"/>
    </row>
    <row r="483"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204"/>
      <c r="Z483" s="9"/>
      <c r="AA483" s="9"/>
      <c r="AB483" s="9"/>
      <c r="AC483" s="9"/>
    </row>
    <row r="484"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204"/>
      <c r="Z484" s="9"/>
      <c r="AA484" s="9"/>
      <c r="AB484" s="9"/>
      <c r="AC484" s="9"/>
    </row>
    <row r="485"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204"/>
      <c r="Z485" s="9"/>
      <c r="AA485" s="9"/>
      <c r="AB485" s="9"/>
      <c r="AC485" s="9"/>
    </row>
    <row r="486"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204"/>
      <c r="Z486" s="9"/>
      <c r="AA486" s="9"/>
      <c r="AB486" s="9"/>
      <c r="AC486" s="9"/>
    </row>
    <row r="487"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204"/>
      <c r="Z487" s="9"/>
      <c r="AA487" s="9"/>
      <c r="AB487" s="9"/>
      <c r="AC487" s="9"/>
    </row>
    <row r="488"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204"/>
      <c r="Z488" s="9"/>
      <c r="AA488" s="9"/>
      <c r="AB488" s="9"/>
      <c r="AC488" s="9"/>
    </row>
    <row r="489"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204"/>
      <c r="Z489" s="9"/>
      <c r="AA489" s="9"/>
      <c r="AB489" s="9"/>
      <c r="AC489" s="9"/>
    </row>
    <row r="490"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204"/>
      <c r="Z490" s="9"/>
      <c r="AA490" s="9"/>
      <c r="AB490" s="9"/>
      <c r="AC490" s="9"/>
    </row>
    <row r="491"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204"/>
      <c r="Z491" s="9"/>
      <c r="AA491" s="9"/>
      <c r="AB491" s="9"/>
      <c r="AC491" s="9"/>
    </row>
    <row r="492"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204"/>
      <c r="Z492" s="9"/>
      <c r="AA492" s="9"/>
      <c r="AB492" s="9"/>
      <c r="AC492" s="9"/>
    </row>
    <row r="493"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204"/>
      <c r="Z493" s="9"/>
      <c r="AA493" s="9"/>
      <c r="AB493" s="9"/>
      <c r="AC493" s="9"/>
    </row>
    <row r="494"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204"/>
      <c r="Z494" s="9"/>
      <c r="AA494" s="9"/>
      <c r="AB494" s="9"/>
      <c r="AC494" s="9"/>
    </row>
    <row r="495"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204"/>
      <c r="Z495" s="9"/>
      <c r="AA495" s="9"/>
      <c r="AB495" s="9"/>
      <c r="AC495" s="9"/>
    </row>
    <row r="496"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204"/>
      <c r="Z496" s="9"/>
      <c r="AA496" s="9"/>
      <c r="AB496" s="9"/>
      <c r="AC496" s="9"/>
    </row>
    <row r="497"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204"/>
      <c r="Z497" s="9"/>
      <c r="AA497" s="9"/>
      <c r="AB497" s="9"/>
      <c r="AC497" s="9"/>
    </row>
    <row r="498"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204"/>
      <c r="Z498" s="9"/>
      <c r="AA498" s="9"/>
      <c r="AB498" s="9"/>
      <c r="AC498" s="9"/>
    </row>
    <row r="499"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204"/>
      <c r="Z499" s="9"/>
      <c r="AA499" s="9"/>
      <c r="AB499" s="9"/>
      <c r="AC499" s="9"/>
    </row>
    <row r="500"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204"/>
      <c r="Z500" s="9"/>
      <c r="AA500" s="9"/>
      <c r="AB500" s="9"/>
      <c r="AC500" s="9"/>
    </row>
    <row r="501"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204"/>
      <c r="Z501" s="9"/>
      <c r="AA501" s="9"/>
      <c r="AB501" s="9"/>
      <c r="AC501" s="9"/>
    </row>
    <row r="502"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204"/>
      <c r="Z502" s="9"/>
      <c r="AA502" s="9"/>
      <c r="AB502" s="9"/>
      <c r="AC502" s="9"/>
    </row>
    <row r="503"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204"/>
      <c r="Z503" s="9"/>
      <c r="AA503" s="9"/>
      <c r="AB503" s="9"/>
      <c r="AC503" s="9"/>
    </row>
    <row r="504"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204"/>
      <c r="Z504" s="9"/>
      <c r="AA504" s="9"/>
      <c r="AB504" s="9"/>
      <c r="AC504" s="9"/>
    </row>
    <row r="505"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204"/>
      <c r="Z505" s="9"/>
      <c r="AA505" s="9"/>
      <c r="AB505" s="9"/>
      <c r="AC505" s="9"/>
    </row>
    <row r="506"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204"/>
      <c r="Z506" s="9"/>
      <c r="AA506" s="9"/>
      <c r="AB506" s="9"/>
      <c r="AC506" s="9"/>
    </row>
    <row r="507"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204"/>
      <c r="Z507" s="9"/>
      <c r="AA507" s="9"/>
      <c r="AB507" s="9"/>
      <c r="AC507" s="9"/>
    </row>
    <row r="508"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204"/>
      <c r="Z508" s="9"/>
      <c r="AA508" s="9"/>
      <c r="AB508" s="9"/>
      <c r="AC508" s="9"/>
    </row>
    <row r="509"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204"/>
      <c r="Z509" s="9"/>
      <c r="AA509" s="9"/>
      <c r="AB509" s="9"/>
      <c r="AC509" s="9"/>
    </row>
    <row r="510"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204"/>
      <c r="Z510" s="9"/>
      <c r="AA510" s="9"/>
      <c r="AB510" s="9"/>
      <c r="AC510" s="9"/>
    </row>
    <row r="511"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204"/>
      <c r="Z511" s="9"/>
      <c r="AA511" s="9"/>
      <c r="AB511" s="9"/>
      <c r="AC511" s="9"/>
    </row>
    <row r="512"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204"/>
      <c r="Z512" s="9"/>
      <c r="AA512" s="9"/>
      <c r="AB512" s="9"/>
      <c r="AC512" s="9"/>
    </row>
    <row r="513"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204"/>
      <c r="Z513" s="9"/>
      <c r="AA513" s="9"/>
      <c r="AB513" s="9"/>
      <c r="AC513" s="9"/>
    </row>
    <row r="514"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204"/>
      <c r="Z514" s="9"/>
      <c r="AA514" s="9"/>
      <c r="AB514" s="9"/>
      <c r="AC514" s="9"/>
    </row>
    <row r="515"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204"/>
      <c r="Z515" s="9"/>
      <c r="AA515" s="9"/>
      <c r="AB515" s="9"/>
      <c r="AC515" s="9"/>
    </row>
    <row r="516"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204"/>
      <c r="Z516" s="9"/>
      <c r="AA516" s="9"/>
      <c r="AB516" s="9"/>
      <c r="AC516" s="9"/>
    </row>
    <row r="517"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204"/>
      <c r="Z517" s="9"/>
      <c r="AA517" s="9"/>
      <c r="AB517" s="9"/>
      <c r="AC517" s="9"/>
    </row>
    <row r="518"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204"/>
      <c r="Z518" s="9"/>
      <c r="AA518" s="9"/>
      <c r="AB518" s="9"/>
      <c r="AC518" s="9"/>
    </row>
    <row r="519"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204"/>
      <c r="Z519" s="9"/>
      <c r="AA519" s="9"/>
      <c r="AB519" s="9"/>
      <c r="AC519" s="9"/>
    </row>
    <row r="520"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204"/>
      <c r="Z520" s="9"/>
      <c r="AA520" s="9"/>
      <c r="AB520" s="9"/>
      <c r="AC520" s="9"/>
    </row>
    <row r="521"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204"/>
      <c r="Z521" s="9"/>
      <c r="AA521" s="9"/>
      <c r="AB521" s="9"/>
      <c r="AC521" s="9"/>
    </row>
    <row r="522"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204"/>
      <c r="Z522" s="9"/>
      <c r="AA522" s="9"/>
      <c r="AB522" s="9"/>
      <c r="AC522" s="9"/>
    </row>
    <row r="523"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204"/>
      <c r="Z523" s="9"/>
      <c r="AA523" s="9"/>
      <c r="AB523" s="9"/>
      <c r="AC523" s="9"/>
    </row>
    <row r="524"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204"/>
      <c r="Z524" s="9"/>
      <c r="AA524" s="9"/>
      <c r="AB524" s="9"/>
      <c r="AC524" s="9"/>
    </row>
    <row r="525"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204"/>
      <c r="Z525" s="9"/>
      <c r="AA525" s="9"/>
      <c r="AB525" s="9"/>
      <c r="AC525" s="9"/>
    </row>
    <row r="526"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204"/>
      <c r="Z526" s="9"/>
      <c r="AA526" s="9"/>
      <c r="AB526" s="9"/>
      <c r="AC526" s="9"/>
    </row>
    <row r="527"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204"/>
      <c r="Z527" s="9"/>
      <c r="AA527" s="9"/>
      <c r="AB527" s="9"/>
      <c r="AC527" s="9"/>
    </row>
    <row r="528"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204"/>
      <c r="Z528" s="9"/>
      <c r="AA528" s="9"/>
      <c r="AB528" s="9"/>
      <c r="AC528" s="9"/>
    </row>
    <row r="529"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204"/>
      <c r="Z529" s="9"/>
      <c r="AA529" s="9"/>
      <c r="AB529" s="9"/>
      <c r="AC529" s="9"/>
    </row>
    <row r="530"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204"/>
      <c r="Z530" s="9"/>
      <c r="AA530" s="9"/>
      <c r="AB530" s="9"/>
      <c r="AC530" s="9"/>
    </row>
    <row r="531"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204"/>
      <c r="Z531" s="9"/>
      <c r="AA531" s="9"/>
      <c r="AB531" s="9"/>
      <c r="AC531" s="9"/>
    </row>
    <row r="532"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204"/>
      <c r="Z532" s="9"/>
      <c r="AA532" s="9"/>
      <c r="AB532" s="9"/>
      <c r="AC532" s="9"/>
    </row>
    <row r="533"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204"/>
      <c r="Z533" s="9"/>
      <c r="AA533" s="9"/>
      <c r="AB533" s="9"/>
      <c r="AC533" s="9"/>
    </row>
    <row r="534"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204"/>
      <c r="Z534" s="9"/>
      <c r="AA534" s="9"/>
      <c r="AB534" s="9"/>
      <c r="AC534" s="9"/>
    </row>
    <row r="535"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204"/>
      <c r="Z535" s="9"/>
      <c r="AA535" s="9"/>
      <c r="AB535" s="9"/>
      <c r="AC535" s="9"/>
    </row>
    <row r="536"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204"/>
      <c r="Z536" s="9"/>
      <c r="AA536" s="9"/>
      <c r="AB536" s="9"/>
      <c r="AC536" s="9"/>
    </row>
    <row r="537"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204"/>
      <c r="Z537" s="9"/>
      <c r="AA537" s="9"/>
      <c r="AB537" s="9"/>
      <c r="AC537" s="9"/>
    </row>
    <row r="538"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204"/>
      <c r="Z538" s="9"/>
      <c r="AA538" s="9"/>
      <c r="AB538" s="9"/>
      <c r="AC538" s="9"/>
    </row>
    <row r="539"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204"/>
      <c r="Z539" s="9"/>
      <c r="AA539" s="9"/>
      <c r="AB539" s="9"/>
      <c r="AC539" s="9"/>
    </row>
    <row r="540"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204"/>
      <c r="Z540" s="9"/>
      <c r="AA540" s="9"/>
      <c r="AB540" s="9"/>
      <c r="AC540" s="9"/>
    </row>
    <row r="541"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204"/>
      <c r="Z541" s="9"/>
      <c r="AA541" s="9"/>
      <c r="AB541" s="9"/>
      <c r="AC541" s="9"/>
    </row>
    <row r="542"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204"/>
      <c r="Z542" s="9"/>
      <c r="AA542" s="9"/>
      <c r="AB542" s="9"/>
      <c r="AC542" s="9"/>
    </row>
    <row r="543"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204"/>
      <c r="Z543" s="9"/>
      <c r="AA543" s="9"/>
      <c r="AB543" s="9"/>
      <c r="AC543" s="9"/>
    </row>
    <row r="544"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204"/>
      <c r="Z544" s="9"/>
      <c r="AA544" s="9"/>
      <c r="AB544" s="9"/>
      <c r="AC544" s="9"/>
    </row>
    <row r="545"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204"/>
      <c r="Z545" s="9"/>
      <c r="AA545" s="9"/>
      <c r="AB545" s="9"/>
      <c r="AC545" s="9"/>
    </row>
    <row r="546"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204"/>
      <c r="Z546" s="9"/>
      <c r="AA546" s="9"/>
      <c r="AB546" s="9"/>
      <c r="AC546" s="9"/>
    </row>
    <row r="547"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204"/>
      <c r="Z547" s="9"/>
      <c r="AA547" s="9"/>
      <c r="AB547" s="9"/>
      <c r="AC547" s="9"/>
    </row>
    <row r="548"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204"/>
      <c r="Z548" s="9"/>
      <c r="AA548" s="9"/>
      <c r="AB548" s="9"/>
      <c r="AC548" s="9"/>
    </row>
    <row r="549"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204"/>
      <c r="Z549" s="9"/>
      <c r="AA549" s="9"/>
      <c r="AB549" s="9"/>
      <c r="AC549" s="9"/>
    </row>
    <row r="550"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204"/>
      <c r="Z550" s="9"/>
      <c r="AA550" s="9"/>
      <c r="AB550" s="9"/>
      <c r="AC550" s="9"/>
    </row>
    <row r="551"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204"/>
      <c r="Z551" s="9"/>
      <c r="AA551" s="9"/>
      <c r="AB551" s="9"/>
      <c r="AC551" s="9"/>
    </row>
    <row r="552"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204"/>
      <c r="Z552" s="9"/>
      <c r="AA552" s="9"/>
      <c r="AB552" s="9"/>
      <c r="AC552" s="9"/>
    </row>
    <row r="553"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204"/>
      <c r="Z553" s="9"/>
      <c r="AA553" s="9"/>
      <c r="AB553" s="9"/>
      <c r="AC553" s="9"/>
    </row>
    <row r="554"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204"/>
      <c r="Z554" s="9"/>
      <c r="AA554" s="9"/>
      <c r="AB554" s="9"/>
      <c r="AC554" s="9"/>
    </row>
    <row r="555"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204"/>
      <c r="Z555" s="9"/>
      <c r="AA555" s="9"/>
      <c r="AB555" s="9"/>
      <c r="AC555" s="9"/>
    </row>
    <row r="556"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204"/>
      <c r="Z556" s="9"/>
      <c r="AA556" s="9"/>
      <c r="AB556" s="9"/>
      <c r="AC556" s="9"/>
    </row>
    <row r="557"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204"/>
      <c r="Z557" s="9"/>
      <c r="AA557" s="9"/>
      <c r="AB557" s="9"/>
      <c r="AC557" s="9"/>
    </row>
    <row r="558"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204"/>
      <c r="Z558" s="9"/>
      <c r="AA558" s="9"/>
      <c r="AB558" s="9"/>
      <c r="AC558" s="9"/>
    </row>
    <row r="559"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204"/>
      <c r="Z559" s="9"/>
      <c r="AA559" s="9"/>
      <c r="AB559" s="9"/>
      <c r="AC559" s="9"/>
    </row>
    <row r="560"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204"/>
      <c r="Z560" s="9"/>
      <c r="AA560" s="9"/>
      <c r="AB560" s="9"/>
      <c r="AC560" s="9"/>
    </row>
    <row r="561"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204"/>
      <c r="Z561" s="9"/>
      <c r="AA561" s="9"/>
      <c r="AB561" s="9"/>
      <c r="AC561" s="9"/>
    </row>
    <row r="562"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204"/>
      <c r="Z562" s="9"/>
      <c r="AA562" s="9"/>
      <c r="AB562" s="9"/>
      <c r="AC562" s="9"/>
    </row>
    <row r="563"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204"/>
      <c r="Z563" s="9"/>
      <c r="AA563" s="9"/>
      <c r="AB563" s="9"/>
      <c r="AC563" s="9"/>
    </row>
    <row r="564"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204"/>
      <c r="Z564" s="9"/>
      <c r="AA564" s="9"/>
      <c r="AB564" s="9"/>
      <c r="AC564" s="9"/>
    </row>
    <row r="565"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204"/>
      <c r="Z565" s="9"/>
      <c r="AA565" s="9"/>
      <c r="AB565" s="9"/>
      <c r="AC565" s="9"/>
    </row>
    <row r="566"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204"/>
      <c r="Z566" s="9"/>
      <c r="AA566" s="9"/>
      <c r="AB566" s="9"/>
      <c r="AC566" s="9"/>
    </row>
    <row r="567"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204"/>
      <c r="Z567" s="9"/>
      <c r="AA567" s="9"/>
      <c r="AB567" s="9"/>
      <c r="AC567" s="9"/>
    </row>
    <row r="568"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204"/>
      <c r="Z568" s="9"/>
      <c r="AA568" s="9"/>
      <c r="AB568" s="9"/>
      <c r="AC568" s="9"/>
    </row>
    <row r="569"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204"/>
      <c r="Z569" s="9"/>
      <c r="AA569" s="9"/>
      <c r="AB569" s="9"/>
      <c r="AC569" s="9"/>
    </row>
    <row r="570"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204"/>
      <c r="Z570" s="9"/>
      <c r="AA570" s="9"/>
      <c r="AB570" s="9"/>
      <c r="AC570" s="9"/>
    </row>
    <row r="571"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204"/>
      <c r="Z571" s="9"/>
      <c r="AA571" s="9"/>
      <c r="AB571" s="9"/>
      <c r="AC571" s="9"/>
    </row>
    <row r="572"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204"/>
      <c r="Z572" s="9"/>
      <c r="AA572" s="9"/>
      <c r="AB572" s="9"/>
      <c r="AC572" s="9"/>
    </row>
    <row r="573"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204"/>
      <c r="Z573" s="9"/>
      <c r="AA573" s="9"/>
      <c r="AB573" s="9"/>
      <c r="AC573" s="9"/>
    </row>
    <row r="574"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204"/>
      <c r="Z574" s="9"/>
      <c r="AA574" s="9"/>
      <c r="AB574" s="9"/>
      <c r="AC574" s="9"/>
    </row>
    <row r="575"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204"/>
      <c r="Z575" s="9"/>
      <c r="AA575" s="9"/>
      <c r="AB575" s="9"/>
      <c r="AC575" s="9"/>
    </row>
    <row r="576"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204"/>
      <c r="Z576" s="9"/>
      <c r="AA576" s="9"/>
      <c r="AB576" s="9"/>
      <c r="AC576" s="9"/>
    </row>
    <row r="577"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204"/>
      <c r="Z577" s="9"/>
      <c r="AA577" s="9"/>
      <c r="AB577" s="9"/>
      <c r="AC577" s="9"/>
    </row>
    <row r="578"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204"/>
      <c r="Z578" s="9"/>
      <c r="AA578" s="9"/>
      <c r="AB578" s="9"/>
      <c r="AC578" s="9"/>
    </row>
    <row r="579"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204"/>
      <c r="Z579" s="9"/>
      <c r="AA579" s="9"/>
      <c r="AB579" s="9"/>
      <c r="AC579" s="9"/>
    </row>
    <row r="580"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204"/>
      <c r="Z580" s="9"/>
      <c r="AA580" s="9"/>
      <c r="AB580" s="9"/>
      <c r="AC580" s="9"/>
    </row>
    <row r="581"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204"/>
      <c r="Z581" s="9"/>
      <c r="AA581" s="9"/>
      <c r="AB581" s="9"/>
      <c r="AC581" s="9"/>
    </row>
    <row r="582"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204"/>
      <c r="Z582" s="9"/>
      <c r="AA582" s="9"/>
      <c r="AB582" s="9"/>
      <c r="AC582" s="9"/>
    </row>
    <row r="583"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204"/>
      <c r="Z583" s="9"/>
      <c r="AA583" s="9"/>
      <c r="AB583" s="9"/>
      <c r="AC583" s="9"/>
    </row>
    <row r="584"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204"/>
      <c r="Z584" s="9"/>
      <c r="AA584" s="9"/>
      <c r="AB584" s="9"/>
      <c r="AC584" s="9"/>
    </row>
    <row r="585"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204"/>
      <c r="Z585" s="9"/>
      <c r="AA585" s="9"/>
      <c r="AB585" s="9"/>
      <c r="AC585" s="9"/>
    </row>
    <row r="586"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204"/>
      <c r="Z586" s="9"/>
      <c r="AA586" s="9"/>
      <c r="AB586" s="9"/>
      <c r="AC586" s="9"/>
    </row>
    <row r="587"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204"/>
      <c r="Z587" s="9"/>
      <c r="AA587" s="9"/>
      <c r="AB587" s="9"/>
      <c r="AC587" s="9"/>
    </row>
    <row r="588"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204"/>
      <c r="Z588" s="9"/>
      <c r="AA588" s="9"/>
      <c r="AB588" s="9"/>
      <c r="AC588" s="9"/>
    </row>
    <row r="589"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204"/>
      <c r="Z589" s="9"/>
      <c r="AA589" s="9"/>
      <c r="AB589" s="9"/>
      <c r="AC589" s="9"/>
    </row>
    <row r="590"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204"/>
      <c r="Z590" s="9"/>
      <c r="AA590" s="9"/>
      <c r="AB590" s="9"/>
      <c r="AC590" s="9"/>
    </row>
    <row r="591"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204"/>
      <c r="Z591" s="9"/>
      <c r="AA591" s="9"/>
      <c r="AB591" s="9"/>
      <c r="AC591" s="9"/>
    </row>
    <row r="592"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204"/>
      <c r="Z592" s="9"/>
      <c r="AA592" s="9"/>
      <c r="AB592" s="9"/>
      <c r="AC592" s="9"/>
    </row>
    <row r="593"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204"/>
      <c r="Z593" s="9"/>
      <c r="AA593" s="9"/>
      <c r="AB593" s="9"/>
      <c r="AC593" s="9"/>
    </row>
    <row r="594"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204"/>
      <c r="Z594" s="9"/>
      <c r="AA594" s="9"/>
      <c r="AB594" s="9"/>
      <c r="AC594" s="9"/>
    </row>
    <row r="595"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204"/>
      <c r="Z595" s="9"/>
      <c r="AA595" s="9"/>
      <c r="AB595" s="9"/>
      <c r="AC595" s="9"/>
    </row>
    <row r="596"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204"/>
      <c r="Z596" s="9"/>
      <c r="AA596" s="9"/>
      <c r="AB596" s="9"/>
      <c r="AC596" s="9"/>
    </row>
    <row r="597"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204"/>
      <c r="Z597" s="9"/>
      <c r="AA597" s="9"/>
      <c r="AB597" s="9"/>
      <c r="AC597" s="9"/>
    </row>
    <row r="598"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204"/>
      <c r="Z598" s="9"/>
      <c r="AA598" s="9"/>
      <c r="AB598" s="9"/>
      <c r="AC598" s="9"/>
    </row>
    <row r="599"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204"/>
      <c r="Z599" s="9"/>
      <c r="AA599" s="9"/>
      <c r="AB599" s="9"/>
      <c r="AC599" s="9"/>
    </row>
    <row r="600"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204"/>
      <c r="Z600" s="9"/>
      <c r="AA600" s="9"/>
      <c r="AB600" s="9"/>
      <c r="AC600" s="9"/>
    </row>
    <row r="601"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204"/>
      <c r="Z601" s="9"/>
      <c r="AA601" s="9"/>
      <c r="AB601" s="9"/>
      <c r="AC601" s="9"/>
    </row>
    <row r="602"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204"/>
      <c r="Z602" s="9"/>
      <c r="AA602" s="9"/>
      <c r="AB602" s="9"/>
      <c r="AC602" s="9"/>
    </row>
    <row r="603"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204"/>
      <c r="Z603" s="9"/>
      <c r="AA603" s="9"/>
      <c r="AB603" s="9"/>
      <c r="AC603" s="9"/>
    </row>
    <row r="604"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204"/>
      <c r="Z604" s="9"/>
      <c r="AA604" s="9"/>
      <c r="AB604" s="9"/>
      <c r="AC604" s="9"/>
    </row>
    <row r="605"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204"/>
      <c r="Z605" s="9"/>
      <c r="AA605" s="9"/>
      <c r="AB605" s="9"/>
      <c r="AC605" s="9"/>
    </row>
    <row r="606"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204"/>
      <c r="Z606" s="9"/>
      <c r="AA606" s="9"/>
      <c r="AB606" s="9"/>
      <c r="AC606" s="9"/>
    </row>
    <row r="607"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204"/>
      <c r="Z607" s="9"/>
      <c r="AA607" s="9"/>
      <c r="AB607" s="9"/>
      <c r="AC607" s="9"/>
    </row>
    <row r="608"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204"/>
      <c r="Z608" s="9"/>
      <c r="AA608" s="9"/>
      <c r="AB608" s="9"/>
      <c r="AC608" s="9"/>
    </row>
    <row r="609"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204"/>
      <c r="Z609" s="9"/>
      <c r="AA609" s="9"/>
      <c r="AB609" s="9"/>
      <c r="AC609" s="9"/>
    </row>
    <row r="610"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204"/>
      <c r="Z610" s="9"/>
      <c r="AA610" s="9"/>
      <c r="AB610" s="9"/>
      <c r="AC610" s="9"/>
    </row>
    <row r="611"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204"/>
      <c r="Z611" s="9"/>
      <c r="AA611" s="9"/>
      <c r="AB611" s="9"/>
      <c r="AC611" s="9"/>
    </row>
    <row r="612"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204"/>
      <c r="Z612" s="9"/>
      <c r="AA612" s="9"/>
      <c r="AB612" s="9"/>
      <c r="AC612" s="9"/>
    </row>
    <row r="613"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204"/>
      <c r="Z613" s="9"/>
      <c r="AA613" s="9"/>
      <c r="AB613" s="9"/>
      <c r="AC613" s="9"/>
    </row>
    <row r="614"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204"/>
      <c r="Z614" s="9"/>
      <c r="AA614" s="9"/>
      <c r="AB614" s="9"/>
      <c r="AC614" s="9"/>
    </row>
    <row r="615"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204"/>
      <c r="Z615" s="9"/>
      <c r="AA615" s="9"/>
      <c r="AB615" s="9"/>
      <c r="AC615" s="9"/>
    </row>
    <row r="616"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204"/>
      <c r="Z616" s="9"/>
      <c r="AA616" s="9"/>
      <c r="AB616" s="9"/>
      <c r="AC616" s="9"/>
    </row>
    <row r="617"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204"/>
      <c r="Z617" s="9"/>
      <c r="AA617" s="9"/>
      <c r="AB617" s="9"/>
      <c r="AC617" s="9"/>
    </row>
    <row r="618"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204"/>
      <c r="Z618" s="9"/>
      <c r="AA618" s="9"/>
      <c r="AB618" s="9"/>
      <c r="AC618" s="9"/>
    </row>
    <row r="619"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204"/>
      <c r="Z619" s="9"/>
      <c r="AA619" s="9"/>
      <c r="AB619" s="9"/>
      <c r="AC619" s="9"/>
    </row>
    <row r="620"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204"/>
      <c r="Z620" s="9"/>
      <c r="AA620" s="9"/>
      <c r="AB620" s="9"/>
      <c r="AC620" s="9"/>
    </row>
    <row r="621"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204"/>
      <c r="Z621" s="9"/>
      <c r="AA621" s="9"/>
      <c r="AB621" s="9"/>
      <c r="AC621" s="9"/>
    </row>
    <row r="622"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204"/>
      <c r="Z622" s="9"/>
      <c r="AA622" s="9"/>
      <c r="AB622" s="9"/>
      <c r="AC622" s="9"/>
    </row>
    <row r="623"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204"/>
      <c r="Z623" s="9"/>
      <c r="AA623" s="9"/>
      <c r="AB623" s="9"/>
      <c r="AC623" s="9"/>
    </row>
    <row r="624"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204"/>
      <c r="Z624" s="9"/>
      <c r="AA624" s="9"/>
      <c r="AB624" s="9"/>
      <c r="AC624" s="9"/>
    </row>
    <row r="625"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204"/>
      <c r="Z625" s="9"/>
      <c r="AA625" s="9"/>
      <c r="AB625" s="9"/>
      <c r="AC625" s="9"/>
    </row>
    <row r="626"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204"/>
      <c r="Z626" s="9"/>
      <c r="AA626" s="9"/>
      <c r="AB626" s="9"/>
      <c r="AC626" s="9"/>
    </row>
    <row r="627"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204"/>
      <c r="Z627" s="9"/>
      <c r="AA627" s="9"/>
      <c r="AB627" s="9"/>
      <c r="AC627" s="9"/>
    </row>
    <row r="628"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204"/>
      <c r="Z628" s="9"/>
      <c r="AA628" s="9"/>
      <c r="AB628" s="9"/>
      <c r="AC628" s="9"/>
    </row>
    <row r="629"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204"/>
      <c r="Z629" s="9"/>
      <c r="AA629" s="9"/>
      <c r="AB629" s="9"/>
      <c r="AC629" s="9"/>
    </row>
    <row r="630"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204"/>
      <c r="Z630" s="9"/>
      <c r="AA630" s="9"/>
      <c r="AB630" s="9"/>
      <c r="AC630" s="9"/>
    </row>
    <row r="631"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204"/>
      <c r="Z631" s="9"/>
      <c r="AA631" s="9"/>
      <c r="AB631" s="9"/>
      <c r="AC631" s="9"/>
    </row>
    <row r="632"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204"/>
      <c r="Z632" s="9"/>
      <c r="AA632" s="9"/>
      <c r="AB632" s="9"/>
      <c r="AC632" s="9"/>
    </row>
    <row r="633"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204"/>
      <c r="Z633" s="9"/>
      <c r="AA633" s="9"/>
      <c r="AB633" s="9"/>
      <c r="AC633" s="9"/>
    </row>
    <row r="634"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204"/>
      <c r="Z634" s="9"/>
      <c r="AA634" s="9"/>
      <c r="AB634" s="9"/>
      <c r="AC634" s="9"/>
    </row>
    <row r="635"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204"/>
      <c r="Z635" s="9"/>
      <c r="AA635" s="9"/>
      <c r="AB635" s="9"/>
      <c r="AC635" s="9"/>
    </row>
    <row r="636"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204"/>
      <c r="Z636" s="9"/>
      <c r="AA636" s="9"/>
      <c r="AB636" s="9"/>
      <c r="AC636" s="9"/>
    </row>
    <row r="637"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204"/>
      <c r="Z637" s="9"/>
      <c r="AA637" s="9"/>
      <c r="AB637" s="9"/>
      <c r="AC637" s="9"/>
    </row>
    <row r="638"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204"/>
      <c r="Z638" s="9"/>
      <c r="AA638" s="9"/>
      <c r="AB638" s="9"/>
      <c r="AC638" s="9"/>
    </row>
    <row r="639"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204"/>
      <c r="Z639" s="9"/>
      <c r="AA639" s="9"/>
      <c r="AB639" s="9"/>
      <c r="AC639" s="9"/>
    </row>
    <row r="640"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204"/>
      <c r="Z640" s="9"/>
      <c r="AA640" s="9"/>
      <c r="AB640" s="9"/>
      <c r="AC640" s="9"/>
    </row>
    <row r="641"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204"/>
      <c r="Z641" s="9"/>
      <c r="AA641" s="9"/>
      <c r="AB641" s="9"/>
      <c r="AC641" s="9"/>
    </row>
    <row r="642"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204"/>
      <c r="Z642" s="9"/>
      <c r="AA642" s="9"/>
      <c r="AB642" s="9"/>
      <c r="AC642" s="9"/>
    </row>
    <row r="643"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204"/>
      <c r="Z643" s="9"/>
      <c r="AA643" s="9"/>
      <c r="AB643" s="9"/>
      <c r="AC643" s="9"/>
    </row>
    <row r="644"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204"/>
      <c r="Z644" s="9"/>
      <c r="AA644" s="9"/>
      <c r="AB644" s="9"/>
      <c r="AC644" s="9"/>
    </row>
    <row r="645"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204"/>
      <c r="Z645" s="9"/>
      <c r="AA645" s="9"/>
      <c r="AB645" s="9"/>
      <c r="AC645" s="9"/>
    </row>
    <row r="646"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204"/>
      <c r="Z646" s="9"/>
      <c r="AA646" s="9"/>
      <c r="AB646" s="9"/>
      <c r="AC646" s="9"/>
    </row>
    <row r="647"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204"/>
      <c r="Z647" s="9"/>
      <c r="AA647" s="9"/>
      <c r="AB647" s="9"/>
      <c r="AC647" s="9"/>
    </row>
    <row r="648"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204"/>
      <c r="Z648" s="9"/>
      <c r="AA648" s="9"/>
      <c r="AB648" s="9"/>
      <c r="AC648" s="9"/>
    </row>
    <row r="649"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204"/>
      <c r="Z649" s="9"/>
      <c r="AA649" s="9"/>
      <c r="AB649" s="9"/>
      <c r="AC649" s="9"/>
    </row>
    <row r="650"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204"/>
      <c r="Z650" s="9"/>
      <c r="AA650" s="9"/>
      <c r="AB650" s="9"/>
      <c r="AC650" s="9"/>
    </row>
    <row r="651"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204"/>
      <c r="Z651" s="9"/>
      <c r="AA651" s="9"/>
      <c r="AB651" s="9"/>
      <c r="AC651" s="9"/>
    </row>
    <row r="652"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204"/>
      <c r="Z652" s="9"/>
      <c r="AA652" s="9"/>
      <c r="AB652" s="9"/>
      <c r="AC652" s="9"/>
    </row>
    <row r="653"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204"/>
      <c r="Z653" s="9"/>
      <c r="AA653" s="9"/>
      <c r="AB653" s="9"/>
      <c r="AC653" s="9"/>
    </row>
    <row r="654"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204"/>
      <c r="Z654" s="9"/>
      <c r="AA654" s="9"/>
      <c r="AB654" s="9"/>
      <c r="AC654" s="9"/>
    </row>
    <row r="655"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204"/>
      <c r="Z655" s="9"/>
      <c r="AA655" s="9"/>
      <c r="AB655" s="9"/>
      <c r="AC655" s="9"/>
    </row>
    <row r="656"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204"/>
      <c r="Z656" s="9"/>
      <c r="AA656" s="9"/>
      <c r="AB656" s="9"/>
      <c r="AC656" s="9"/>
    </row>
    <row r="657"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204"/>
      <c r="Z657" s="9"/>
      <c r="AA657" s="9"/>
      <c r="AB657" s="9"/>
      <c r="AC657" s="9"/>
    </row>
    <row r="658"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204"/>
      <c r="Z658" s="9"/>
      <c r="AA658" s="9"/>
      <c r="AB658" s="9"/>
      <c r="AC658" s="9"/>
    </row>
    <row r="659"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204"/>
      <c r="Z659" s="9"/>
      <c r="AA659" s="9"/>
      <c r="AB659" s="9"/>
      <c r="AC659" s="9"/>
    </row>
    <row r="660"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204"/>
      <c r="Z660" s="9"/>
      <c r="AA660" s="9"/>
      <c r="AB660" s="9"/>
      <c r="AC660" s="9"/>
    </row>
    <row r="661"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204"/>
      <c r="Z661" s="9"/>
      <c r="AA661" s="9"/>
      <c r="AB661" s="9"/>
      <c r="AC661" s="9"/>
    </row>
    <row r="662"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204"/>
      <c r="Z662" s="9"/>
      <c r="AA662" s="9"/>
      <c r="AB662" s="9"/>
      <c r="AC662" s="9"/>
    </row>
    <row r="663"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204"/>
      <c r="Z663" s="9"/>
      <c r="AA663" s="9"/>
      <c r="AB663" s="9"/>
      <c r="AC663" s="9"/>
    </row>
    <row r="664"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204"/>
      <c r="Z664" s="9"/>
      <c r="AA664" s="9"/>
      <c r="AB664" s="9"/>
      <c r="AC664" s="9"/>
    </row>
    <row r="665"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204"/>
      <c r="Z665" s="9"/>
      <c r="AA665" s="9"/>
      <c r="AB665" s="9"/>
      <c r="AC665" s="9"/>
    </row>
    <row r="666"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204"/>
      <c r="Z666" s="9"/>
      <c r="AA666" s="9"/>
      <c r="AB666" s="9"/>
      <c r="AC666" s="9"/>
    </row>
    <row r="667"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204"/>
      <c r="Z667" s="9"/>
      <c r="AA667" s="9"/>
      <c r="AB667" s="9"/>
      <c r="AC667" s="9"/>
    </row>
    <row r="668"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204"/>
      <c r="Z668" s="9"/>
      <c r="AA668" s="9"/>
      <c r="AB668" s="9"/>
      <c r="AC668" s="9"/>
    </row>
    <row r="669"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204"/>
      <c r="Z669" s="9"/>
      <c r="AA669" s="9"/>
      <c r="AB669" s="9"/>
      <c r="AC669" s="9"/>
    </row>
    <row r="670"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204"/>
      <c r="Z670" s="9"/>
      <c r="AA670" s="9"/>
      <c r="AB670" s="9"/>
      <c r="AC670" s="9"/>
    </row>
    <row r="671"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204"/>
      <c r="Z671" s="9"/>
      <c r="AA671" s="9"/>
      <c r="AB671" s="9"/>
      <c r="AC671" s="9"/>
    </row>
    <row r="672"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204"/>
      <c r="Z672" s="9"/>
      <c r="AA672" s="9"/>
      <c r="AB672" s="9"/>
      <c r="AC672" s="9"/>
    </row>
    <row r="673"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204"/>
      <c r="Z673" s="9"/>
      <c r="AA673" s="9"/>
      <c r="AB673" s="9"/>
      <c r="AC673" s="9"/>
    </row>
    <row r="674"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204"/>
      <c r="Z674" s="9"/>
      <c r="AA674" s="9"/>
      <c r="AB674" s="9"/>
      <c r="AC674" s="9"/>
    </row>
    <row r="675"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204"/>
      <c r="Z675" s="9"/>
      <c r="AA675" s="9"/>
      <c r="AB675" s="9"/>
      <c r="AC675" s="9"/>
    </row>
    <row r="676"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204"/>
      <c r="Z676" s="9"/>
      <c r="AA676" s="9"/>
      <c r="AB676" s="9"/>
      <c r="AC676" s="9"/>
    </row>
    <row r="677"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204"/>
      <c r="Z677" s="9"/>
      <c r="AA677" s="9"/>
      <c r="AB677" s="9"/>
      <c r="AC677" s="9"/>
    </row>
    <row r="678"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204"/>
      <c r="Z678" s="9"/>
      <c r="AA678" s="9"/>
      <c r="AB678" s="9"/>
      <c r="AC678" s="9"/>
    </row>
    <row r="679"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204"/>
      <c r="Z679" s="9"/>
      <c r="AA679" s="9"/>
      <c r="AB679" s="9"/>
      <c r="AC679" s="9"/>
    </row>
    <row r="680"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204"/>
      <c r="Z680" s="9"/>
      <c r="AA680" s="9"/>
      <c r="AB680" s="9"/>
      <c r="AC680" s="9"/>
    </row>
    <row r="681"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204"/>
      <c r="Z681" s="9"/>
      <c r="AA681" s="9"/>
      <c r="AB681" s="9"/>
      <c r="AC681" s="9"/>
    </row>
    <row r="682"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204"/>
      <c r="Z682" s="9"/>
      <c r="AA682" s="9"/>
      <c r="AB682" s="9"/>
      <c r="AC682" s="9"/>
    </row>
    <row r="683"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204"/>
      <c r="Z683" s="9"/>
      <c r="AA683" s="9"/>
      <c r="AB683" s="9"/>
      <c r="AC683" s="9"/>
    </row>
    <row r="684"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204"/>
      <c r="Z684" s="9"/>
      <c r="AA684" s="9"/>
      <c r="AB684" s="9"/>
      <c r="AC684" s="9"/>
    </row>
    <row r="685"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204"/>
      <c r="Z685" s="9"/>
      <c r="AA685" s="9"/>
      <c r="AB685" s="9"/>
      <c r="AC685" s="9"/>
    </row>
    <row r="686"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204"/>
      <c r="Z686" s="9"/>
      <c r="AA686" s="9"/>
      <c r="AB686" s="9"/>
      <c r="AC686" s="9"/>
    </row>
    <row r="687"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204"/>
      <c r="Z687" s="9"/>
      <c r="AA687" s="9"/>
      <c r="AB687" s="9"/>
      <c r="AC687" s="9"/>
    </row>
    <row r="688"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204"/>
      <c r="Z688" s="9"/>
      <c r="AA688" s="9"/>
      <c r="AB688" s="9"/>
      <c r="AC688" s="9"/>
    </row>
    <row r="689"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204"/>
      <c r="Z689" s="9"/>
      <c r="AA689" s="9"/>
      <c r="AB689" s="9"/>
      <c r="AC689" s="9"/>
    </row>
    <row r="690"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204"/>
      <c r="Z690" s="9"/>
      <c r="AA690" s="9"/>
      <c r="AB690" s="9"/>
      <c r="AC690" s="9"/>
    </row>
    <row r="691"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204"/>
      <c r="Z691" s="9"/>
      <c r="AA691" s="9"/>
      <c r="AB691" s="9"/>
      <c r="AC691" s="9"/>
    </row>
    <row r="692"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204"/>
      <c r="Z692" s="9"/>
      <c r="AA692" s="9"/>
      <c r="AB692" s="9"/>
      <c r="AC692" s="9"/>
    </row>
    <row r="693"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204"/>
      <c r="Z693" s="9"/>
      <c r="AA693" s="9"/>
      <c r="AB693" s="9"/>
      <c r="AC693" s="9"/>
    </row>
    <row r="694"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204"/>
      <c r="Z694" s="9"/>
      <c r="AA694" s="9"/>
      <c r="AB694" s="9"/>
      <c r="AC694" s="9"/>
    </row>
    <row r="695"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204"/>
      <c r="Z695" s="9"/>
      <c r="AA695" s="9"/>
      <c r="AB695" s="9"/>
      <c r="AC695" s="9"/>
    </row>
    <row r="696"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204"/>
      <c r="Z696" s="9"/>
      <c r="AA696" s="9"/>
      <c r="AB696" s="9"/>
      <c r="AC696" s="9"/>
    </row>
    <row r="697"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204"/>
      <c r="Z697" s="9"/>
      <c r="AA697" s="9"/>
      <c r="AB697" s="9"/>
      <c r="AC697" s="9"/>
    </row>
    <row r="698"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204"/>
      <c r="Z698" s="9"/>
      <c r="AA698" s="9"/>
      <c r="AB698" s="9"/>
      <c r="AC698" s="9"/>
    </row>
    <row r="699"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204"/>
      <c r="Z699" s="9"/>
      <c r="AA699" s="9"/>
      <c r="AB699" s="9"/>
      <c r="AC699" s="9"/>
    </row>
    <row r="700"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204"/>
      <c r="Z700" s="9"/>
      <c r="AA700" s="9"/>
      <c r="AB700" s="9"/>
      <c r="AC700" s="9"/>
    </row>
    <row r="701"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204"/>
      <c r="Z701" s="9"/>
      <c r="AA701" s="9"/>
      <c r="AB701" s="9"/>
      <c r="AC701" s="9"/>
    </row>
    <row r="702"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204"/>
      <c r="Z702" s="9"/>
      <c r="AA702" s="9"/>
      <c r="AB702" s="9"/>
      <c r="AC702" s="9"/>
    </row>
    <row r="703"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204"/>
      <c r="Z703" s="9"/>
      <c r="AA703" s="9"/>
      <c r="AB703" s="9"/>
      <c r="AC703" s="9"/>
    </row>
    <row r="704"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204"/>
      <c r="Z704" s="9"/>
      <c r="AA704" s="9"/>
      <c r="AB704" s="9"/>
      <c r="AC704" s="9"/>
    </row>
    <row r="705"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204"/>
      <c r="Z705" s="9"/>
      <c r="AA705" s="9"/>
      <c r="AB705" s="9"/>
      <c r="AC705" s="9"/>
    </row>
    <row r="706"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204"/>
      <c r="Z706" s="9"/>
      <c r="AA706" s="9"/>
      <c r="AB706" s="9"/>
      <c r="AC706" s="9"/>
    </row>
    <row r="707"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204"/>
      <c r="Z707" s="9"/>
      <c r="AA707" s="9"/>
      <c r="AB707" s="9"/>
      <c r="AC707" s="9"/>
    </row>
    <row r="708"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204"/>
      <c r="Z708" s="9"/>
      <c r="AA708" s="9"/>
      <c r="AB708" s="9"/>
      <c r="AC708" s="9"/>
    </row>
    <row r="709"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204"/>
      <c r="Z709" s="9"/>
      <c r="AA709" s="9"/>
      <c r="AB709" s="9"/>
      <c r="AC709" s="9"/>
    </row>
    <row r="710"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204"/>
      <c r="Z710" s="9"/>
      <c r="AA710" s="9"/>
      <c r="AB710" s="9"/>
      <c r="AC710" s="9"/>
    </row>
    <row r="711"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204"/>
      <c r="Z711" s="9"/>
      <c r="AA711" s="9"/>
      <c r="AB711" s="9"/>
      <c r="AC711" s="9"/>
    </row>
    <row r="712"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204"/>
      <c r="Z712" s="9"/>
      <c r="AA712" s="9"/>
      <c r="AB712" s="9"/>
      <c r="AC712" s="9"/>
    </row>
    <row r="713"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204"/>
      <c r="Z713" s="9"/>
      <c r="AA713" s="9"/>
      <c r="AB713" s="9"/>
      <c r="AC713" s="9"/>
    </row>
    <row r="714"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204"/>
      <c r="Z714" s="9"/>
      <c r="AA714" s="9"/>
      <c r="AB714" s="9"/>
      <c r="AC714" s="9"/>
    </row>
    <row r="715"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204"/>
      <c r="Z715" s="9"/>
      <c r="AA715" s="9"/>
      <c r="AB715" s="9"/>
      <c r="AC715" s="9"/>
    </row>
    <row r="716"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204"/>
      <c r="Z716" s="9"/>
      <c r="AA716" s="9"/>
      <c r="AB716" s="9"/>
      <c r="AC716" s="9"/>
    </row>
    <row r="717"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204"/>
      <c r="Z717" s="9"/>
      <c r="AA717" s="9"/>
      <c r="AB717" s="9"/>
      <c r="AC717" s="9"/>
    </row>
    <row r="718"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204"/>
      <c r="Z718" s="9"/>
      <c r="AA718" s="9"/>
      <c r="AB718" s="9"/>
      <c r="AC718" s="9"/>
    </row>
    <row r="719"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204"/>
      <c r="Z719" s="9"/>
      <c r="AA719" s="9"/>
      <c r="AB719" s="9"/>
      <c r="AC719" s="9"/>
    </row>
    <row r="720"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204"/>
      <c r="Z720" s="9"/>
      <c r="AA720" s="9"/>
      <c r="AB720" s="9"/>
      <c r="AC720" s="9"/>
    </row>
    <row r="721"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204"/>
      <c r="Z721" s="9"/>
      <c r="AA721" s="9"/>
      <c r="AB721" s="9"/>
      <c r="AC721" s="9"/>
    </row>
    <row r="722"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204"/>
      <c r="Z722" s="9"/>
      <c r="AA722" s="9"/>
      <c r="AB722" s="9"/>
      <c r="AC722" s="9"/>
    </row>
    <row r="723"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204"/>
      <c r="Z723" s="9"/>
      <c r="AA723" s="9"/>
      <c r="AB723" s="9"/>
      <c r="AC723" s="9"/>
    </row>
    <row r="724"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204"/>
      <c r="Z724" s="9"/>
      <c r="AA724" s="9"/>
      <c r="AB724" s="9"/>
      <c r="AC724" s="9"/>
    </row>
    <row r="725"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204"/>
      <c r="Z725" s="9"/>
      <c r="AA725" s="9"/>
      <c r="AB725" s="9"/>
      <c r="AC725" s="9"/>
    </row>
    <row r="726"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204"/>
      <c r="Z726" s="9"/>
      <c r="AA726" s="9"/>
      <c r="AB726" s="9"/>
      <c r="AC726" s="9"/>
    </row>
    <row r="727"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204"/>
      <c r="Z727" s="9"/>
      <c r="AA727" s="9"/>
      <c r="AB727" s="9"/>
      <c r="AC727" s="9"/>
    </row>
    <row r="728"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204"/>
      <c r="Z728" s="9"/>
      <c r="AA728" s="9"/>
      <c r="AB728" s="9"/>
      <c r="AC728" s="9"/>
    </row>
    <row r="729"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204"/>
      <c r="Z729" s="9"/>
      <c r="AA729" s="9"/>
      <c r="AB729" s="9"/>
      <c r="AC729" s="9"/>
    </row>
    <row r="730"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204"/>
      <c r="Z730" s="9"/>
      <c r="AA730" s="9"/>
      <c r="AB730" s="9"/>
      <c r="AC730" s="9"/>
    </row>
    <row r="731"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204"/>
      <c r="Z731" s="9"/>
      <c r="AA731" s="9"/>
      <c r="AB731" s="9"/>
      <c r="AC731" s="9"/>
    </row>
    <row r="732"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204"/>
      <c r="Z732" s="9"/>
      <c r="AA732" s="9"/>
      <c r="AB732" s="9"/>
      <c r="AC732" s="9"/>
    </row>
    <row r="733"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204"/>
      <c r="Z733" s="9"/>
      <c r="AA733" s="9"/>
      <c r="AB733" s="9"/>
      <c r="AC733" s="9"/>
    </row>
    <row r="734"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204"/>
      <c r="Z734" s="9"/>
      <c r="AA734" s="9"/>
      <c r="AB734" s="9"/>
      <c r="AC734" s="9"/>
    </row>
    <row r="735"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204"/>
      <c r="Z735" s="9"/>
      <c r="AA735" s="9"/>
      <c r="AB735" s="9"/>
      <c r="AC735" s="9"/>
    </row>
    <row r="736"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204"/>
      <c r="Z736" s="9"/>
      <c r="AA736" s="9"/>
      <c r="AB736" s="9"/>
      <c r="AC736" s="9"/>
    </row>
    <row r="737"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204"/>
      <c r="Z737" s="9"/>
      <c r="AA737" s="9"/>
      <c r="AB737" s="9"/>
      <c r="AC737" s="9"/>
    </row>
    <row r="738"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204"/>
      <c r="Z738" s="9"/>
      <c r="AA738" s="9"/>
      <c r="AB738" s="9"/>
      <c r="AC738" s="9"/>
    </row>
    <row r="739"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204"/>
      <c r="Z739" s="9"/>
      <c r="AA739" s="9"/>
      <c r="AB739" s="9"/>
      <c r="AC739" s="9"/>
    </row>
    <row r="740"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204"/>
      <c r="Z740" s="9"/>
      <c r="AA740" s="9"/>
      <c r="AB740" s="9"/>
      <c r="AC740" s="9"/>
    </row>
    <row r="741"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204"/>
      <c r="Z741" s="9"/>
      <c r="AA741" s="9"/>
      <c r="AB741" s="9"/>
      <c r="AC741" s="9"/>
    </row>
    <row r="742"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204"/>
      <c r="Z742" s="9"/>
      <c r="AA742" s="9"/>
      <c r="AB742" s="9"/>
      <c r="AC742" s="9"/>
    </row>
    <row r="743"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204"/>
      <c r="Z743" s="9"/>
      <c r="AA743" s="9"/>
      <c r="AB743" s="9"/>
      <c r="AC743" s="9"/>
    </row>
    <row r="744"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204"/>
      <c r="Z744" s="9"/>
      <c r="AA744" s="9"/>
      <c r="AB744" s="9"/>
      <c r="AC744" s="9"/>
    </row>
    <row r="745"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204"/>
      <c r="Z745" s="9"/>
      <c r="AA745" s="9"/>
      <c r="AB745" s="9"/>
      <c r="AC745" s="9"/>
    </row>
    <row r="746"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204"/>
      <c r="Z746" s="9"/>
      <c r="AA746" s="9"/>
      <c r="AB746" s="9"/>
      <c r="AC746" s="9"/>
    </row>
    <row r="747"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204"/>
      <c r="Z747" s="9"/>
      <c r="AA747" s="9"/>
      <c r="AB747" s="9"/>
      <c r="AC747" s="9"/>
    </row>
    <row r="748"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204"/>
      <c r="Z748" s="9"/>
      <c r="AA748" s="9"/>
      <c r="AB748" s="9"/>
      <c r="AC748" s="9"/>
    </row>
    <row r="749"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204"/>
      <c r="Z749" s="9"/>
      <c r="AA749" s="9"/>
      <c r="AB749" s="9"/>
      <c r="AC749" s="9"/>
    </row>
    <row r="750"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204"/>
      <c r="Z750" s="9"/>
      <c r="AA750" s="9"/>
      <c r="AB750" s="9"/>
      <c r="AC750" s="9"/>
    </row>
    <row r="751"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204"/>
      <c r="Z751" s="9"/>
      <c r="AA751" s="9"/>
      <c r="AB751" s="9"/>
      <c r="AC751" s="9"/>
    </row>
    <row r="752"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204"/>
      <c r="Z752" s="9"/>
      <c r="AA752" s="9"/>
      <c r="AB752" s="9"/>
      <c r="AC752" s="9"/>
    </row>
    <row r="753"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204"/>
      <c r="Z753" s="9"/>
      <c r="AA753" s="9"/>
      <c r="AB753" s="9"/>
      <c r="AC753" s="9"/>
    </row>
    <row r="754"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204"/>
      <c r="Z754" s="9"/>
      <c r="AA754" s="9"/>
      <c r="AB754" s="9"/>
      <c r="AC754" s="9"/>
    </row>
    <row r="755"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204"/>
      <c r="Z755" s="9"/>
      <c r="AA755" s="9"/>
      <c r="AB755" s="9"/>
      <c r="AC755" s="9"/>
    </row>
    <row r="756"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204"/>
      <c r="Z756" s="9"/>
      <c r="AA756" s="9"/>
      <c r="AB756" s="9"/>
      <c r="AC756" s="9"/>
    </row>
    <row r="757"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204"/>
      <c r="Z757" s="9"/>
      <c r="AA757" s="9"/>
      <c r="AB757" s="9"/>
      <c r="AC757" s="9"/>
    </row>
    <row r="758"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204"/>
      <c r="Z758" s="9"/>
      <c r="AA758" s="9"/>
      <c r="AB758" s="9"/>
      <c r="AC758" s="9"/>
    </row>
    <row r="759"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204"/>
      <c r="Z759" s="9"/>
      <c r="AA759" s="9"/>
      <c r="AB759" s="9"/>
      <c r="AC759" s="9"/>
    </row>
    <row r="760"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204"/>
      <c r="Z760" s="9"/>
      <c r="AA760" s="9"/>
      <c r="AB760" s="9"/>
      <c r="AC760" s="9"/>
    </row>
    <row r="761"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204"/>
      <c r="Z761" s="9"/>
      <c r="AA761" s="9"/>
      <c r="AB761" s="9"/>
      <c r="AC761" s="9"/>
    </row>
    <row r="762"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204"/>
      <c r="Z762" s="9"/>
      <c r="AA762" s="9"/>
      <c r="AB762" s="9"/>
      <c r="AC762" s="9"/>
    </row>
    <row r="763"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204"/>
      <c r="Z763" s="9"/>
      <c r="AA763" s="9"/>
      <c r="AB763" s="9"/>
      <c r="AC763" s="9"/>
    </row>
    <row r="764"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204"/>
      <c r="Z764" s="9"/>
      <c r="AA764" s="9"/>
      <c r="AB764" s="9"/>
      <c r="AC764" s="9"/>
    </row>
    <row r="765"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204"/>
      <c r="Z765" s="9"/>
      <c r="AA765" s="9"/>
      <c r="AB765" s="9"/>
      <c r="AC765" s="9"/>
    </row>
    <row r="766"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204"/>
      <c r="Z766" s="9"/>
      <c r="AA766" s="9"/>
      <c r="AB766" s="9"/>
      <c r="AC766" s="9"/>
    </row>
    <row r="767"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204"/>
      <c r="Z767" s="9"/>
      <c r="AA767" s="9"/>
      <c r="AB767" s="9"/>
      <c r="AC767" s="9"/>
    </row>
    <row r="768"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204"/>
      <c r="Z768" s="9"/>
      <c r="AA768" s="9"/>
      <c r="AB768" s="9"/>
      <c r="AC768" s="9"/>
    </row>
    <row r="769"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204"/>
      <c r="Z769" s="9"/>
      <c r="AA769" s="9"/>
      <c r="AB769" s="9"/>
      <c r="AC769" s="9"/>
    </row>
    <row r="770"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204"/>
      <c r="Z770" s="9"/>
      <c r="AA770" s="9"/>
      <c r="AB770" s="9"/>
      <c r="AC770" s="9"/>
    </row>
    <row r="771"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204"/>
      <c r="Z771" s="9"/>
      <c r="AA771" s="9"/>
      <c r="AB771" s="9"/>
      <c r="AC771" s="9"/>
    </row>
    <row r="772"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204"/>
      <c r="Z772" s="9"/>
      <c r="AA772" s="9"/>
      <c r="AB772" s="9"/>
      <c r="AC772" s="9"/>
    </row>
    <row r="773"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204"/>
      <c r="Z773" s="9"/>
      <c r="AA773" s="9"/>
      <c r="AB773" s="9"/>
      <c r="AC773" s="9"/>
    </row>
    <row r="774"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204"/>
      <c r="Z774" s="9"/>
      <c r="AA774" s="9"/>
      <c r="AB774" s="9"/>
      <c r="AC774" s="9"/>
    </row>
    <row r="775"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204"/>
      <c r="Z775" s="9"/>
      <c r="AA775" s="9"/>
      <c r="AB775" s="9"/>
      <c r="AC775" s="9"/>
    </row>
    <row r="776"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204"/>
      <c r="Z776" s="9"/>
      <c r="AA776" s="9"/>
      <c r="AB776" s="9"/>
      <c r="AC776" s="9"/>
    </row>
    <row r="777"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204"/>
      <c r="Z777" s="9"/>
      <c r="AA777" s="9"/>
      <c r="AB777" s="9"/>
      <c r="AC777" s="9"/>
    </row>
    <row r="778"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204"/>
      <c r="Z778" s="9"/>
      <c r="AA778" s="9"/>
      <c r="AB778" s="9"/>
      <c r="AC778" s="9"/>
    </row>
    <row r="779"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204"/>
      <c r="Z779" s="9"/>
      <c r="AA779" s="9"/>
      <c r="AB779" s="9"/>
      <c r="AC779" s="9"/>
    </row>
    <row r="780"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204"/>
      <c r="Z780" s="9"/>
      <c r="AA780" s="9"/>
      <c r="AB780" s="9"/>
      <c r="AC780" s="9"/>
    </row>
    <row r="781"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204"/>
      <c r="Z781" s="9"/>
      <c r="AA781" s="9"/>
      <c r="AB781" s="9"/>
      <c r="AC781" s="9"/>
    </row>
    <row r="782"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204"/>
      <c r="Z782" s="9"/>
      <c r="AA782" s="9"/>
      <c r="AB782" s="9"/>
      <c r="AC782" s="9"/>
    </row>
    <row r="783"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204"/>
      <c r="Z783" s="9"/>
      <c r="AA783" s="9"/>
      <c r="AB783" s="9"/>
      <c r="AC783" s="9"/>
    </row>
    <row r="784"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204"/>
      <c r="Z784" s="9"/>
      <c r="AA784" s="9"/>
      <c r="AB784" s="9"/>
      <c r="AC784" s="9"/>
    </row>
    <row r="785"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204"/>
      <c r="Z785" s="9"/>
      <c r="AA785" s="9"/>
      <c r="AB785" s="9"/>
      <c r="AC785" s="9"/>
    </row>
    <row r="786"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204"/>
      <c r="Z786" s="9"/>
      <c r="AA786" s="9"/>
      <c r="AB786" s="9"/>
      <c r="AC786" s="9"/>
    </row>
    <row r="787"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204"/>
      <c r="Z787" s="9"/>
      <c r="AA787" s="9"/>
      <c r="AB787" s="9"/>
      <c r="AC787" s="9"/>
    </row>
    <row r="788"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204"/>
      <c r="Z788" s="9"/>
      <c r="AA788" s="9"/>
      <c r="AB788" s="9"/>
      <c r="AC788" s="9"/>
    </row>
    <row r="789"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204"/>
      <c r="Z789" s="9"/>
      <c r="AA789" s="9"/>
      <c r="AB789" s="9"/>
      <c r="AC789" s="9"/>
    </row>
    <row r="790"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204"/>
      <c r="Z790" s="9"/>
      <c r="AA790" s="9"/>
      <c r="AB790" s="9"/>
      <c r="AC790" s="9"/>
    </row>
    <row r="791"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204"/>
      <c r="Z791" s="9"/>
      <c r="AA791" s="9"/>
      <c r="AB791" s="9"/>
      <c r="AC791" s="9"/>
    </row>
    <row r="792"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204"/>
      <c r="Z792" s="9"/>
      <c r="AA792" s="9"/>
      <c r="AB792" s="9"/>
      <c r="AC792" s="9"/>
    </row>
    <row r="793"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204"/>
      <c r="Z793" s="9"/>
      <c r="AA793" s="9"/>
      <c r="AB793" s="9"/>
      <c r="AC793" s="9"/>
    </row>
    <row r="794"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204"/>
      <c r="Z794" s="9"/>
      <c r="AA794" s="9"/>
      <c r="AB794" s="9"/>
      <c r="AC794" s="9"/>
    </row>
    <row r="795"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204"/>
      <c r="Z795" s="9"/>
      <c r="AA795" s="9"/>
      <c r="AB795" s="9"/>
      <c r="AC795" s="9"/>
    </row>
    <row r="796"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204"/>
      <c r="Z796" s="9"/>
      <c r="AA796" s="9"/>
      <c r="AB796" s="9"/>
      <c r="AC796" s="9"/>
    </row>
    <row r="797"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204"/>
      <c r="Z797" s="9"/>
      <c r="AA797" s="9"/>
      <c r="AB797" s="9"/>
      <c r="AC797" s="9"/>
    </row>
    <row r="798"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204"/>
      <c r="Z798" s="9"/>
      <c r="AA798" s="9"/>
      <c r="AB798" s="9"/>
      <c r="AC798" s="9"/>
    </row>
    <row r="799"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204"/>
      <c r="Z799" s="9"/>
      <c r="AA799" s="9"/>
      <c r="AB799" s="9"/>
      <c r="AC799" s="9"/>
    </row>
    <row r="800"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204"/>
      <c r="Z800" s="9"/>
      <c r="AA800" s="9"/>
      <c r="AB800" s="9"/>
      <c r="AC800" s="9"/>
    </row>
    <row r="801"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204"/>
      <c r="Z801" s="9"/>
      <c r="AA801" s="9"/>
      <c r="AB801" s="9"/>
      <c r="AC801" s="9"/>
    </row>
    <row r="802"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204"/>
      <c r="Z802" s="9"/>
      <c r="AA802" s="9"/>
      <c r="AB802" s="9"/>
      <c r="AC802" s="9"/>
    </row>
    <row r="803"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204"/>
      <c r="Z803" s="9"/>
      <c r="AA803" s="9"/>
      <c r="AB803" s="9"/>
      <c r="AC803" s="9"/>
    </row>
    <row r="804"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204"/>
      <c r="Z804" s="9"/>
      <c r="AA804" s="9"/>
      <c r="AB804" s="9"/>
      <c r="AC804" s="9"/>
    </row>
    <row r="805"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204"/>
      <c r="Z805" s="9"/>
      <c r="AA805" s="9"/>
      <c r="AB805" s="9"/>
      <c r="AC805" s="9"/>
    </row>
    <row r="806"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204"/>
      <c r="Z806" s="9"/>
      <c r="AA806" s="9"/>
      <c r="AB806" s="9"/>
      <c r="AC806" s="9"/>
    </row>
    <row r="807"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204"/>
      <c r="Z807" s="9"/>
      <c r="AA807" s="9"/>
      <c r="AB807" s="9"/>
      <c r="AC807" s="9"/>
    </row>
    <row r="808"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204"/>
      <c r="Z808" s="9"/>
      <c r="AA808" s="9"/>
      <c r="AB808" s="9"/>
      <c r="AC808" s="9"/>
    </row>
    <row r="809"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204"/>
      <c r="Z809" s="9"/>
      <c r="AA809" s="9"/>
      <c r="AB809" s="9"/>
      <c r="AC809" s="9"/>
    </row>
    <row r="810"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204"/>
      <c r="Z810" s="9"/>
      <c r="AA810" s="9"/>
      <c r="AB810" s="9"/>
      <c r="AC810" s="9"/>
    </row>
    <row r="811"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204"/>
      <c r="Z811" s="9"/>
      <c r="AA811" s="9"/>
      <c r="AB811" s="9"/>
      <c r="AC811" s="9"/>
    </row>
    <row r="812"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204"/>
      <c r="Z812" s="9"/>
      <c r="AA812" s="9"/>
      <c r="AB812" s="9"/>
      <c r="AC812" s="9"/>
    </row>
    <row r="813"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204"/>
      <c r="Z813" s="9"/>
      <c r="AA813" s="9"/>
      <c r="AB813" s="9"/>
      <c r="AC813" s="9"/>
    </row>
    <row r="814"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204"/>
      <c r="Z814" s="9"/>
      <c r="AA814" s="9"/>
      <c r="AB814" s="9"/>
      <c r="AC814" s="9"/>
    </row>
    <row r="815"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204"/>
      <c r="Z815" s="9"/>
      <c r="AA815" s="9"/>
      <c r="AB815" s="9"/>
      <c r="AC815" s="9"/>
    </row>
    <row r="816"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204"/>
      <c r="Z816" s="9"/>
      <c r="AA816" s="9"/>
      <c r="AB816" s="9"/>
      <c r="AC816" s="9"/>
    </row>
    <row r="817"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204"/>
      <c r="Z817" s="9"/>
      <c r="AA817" s="9"/>
      <c r="AB817" s="9"/>
      <c r="AC817" s="9"/>
    </row>
    <row r="818"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204"/>
      <c r="Z818" s="9"/>
      <c r="AA818" s="9"/>
      <c r="AB818" s="9"/>
      <c r="AC818" s="9"/>
    </row>
    <row r="819"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204"/>
      <c r="Z819" s="9"/>
      <c r="AA819" s="9"/>
      <c r="AB819" s="9"/>
      <c r="AC819" s="9"/>
    </row>
    <row r="820"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204"/>
      <c r="Z820" s="9"/>
      <c r="AA820" s="9"/>
      <c r="AB820" s="9"/>
      <c r="AC820" s="9"/>
    </row>
    <row r="821"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204"/>
      <c r="Z821" s="9"/>
      <c r="AA821" s="9"/>
      <c r="AB821" s="9"/>
      <c r="AC821" s="9"/>
    </row>
    <row r="822"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204"/>
      <c r="Z822" s="9"/>
      <c r="AA822" s="9"/>
      <c r="AB822" s="9"/>
      <c r="AC822" s="9"/>
    </row>
    <row r="823"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204"/>
      <c r="Z823" s="9"/>
      <c r="AA823" s="9"/>
      <c r="AB823" s="9"/>
      <c r="AC823" s="9"/>
    </row>
    <row r="824"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204"/>
      <c r="Z824" s="9"/>
      <c r="AA824" s="9"/>
      <c r="AB824" s="9"/>
      <c r="AC824" s="9"/>
    </row>
    <row r="825"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204"/>
      <c r="Z825" s="9"/>
      <c r="AA825" s="9"/>
      <c r="AB825" s="9"/>
      <c r="AC825" s="9"/>
    </row>
    <row r="826"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204"/>
      <c r="Z826" s="9"/>
      <c r="AA826" s="9"/>
      <c r="AB826" s="9"/>
      <c r="AC826" s="9"/>
    </row>
    <row r="827"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204"/>
      <c r="Z827" s="9"/>
      <c r="AA827" s="9"/>
      <c r="AB827" s="9"/>
      <c r="AC827" s="9"/>
    </row>
    <row r="828"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204"/>
      <c r="Z828" s="9"/>
      <c r="AA828" s="9"/>
      <c r="AB828" s="9"/>
      <c r="AC828" s="9"/>
    </row>
    <row r="829"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204"/>
      <c r="Z829" s="9"/>
      <c r="AA829" s="9"/>
      <c r="AB829" s="9"/>
      <c r="AC829" s="9"/>
    </row>
    <row r="830"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204"/>
      <c r="Z830" s="9"/>
      <c r="AA830" s="9"/>
      <c r="AB830" s="9"/>
      <c r="AC830" s="9"/>
    </row>
    <row r="831"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204"/>
      <c r="Z831" s="9"/>
      <c r="AA831" s="9"/>
      <c r="AB831" s="9"/>
      <c r="AC831" s="9"/>
    </row>
    <row r="832"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204"/>
      <c r="Z832" s="9"/>
      <c r="AA832" s="9"/>
      <c r="AB832" s="9"/>
      <c r="AC832" s="9"/>
    </row>
    <row r="833"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204"/>
      <c r="Z833" s="9"/>
      <c r="AA833" s="9"/>
      <c r="AB833" s="9"/>
      <c r="AC833" s="9"/>
    </row>
    <row r="834"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204"/>
      <c r="Z834" s="9"/>
      <c r="AA834" s="9"/>
      <c r="AB834" s="9"/>
      <c r="AC834" s="9"/>
    </row>
    <row r="835"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204"/>
      <c r="Z835" s="9"/>
      <c r="AA835" s="9"/>
      <c r="AB835" s="9"/>
      <c r="AC835" s="9"/>
    </row>
    <row r="836"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204"/>
      <c r="Z836" s="9"/>
      <c r="AA836" s="9"/>
      <c r="AB836" s="9"/>
      <c r="AC836" s="9"/>
    </row>
    <row r="837"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204"/>
      <c r="Z837" s="9"/>
      <c r="AA837" s="9"/>
      <c r="AB837" s="9"/>
      <c r="AC837" s="9"/>
    </row>
    <row r="838"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204"/>
      <c r="Z838" s="9"/>
      <c r="AA838" s="9"/>
      <c r="AB838" s="9"/>
      <c r="AC838" s="9"/>
    </row>
    <row r="839"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204"/>
      <c r="Z839" s="9"/>
      <c r="AA839" s="9"/>
      <c r="AB839" s="9"/>
      <c r="AC839" s="9"/>
    </row>
    <row r="840"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204"/>
      <c r="Z840" s="9"/>
      <c r="AA840" s="9"/>
      <c r="AB840" s="9"/>
      <c r="AC840" s="9"/>
    </row>
    <row r="841"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204"/>
      <c r="Z841" s="9"/>
      <c r="AA841" s="9"/>
      <c r="AB841" s="9"/>
      <c r="AC841" s="9"/>
    </row>
    <row r="842"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204"/>
      <c r="Z842" s="9"/>
      <c r="AA842" s="9"/>
      <c r="AB842" s="9"/>
      <c r="AC842" s="9"/>
    </row>
    <row r="843"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204"/>
      <c r="Z843" s="9"/>
      <c r="AA843" s="9"/>
      <c r="AB843" s="9"/>
      <c r="AC843" s="9"/>
    </row>
    <row r="844"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204"/>
      <c r="Z844" s="9"/>
      <c r="AA844" s="9"/>
      <c r="AB844" s="9"/>
      <c r="AC844" s="9"/>
    </row>
    <row r="845"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204"/>
      <c r="Z845" s="9"/>
      <c r="AA845" s="9"/>
      <c r="AB845" s="9"/>
      <c r="AC845" s="9"/>
    </row>
    <row r="846"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204"/>
      <c r="Z846" s="9"/>
      <c r="AA846" s="9"/>
      <c r="AB846" s="9"/>
      <c r="AC846" s="9"/>
    </row>
    <row r="847"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204"/>
      <c r="Z847" s="9"/>
      <c r="AA847" s="9"/>
      <c r="AB847" s="9"/>
      <c r="AC847" s="9"/>
    </row>
    <row r="848"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204"/>
      <c r="Z848" s="9"/>
      <c r="AA848" s="9"/>
      <c r="AB848" s="9"/>
      <c r="AC848" s="9"/>
    </row>
    <row r="849"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204"/>
      <c r="Z849" s="9"/>
      <c r="AA849" s="9"/>
      <c r="AB849" s="9"/>
      <c r="AC849" s="9"/>
    </row>
    <row r="850"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204"/>
      <c r="Z850" s="9"/>
      <c r="AA850" s="9"/>
      <c r="AB850" s="9"/>
      <c r="AC850" s="9"/>
    </row>
    <row r="851"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204"/>
      <c r="Z851" s="9"/>
      <c r="AA851" s="9"/>
      <c r="AB851" s="9"/>
      <c r="AC851" s="9"/>
    </row>
    <row r="852"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204"/>
      <c r="Z852" s="9"/>
      <c r="AA852" s="9"/>
      <c r="AB852" s="9"/>
      <c r="AC852" s="9"/>
    </row>
    <row r="853"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204"/>
      <c r="Z853" s="9"/>
      <c r="AA853" s="9"/>
      <c r="AB853" s="9"/>
      <c r="AC853" s="9"/>
    </row>
    <row r="854"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204"/>
      <c r="Z854" s="9"/>
      <c r="AA854" s="9"/>
      <c r="AB854" s="9"/>
      <c r="AC854" s="9"/>
    </row>
    <row r="855"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204"/>
      <c r="Z855" s="9"/>
      <c r="AA855" s="9"/>
      <c r="AB855" s="9"/>
      <c r="AC855" s="9"/>
    </row>
    <row r="856"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204"/>
      <c r="Z856" s="9"/>
      <c r="AA856" s="9"/>
      <c r="AB856" s="9"/>
      <c r="AC856" s="9"/>
    </row>
    <row r="857"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204"/>
      <c r="Z857" s="9"/>
      <c r="AA857" s="9"/>
      <c r="AB857" s="9"/>
      <c r="AC857" s="9"/>
    </row>
    <row r="858"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204"/>
      <c r="Z858" s="9"/>
      <c r="AA858" s="9"/>
      <c r="AB858" s="9"/>
      <c r="AC858" s="9"/>
    </row>
    <row r="859"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204"/>
      <c r="Z859" s="9"/>
      <c r="AA859" s="9"/>
      <c r="AB859" s="9"/>
      <c r="AC859" s="9"/>
    </row>
    <row r="860"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204"/>
      <c r="Z860" s="9"/>
      <c r="AA860" s="9"/>
      <c r="AB860" s="9"/>
      <c r="AC860" s="9"/>
    </row>
    <row r="861"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204"/>
      <c r="Z861" s="9"/>
      <c r="AA861" s="9"/>
      <c r="AB861" s="9"/>
      <c r="AC861" s="9"/>
    </row>
    <row r="862"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204"/>
      <c r="Z862" s="9"/>
      <c r="AA862" s="9"/>
      <c r="AB862" s="9"/>
      <c r="AC862" s="9"/>
    </row>
    <row r="863"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204"/>
      <c r="Z863" s="9"/>
      <c r="AA863" s="9"/>
      <c r="AB863" s="9"/>
      <c r="AC863" s="9"/>
    </row>
    <row r="864"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204"/>
      <c r="Z864" s="9"/>
      <c r="AA864" s="9"/>
      <c r="AB864" s="9"/>
      <c r="AC864" s="9"/>
    </row>
    <row r="865"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204"/>
      <c r="Z865" s="9"/>
      <c r="AA865" s="9"/>
      <c r="AB865" s="9"/>
      <c r="AC865" s="9"/>
    </row>
    <row r="866"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204"/>
      <c r="Z866" s="9"/>
      <c r="AA866" s="9"/>
      <c r="AB866" s="9"/>
      <c r="AC866" s="9"/>
    </row>
    <row r="867"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204"/>
      <c r="Z867" s="9"/>
      <c r="AA867" s="9"/>
      <c r="AB867" s="9"/>
      <c r="AC867" s="9"/>
    </row>
    <row r="868"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204"/>
      <c r="Z868" s="9"/>
      <c r="AA868" s="9"/>
      <c r="AB868" s="9"/>
      <c r="AC868" s="9"/>
    </row>
    <row r="869"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204"/>
      <c r="Z869" s="9"/>
      <c r="AA869" s="9"/>
      <c r="AB869" s="9"/>
      <c r="AC869" s="9"/>
    </row>
    <row r="870"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204"/>
      <c r="Z870" s="9"/>
      <c r="AA870" s="9"/>
      <c r="AB870" s="9"/>
      <c r="AC870" s="9"/>
    </row>
    <row r="871"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204"/>
      <c r="Z871" s="9"/>
      <c r="AA871" s="9"/>
      <c r="AB871" s="9"/>
      <c r="AC871" s="9"/>
    </row>
    <row r="872"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204"/>
      <c r="Z872" s="9"/>
      <c r="AA872" s="9"/>
      <c r="AB872" s="9"/>
      <c r="AC872" s="9"/>
    </row>
    <row r="873"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204"/>
      <c r="Z873" s="9"/>
      <c r="AA873" s="9"/>
      <c r="AB873" s="9"/>
      <c r="AC873" s="9"/>
    </row>
    <row r="874"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204"/>
      <c r="Z874" s="9"/>
      <c r="AA874" s="9"/>
      <c r="AB874" s="9"/>
      <c r="AC874" s="9"/>
    </row>
    <row r="875"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204"/>
      <c r="Z875" s="9"/>
      <c r="AA875" s="9"/>
      <c r="AB875" s="9"/>
      <c r="AC875" s="9"/>
    </row>
    <row r="876"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204"/>
      <c r="Z876" s="9"/>
      <c r="AA876" s="9"/>
      <c r="AB876" s="9"/>
      <c r="AC876" s="9"/>
    </row>
    <row r="877"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204"/>
      <c r="Z877" s="9"/>
      <c r="AA877" s="9"/>
      <c r="AB877" s="9"/>
      <c r="AC877" s="9"/>
    </row>
    <row r="878"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204"/>
      <c r="Z878" s="9"/>
      <c r="AA878" s="9"/>
      <c r="AB878" s="9"/>
      <c r="AC878" s="9"/>
    </row>
    <row r="879"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204"/>
      <c r="Z879" s="9"/>
      <c r="AA879" s="9"/>
      <c r="AB879" s="9"/>
      <c r="AC879" s="9"/>
    </row>
    <row r="880"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204"/>
      <c r="Z880" s="9"/>
      <c r="AA880" s="9"/>
      <c r="AB880" s="9"/>
      <c r="AC880" s="9"/>
    </row>
    <row r="881"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204"/>
      <c r="Z881" s="9"/>
      <c r="AA881" s="9"/>
      <c r="AB881" s="9"/>
      <c r="AC881" s="9"/>
    </row>
    <row r="882"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204"/>
      <c r="Z882" s="9"/>
      <c r="AA882" s="9"/>
      <c r="AB882" s="9"/>
      <c r="AC882" s="9"/>
    </row>
    <row r="883"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204"/>
      <c r="Z883" s="9"/>
      <c r="AA883" s="9"/>
      <c r="AB883" s="9"/>
      <c r="AC883" s="9"/>
    </row>
    <row r="884"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204"/>
      <c r="Z884" s="9"/>
      <c r="AA884" s="9"/>
      <c r="AB884" s="9"/>
      <c r="AC884" s="9"/>
    </row>
    <row r="885"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204"/>
      <c r="Z885" s="9"/>
      <c r="AA885" s="9"/>
      <c r="AB885" s="9"/>
      <c r="AC885" s="9"/>
    </row>
    <row r="886"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204"/>
      <c r="Z886" s="9"/>
      <c r="AA886" s="9"/>
      <c r="AB886" s="9"/>
      <c r="AC886" s="9"/>
    </row>
    <row r="887"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204"/>
      <c r="Z887" s="9"/>
      <c r="AA887" s="9"/>
      <c r="AB887" s="9"/>
      <c r="AC887" s="9"/>
    </row>
    <row r="888"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204"/>
      <c r="Z888" s="9"/>
      <c r="AA888" s="9"/>
      <c r="AB888" s="9"/>
      <c r="AC888" s="9"/>
    </row>
    <row r="889"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204"/>
      <c r="Z889" s="9"/>
      <c r="AA889" s="9"/>
      <c r="AB889" s="9"/>
      <c r="AC889" s="9"/>
    </row>
    <row r="890"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204"/>
      <c r="Z890" s="9"/>
      <c r="AA890" s="9"/>
      <c r="AB890" s="9"/>
      <c r="AC890" s="9"/>
    </row>
    <row r="891"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204"/>
      <c r="Z891" s="9"/>
      <c r="AA891" s="9"/>
      <c r="AB891" s="9"/>
      <c r="AC891" s="9"/>
    </row>
    <row r="892"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204"/>
      <c r="Z892" s="9"/>
      <c r="AA892" s="9"/>
      <c r="AB892" s="9"/>
      <c r="AC892" s="9"/>
    </row>
    <row r="893"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204"/>
      <c r="Z893" s="9"/>
      <c r="AA893" s="9"/>
      <c r="AB893" s="9"/>
      <c r="AC893" s="9"/>
    </row>
    <row r="894"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204"/>
      <c r="Z894" s="9"/>
      <c r="AA894" s="9"/>
      <c r="AB894" s="9"/>
      <c r="AC894" s="9"/>
    </row>
    <row r="895"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204"/>
      <c r="Z895" s="9"/>
      <c r="AA895" s="9"/>
      <c r="AB895" s="9"/>
      <c r="AC895" s="9"/>
    </row>
    <row r="896"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204"/>
      <c r="Z896" s="9"/>
      <c r="AA896" s="9"/>
      <c r="AB896" s="9"/>
      <c r="AC896" s="9"/>
    </row>
    <row r="897"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204"/>
      <c r="Z897" s="9"/>
      <c r="AA897" s="9"/>
      <c r="AB897" s="9"/>
      <c r="AC897" s="9"/>
    </row>
    <row r="898"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204"/>
      <c r="Z898" s="9"/>
      <c r="AA898" s="9"/>
      <c r="AB898" s="9"/>
      <c r="AC898" s="9"/>
    </row>
    <row r="899"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204"/>
      <c r="Z899" s="9"/>
      <c r="AA899" s="9"/>
      <c r="AB899" s="9"/>
      <c r="AC899" s="9"/>
    </row>
    <row r="900"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204"/>
      <c r="Z900" s="9"/>
      <c r="AA900" s="9"/>
      <c r="AB900" s="9"/>
      <c r="AC900" s="9"/>
    </row>
    <row r="901"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204"/>
      <c r="Z901" s="9"/>
      <c r="AA901" s="9"/>
      <c r="AB901" s="9"/>
      <c r="AC901" s="9"/>
    </row>
    <row r="902"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204"/>
      <c r="Z902" s="9"/>
      <c r="AA902" s="9"/>
      <c r="AB902" s="9"/>
      <c r="AC902" s="9"/>
    </row>
    <row r="903"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204"/>
      <c r="Z903" s="9"/>
      <c r="AA903" s="9"/>
      <c r="AB903" s="9"/>
      <c r="AC903" s="9"/>
    </row>
    <row r="904"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204"/>
      <c r="Z904" s="9"/>
      <c r="AA904" s="9"/>
      <c r="AB904" s="9"/>
      <c r="AC904" s="9"/>
    </row>
    <row r="905"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204"/>
      <c r="Z905" s="9"/>
      <c r="AA905" s="9"/>
      <c r="AB905" s="9"/>
      <c r="AC905" s="9"/>
    </row>
    <row r="906"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204"/>
      <c r="Z906" s="9"/>
      <c r="AA906" s="9"/>
      <c r="AB906" s="9"/>
      <c r="AC906" s="9"/>
    </row>
    <row r="907"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204"/>
      <c r="Z907" s="9"/>
      <c r="AA907" s="9"/>
      <c r="AB907" s="9"/>
      <c r="AC907" s="9"/>
    </row>
    <row r="908"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204"/>
      <c r="Z908" s="9"/>
      <c r="AA908" s="9"/>
      <c r="AB908" s="9"/>
      <c r="AC908" s="9"/>
    </row>
    <row r="909"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204"/>
      <c r="Z909" s="9"/>
      <c r="AA909" s="9"/>
      <c r="AB909" s="9"/>
      <c r="AC909" s="9"/>
    </row>
    <row r="910"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204"/>
      <c r="Z910" s="9"/>
      <c r="AA910" s="9"/>
      <c r="AB910" s="9"/>
      <c r="AC910" s="9"/>
    </row>
    <row r="911"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204"/>
      <c r="Z911" s="9"/>
      <c r="AA911" s="9"/>
      <c r="AB911" s="9"/>
      <c r="AC911" s="9"/>
    </row>
    <row r="912"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204"/>
      <c r="Z912" s="9"/>
      <c r="AA912" s="9"/>
      <c r="AB912" s="9"/>
      <c r="AC912" s="9"/>
    </row>
    <row r="913"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204"/>
      <c r="Z913" s="9"/>
      <c r="AA913" s="9"/>
      <c r="AB913" s="9"/>
      <c r="AC913" s="9"/>
    </row>
    <row r="914"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204"/>
      <c r="Z914" s="9"/>
      <c r="AA914" s="9"/>
      <c r="AB914" s="9"/>
      <c r="AC914" s="9"/>
    </row>
    <row r="915"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204"/>
      <c r="Z915" s="9"/>
      <c r="AA915" s="9"/>
      <c r="AB915" s="9"/>
      <c r="AC915" s="9"/>
    </row>
    <row r="916"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204"/>
      <c r="Z916" s="9"/>
      <c r="AA916" s="9"/>
      <c r="AB916" s="9"/>
      <c r="AC916" s="9"/>
    </row>
    <row r="917"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204"/>
      <c r="Z917" s="9"/>
      <c r="AA917" s="9"/>
      <c r="AB917" s="9"/>
      <c r="AC917" s="9"/>
    </row>
    <row r="918"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204"/>
      <c r="Z918" s="9"/>
      <c r="AA918" s="9"/>
      <c r="AB918" s="9"/>
      <c r="AC918" s="9"/>
    </row>
    <row r="919"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204"/>
      <c r="Z919" s="9"/>
      <c r="AA919" s="9"/>
      <c r="AB919" s="9"/>
      <c r="AC919" s="9"/>
    </row>
    <row r="920"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204"/>
      <c r="Z920" s="9"/>
      <c r="AA920" s="9"/>
      <c r="AB920" s="9"/>
      <c r="AC920" s="9"/>
    </row>
    <row r="921"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204"/>
      <c r="Z921" s="9"/>
      <c r="AA921" s="9"/>
      <c r="AB921" s="9"/>
      <c r="AC921" s="9"/>
    </row>
    <row r="922"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204"/>
      <c r="Z922" s="9"/>
      <c r="AA922" s="9"/>
      <c r="AB922" s="9"/>
      <c r="AC922" s="9"/>
    </row>
    <row r="923"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204"/>
      <c r="Z923" s="9"/>
      <c r="AA923" s="9"/>
      <c r="AB923" s="9"/>
      <c r="AC923" s="9"/>
    </row>
    <row r="924"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204"/>
      <c r="Z924" s="9"/>
      <c r="AA924" s="9"/>
      <c r="AB924" s="9"/>
      <c r="AC924" s="9"/>
    </row>
    <row r="925"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204"/>
      <c r="Z925" s="9"/>
      <c r="AA925" s="9"/>
      <c r="AB925" s="9"/>
      <c r="AC925" s="9"/>
    </row>
    <row r="926"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204"/>
      <c r="Z926" s="9"/>
      <c r="AA926" s="9"/>
      <c r="AB926" s="9"/>
      <c r="AC926" s="9"/>
    </row>
    <row r="927"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204"/>
      <c r="Z927" s="9"/>
      <c r="AA927" s="9"/>
      <c r="AB927" s="9"/>
      <c r="AC927" s="9"/>
    </row>
    <row r="928"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204"/>
      <c r="Z928" s="9"/>
      <c r="AA928" s="9"/>
      <c r="AB928" s="9"/>
      <c r="AC928" s="9"/>
    </row>
    <row r="929"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204"/>
      <c r="Z929" s="9"/>
      <c r="AA929" s="9"/>
      <c r="AB929" s="9"/>
      <c r="AC929" s="9"/>
    </row>
    <row r="930"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204"/>
      <c r="Z930" s="9"/>
      <c r="AA930" s="9"/>
      <c r="AB930" s="9"/>
      <c r="AC930" s="9"/>
    </row>
    <row r="931"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204"/>
      <c r="Z931" s="9"/>
      <c r="AA931" s="9"/>
      <c r="AB931" s="9"/>
      <c r="AC931" s="9"/>
    </row>
    <row r="932"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204"/>
      <c r="Z932" s="9"/>
      <c r="AA932" s="9"/>
      <c r="AB932" s="9"/>
      <c r="AC932" s="9"/>
    </row>
    <row r="933"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204"/>
      <c r="Z933" s="9"/>
      <c r="AA933" s="9"/>
      <c r="AB933" s="9"/>
      <c r="AC933" s="9"/>
    </row>
    <row r="934"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204"/>
      <c r="Z934" s="9"/>
      <c r="AA934" s="9"/>
      <c r="AB934" s="9"/>
      <c r="AC934" s="9"/>
    </row>
    <row r="935"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204"/>
      <c r="Z935" s="9"/>
      <c r="AA935" s="9"/>
      <c r="AB935" s="9"/>
      <c r="AC935" s="9"/>
    </row>
    <row r="936"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204"/>
      <c r="Z936" s="9"/>
      <c r="AA936" s="9"/>
      <c r="AB936" s="9"/>
      <c r="AC936" s="9"/>
    </row>
    <row r="937"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204"/>
      <c r="Z937" s="9"/>
      <c r="AA937" s="9"/>
      <c r="AB937" s="9"/>
      <c r="AC937" s="9"/>
    </row>
    <row r="938"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204"/>
      <c r="Z938" s="9"/>
      <c r="AA938" s="9"/>
      <c r="AB938" s="9"/>
      <c r="AC938" s="9"/>
    </row>
    <row r="939"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204"/>
      <c r="Z939" s="9"/>
      <c r="AA939" s="9"/>
      <c r="AB939" s="9"/>
      <c r="AC939" s="9"/>
    </row>
    <row r="940"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204"/>
      <c r="Z940" s="9"/>
      <c r="AA940" s="9"/>
      <c r="AB940" s="9"/>
      <c r="AC940" s="9"/>
    </row>
    <row r="941"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204"/>
      <c r="Z941" s="9"/>
      <c r="AA941" s="9"/>
      <c r="AB941" s="9"/>
      <c r="AC941" s="9"/>
    </row>
    <row r="942"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204"/>
      <c r="Z942" s="9"/>
      <c r="AA942" s="9"/>
      <c r="AB942" s="9"/>
      <c r="AC942" s="9"/>
    </row>
    <row r="943"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204"/>
      <c r="Z943" s="9"/>
      <c r="AA943" s="9"/>
      <c r="AB943" s="9"/>
      <c r="AC943" s="9"/>
    </row>
    <row r="944"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204"/>
      <c r="Z944" s="9"/>
      <c r="AA944" s="9"/>
      <c r="AB944" s="9"/>
      <c r="AC944" s="9"/>
    </row>
    <row r="945"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204"/>
      <c r="Z945" s="9"/>
      <c r="AA945" s="9"/>
      <c r="AB945" s="9"/>
      <c r="AC945" s="9"/>
    </row>
    <row r="946"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204"/>
      <c r="Z946" s="9"/>
      <c r="AA946" s="9"/>
      <c r="AB946" s="9"/>
      <c r="AC946" s="9"/>
    </row>
    <row r="947"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204"/>
      <c r="Z947" s="9"/>
      <c r="AA947" s="9"/>
      <c r="AB947" s="9"/>
      <c r="AC947" s="9"/>
    </row>
    <row r="948"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204"/>
      <c r="Z948" s="9"/>
      <c r="AA948" s="9"/>
      <c r="AB948" s="9"/>
      <c r="AC948" s="9"/>
    </row>
    <row r="949"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204"/>
      <c r="Z949" s="9"/>
      <c r="AA949" s="9"/>
      <c r="AB949" s="9"/>
      <c r="AC949" s="9"/>
    </row>
    <row r="950"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204"/>
      <c r="Z950" s="9"/>
      <c r="AA950" s="9"/>
      <c r="AB950" s="9"/>
      <c r="AC950" s="9"/>
    </row>
    <row r="951"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204"/>
      <c r="Z951" s="9"/>
      <c r="AA951" s="9"/>
      <c r="AB951" s="9"/>
      <c r="AC951" s="9"/>
    </row>
    <row r="952"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204"/>
      <c r="Z952" s="9"/>
      <c r="AA952" s="9"/>
      <c r="AB952" s="9"/>
      <c r="AC952" s="9"/>
    </row>
    <row r="953"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204"/>
      <c r="Z953" s="9"/>
      <c r="AA953" s="9"/>
      <c r="AB953" s="9"/>
      <c r="AC953" s="9"/>
    </row>
    <row r="954"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204"/>
      <c r="Z954" s="9"/>
      <c r="AA954" s="9"/>
      <c r="AB954" s="9"/>
      <c r="AC954" s="9"/>
    </row>
    <row r="955"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204"/>
      <c r="Z955" s="9"/>
      <c r="AA955" s="9"/>
      <c r="AB955" s="9"/>
      <c r="AC955" s="9"/>
    </row>
    <row r="956"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204"/>
      <c r="Z956" s="9"/>
      <c r="AA956" s="9"/>
      <c r="AB956" s="9"/>
      <c r="AC956" s="9"/>
    </row>
    <row r="957"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204"/>
      <c r="Z957" s="9"/>
      <c r="AA957" s="9"/>
      <c r="AB957" s="9"/>
      <c r="AC957" s="9"/>
    </row>
    <row r="958"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204"/>
      <c r="Z958" s="9"/>
      <c r="AA958" s="9"/>
      <c r="AB958" s="9"/>
      <c r="AC958" s="9"/>
    </row>
    <row r="959"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204"/>
      <c r="Z959" s="9"/>
      <c r="AA959" s="9"/>
      <c r="AB959" s="9"/>
      <c r="AC959" s="9"/>
    </row>
    <row r="960"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204"/>
      <c r="Z960" s="9"/>
      <c r="AA960" s="9"/>
      <c r="AB960" s="9"/>
      <c r="AC960" s="9"/>
    </row>
    <row r="961"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204"/>
      <c r="Z961" s="9"/>
      <c r="AA961" s="9"/>
      <c r="AB961" s="9"/>
      <c r="AC961" s="9"/>
    </row>
    <row r="962"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204"/>
      <c r="Z962" s="9"/>
      <c r="AA962" s="9"/>
      <c r="AB962" s="9"/>
      <c r="AC962" s="9"/>
    </row>
    <row r="963"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204"/>
      <c r="Z963" s="9"/>
      <c r="AA963" s="9"/>
      <c r="AB963" s="9"/>
      <c r="AC963" s="9"/>
    </row>
    <row r="964"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204"/>
      <c r="Z964" s="9"/>
      <c r="AA964" s="9"/>
      <c r="AB964" s="9"/>
      <c r="AC964" s="9"/>
    </row>
    <row r="965"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204"/>
      <c r="Z965" s="9"/>
      <c r="AA965" s="9"/>
      <c r="AB965" s="9"/>
      <c r="AC965" s="9"/>
    </row>
    <row r="966"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204"/>
      <c r="Z966" s="9"/>
      <c r="AA966" s="9"/>
      <c r="AB966" s="9"/>
      <c r="AC966" s="9"/>
    </row>
    <row r="967"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204"/>
      <c r="Z967" s="9"/>
      <c r="AA967" s="9"/>
      <c r="AB967" s="9"/>
      <c r="AC967" s="9"/>
    </row>
    <row r="968"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204"/>
      <c r="Z968" s="9"/>
      <c r="AA968" s="9"/>
      <c r="AB968" s="9"/>
      <c r="AC968" s="9"/>
    </row>
    <row r="969"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204"/>
      <c r="Z969" s="9"/>
      <c r="AA969" s="9"/>
      <c r="AB969" s="9"/>
      <c r="AC969" s="9"/>
    </row>
    <row r="970"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204"/>
      <c r="Z970" s="9"/>
      <c r="AA970" s="9"/>
      <c r="AB970" s="9"/>
      <c r="AC970" s="9"/>
    </row>
    <row r="971"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204"/>
      <c r="Z971" s="9"/>
      <c r="AA971" s="9"/>
      <c r="AB971" s="9"/>
      <c r="AC971" s="9"/>
    </row>
    <row r="972"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204"/>
      <c r="Z972" s="9"/>
      <c r="AA972" s="9"/>
      <c r="AB972" s="9"/>
      <c r="AC972" s="9"/>
    </row>
    <row r="973"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204"/>
      <c r="Z973" s="9"/>
      <c r="AA973" s="9"/>
      <c r="AB973" s="9"/>
      <c r="AC973" s="9"/>
    </row>
    <row r="974"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204"/>
      <c r="Z974" s="9"/>
      <c r="AA974" s="9"/>
      <c r="AB974" s="9"/>
      <c r="AC974" s="9"/>
    </row>
    <row r="975"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204"/>
      <c r="Z975" s="9"/>
      <c r="AA975" s="9"/>
      <c r="AB975" s="9"/>
      <c r="AC975" s="9"/>
    </row>
    <row r="976"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204"/>
      <c r="Z976" s="9"/>
      <c r="AA976" s="9"/>
      <c r="AB976" s="9"/>
      <c r="AC976" s="9"/>
    </row>
    <row r="977"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204"/>
      <c r="Z977" s="9"/>
      <c r="AA977" s="9"/>
      <c r="AB977" s="9"/>
      <c r="AC977" s="9"/>
    </row>
    <row r="978"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204"/>
      <c r="Z978" s="9"/>
      <c r="AA978" s="9"/>
      <c r="AB978" s="9"/>
      <c r="AC978" s="9"/>
    </row>
    <row r="979"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204"/>
      <c r="Z979" s="9"/>
      <c r="AA979" s="9"/>
      <c r="AB979" s="9"/>
      <c r="AC979" s="9"/>
    </row>
    <row r="980"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204"/>
      <c r="Z980" s="9"/>
      <c r="AA980" s="9"/>
      <c r="AB980" s="9"/>
      <c r="AC980" s="9"/>
    </row>
    <row r="981"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204"/>
      <c r="Z981" s="9"/>
      <c r="AA981" s="9"/>
      <c r="AB981" s="9"/>
      <c r="AC981" s="9"/>
    </row>
    <row r="982"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204"/>
      <c r="Z982" s="9"/>
      <c r="AA982" s="9"/>
      <c r="AB982" s="9"/>
      <c r="AC982" s="9"/>
    </row>
    <row r="983"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204"/>
      <c r="Z983" s="9"/>
      <c r="AA983" s="9"/>
      <c r="AB983" s="9"/>
      <c r="AC983" s="9"/>
    </row>
    <row r="984"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204"/>
      <c r="Z984" s="9"/>
      <c r="AA984" s="9"/>
      <c r="AB984" s="9"/>
      <c r="AC984" s="9"/>
    </row>
    <row r="985"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204"/>
      <c r="Z985" s="9"/>
      <c r="AA985" s="9"/>
      <c r="AB985" s="9"/>
      <c r="AC985" s="9"/>
    </row>
    <row r="986" ht="15.7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204"/>
      <c r="Z986" s="9"/>
      <c r="AA986" s="9"/>
      <c r="AB986" s="9"/>
      <c r="AC986" s="9"/>
    </row>
    <row r="987" ht="15.7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204"/>
      <c r="Z987" s="9"/>
      <c r="AA987" s="9"/>
      <c r="AB987" s="9"/>
      <c r="AC987" s="9"/>
    </row>
    <row r="988" ht="15.7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204"/>
      <c r="Z988" s="9"/>
      <c r="AA988" s="9"/>
      <c r="AB988" s="9"/>
      <c r="AC988" s="9"/>
    </row>
    <row r="989" ht="15.7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204"/>
      <c r="Z989" s="9"/>
      <c r="AA989" s="9"/>
      <c r="AB989" s="9"/>
      <c r="AC989" s="9"/>
    </row>
    <row r="990" ht="15.7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204"/>
      <c r="Z990" s="9"/>
      <c r="AA990" s="9"/>
      <c r="AB990" s="9"/>
      <c r="AC990" s="9"/>
    </row>
    <row r="991" ht="15.7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204"/>
      <c r="Z991" s="9"/>
      <c r="AA991" s="9"/>
      <c r="AB991" s="9"/>
      <c r="AC991" s="9"/>
    </row>
    <row r="992" ht="15.7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204"/>
      <c r="Z992" s="9"/>
      <c r="AA992" s="9"/>
      <c r="AB992" s="9"/>
      <c r="AC992" s="9"/>
    </row>
    <row r="993" ht="15.7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204"/>
      <c r="Z993" s="9"/>
      <c r="AA993" s="9"/>
      <c r="AB993" s="9"/>
      <c r="AC993" s="9"/>
    </row>
    <row r="994" ht="15.7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204"/>
      <c r="Z994" s="9"/>
      <c r="AA994" s="9"/>
      <c r="AB994" s="9"/>
      <c r="AC994" s="9"/>
    </row>
    <row r="995" ht="15.7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204"/>
      <c r="Z995" s="9"/>
      <c r="AA995" s="9"/>
      <c r="AB995" s="9"/>
      <c r="AC995" s="9"/>
    </row>
    <row r="996" ht="15.7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204"/>
      <c r="Z996" s="9"/>
      <c r="AA996" s="9"/>
      <c r="AB996" s="9"/>
      <c r="AC996" s="9"/>
    </row>
    <row r="997" ht="15.7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204"/>
      <c r="Z997" s="9"/>
      <c r="AA997" s="9"/>
      <c r="AB997" s="9"/>
      <c r="AC997" s="9"/>
    </row>
  </sheetData>
  <mergeCells count="41">
    <mergeCell ref="G2:J2"/>
    <mergeCell ref="K2:P2"/>
    <mergeCell ref="Q2:S2"/>
    <mergeCell ref="T2:U2"/>
    <mergeCell ref="V2:V3"/>
    <mergeCell ref="A1:G1"/>
    <mergeCell ref="A2:A3"/>
    <mergeCell ref="B2:B3"/>
    <mergeCell ref="C2:C3"/>
    <mergeCell ref="D2:D3"/>
    <mergeCell ref="E2:E3"/>
    <mergeCell ref="F2:F3"/>
    <mergeCell ref="B51:I51"/>
    <mergeCell ref="B52:I52"/>
    <mergeCell ref="B53:I53"/>
    <mergeCell ref="B54:I54"/>
    <mergeCell ref="B55:I55"/>
    <mergeCell ref="E58:J58"/>
    <mergeCell ref="O58:U58"/>
    <mergeCell ref="B58:D58"/>
    <mergeCell ref="B60:B78"/>
    <mergeCell ref="B79:B103"/>
    <mergeCell ref="B104:H104"/>
    <mergeCell ref="B105:H105"/>
    <mergeCell ref="K105:M105"/>
    <mergeCell ref="B106:H106"/>
    <mergeCell ref="A114:D114"/>
    <mergeCell ref="O116:P116"/>
    <mergeCell ref="O117:P117"/>
    <mergeCell ref="O118:P118"/>
    <mergeCell ref="O119:P119"/>
    <mergeCell ref="B120:J120"/>
    <mergeCell ref="O120:P120"/>
    <mergeCell ref="B124:D124"/>
    <mergeCell ref="B107:D107"/>
    <mergeCell ref="E107:H107"/>
    <mergeCell ref="B108:H108"/>
    <mergeCell ref="B109:H109"/>
    <mergeCell ref="B110:H110"/>
    <mergeCell ref="B111:H111"/>
    <mergeCell ref="B112:H112"/>
  </mergeCells>
  <dataValidations>
    <dataValidation type="list" allowBlank="1" showErrorMessage="1" sqref="R4:R50">
      <formula1>"Cty trả ship"</formula1>
    </dataValidation>
    <dataValidation type="list" allowBlank="1" showErrorMessage="1" sqref="P4:P50">
      <formula1>"Đã thu"</formula1>
    </dataValidation>
  </dataValidation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4.0" topLeftCell="E1" activePane="topRight" state="frozen"/>
      <selection activeCell="F2" sqref="F2" pane="topRight"/>
    </sheetView>
  </sheetViews>
  <sheetFormatPr customHeight="1" defaultColWidth="12.63" defaultRowHeight="15.0"/>
  <cols>
    <col customWidth="1" min="1" max="1" width="19.13"/>
    <col customWidth="1" min="2" max="2" width="12.63"/>
    <col customWidth="1" min="3" max="3" width="32.13"/>
    <col customWidth="1" min="4" max="4" width="22.88"/>
    <col customWidth="1" min="5" max="5" width="47.0"/>
    <col customWidth="1" min="6" max="6" width="66.75"/>
    <col customWidth="1" min="7" max="7" width="22.0"/>
    <col customWidth="1" min="8" max="8" width="16.63"/>
    <col customWidth="1" min="9" max="9" width="17.38"/>
    <col customWidth="1" min="10" max="10" width="16.88"/>
    <col customWidth="1" min="11" max="11" width="16.13"/>
    <col customWidth="1" min="12" max="12" width="18.75"/>
    <col customWidth="1" min="13" max="13" width="21.13"/>
    <col customWidth="1" min="14" max="14" width="21.38"/>
    <col customWidth="1" min="15" max="15" width="18.13"/>
    <col customWidth="1" min="16" max="16" width="19.75"/>
    <col customWidth="1" min="17" max="17" width="17.88"/>
    <col customWidth="1" min="18" max="18" width="17.25"/>
    <col customWidth="1" min="19" max="19" width="24.0"/>
    <col customWidth="1" min="20" max="20" width="20.38"/>
    <col customWidth="1" min="21" max="21" width="15.63"/>
    <col customWidth="1" min="22" max="22" width="47.0"/>
    <col customWidth="1" min="23" max="23" width="8.63"/>
    <col customWidth="1" min="24" max="24" width="21.13"/>
    <col customWidth="1" min="25" max="25" width="16.63"/>
    <col customWidth="1" min="26" max="29" width="12.63"/>
  </cols>
  <sheetData>
    <row r="1" ht="25.5" customHeight="1">
      <c r="A1" s="1" t="s">
        <v>872</v>
      </c>
      <c r="B1" s="2"/>
      <c r="C1" s="2"/>
      <c r="D1" s="2"/>
      <c r="E1" s="2"/>
      <c r="F1" s="2"/>
      <c r="G1" s="3"/>
      <c r="H1" s="4"/>
      <c r="I1" s="4"/>
      <c r="J1" s="4"/>
      <c r="K1" s="4"/>
      <c r="L1" s="4"/>
      <c r="M1" s="4"/>
      <c r="N1" s="4"/>
      <c r="O1" s="4"/>
      <c r="P1" s="4"/>
      <c r="Q1" s="4"/>
      <c r="R1" s="4"/>
      <c r="S1" s="4"/>
      <c r="T1" s="4"/>
      <c r="U1" s="4"/>
      <c r="V1" s="4"/>
      <c r="W1" s="6"/>
      <c r="X1" s="6"/>
      <c r="Y1" s="7"/>
      <c r="Z1" s="8"/>
      <c r="AA1" s="8"/>
      <c r="AB1" s="8"/>
      <c r="AC1" s="9"/>
    </row>
    <row r="2" ht="15.75" customHeight="1">
      <c r="A2" s="10" t="s">
        <v>1</v>
      </c>
      <c r="B2" s="11" t="s">
        <v>2</v>
      </c>
      <c r="C2" s="12" t="s">
        <v>3</v>
      </c>
      <c r="D2" s="13" t="s">
        <v>4</v>
      </c>
      <c r="E2" s="14" t="s">
        <v>5</v>
      </c>
      <c r="F2" s="13" t="s">
        <v>6</v>
      </c>
      <c r="G2" s="15" t="s">
        <v>7</v>
      </c>
      <c r="H2" s="16"/>
      <c r="I2" s="16"/>
      <c r="J2" s="17"/>
      <c r="K2" s="18" t="s">
        <v>8</v>
      </c>
      <c r="L2" s="16"/>
      <c r="M2" s="16"/>
      <c r="N2" s="16"/>
      <c r="O2" s="16"/>
      <c r="P2" s="17"/>
      <c r="Q2" s="19" t="s">
        <v>9</v>
      </c>
      <c r="R2" s="16"/>
      <c r="S2" s="17"/>
      <c r="T2" s="20" t="s">
        <v>10</v>
      </c>
      <c r="U2" s="17"/>
      <c r="V2" s="21" t="s">
        <v>11</v>
      </c>
      <c r="W2" s="22"/>
      <c r="X2" s="23"/>
      <c r="Y2" s="24"/>
      <c r="Z2" s="25"/>
      <c r="AA2" s="25"/>
      <c r="AB2" s="25"/>
      <c r="AC2" s="22"/>
    </row>
    <row r="3" ht="47.25" customHeight="1">
      <c r="A3" s="26"/>
      <c r="B3" s="26"/>
      <c r="C3" s="26"/>
      <c r="D3" s="26"/>
      <c r="E3" s="26"/>
      <c r="F3" s="26"/>
      <c r="G3" s="27" t="s">
        <v>12</v>
      </c>
      <c r="H3" s="27" t="s">
        <v>13</v>
      </c>
      <c r="I3" s="28" t="s">
        <v>14</v>
      </c>
      <c r="J3" s="29" t="s">
        <v>15</v>
      </c>
      <c r="K3" s="30" t="s">
        <v>16</v>
      </c>
      <c r="L3" s="31" t="s">
        <v>17</v>
      </c>
      <c r="M3" s="33" t="s">
        <v>19</v>
      </c>
      <c r="N3" s="34" t="s">
        <v>20</v>
      </c>
      <c r="O3" s="558" t="s">
        <v>21</v>
      </c>
      <c r="P3" s="408"/>
      <c r="Q3" s="36" t="s">
        <v>22</v>
      </c>
      <c r="R3" s="37" t="s">
        <v>23</v>
      </c>
      <c r="S3" s="37" t="s">
        <v>2302</v>
      </c>
      <c r="T3" s="38" t="s">
        <v>25</v>
      </c>
      <c r="U3" s="38" t="s">
        <v>26</v>
      </c>
      <c r="V3" s="26"/>
      <c r="W3" s="22"/>
      <c r="X3" s="23"/>
      <c r="Y3" s="24"/>
      <c r="Z3" s="25"/>
      <c r="AA3" s="25"/>
      <c r="AB3" s="25"/>
      <c r="AC3" s="22"/>
    </row>
    <row r="4" ht="23.25" customHeight="1">
      <c r="A4" s="64">
        <v>1.0</v>
      </c>
      <c r="B4" s="70">
        <v>44921.0</v>
      </c>
      <c r="C4" s="409">
        <v>1.683043879512E12</v>
      </c>
      <c r="D4" s="1642" t="s">
        <v>2303</v>
      </c>
      <c r="E4" s="1643" t="s">
        <v>2304</v>
      </c>
      <c r="F4" s="121" t="s">
        <v>2305</v>
      </c>
      <c r="G4" s="45" t="s">
        <v>30</v>
      </c>
      <c r="H4" s="46">
        <v>1.0</v>
      </c>
      <c r="I4" s="459">
        <f t="shared" ref="I4:I5" si="1">VLOOKUP(G4,$X$4:$Y$40,2,0)</f>
        <v>220000</v>
      </c>
      <c r="J4" s="48">
        <f t="shared" ref="J4:J28" si="2">H4*I4</f>
        <v>220000</v>
      </c>
      <c r="K4" s="76">
        <f t="shared" ref="K4:K5" si="3">SUM(J4)</f>
        <v>220000</v>
      </c>
      <c r="L4" s="1133"/>
      <c r="M4" s="1455"/>
      <c r="N4" s="80">
        <f t="shared" ref="N4:N8" si="4">K4+L4-M4</f>
        <v>220000</v>
      </c>
      <c r="O4" s="1446" t="s">
        <v>449</v>
      </c>
      <c r="P4" s="1446" t="s">
        <v>31</v>
      </c>
      <c r="Q4" s="82">
        <v>48500.0</v>
      </c>
      <c r="R4" s="83" t="s">
        <v>32</v>
      </c>
      <c r="S4" s="84" t="s">
        <v>33</v>
      </c>
      <c r="T4" s="92" t="s">
        <v>75</v>
      </c>
      <c r="U4" s="323">
        <v>1.0</v>
      </c>
      <c r="V4" s="92" t="s">
        <v>2306</v>
      </c>
      <c r="W4" s="968"/>
      <c r="X4" s="60" t="s">
        <v>34</v>
      </c>
      <c r="Y4" s="61">
        <v>65000.0</v>
      </c>
      <c r="Z4" s="25"/>
      <c r="AA4" s="25"/>
      <c r="AB4" s="25"/>
      <c r="AC4" s="22"/>
    </row>
    <row r="5" ht="23.25" customHeight="1">
      <c r="A5" s="64">
        <v>2.0</v>
      </c>
      <c r="B5" s="70">
        <v>44921.0</v>
      </c>
      <c r="C5" s="1139">
        <v>1.685062799708E12</v>
      </c>
      <c r="D5" s="68" t="s">
        <v>1761</v>
      </c>
      <c r="E5" s="1643" t="s">
        <v>1762</v>
      </c>
      <c r="F5" s="121" t="s">
        <v>2307</v>
      </c>
      <c r="G5" s="63" t="s">
        <v>35</v>
      </c>
      <c r="H5" s="64">
        <v>1.0</v>
      </c>
      <c r="I5" s="459">
        <f t="shared" si="1"/>
        <v>220000</v>
      </c>
      <c r="J5" s="48">
        <f t="shared" si="2"/>
        <v>220000</v>
      </c>
      <c r="K5" s="76">
        <f t="shared" si="3"/>
        <v>220000</v>
      </c>
      <c r="L5" s="1002"/>
      <c r="M5" s="136"/>
      <c r="N5" s="80">
        <f t="shared" si="4"/>
        <v>220000</v>
      </c>
      <c r="O5" s="1446" t="s">
        <v>449</v>
      </c>
      <c r="P5" s="1446" t="s">
        <v>31</v>
      </c>
      <c r="Q5" s="1644">
        <v>45000.0</v>
      </c>
      <c r="R5" s="83" t="s">
        <v>32</v>
      </c>
      <c r="S5" s="84" t="s">
        <v>33</v>
      </c>
      <c r="T5" s="92" t="s">
        <v>75</v>
      </c>
      <c r="U5" s="93">
        <v>1.0</v>
      </c>
      <c r="V5" s="92" t="s">
        <v>2308</v>
      </c>
      <c r="W5" s="968"/>
      <c r="X5" s="65" t="s">
        <v>36</v>
      </c>
      <c r="Y5" s="66">
        <v>180000.0</v>
      </c>
      <c r="Z5" s="25"/>
      <c r="AA5" s="25"/>
      <c r="AB5" s="25"/>
      <c r="AC5" s="22"/>
    </row>
    <row r="6" ht="23.25" customHeight="1">
      <c r="A6" s="64">
        <v>3.0</v>
      </c>
      <c r="B6" s="70">
        <v>44921.0</v>
      </c>
      <c r="C6" s="1423">
        <v>1.685378072761E12</v>
      </c>
      <c r="D6" s="68" t="s">
        <v>2309</v>
      </c>
      <c r="E6" s="1618" t="s">
        <v>2310</v>
      </c>
      <c r="F6" s="1140" t="s">
        <v>2311</v>
      </c>
      <c r="G6" s="68"/>
      <c r="H6" s="129"/>
      <c r="I6" s="459"/>
      <c r="J6" s="48">
        <f t="shared" si="2"/>
        <v>0</v>
      </c>
      <c r="K6" s="76"/>
      <c r="L6" s="89"/>
      <c r="M6" s="136"/>
      <c r="N6" s="80">
        <f t="shared" si="4"/>
        <v>0</v>
      </c>
      <c r="O6" s="1446" t="s">
        <v>449</v>
      </c>
      <c r="P6" s="81"/>
      <c r="Q6" s="1645">
        <v>36000.0</v>
      </c>
      <c r="R6" s="83" t="s">
        <v>32</v>
      </c>
      <c r="S6" s="84" t="s">
        <v>33</v>
      </c>
      <c r="T6" s="92" t="s">
        <v>75</v>
      </c>
      <c r="U6" s="64">
        <v>1.0</v>
      </c>
      <c r="V6" s="92" t="s">
        <v>2308</v>
      </c>
      <c r="W6" s="968"/>
      <c r="X6" s="65" t="s">
        <v>38</v>
      </c>
      <c r="Y6" s="66">
        <v>160000.0</v>
      </c>
      <c r="Z6" s="25"/>
      <c r="AA6" s="25"/>
      <c r="AB6" s="25"/>
      <c r="AC6" s="22"/>
    </row>
    <row r="7" ht="39.0" customHeight="1">
      <c r="A7" s="64">
        <v>4.0</v>
      </c>
      <c r="B7" s="70">
        <v>44921.0</v>
      </c>
      <c r="C7" s="1139">
        <v>1.685489043796E12</v>
      </c>
      <c r="D7" s="68" t="s">
        <v>1783</v>
      </c>
      <c r="E7" s="1618" t="s">
        <v>1784</v>
      </c>
      <c r="F7" s="1140" t="s">
        <v>2312</v>
      </c>
      <c r="G7" s="681"/>
      <c r="H7" s="129"/>
      <c r="I7" s="459"/>
      <c r="J7" s="48">
        <f t="shared" si="2"/>
        <v>0</v>
      </c>
      <c r="K7" s="76"/>
      <c r="L7" s="77"/>
      <c r="M7" s="136"/>
      <c r="N7" s="80">
        <f t="shared" si="4"/>
        <v>0</v>
      </c>
      <c r="O7" s="1446" t="s">
        <v>449</v>
      </c>
      <c r="P7" s="81"/>
      <c r="Q7" s="1645">
        <v>40000.0</v>
      </c>
      <c r="R7" s="83" t="s">
        <v>32</v>
      </c>
      <c r="S7" s="84" t="s">
        <v>33</v>
      </c>
      <c r="T7" s="92" t="s">
        <v>75</v>
      </c>
      <c r="U7" s="64">
        <v>1.0</v>
      </c>
      <c r="V7" s="92" t="s">
        <v>2308</v>
      </c>
      <c r="W7" s="968"/>
      <c r="X7" s="65" t="s">
        <v>43</v>
      </c>
      <c r="Y7" s="66">
        <v>80000.0</v>
      </c>
      <c r="Z7" s="25"/>
      <c r="AA7" s="25"/>
      <c r="AB7" s="25"/>
      <c r="AC7" s="22"/>
    </row>
    <row r="8" ht="31.5" customHeight="1">
      <c r="A8" s="39">
        <v>5.0</v>
      </c>
      <c r="B8" s="95">
        <v>44921.0</v>
      </c>
      <c r="C8" s="1141">
        <v>1.685641991428E12</v>
      </c>
      <c r="D8" s="417" t="s">
        <v>1086</v>
      </c>
      <c r="E8" s="1443" t="s">
        <v>2313</v>
      </c>
      <c r="F8" s="1346" t="s">
        <v>2314</v>
      </c>
      <c r="G8" s="68" t="s">
        <v>35</v>
      </c>
      <c r="H8" s="69">
        <v>1.0</v>
      </c>
      <c r="I8" s="459">
        <f t="shared" ref="I8:I9" si="5">VLOOKUP(G8,$X$4:$Y$40,2,0)</f>
        <v>220000</v>
      </c>
      <c r="J8" s="48">
        <f t="shared" si="2"/>
        <v>220000</v>
      </c>
      <c r="K8" s="49">
        <f>SUM(J8:J9)</f>
        <v>440000</v>
      </c>
      <c r="L8" s="127"/>
      <c r="M8" s="562"/>
      <c r="N8" s="53">
        <f t="shared" si="4"/>
        <v>440000</v>
      </c>
      <c r="O8" s="1441" t="s">
        <v>449</v>
      </c>
      <c r="P8" s="1441" t="s">
        <v>31</v>
      </c>
      <c r="Q8" s="1646">
        <v>57501.0</v>
      </c>
      <c r="R8" s="56" t="s">
        <v>32</v>
      </c>
      <c r="S8" s="57" t="s">
        <v>33</v>
      </c>
      <c r="T8" s="1147" t="s">
        <v>75</v>
      </c>
      <c r="U8" s="39">
        <v>1.0</v>
      </c>
      <c r="V8" s="142" t="s">
        <v>2308</v>
      </c>
      <c r="W8" s="968"/>
      <c r="X8" s="65" t="s">
        <v>48</v>
      </c>
      <c r="Y8" s="66">
        <v>55000.0</v>
      </c>
      <c r="Z8" s="25"/>
      <c r="AA8" s="25"/>
      <c r="AB8" s="25"/>
      <c r="AC8" s="22"/>
    </row>
    <row r="9" ht="23.25" customHeight="1">
      <c r="A9" s="67"/>
      <c r="B9" s="67"/>
      <c r="C9" s="67"/>
      <c r="D9" s="67"/>
      <c r="E9" s="67"/>
      <c r="F9" s="67"/>
      <c r="G9" s="68" t="s">
        <v>144</v>
      </c>
      <c r="H9" s="69">
        <v>1.0</v>
      </c>
      <c r="I9" s="459">
        <f t="shared" si="5"/>
        <v>220000</v>
      </c>
      <c r="J9" s="48">
        <f t="shared" si="2"/>
        <v>220000</v>
      </c>
      <c r="K9" s="67"/>
      <c r="L9" s="67"/>
      <c r="M9" s="67"/>
      <c r="N9" s="67"/>
      <c r="O9" s="67"/>
      <c r="P9" s="67"/>
      <c r="Q9" s="67"/>
      <c r="R9" s="67"/>
      <c r="S9" s="67"/>
      <c r="T9" s="67"/>
      <c r="U9" s="67"/>
      <c r="V9" s="67"/>
      <c r="W9" s="22"/>
      <c r="X9" s="65" t="s">
        <v>60</v>
      </c>
      <c r="Y9" s="66">
        <v>45000.0</v>
      </c>
      <c r="Z9" s="25"/>
      <c r="AA9" s="25"/>
      <c r="AB9" s="25"/>
      <c r="AC9" s="22"/>
    </row>
    <row r="10" ht="23.25" customHeight="1">
      <c r="A10" s="1647">
        <v>6.0</v>
      </c>
      <c r="B10" s="1117">
        <v>44921.0</v>
      </c>
      <c r="C10" s="1152">
        <v>1.686008880609E12</v>
      </c>
      <c r="D10" s="1648" t="s">
        <v>2315</v>
      </c>
      <c r="E10" s="1649" t="s">
        <v>2316</v>
      </c>
      <c r="F10" s="1648" t="s">
        <v>2317</v>
      </c>
      <c r="G10" s="681"/>
      <c r="H10" s="129"/>
      <c r="I10" s="459"/>
      <c r="J10" s="48">
        <f t="shared" si="2"/>
        <v>0</v>
      </c>
      <c r="K10" s="76"/>
      <c r="L10" s="1002"/>
      <c r="M10" s="136"/>
      <c r="N10" s="53">
        <f t="shared" ref="N10:N14" si="6">K10+L10-M10</f>
        <v>0</v>
      </c>
      <c r="O10" s="1446" t="s">
        <v>449</v>
      </c>
      <c r="P10" s="1446"/>
      <c r="Q10" s="1644">
        <v>32999.0</v>
      </c>
      <c r="R10" s="83" t="s">
        <v>32</v>
      </c>
      <c r="S10" s="84" t="s">
        <v>33</v>
      </c>
      <c r="T10" s="92" t="s">
        <v>75</v>
      </c>
      <c r="U10" s="93">
        <v>1.0</v>
      </c>
      <c r="V10" s="92" t="s">
        <v>2308</v>
      </c>
      <c r="W10" s="968"/>
      <c r="X10" s="65" t="s">
        <v>679</v>
      </c>
      <c r="Y10" s="66">
        <v>110000.0</v>
      </c>
      <c r="Z10" s="25"/>
      <c r="AA10" s="25"/>
      <c r="AB10" s="25"/>
      <c r="AC10" s="22"/>
    </row>
    <row r="11" ht="23.25" customHeight="1">
      <c r="A11" s="93">
        <v>7.0</v>
      </c>
      <c r="B11" s="103">
        <v>44922.0</v>
      </c>
      <c r="C11" s="93">
        <v>1.695564296665E12</v>
      </c>
      <c r="D11" s="92" t="s">
        <v>2318</v>
      </c>
      <c r="E11" s="902" t="s">
        <v>2319</v>
      </c>
      <c r="F11" s="1153" t="s">
        <v>2320</v>
      </c>
      <c r="G11" s="63" t="s">
        <v>30</v>
      </c>
      <c r="H11" s="64">
        <v>2.0</v>
      </c>
      <c r="I11" s="459">
        <f>VLOOKUP(G11,$X$4:$Y$40,2,0)</f>
        <v>220000</v>
      </c>
      <c r="J11" s="48">
        <f t="shared" si="2"/>
        <v>440000</v>
      </c>
      <c r="K11" s="76">
        <f>SUM(J11)</f>
        <v>440000</v>
      </c>
      <c r="L11" s="1002"/>
      <c r="M11" s="136"/>
      <c r="N11" s="53">
        <f t="shared" si="6"/>
        <v>440000</v>
      </c>
      <c r="O11" s="1446" t="s">
        <v>449</v>
      </c>
      <c r="P11" s="1446" t="s">
        <v>31</v>
      </c>
      <c r="Q11" s="108">
        <v>51000.0</v>
      </c>
      <c r="R11" s="83" t="s">
        <v>32</v>
      </c>
      <c r="S11" s="84" t="s">
        <v>33</v>
      </c>
      <c r="T11" s="92" t="s">
        <v>75</v>
      </c>
      <c r="U11" s="1447">
        <v>1.0</v>
      </c>
      <c r="V11" s="92" t="s">
        <v>2308</v>
      </c>
      <c r="W11" s="968"/>
      <c r="X11" s="65" t="s">
        <v>66</v>
      </c>
      <c r="Y11" s="66">
        <v>205000.0</v>
      </c>
      <c r="Z11" s="25"/>
      <c r="AA11" s="25"/>
      <c r="AB11" s="25"/>
      <c r="AC11" s="22"/>
    </row>
    <row r="12" ht="23.25" customHeight="1">
      <c r="A12" s="93">
        <v>8.0</v>
      </c>
      <c r="B12" s="103">
        <v>44922.0</v>
      </c>
      <c r="C12" s="1152">
        <v>1.695652643289E12</v>
      </c>
      <c r="D12" s="92" t="s">
        <v>2321</v>
      </c>
      <c r="E12" s="902" t="s">
        <v>2322</v>
      </c>
      <c r="F12" s="1153" t="s">
        <v>2323</v>
      </c>
      <c r="G12" s="457"/>
      <c r="H12" s="85"/>
      <c r="I12" s="459"/>
      <c r="J12" s="48">
        <f t="shared" si="2"/>
        <v>0</v>
      </c>
      <c r="K12" s="76"/>
      <c r="L12" s="1002"/>
      <c r="M12" s="136"/>
      <c r="N12" s="53">
        <f t="shared" si="6"/>
        <v>0</v>
      </c>
      <c r="O12" s="1446" t="s">
        <v>449</v>
      </c>
      <c r="P12" s="1650"/>
      <c r="Q12" s="108">
        <v>39999.0</v>
      </c>
      <c r="R12" s="83" t="s">
        <v>32</v>
      </c>
      <c r="S12" s="84" t="s">
        <v>33</v>
      </c>
      <c r="T12" s="92" t="s">
        <v>75</v>
      </c>
      <c r="U12" s="1447">
        <v>1.0</v>
      </c>
      <c r="V12" s="92" t="s">
        <v>2308</v>
      </c>
      <c r="W12" s="968"/>
      <c r="X12" s="65" t="s">
        <v>684</v>
      </c>
      <c r="Y12" s="66">
        <v>150000.0</v>
      </c>
      <c r="Z12" s="25"/>
      <c r="AA12" s="25"/>
      <c r="AB12" s="25"/>
      <c r="AC12" s="22"/>
    </row>
    <row r="13" ht="23.25" customHeight="1">
      <c r="A13" s="93">
        <v>9.0</v>
      </c>
      <c r="B13" s="103">
        <v>44922.0</v>
      </c>
      <c r="C13" s="1152">
        <v>1.695722626535E12</v>
      </c>
      <c r="D13" s="92" t="s">
        <v>2324</v>
      </c>
      <c r="E13" s="902" t="s">
        <v>2325</v>
      </c>
      <c r="F13" s="1153" t="s">
        <v>2326</v>
      </c>
      <c r="G13" s="457"/>
      <c r="H13" s="85"/>
      <c r="I13" s="459"/>
      <c r="J13" s="48">
        <f t="shared" si="2"/>
        <v>0</v>
      </c>
      <c r="K13" s="76"/>
      <c r="L13" s="1002"/>
      <c r="M13" s="136"/>
      <c r="N13" s="53">
        <f t="shared" si="6"/>
        <v>0</v>
      </c>
      <c r="O13" s="1446" t="s">
        <v>449</v>
      </c>
      <c r="P13" s="1650"/>
      <c r="Q13" s="108">
        <v>36000.0</v>
      </c>
      <c r="R13" s="83" t="s">
        <v>32</v>
      </c>
      <c r="S13" s="84" t="s">
        <v>33</v>
      </c>
      <c r="T13" s="92" t="s">
        <v>75</v>
      </c>
      <c r="U13" s="1447">
        <v>1.0</v>
      </c>
      <c r="V13" s="92" t="s">
        <v>2308</v>
      </c>
      <c r="W13" s="968"/>
      <c r="X13" s="110" t="s">
        <v>71</v>
      </c>
      <c r="Y13" s="66">
        <v>85000.0</v>
      </c>
      <c r="Z13" s="25"/>
      <c r="AA13" s="25"/>
      <c r="AB13" s="25"/>
      <c r="AC13" s="22"/>
    </row>
    <row r="14" ht="23.25" customHeight="1">
      <c r="A14" s="111">
        <v>10.0</v>
      </c>
      <c r="B14" s="1457">
        <v>44922.0</v>
      </c>
      <c r="C14" s="1135">
        <v>1.698540324713E12</v>
      </c>
      <c r="D14" s="142" t="s">
        <v>2327</v>
      </c>
      <c r="E14" s="1449" t="s">
        <v>2328</v>
      </c>
      <c r="F14" s="1136" t="s">
        <v>2329</v>
      </c>
      <c r="G14" s="63" t="s">
        <v>165</v>
      </c>
      <c r="H14" s="64">
        <v>1.0</v>
      </c>
      <c r="I14" s="459">
        <f t="shared" ref="I14:I15" si="7">VLOOKUP(G14,$X$4:$Y$40,2,0)</f>
        <v>220000</v>
      </c>
      <c r="J14" s="48">
        <f t="shared" si="2"/>
        <v>220000</v>
      </c>
      <c r="K14" s="49">
        <f>SUM(J14:J19)</f>
        <v>820000</v>
      </c>
      <c r="L14" s="1009"/>
      <c r="M14" s="562"/>
      <c r="N14" s="53">
        <f t="shared" si="6"/>
        <v>820000</v>
      </c>
      <c r="O14" s="1441" t="s">
        <v>449</v>
      </c>
      <c r="P14" s="1441" t="s">
        <v>31</v>
      </c>
      <c r="Q14" s="145">
        <v>47001.0</v>
      </c>
      <c r="R14" s="56" t="s">
        <v>32</v>
      </c>
      <c r="S14" s="57" t="s">
        <v>33</v>
      </c>
      <c r="T14" s="142" t="s">
        <v>75</v>
      </c>
      <c r="U14" s="1450">
        <v>1.0</v>
      </c>
      <c r="V14" s="142" t="s">
        <v>2330</v>
      </c>
      <c r="W14" s="22"/>
      <c r="X14" s="65" t="s">
        <v>76</v>
      </c>
      <c r="Y14" s="66">
        <v>90000.0</v>
      </c>
      <c r="Z14" s="25"/>
      <c r="AA14" s="25"/>
      <c r="AB14" s="25"/>
      <c r="AC14" s="22"/>
    </row>
    <row r="15" ht="23.25" customHeight="1">
      <c r="A15" s="62"/>
      <c r="B15" s="62"/>
      <c r="C15" s="62"/>
      <c r="D15" s="62"/>
      <c r="E15" s="62"/>
      <c r="F15" s="62"/>
      <c r="G15" s="63" t="s">
        <v>122</v>
      </c>
      <c r="H15" s="64">
        <v>1.0</v>
      </c>
      <c r="I15" s="459">
        <f t="shared" si="7"/>
        <v>220000</v>
      </c>
      <c r="J15" s="48">
        <f t="shared" si="2"/>
        <v>220000</v>
      </c>
      <c r="K15" s="62"/>
      <c r="L15" s="62"/>
      <c r="M15" s="62"/>
      <c r="N15" s="62"/>
      <c r="O15" s="62"/>
      <c r="P15" s="62"/>
      <c r="Q15" s="62"/>
      <c r="R15" s="62"/>
      <c r="S15" s="62"/>
      <c r="T15" s="62"/>
      <c r="U15" s="62"/>
      <c r="V15" s="62"/>
      <c r="W15" s="968"/>
      <c r="X15" s="65" t="s">
        <v>80</v>
      </c>
      <c r="Y15" s="66">
        <v>85000.0</v>
      </c>
      <c r="Z15" s="25"/>
      <c r="AA15" s="25"/>
      <c r="AB15" s="25"/>
      <c r="AC15" s="22"/>
    </row>
    <row r="16" ht="23.25" customHeight="1">
      <c r="A16" s="62"/>
      <c r="B16" s="62"/>
      <c r="C16" s="62"/>
      <c r="D16" s="62"/>
      <c r="E16" s="62"/>
      <c r="F16" s="62"/>
      <c r="G16" s="72" t="s">
        <v>478</v>
      </c>
      <c r="H16" s="64">
        <v>1.0</v>
      </c>
      <c r="I16" s="975">
        <v>80000.0</v>
      </c>
      <c r="J16" s="48">
        <f t="shared" si="2"/>
        <v>80000</v>
      </c>
      <c r="K16" s="62"/>
      <c r="L16" s="62"/>
      <c r="M16" s="62"/>
      <c r="N16" s="62"/>
      <c r="O16" s="62"/>
      <c r="P16" s="62"/>
      <c r="Q16" s="62"/>
      <c r="R16" s="62"/>
      <c r="S16" s="62"/>
      <c r="T16" s="62"/>
      <c r="U16" s="62"/>
      <c r="V16" s="62"/>
      <c r="W16" s="22"/>
      <c r="X16" s="65" t="s">
        <v>81</v>
      </c>
      <c r="Y16" s="66">
        <v>150000.0</v>
      </c>
      <c r="Z16" s="25"/>
      <c r="AA16" s="25"/>
      <c r="AB16" s="25"/>
      <c r="AC16" s="22"/>
    </row>
    <row r="17" ht="23.25" customHeight="1">
      <c r="A17" s="62"/>
      <c r="B17" s="62"/>
      <c r="C17" s="62"/>
      <c r="D17" s="62"/>
      <c r="E17" s="62"/>
      <c r="F17" s="62"/>
      <c r="G17" s="72" t="s">
        <v>477</v>
      </c>
      <c r="H17" s="64">
        <v>1.0</v>
      </c>
      <c r="I17" s="975">
        <v>65000.0</v>
      </c>
      <c r="J17" s="48">
        <f t="shared" si="2"/>
        <v>65000</v>
      </c>
      <c r="K17" s="62"/>
      <c r="L17" s="62"/>
      <c r="M17" s="62"/>
      <c r="N17" s="62"/>
      <c r="O17" s="62"/>
      <c r="P17" s="62"/>
      <c r="Q17" s="62"/>
      <c r="R17" s="62"/>
      <c r="S17" s="62"/>
      <c r="T17" s="62"/>
      <c r="U17" s="62"/>
      <c r="V17" s="62"/>
      <c r="W17" s="22"/>
      <c r="X17" s="65" t="s">
        <v>85</v>
      </c>
      <c r="Y17" s="66">
        <v>125000.0</v>
      </c>
      <c r="Z17" s="25"/>
      <c r="AA17" s="25"/>
      <c r="AB17" s="25"/>
      <c r="AC17" s="22"/>
    </row>
    <row r="18" ht="23.25" customHeight="1">
      <c r="A18" s="62"/>
      <c r="B18" s="62"/>
      <c r="C18" s="62"/>
      <c r="D18" s="62"/>
      <c r="E18" s="62"/>
      <c r="F18" s="62"/>
      <c r="G18" s="72" t="s">
        <v>476</v>
      </c>
      <c r="H18" s="64">
        <v>1.0</v>
      </c>
      <c r="I18" s="975">
        <v>55000.0</v>
      </c>
      <c r="J18" s="48">
        <f t="shared" si="2"/>
        <v>55000</v>
      </c>
      <c r="K18" s="62"/>
      <c r="L18" s="62"/>
      <c r="M18" s="62"/>
      <c r="N18" s="62"/>
      <c r="O18" s="62"/>
      <c r="P18" s="62"/>
      <c r="Q18" s="62"/>
      <c r="R18" s="62"/>
      <c r="S18" s="62"/>
      <c r="T18" s="62"/>
      <c r="U18" s="62"/>
      <c r="V18" s="62"/>
      <c r="W18" s="22"/>
      <c r="X18" s="65" t="s">
        <v>89</v>
      </c>
      <c r="Y18" s="66">
        <v>35000.0</v>
      </c>
      <c r="Z18" s="25"/>
      <c r="AA18" s="25"/>
      <c r="AB18" s="25"/>
      <c r="AC18" s="22"/>
    </row>
    <row r="19" ht="23.25" customHeight="1">
      <c r="A19" s="67"/>
      <c r="B19" s="67"/>
      <c r="C19" s="67"/>
      <c r="D19" s="67"/>
      <c r="E19" s="67"/>
      <c r="F19" s="67"/>
      <c r="G19" s="1651" t="s">
        <v>2331</v>
      </c>
      <c r="H19" s="64">
        <v>1.0</v>
      </c>
      <c r="I19" s="975">
        <v>180000.0</v>
      </c>
      <c r="J19" s="48">
        <f t="shared" si="2"/>
        <v>180000</v>
      </c>
      <c r="K19" s="67"/>
      <c r="L19" s="67"/>
      <c r="M19" s="67"/>
      <c r="N19" s="62"/>
      <c r="O19" s="67"/>
      <c r="P19" s="67"/>
      <c r="Q19" s="67"/>
      <c r="R19" s="67"/>
      <c r="S19" s="67"/>
      <c r="T19" s="67"/>
      <c r="U19" s="67"/>
      <c r="V19" s="67"/>
      <c r="W19" s="22"/>
      <c r="X19" s="65" t="s">
        <v>93</v>
      </c>
      <c r="Y19" s="66">
        <v>90000.0</v>
      </c>
      <c r="Z19" s="25"/>
      <c r="AA19" s="25"/>
      <c r="AB19" s="25"/>
      <c r="AC19" s="22"/>
    </row>
    <row r="20" ht="23.25" customHeight="1">
      <c r="A20" s="93">
        <v>11.0</v>
      </c>
      <c r="B20" s="1452">
        <v>44923.0</v>
      </c>
      <c r="C20" s="1152">
        <v>1.698312362639E12</v>
      </c>
      <c r="D20" s="92" t="s">
        <v>902</v>
      </c>
      <c r="E20" s="902" t="s">
        <v>2332</v>
      </c>
      <c r="F20" s="92" t="s">
        <v>2333</v>
      </c>
      <c r="G20" s="1458"/>
      <c r="H20" s="85"/>
      <c r="I20" s="459"/>
      <c r="J20" s="48">
        <f t="shared" si="2"/>
        <v>0</v>
      </c>
      <c r="K20" s="76"/>
      <c r="L20" s="1002"/>
      <c r="M20" s="136"/>
      <c r="N20" s="80">
        <f t="shared" ref="N20:N28" si="8">K20+L20-M20</f>
        <v>0</v>
      </c>
      <c r="O20" s="1446" t="s">
        <v>449</v>
      </c>
      <c r="P20" s="81"/>
      <c r="Q20" s="108">
        <v>13200.0</v>
      </c>
      <c r="R20" s="83" t="s">
        <v>32</v>
      </c>
      <c r="S20" s="84" t="s">
        <v>33</v>
      </c>
      <c r="T20" s="92" t="s">
        <v>75</v>
      </c>
      <c r="U20" s="1447">
        <v>1.0</v>
      </c>
      <c r="V20" s="92" t="s">
        <v>2308</v>
      </c>
      <c r="W20" s="968"/>
      <c r="X20" s="65" t="s">
        <v>94</v>
      </c>
      <c r="Y20" s="66">
        <v>140000.0</v>
      </c>
      <c r="Z20" s="25"/>
      <c r="AA20" s="25"/>
      <c r="AB20" s="25"/>
      <c r="AC20" s="22"/>
    </row>
    <row r="21" ht="23.25" customHeight="1">
      <c r="A21" s="93">
        <v>12.0</v>
      </c>
      <c r="B21" s="1452">
        <v>44923.0</v>
      </c>
      <c r="C21" s="1152">
        <v>1.698240053058E12</v>
      </c>
      <c r="D21" s="92" t="s">
        <v>110</v>
      </c>
      <c r="E21" s="902" t="s">
        <v>2334</v>
      </c>
      <c r="F21" s="1153" t="s">
        <v>2335</v>
      </c>
      <c r="G21" s="457"/>
      <c r="H21" s="85"/>
      <c r="I21" s="459"/>
      <c r="J21" s="48">
        <f t="shared" si="2"/>
        <v>0</v>
      </c>
      <c r="K21" s="76"/>
      <c r="L21" s="1002"/>
      <c r="M21" s="136"/>
      <c r="N21" s="80">
        <f t="shared" si="8"/>
        <v>0</v>
      </c>
      <c r="O21" s="1446" t="s">
        <v>449</v>
      </c>
      <c r="P21" s="176"/>
      <c r="Q21" s="108">
        <v>13000.0</v>
      </c>
      <c r="R21" s="83" t="s">
        <v>32</v>
      </c>
      <c r="S21" s="84" t="s">
        <v>33</v>
      </c>
      <c r="T21" s="92" t="s">
        <v>75</v>
      </c>
      <c r="U21" s="1447">
        <v>1.0</v>
      </c>
      <c r="V21" s="92" t="s">
        <v>2308</v>
      </c>
      <c r="W21" s="968"/>
      <c r="X21" s="65" t="s">
        <v>97</v>
      </c>
      <c r="Y21" s="66">
        <v>95000.0</v>
      </c>
      <c r="Z21" s="25"/>
      <c r="AA21" s="25"/>
      <c r="AB21" s="25"/>
      <c r="AC21" s="22"/>
    </row>
    <row r="22" ht="23.25" customHeight="1">
      <c r="A22" s="93">
        <v>13.0</v>
      </c>
      <c r="B22" s="1452">
        <v>44923.0</v>
      </c>
      <c r="C22" s="1152">
        <v>1.698164724946E12</v>
      </c>
      <c r="D22" s="92" t="s">
        <v>2336</v>
      </c>
      <c r="E22" s="902" t="s">
        <v>2337</v>
      </c>
      <c r="F22" s="1153" t="s">
        <v>2338</v>
      </c>
      <c r="G22" s="457"/>
      <c r="H22" s="85"/>
      <c r="I22" s="459"/>
      <c r="J22" s="48">
        <f t="shared" si="2"/>
        <v>0</v>
      </c>
      <c r="K22" s="76"/>
      <c r="L22" s="1002"/>
      <c r="M22" s="136"/>
      <c r="N22" s="80">
        <f t="shared" si="8"/>
        <v>0</v>
      </c>
      <c r="O22" s="1446" t="s">
        <v>449</v>
      </c>
      <c r="P22" s="176"/>
      <c r="Q22" s="108">
        <v>11000.0</v>
      </c>
      <c r="R22" s="83" t="s">
        <v>32</v>
      </c>
      <c r="S22" s="84" t="s">
        <v>33</v>
      </c>
      <c r="T22" s="92" t="s">
        <v>75</v>
      </c>
      <c r="U22" s="1447">
        <v>1.0</v>
      </c>
      <c r="V22" s="92" t="s">
        <v>2308</v>
      </c>
      <c r="W22" s="968"/>
      <c r="X22" s="65" t="s">
        <v>99</v>
      </c>
      <c r="Y22" s="66">
        <v>140000.0</v>
      </c>
      <c r="Z22" s="25"/>
      <c r="AA22" s="25"/>
      <c r="AB22" s="25"/>
      <c r="AC22" s="22"/>
    </row>
    <row r="23" ht="23.25" customHeight="1">
      <c r="A23" s="93">
        <v>14.0</v>
      </c>
      <c r="B23" s="1452">
        <v>44923.0</v>
      </c>
      <c r="C23" s="1152">
        <v>1.697784986455E12</v>
      </c>
      <c r="D23" s="92" t="s">
        <v>2339</v>
      </c>
      <c r="E23" s="902" t="s">
        <v>2340</v>
      </c>
      <c r="F23" s="1153" t="s">
        <v>2341</v>
      </c>
      <c r="G23" s="457"/>
      <c r="H23" s="85"/>
      <c r="I23" s="459"/>
      <c r="J23" s="48">
        <f t="shared" si="2"/>
        <v>0</v>
      </c>
      <c r="K23" s="76"/>
      <c r="L23" s="1002"/>
      <c r="M23" s="136"/>
      <c r="N23" s="80">
        <f t="shared" si="8"/>
        <v>0</v>
      </c>
      <c r="O23" s="1446" t="s">
        <v>449</v>
      </c>
      <c r="P23" s="176"/>
      <c r="Q23" s="108">
        <v>11000.0</v>
      </c>
      <c r="R23" s="83" t="s">
        <v>32</v>
      </c>
      <c r="S23" s="84" t="s">
        <v>33</v>
      </c>
      <c r="T23" s="92" t="s">
        <v>75</v>
      </c>
      <c r="U23" s="1447">
        <v>1.0</v>
      </c>
      <c r="V23" s="92" t="s">
        <v>2308</v>
      </c>
      <c r="W23" s="968"/>
      <c r="X23" s="65" t="s">
        <v>101</v>
      </c>
      <c r="Y23" s="66">
        <v>150000.0</v>
      </c>
      <c r="Z23" s="25"/>
      <c r="AA23" s="25"/>
      <c r="AB23" s="25"/>
      <c r="AC23" s="22"/>
    </row>
    <row r="24" ht="23.25" customHeight="1">
      <c r="A24" s="93">
        <v>15.0</v>
      </c>
      <c r="B24" s="1452">
        <v>44923.0</v>
      </c>
      <c r="C24" s="1152">
        <v>1.697587649163E12</v>
      </c>
      <c r="D24" s="92" t="s">
        <v>2342</v>
      </c>
      <c r="E24" s="902" t="s">
        <v>2343</v>
      </c>
      <c r="F24" s="1153" t="s">
        <v>2344</v>
      </c>
      <c r="G24" s="681"/>
      <c r="H24" s="129"/>
      <c r="I24" s="459"/>
      <c r="J24" s="48">
        <f t="shared" si="2"/>
        <v>0</v>
      </c>
      <c r="K24" s="76"/>
      <c r="L24" s="1002"/>
      <c r="M24" s="136"/>
      <c r="N24" s="80">
        <f t="shared" si="8"/>
        <v>0</v>
      </c>
      <c r="O24" s="1446" t="s">
        <v>449</v>
      </c>
      <c r="P24" s="176"/>
      <c r="Q24" s="108">
        <v>11000.0</v>
      </c>
      <c r="R24" s="83" t="s">
        <v>32</v>
      </c>
      <c r="S24" s="84" t="s">
        <v>33</v>
      </c>
      <c r="T24" s="92" t="s">
        <v>75</v>
      </c>
      <c r="U24" s="1447">
        <v>1.0</v>
      </c>
      <c r="V24" s="92" t="s">
        <v>2308</v>
      </c>
      <c r="W24" s="1652"/>
      <c r="X24" s="65" t="s">
        <v>109</v>
      </c>
      <c r="Y24" s="66">
        <v>125000.0</v>
      </c>
      <c r="Z24" s="25"/>
      <c r="AA24" s="25"/>
      <c r="AB24" s="25"/>
      <c r="AC24" s="22"/>
    </row>
    <row r="25" ht="23.25" customHeight="1">
      <c r="A25" s="93">
        <v>16.0</v>
      </c>
      <c r="B25" s="1452">
        <v>44923.0</v>
      </c>
      <c r="C25" s="1152">
        <v>1.69794271732E12</v>
      </c>
      <c r="D25" s="92" t="s">
        <v>2345</v>
      </c>
      <c r="E25" s="902" t="s">
        <v>2346</v>
      </c>
      <c r="F25" s="1153" t="s">
        <v>2347</v>
      </c>
      <c r="G25" s="681"/>
      <c r="H25" s="129"/>
      <c r="I25" s="459"/>
      <c r="J25" s="48">
        <f t="shared" si="2"/>
        <v>0</v>
      </c>
      <c r="K25" s="76"/>
      <c r="L25" s="1002"/>
      <c r="M25" s="136"/>
      <c r="N25" s="80">
        <f t="shared" si="8"/>
        <v>0</v>
      </c>
      <c r="O25" s="1446" t="s">
        <v>449</v>
      </c>
      <c r="P25" s="176"/>
      <c r="Q25" s="108">
        <v>13200.0</v>
      </c>
      <c r="R25" s="83" t="s">
        <v>32</v>
      </c>
      <c r="S25" s="84" t="s">
        <v>33</v>
      </c>
      <c r="T25" s="92" t="s">
        <v>75</v>
      </c>
      <c r="U25" s="1447">
        <v>1.0</v>
      </c>
      <c r="V25" s="92" t="s">
        <v>2308</v>
      </c>
      <c r="W25" s="1652"/>
      <c r="X25" s="65" t="s">
        <v>113</v>
      </c>
      <c r="Y25" s="66">
        <v>75000.0</v>
      </c>
      <c r="Z25" s="25"/>
      <c r="AA25" s="25"/>
      <c r="AB25" s="25"/>
      <c r="AC25" s="22"/>
    </row>
    <row r="26" ht="23.25" customHeight="1">
      <c r="A26" s="93">
        <v>17.0</v>
      </c>
      <c r="B26" s="1452">
        <v>44923.0</v>
      </c>
      <c r="C26" s="1152">
        <v>1.697523977945E12</v>
      </c>
      <c r="D26" s="92" t="s">
        <v>2348</v>
      </c>
      <c r="E26" s="902" t="s">
        <v>2349</v>
      </c>
      <c r="F26" s="1153" t="s">
        <v>2350</v>
      </c>
      <c r="G26" s="681"/>
      <c r="H26" s="129"/>
      <c r="I26" s="459"/>
      <c r="J26" s="48">
        <f t="shared" si="2"/>
        <v>0</v>
      </c>
      <c r="K26" s="76"/>
      <c r="L26" s="1002"/>
      <c r="M26" s="136"/>
      <c r="N26" s="80">
        <f t="shared" si="8"/>
        <v>0</v>
      </c>
      <c r="O26" s="1446" t="s">
        <v>449</v>
      </c>
      <c r="P26" s="176"/>
      <c r="Q26" s="108">
        <v>13200.0</v>
      </c>
      <c r="R26" s="83" t="s">
        <v>32</v>
      </c>
      <c r="S26" s="84" t="s">
        <v>33</v>
      </c>
      <c r="T26" s="92" t="s">
        <v>75</v>
      </c>
      <c r="U26" s="1447">
        <v>1.0</v>
      </c>
      <c r="V26" s="92" t="s">
        <v>2308</v>
      </c>
      <c r="W26" s="968"/>
      <c r="X26" s="65" t="s">
        <v>116</v>
      </c>
      <c r="Y26" s="66">
        <v>475000.0</v>
      </c>
      <c r="Z26" s="25"/>
      <c r="AA26" s="25"/>
      <c r="AB26" s="25"/>
      <c r="AC26" s="22"/>
    </row>
    <row r="27" ht="23.25" customHeight="1">
      <c r="A27" s="93">
        <v>18.0</v>
      </c>
      <c r="B27" s="1452">
        <v>44923.0</v>
      </c>
      <c r="C27" s="1240">
        <v>1.685967187685E12</v>
      </c>
      <c r="D27" s="63" t="s">
        <v>2351</v>
      </c>
      <c r="E27" s="1616" t="s">
        <v>2352</v>
      </c>
      <c r="F27" s="1358" t="s">
        <v>2353</v>
      </c>
      <c r="G27" s="457"/>
      <c r="H27" s="85"/>
      <c r="I27" s="459"/>
      <c r="J27" s="48">
        <f t="shared" si="2"/>
        <v>0</v>
      </c>
      <c r="K27" s="76"/>
      <c r="L27" s="77"/>
      <c r="M27" s="136"/>
      <c r="N27" s="80">
        <f t="shared" si="8"/>
        <v>0</v>
      </c>
      <c r="O27" s="1446" t="s">
        <v>449</v>
      </c>
      <c r="P27" s="176"/>
      <c r="Q27" s="82">
        <v>13000.0</v>
      </c>
      <c r="R27" s="83" t="s">
        <v>32</v>
      </c>
      <c r="S27" s="84" t="s">
        <v>33</v>
      </c>
      <c r="T27" s="92" t="s">
        <v>75</v>
      </c>
      <c r="U27" s="1447">
        <v>1.0</v>
      </c>
      <c r="V27" s="92" t="s">
        <v>2308</v>
      </c>
      <c r="W27" s="968"/>
      <c r="X27" s="85" t="s">
        <v>121</v>
      </c>
      <c r="Y27" s="128">
        <v>220000.0</v>
      </c>
      <c r="Z27" s="25"/>
      <c r="AA27" s="25"/>
      <c r="AB27" s="25"/>
      <c r="AC27" s="22"/>
    </row>
    <row r="28" ht="34.5" customHeight="1">
      <c r="A28" s="111">
        <v>19.0</v>
      </c>
      <c r="B28" s="1457">
        <v>44923.0</v>
      </c>
      <c r="C28" s="1146">
        <v>1.697261481498E12</v>
      </c>
      <c r="D28" s="126" t="s">
        <v>294</v>
      </c>
      <c r="E28" s="1630" t="s">
        <v>295</v>
      </c>
      <c r="F28" s="1147" t="s">
        <v>1161</v>
      </c>
      <c r="G28" s="126" t="s">
        <v>47</v>
      </c>
      <c r="H28" s="39">
        <v>3.0</v>
      </c>
      <c r="I28" s="1163">
        <v>220000.0</v>
      </c>
      <c r="J28" s="450">
        <f t="shared" si="2"/>
        <v>660000</v>
      </c>
      <c r="K28" s="49">
        <f>sum(J28)</f>
        <v>660000</v>
      </c>
      <c r="L28" s="127"/>
      <c r="M28" s="562"/>
      <c r="N28" s="53">
        <f t="shared" si="8"/>
        <v>660000</v>
      </c>
      <c r="O28" s="1441" t="s">
        <v>449</v>
      </c>
      <c r="P28" s="1441" t="s">
        <v>31</v>
      </c>
      <c r="Q28" s="55">
        <v>54001.0</v>
      </c>
      <c r="R28" s="56" t="s">
        <v>32</v>
      </c>
      <c r="S28" s="57" t="s">
        <v>33</v>
      </c>
      <c r="T28" s="63" t="s">
        <v>2354</v>
      </c>
      <c r="U28" s="64">
        <v>1.0</v>
      </c>
      <c r="V28" s="44" t="s">
        <v>2355</v>
      </c>
      <c r="W28" s="22"/>
      <c r="X28" s="85"/>
      <c r="Y28" s="128"/>
      <c r="Z28" s="25"/>
      <c r="AA28" s="25"/>
      <c r="AB28" s="25"/>
      <c r="AC28" s="22"/>
    </row>
    <row r="29" ht="34.5" customHeight="1">
      <c r="A29" s="67"/>
      <c r="B29" s="67"/>
      <c r="C29" s="67"/>
      <c r="D29" s="67"/>
      <c r="E29" s="67"/>
      <c r="F29" s="67"/>
      <c r="G29" s="67"/>
      <c r="H29" s="67"/>
      <c r="I29" s="819"/>
      <c r="J29" s="453"/>
      <c r="K29" s="67"/>
      <c r="L29" s="67"/>
      <c r="M29" s="67"/>
      <c r="N29" s="67"/>
      <c r="O29" s="67"/>
      <c r="P29" s="67"/>
      <c r="Q29" s="67"/>
      <c r="R29" s="67"/>
      <c r="S29" s="67"/>
      <c r="T29" s="63" t="s">
        <v>2180</v>
      </c>
      <c r="U29" s="64">
        <v>1.0</v>
      </c>
      <c r="V29" s="67"/>
      <c r="W29" s="22"/>
      <c r="X29" s="85" t="s">
        <v>123</v>
      </c>
      <c r="Y29" s="128">
        <v>220000.0</v>
      </c>
      <c r="Z29" s="25"/>
      <c r="AA29" s="25"/>
      <c r="AB29" s="25"/>
      <c r="AC29" s="22"/>
    </row>
    <row r="30" ht="23.25" customHeight="1">
      <c r="A30" s="111">
        <v>20.0</v>
      </c>
      <c r="B30" s="1457">
        <v>44923.0</v>
      </c>
      <c r="C30" s="1146">
        <v>1.697196873955E12</v>
      </c>
      <c r="D30" s="126" t="s">
        <v>446</v>
      </c>
      <c r="E30" s="1630" t="s">
        <v>447</v>
      </c>
      <c r="F30" s="126" t="s">
        <v>2356</v>
      </c>
      <c r="G30" s="63" t="s">
        <v>30</v>
      </c>
      <c r="H30" s="64">
        <v>6.0</v>
      </c>
      <c r="I30" s="975">
        <v>220000.0</v>
      </c>
      <c r="J30" s="48">
        <f t="shared" ref="J30:J83" si="9">H30*I30</f>
        <v>1320000</v>
      </c>
      <c r="K30" s="49">
        <f>SUM(J30:J31)</f>
        <v>1480000</v>
      </c>
      <c r="L30" s="50"/>
      <c r="M30" s="562"/>
      <c r="N30" s="53">
        <f>K30+L30-M30</f>
        <v>1480000</v>
      </c>
      <c r="O30" s="1441" t="s">
        <v>449</v>
      </c>
      <c r="P30" s="1441" t="s">
        <v>31</v>
      </c>
      <c r="Q30" s="55">
        <v>76002.0</v>
      </c>
      <c r="R30" s="56" t="s">
        <v>32</v>
      </c>
      <c r="S30" s="57" t="s">
        <v>33</v>
      </c>
      <c r="T30" s="63" t="s">
        <v>2180</v>
      </c>
      <c r="U30" s="64">
        <v>2.0</v>
      </c>
      <c r="V30" s="44" t="s">
        <v>2357</v>
      </c>
      <c r="W30" s="22"/>
      <c r="X30" s="85" t="s">
        <v>124</v>
      </c>
      <c r="Y30" s="128">
        <v>220000.0</v>
      </c>
      <c r="Z30" s="25"/>
      <c r="AA30" s="25"/>
      <c r="AB30" s="25"/>
      <c r="AC30" s="22"/>
    </row>
    <row r="31" ht="23.25" customHeight="1">
      <c r="A31" s="67"/>
      <c r="B31" s="67"/>
      <c r="C31" s="67"/>
      <c r="D31" s="67"/>
      <c r="E31" s="67"/>
      <c r="F31" s="67"/>
      <c r="G31" s="63" t="s">
        <v>2180</v>
      </c>
      <c r="H31" s="64">
        <v>2.0</v>
      </c>
      <c r="I31" s="975">
        <v>80000.0</v>
      </c>
      <c r="J31" s="48">
        <f t="shared" si="9"/>
        <v>160000</v>
      </c>
      <c r="K31" s="67"/>
      <c r="L31" s="67"/>
      <c r="M31" s="67"/>
      <c r="N31" s="67"/>
      <c r="O31" s="67"/>
      <c r="P31" s="67"/>
      <c r="Q31" s="67"/>
      <c r="R31" s="67"/>
      <c r="S31" s="67"/>
      <c r="T31" s="63" t="s">
        <v>2354</v>
      </c>
      <c r="U31" s="64">
        <v>1.0</v>
      </c>
      <c r="V31" s="67"/>
      <c r="W31" s="22"/>
      <c r="X31" s="129" t="s">
        <v>125</v>
      </c>
      <c r="Y31" s="80">
        <v>220000.0</v>
      </c>
      <c r="Z31" s="25"/>
      <c r="AA31" s="25"/>
      <c r="AB31" s="25"/>
      <c r="AC31" s="22"/>
    </row>
    <row r="32" ht="23.25" customHeight="1">
      <c r="A32" s="93">
        <v>21.0</v>
      </c>
      <c r="B32" s="1452">
        <v>44924.0</v>
      </c>
      <c r="C32" s="1152">
        <v>1.684903549224E12</v>
      </c>
      <c r="D32" s="432" t="s">
        <v>2358</v>
      </c>
      <c r="E32" s="902" t="s">
        <v>2359</v>
      </c>
      <c r="F32" s="1153" t="s">
        <v>2360</v>
      </c>
      <c r="G32" s="457"/>
      <c r="H32" s="85"/>
      <c r="I32" s="459"/>
      <c r="J32" s="48">
        <f t="shared" si="9"/>
        <v>0</v>
      </c>
      <c r="K32" s="76"/>
      <c r="L32" s="1002"/>
      <c r="M32" s="136"/>
      <c r="N32" s="80">
        <f>K32+L32-M32</f>
        <v>0</v>
      </c>
      <c r="O32" s="1446" t="s">
        <v>449</v>
      </c>
      <c r="P32" s="1650"/>
      <c r="Q32" s="108">
        <v>13200.0</v>
      </c>
      <c r="R32" s="83" t="s">
        <v>32</v>
      </c>
      <c r="S32" s="84" t="s">
        <v>33</v>
      </c>
      <c r="T32" s="92" t="s">
        <v>75</v>
      </c>
      <c r="U32" s="93">
        <v>1.0</v>
      </c>
      <c r="V32" s="92" t="s">
        <v>2308</v>
      </c>
      <c r="W32" s="968"/>
      <c r="X32" s="129" t="s">
        <v>129</v>
      </c>
      <c r="Y32" s="80">
        <v>220000.0</v>
      </c>
      <c r="Z32" s="25"/>
      <c r="AA32" s="25"/>
      <c r="AB32" s="25"/>
      <c r="AC32" s="22"/>
    </row>
    <row r="33" ht="23.25" customHeight="1">
      <c r="A33" s="64">
        <v>22.0</v>
      </c>
      <c r="B33" s="1452">
        <v>44924.0</v>
      </c>
      <c r="C33" s="1240">
        <v>1.68490065483E12</v>
      </c>
      <c r="D33" s="68" t="s">
        <v>2361</v>
      </c>
      <c r="E33" s="1616" t="s">
        <v>2053</v>
      </c>
      <c r="F33" s="1358" t="s">
        <v>2054</v>
      </c>
      <c r="G33" s="457"/>
      <c r="H33" s="85"/>
      <c r="I33" s="459"/>
      <c r="J33" s="48">
        <f t="shared" si="9"/>
        <v>0</v>
      </c>
      <c r="K33" s="76"/>
      <c r="L33" s="77"/>
      <c r="M33" s="136"/>
      <c r="N33" s="80"/>
      <c r="O33" s="1446" t="s">
        <v>449</v>
      </c>
      <c r="P33" s="1650"/>
      <c r="Q33" s="82">
        <v>28000.0</v>
      </c>
      <c r="R33" s="83" t="s">
        <v>32</v>
      </c>
      <c r="S33" s="84" t="s">
        <v>33</v>
      </c>
      <c r="T33" s="92" t="s">
        <v>75</v>
      </c>
      <c r="U33" s="93">
        <v>1.0</v>
      </c>
      <c r="V33" s="92" t="s">
        <v>2308</v>
      </c>
      <c r="W33" s="968"/>
      <c r="X33" s="85" t="s">
        <v>133</v>
      </c>
      <c r="Y33" s="128">
        <v>220000.0</v>
      </c>
      <c r="Z33" s="25"/>
      <c r="AA33" s="25"/>
      <c r="AB33" s="25"/>
      <c r="AC33" s="22"/>
    </row>
    <row r="34" ht="23.25" customHeight="1">
      <c r="A34" s="93">
        <v>23.0</v>
      </c>
      <c r="B34" s="1452">
        <v>44924.0</v>
      </c>
      <c r="C34" s="1240">
        <v>1.684830027748E12</v>
      </c>
      <c r="D34" s="68" t="s">
        <v>2362</v>
      </c>
      <c r="E34" s="1616" t="s">
        <v>2363</v>
      </c>
      <c r="F34" s="1358" t="s">
        <v>2364</v>
      </c>
      <c r="G34" s="457"/>
      <c r="H34" s="85"/>
      <c r="I34" s="459"/>
      <c r="J34" s="48">
        <f t="shared" si="9"/>
        <v>0</v>
      </c>
      <c r="K34" s="76"/>
      <c r="L34" s="77"/>
      <c r="M34" s="136"/>
      <c r="N34" s="80">
        <f t="shared" ref="N34:N44" si="10">K34+L34-M34</f>
        <v>0</v>
      </c>
      <c r="O34" s="1446" t="s">
        <v>449</v>
      </c>
      <c r="P34" s="1650"/>
      <c r="Q34" s="82">
        <v>38000.0</v>
      </c>
      <c r="R34" s="83" t="s">
        <v>32</v>
      </c>
      <c r="S34" s="84" t="s">
        <v>33</v>
      </c>
      <c r="T34" s="92" t="s">
        <v>75</v>
      </c>
      <c r="U34" s="93">
        <v>1.0</v>
      </c>
      <c r="V34" s="92" t="s">
        <v>2308</v>
      </c>
      <c r="W34" s="968"/>
      <c r="X34" s="85" t="s">
        <v>135</v>
      </c>
      <c r="Y34" s="128">
        <v>220000.0</v>
      </c>
      <c r="Z34" s="25"/>
      <c r="AA34" s="25"/>
      <c r="AB34" s="25"/>
      <c r="AC34" s="22"/>
    </row>
    <row r="35" ht="23.25" customHeight="1">
      <c r="A35" s="64">
        <v>24.0</v>
      </c>
      <c r="B35" s="1452">
        <v>44924.0</v>
      </c>
      <c r="C35" s="1240">
        <v>1.685363450464E12</v>
      </c>
      <c r="D35" s="68" t="s">
        <v>578</v>
      </c>
      <c r="E35" s="1616" t="s">
        <v>2365</v>
      </c>
      <c r="F35" s="1358" t="s">
        <v>2366</v>
      </c>
      <c r="G35" s="457"/>
      <c r="H35" s="85"/>
      <c r="I35" s="459"/>
      <c r="J35" s="48">
        <f t="shared" si="9"/>
        <v>0</v>
      </c>
      <c r="K35" s="76"/>
      <c r="L35" s="77"/>
      <c r="M35" s="136"/>
      <c r="N35" s="80">
        <f t="shared" si="10"/>
        <v>0</v>
      </c>
      <c r="O35" s="1446" t="s">
        <v>449</v>
      </c>
      <c r="P35" s="1650"/>
      <c r="Q35" s="82">
        <v>13200.0</v>
      </c>
      <c r="R35" s="83" t="s">
        <v>32</v>
      </c>
      <c r="S35" s="84" t="s">
        <v>33</v>
      </c>
      <c r="T35" s="92" t="s">
        <v>75</v>
      </c>
      <c r="U35" s="93">
        <v>1.0</v>
      </c>
      <c r="V35" s="92" t="s">
        <v>2308</v>
      </c>
      <c r="W35" s="968"/>
      <c r="X35" s="64" t="s">
        <v>2194</v>
      </c>
      <c r="Y35" s="128">
        <v>80000.0</v>
      </c>
      <c r="Z35" s="25"/>
      <c r="AA35" s="25"/>
      <c r="AB35" s="25"/>
      <c r="AC35" s="22"/>
    </row>
    <row r="36" ht="23.25" customHeight="1">
      <c r="A36" s="93">
        <v>25.0</v>
      </c>
      <c r="B36" s="1452">
        <v>44924.0</v>
      </c>
      <c r="C36" s="1240">
        <v>1.684735508385E12</v>
      </c>
      <c r="D36" s="133" t="s">
        <v>2367</v>
      </c>
      <c r="E36" s="1103" t="s">
        <v>2368</v>
      </c>
      <c r="F36" s="1241" t="s">
        <v>2369</v>
      </c>
      <c r="G36" s="63" t="s">
        <v>47</v>
      </c>
      <c r="H36" s="64">
        <v>3.0</v>
      </c>
      <c r="I36" s="975">
        <v>220000.0</v>
      </c>
      <c r="J36" s="48">
        <f t="shared" si="9"/>
        <v>660000</v>
      </c>
      <c r="K36" s="76">
        <f t="shared" ref="K36:K38" si="11">SUM(J36)</f>
        <v>660000</v>
      </c>
      <c r="L36" s="138"/>
      <c r="M36" s="136"/>
      <c r="N36" s="80">
        <f t="shared" si="10"/>
        <v>660000</v>
      </c>
      <c r="O36" s="1446" t="s">
        <v>449</v>
      </c>
      <c r="P36" s="1446" t="s">
        <v>31</v>
      </c>
      <c r="Q36" s="82">
        <v>57001.0</v>
      </c>
      <c r="R36" s="83" t="s">
        <v>32</v>
      </c>
      <c r="S36" s="84" t="s">
        <v>33</v>
      </c>
      <c r="T36" s="63" t="s">
        <v>2180</v>
      </c>
      <c r="U36" s="93">
        <v>1.0</v>
      </c>
      <c r="V36" s="92" t="s">
        <v>2370</v>
      </c>
      <c r="W36" s="968"/>
      <c r="X36" s="85" t="s">
        <v>142</v>
      </c>
      <c r="Y36" s="128">
        <v>220000.0</v>
      </c>
      <c r="Z36" s="25"/>
      <c r="AA36" s="25"/>
      <c r="AB36" s="25"/>
      <c r="AC36" s="22"/>
    </row>
    <row r="37" ht="23.25" customHeight="1">
      <c r="A37" s="64">
        <v>26.0</v>
      </c>
      <c r="B37" s="1452">
        <v>44924.0</v>
      </c>
      <c r="C37" s="1152">
        <v>1.685013987141E12</v>
      </c>
      <c r="D37" s="92" t="s">
        <v>2033</v>
      </c>
      <c r="E37" s="902" t="s">
        <v>2034</v>
      </c>
      <c r="F37" s="1153" t="s">
        <v>2371</v>
      </c>
      <c r="G37" s="63" t="s">
        <v>30</v>
      </c>
      <c r="H37" s="64">
        <v>1.0</v>
      </c>
      <c r="I37" s="975">
        <v>220000.0</v>
      </c>
      <c r="J37" s="48">
        <f t="shared" si="9"/>
        <v>220000</v>
      </c>
      <c r="K37" s="76">
        <f t="shared" si="11"/>
        <v>220000</v>
      </c>
      <c r="L37" s="1002"/>
      <c r="M37" s="136"/>
      <c r="N37" s="80">
        <f t="shared" si="10"/>
        <v>220000</v>
      </c>
      <c r="O37" s="1446" t="s">
        <v>449</v>
      </c>
      <c r="P37" s="1446" t="s">
        <v>31</v>
      </c>
      <c r="Q37" s="108">
        <v>45000.0</v>
      </c>
      <c r="R37" s="83" t="s">
        <v>32</v>
      </c>
      <c r="S37" s="84" t="s">
        <v>33</v>
      </c>
      <c r="T37" s="92" t="s">
        <v>75</v>
      </c>
      <c r="U37" s="93">
        <v>1.0</v>
      </c>
      <c r="V37" s="92" t="s">
        <v>2308</v>
      </c>
      <c r="W37" s="968"/>
      <c r="X37" s="85" t="s">
        <v>145</v>
      </c>
      <c r="Y37" s="128">
        <v>220000.0</v>
      </c>
      <c r="Z37" s="25"/>
      <c r="AA37" s="25"/>
      <c r="AB37" s="25"/>
      <c r="AC37" s="22"/>
    </row>
    <row r="38" ht="23.25" customHeight="1">
      <c r="A38" s="93">
        <v>27.0</v>
      </c>
      <c r="B38" s="1452">
        <v>44924.0</v>
      </c>
      <c r="C38" s="1152">
        <v>1.685107244378E12</v>
      </c>
      <c r="D38" s="92" t="s">
        <v>2372</v>
      </c>
      <c r="E38" s="902" t="s">
        <v>2373</v>
      </c>
      <c r="F38" s="1153" t="s">
        <v>2374</v>
      </c>
      <c r="G38" s="63" t="s">
        <v>47</v>
      </c>
      <c r="H38" s="64">
        <v>1.0</v>
      </c>
      <c r="I38" s="975">
        <v>220000.0</v>
      </c>
      <c r="J38" s="48">
        <f t="shared" si="9"/>
        <v>220000</v>
      </c>
      <c r="K38" s="76">
        <f t="shared" si="11"/>
        <v>220000</v>
      </c>
      <c r="L38" s="1002"/>
      <c r="M38" s="136"/>
      <c r="N38" s="80">
        <f t="shared" si="10"/>
        <v>220000</v>
      </c>
      <c r="O38" s="1446" t="s">
        <v>449</v>
      </c>
      <c r="P38" s="1446" t="s">
        <v>31</v>
      </c>
      <c r="Q38" s="108">
        <v>48501.0</v>
      </c>
      <c r="R38" s="83" t="s">
        <v>32</v>
      </c>
      <c r="S38" s="84" t="s">
        <v>33</v>
      </c>
      <c r="T38" s="92" t="s">
        <v>75</v>
      </c>
      <c r="U38" s="93">
        <v>1.0</v>
      </c>
      <c r="V38" s="92" t="s">
        <v>2308</v>
      </c>
      <c r="W38" s="968"/>
      <c r="X38" s="85" t="s">
        <v>153</v>
      </c>
      <c r="Y38" s="128">
        <v>45000.0</v>
      </c>
      <c r="Z38" s="25"/>
      <c r="AA38" s="25"/>
      <c r="AB38" s="25"/>
      <c r="AC38" s="22"/>
    </row>
    <row r="39" ht="23.25" customHeight="1">
      <c r="A39" s="64">
        <v>28.0</v>
      </c>
      <c r="B39" s="1452">
        <v>44924.0</v>
      </c>
      <c r="C39" s="1240">
        <v>1.696375260203E12</v>
      </c>
      <c r="D39" s="88" t="s">
        <v>2157</v>
      </c>
      <c r="E39" s="1103" t="s">
        <v>2158</v>
      </c>
      <c r="F39" s="1653" t="s">
        <v>2375</v>
      </c>
      <c r="G39" s="457"/>
      <c r="H39" s="85"/>
      <c r="I39" s="459"/>
      <c r="J39" s="48">
        <f t="shared" si="9"/>
        <v>0</v>
      </c>
      <c r="K39" s="76"/>
      <c r="L39" s="138"/>
      <c r="M39" s="136"/>
      <c r="N39" s="80">
        <f t="shared" si="10"/>
        <v>0</v>
      </c>
      <c r="O39" s="1446" t="s">
        <v>449</v>
      </c>
      <c r="P39" s="1650"/>
      <c r="Q39" s="82">
        <v>13200.0</v>
      </c>
      <c r="R39" s="83" t="s">
        <v>32</v>
      </c>
      <c r="S39" s="84" t="s">
        <v>33</v>
      </c>
      <c r="T39" s="92" t="s">
        <v>75</v>
      </c>
      <c r="U39" s="93">
        <v>1.0</v>
      </c>
      <c r="V39" s="92" t="s">
        <v>2308</v>
      </c>
      <c r="W39" s="968"/>
      <c r="X39" s="139" t="s">
        <v>151</v>
      </c>
      <c r="Y39" s="140">
        <v>220000.0</v>
      </c>
      <c r="Z39" s="25"/>
      <c r="AA39" s="25"/>
      <c r="AB39" s="25"/>
      <c r="AC39" s="22"/>
    </row>
    <row r="40" ht="23.25" customHeight="1">
      <c r="A40" s="93">
        <v>29.0</v>
      </c>
      <c r="B40" s="1452">
        <v>44924.0</v>
      </c>
      <c r="C40" s="1152">
        <v>1.696228845006E12</v>
      </c>
      <c r="D40" s="432" t="s">
        <v>2376</v>
      </c>
      <c r="E40" s="902" t="s">
        <v>2377</v>
      </c>
      <c r="F40" s="92" t="s">
        <v>2378</v>
      </c>
      <c r="G40" s="457"/>
      <c r="H40" s="85"/>
      <c r="I40" s="459"/>
      <c r="J40" s="48">
        <f t="shared" si="9"/>
        <v>0</v>
      </c>
      <c r="K40" s="76"/>
      <c r="L40" s="1002"/>
      <c r="M40" s="136"/>
      <c r="N40" s="80">
        <f t="shared" si="10"/>
        <v>0</v>
      </c>
      <c r="O40" s="1446" t="s">
        <v>449</v>
      </c>
      <c r="P40" s="1650"/>
      <c r="Q40" s="108">
        <v>13200.0</v>
      </c>
      <c r="R40" s="83" t="s">
        <v>32</v>
      </c>
      <c r="S40" s="84" t="s">
        <v>33</v>
      </c>
      <c r="T40" s="92" t="s">
        <v>75</v>
      </c>
      <c r="U40" s="93">
        <v>1.0</v>
      </c>
      <c r="V40" s="92" t="s">
        <v>2308</v>
      </c>
      <c r="W40" s="968"/>
      <c r="X40" s="65" t="s">
        <v>148</v>
      </c>
      <c r="Y40" s="66">
        <v>220000.0</v>
      </c>
      <c r="Z40" s="25"/>
      <c r="AA40" s="25"/>
      <c r="AB40" s="25"/>
      <c r="AC40" s="22"/>
    </row>
    <row r="41" ht="23.25" customHeight="1">
      <c r="A41" s="64">
        <v>30.0</v>
      </c>
      <c r="B41" s="1452">
        <v>44924.0</v>
      </c>
      <c r="C41" s="1152">
        <v>1.695889036523E12</v>
      </c>
      <c r="D41" s="432" t="s">
        <v>771</v>
      </c>
      <c r="E41" s="902" t="s">
        <v>772</v>
      </c>
      <c r="F41" s="92" t="s">
        <v>2379</v>
      </c>
      <c r="G41" s="457"/>
      <c r="H41" s="85"/>
      <c r="I41" s="459"/>
      <c r="J41" s="48">
        <f t="shared" si="9"/>
        <v>0</v>
      </c>
      <c r="K41" s="76"/>
      <c r="L41" s="1002"/>
      <c r="M41" s="136"/>
      <c r="N41" s="80">
        <f t="shared" si="10"/>
        <v>0</v>
      </c>
      <c r="O41" s="1446" t="s">
        <v>449</v>
      </c>
      <c r="P41" s="1650"/>
      <c r="Q41" s="108">
        <v>13200.0</v>
      </c>
      <c r="R41" s="83" t="s">
        <v>32</v>
      </c>
      <c r="S41" s="84" t="s">
        <v>33</v>
      </c>
      <c r="T41" s="92" t="s">
        <v>75</v>
      </c>
      <c r="U41" s="93">
        <v>1.0</v>
      </c>
      <c r="V41" s="92" t="s">
        <v>2308</v>
      </c>
      <c r="W41" s="968"/>
      <c r="X41" s="93" t="s">
        <v>488</v>
      </c>
      <c r="Y41" s="87">
        <v>45000.0</v>
      </c>
      <c r="Z41" s="25"/>
      <c r="AA41" s="25"/>
      <c r="AB41" s="25"/>
      <c r="AC41" s="22"/>
    </row>
    <row r="42" ht="23.25" customHeight="1">
      <c r="A42" s="93">
        <v>31.0</v>
      </c>
      <c r="B42" s="1452">
        <v>44924.0</v>
      </c>
      <c r="C42" s="1152">
        <v>1.696076520254E12</v>
      </c>
      <c r="D42" s="432" t="s">
        <v>2380</v>
      </c>
      <c r="E42" s="902" t="s">
        <v>2381</v>
      </c>
      <c r="F42" s="92" t="s">
        <v>2382</v>
      </c>
      <c r="G42" s="457"/>
      <c r="H42" s="85"/>
      <c r="I42" s="459"/>
      <c r="J42" s="48">
        <f t="shared" si="9"/>
        <v>0</v>
      </c>
      <c r="K42" s="76"/>
      <c r="L42" s="1002"/>
      <c r="M42" s="136"/>
      <c r="N42" s="80">
        <f t="shared" si="10"/>
        <v>0</v>
      </c>
      <c r="O42" s="1446" t="s">
        <v>449</v>
      </c>
      <c r="P42" s="1650"/>
      <c r="Q42" s="108">
        <v>13200.0</v>
      </c>
      <c r="R42" s="83" t="s">
        <v>32</v>
      </c>
      <c r="S42" s="84" t="s">
        <v>33</v>
      </c>
      <c r="T42" s="92" t="s">
        <v>75</v>
      </c>
      <c r="U42" s="93">
        <v>1.0</v>
      </c>
      <c r="V42" s="92" t="s">
        <v>2308</v>
      </c>
      <c r="W42" s="968"/>
      <c r="X42" s="93" t="s">
        <v>412</v>
      </c>
      <c r="Y42" s="87">
        <v>45000.0</v>
      </c>
      <c r="Z42" s="25"/>
      <c r="AA42" s="25"/>
      <c r="AB42" s="25"/>
      <c r="AC42" s="22"/>
    </row>
    <row r="43" ht="23.25" customHeight="1">
      <c r="A43" s="64">
        <v>32.0</v>
      </c>
      <c r="B43" s="1452">
        <v>44924.0</v>
      </c>
      <c r="C43" s="1152">
        <v>1.696869442996E12</v>
      </c>
      <c r="D43" s="92" t="s">
        <v>1118</v>
      </c>
      <c r="E43" s="902" t="s">
        <v>1119</v>
      </c>
      <c r="F43" s="1153" t="s">
        <v>1120</v>
      </c>
      <c r="G43" s="63" t="s">
        <v>30</v>
      </c>
      <c r="H43" s="64">
        <v>3.0</v>
      </c>
      <c r="I43" s="975">
        <v>220000.0</v>
      </c>
      <c r="J43" s="48">
        <f t="shared" si="9"/>
        <v>660000</v>
      </c>
      <c r="K43" s="76">
        <f>SUM(J43)</f>
        <v>660000</v>
      </c>
      <c r="L43" s="1002"/>
      <c r="M43" s="136"/>
      <c r="N43" s="80">
        <f t="shared" si="10"/>
        <v>660000</v>
      </c>
      <c r="O43" s="1446" t="s">
        <v>449</v>
      </c>
      <c r="P43" s="1446" t="s">
        <v>31</v>
      </c>
      <c r="Q43" s="108">
        <v>54001.0</v>
      </c>
      <c r="R43" s="83" t="s">
        <v>32</v>
      </c>
      <c r="S43" s="84" t="s">
        <v>33</v>
      </c>
      <c r="T43" s="92" t="s">
        <v>2180</v>
      </c>
      <c r="U43" s="93">
        <v>1.0</v>
      </c>
      <c r="V43" s="92" t="s">
        <v>2370</v>
      </c>
      <c r="W43" s="22"/>
      <c r="X43" s="9"/>
      <c r="Y43" s="204"/>
      <c r="Z43" s="25"/>
      <c r="AA43" s="25"/>
      <c r="AB43" s="25"/>
      <c r="AC43" s="22"/>
    </row>
    <row r="44" ht="23.25" customHeight="1">
      <c r="A44" s="111">
        <v>33.0</v>
      </c>
      <c r="B44" s="1457">
        <v>44924.0</v>
      </c>
      <c r="C44" s="1135">
        <v>1.696651327399E12</v>
      </c>
      <c r="D44" s="142" t="s">
        <v>2383</v>
      </c>
      <c r="E44" s="1449" t="s">
        <v>2384</v>
      </c>
      <c r="F44" s="1136" t="s">
        <v>2385</v>
      </c>
      <c r="G44" s="63" t="s">
        <v>30</v>
      </c>
      <c r="H44" s="64">
        <v>2.0</v>
      </c>
      <c r="I44" s="975">
        <v>220000.0</v>
      </c>
      <c r="J44" s="48">
        <f t="shared" si="9"/>
        <v>440000</v>
      </c>
      <c r="K44" s="49">
        <f>SUM(J44:J45)</f>
        <v>660000</v>
      </c>
      <c r="L44" s="1009"/>
      <c r="M44" s="562"/>
      <c r="N44" s="53">
        <f t="shared" si="10"/>
        <v>660000</v>
      </c>
      <c r="O44" s="1441" t="s">
        <v>449</v>
      </c>
      <c r="P44" s="1441" t="s">
        <v>31</v>
      </c>
      <c r="Q44" s="145">
        <v>57001.0</v>
      </c>
      <c r="R44" s="56" t="s">
        <v>32</v>
      </c>
      <c r="S44" s="57" t="s">
        <v>33</v>
      </c>
      <c r="T44" s="142" t="s">
        <v>2180</v>
      </c>
      <c r="U44" s="111">
        <v>1.0</v>
      </c>
      <c r="V44" s="142" t="s">
        <v>2386</v>
      </c>
      <c r="W44" s="22"/>
      <c r="X44" s="9"/>
      <c r="Y44" s="204"/>
      <c r="Z44" s="25"/>
      <c r="AA44" s="25"/>
      <c r="AB44" s="25"/>
      <c r="AC44" s="22"/>
    </row>
    <row r="45" ht="23.25" customHeight="1">
      <c r="A45" s="67"/>
      <c r="B45" s="67"/>
      <c r="C45" s="67"/>
      <c r="D45" s="67"/>
      <c r="E45" s="67"/>
      <c r="F45" s="67"/>
      <c r="G45" s="63" t="s">
        <v>47</v>
      </c>
      <c r="H45" s="64">
        <v>1.0</v>
      </c>
      <c r="I45" s="975">
        <v>220000.0</v>
      </c>
      <c r="J45" s="48">
        <f t="shared" si="9"/>
        <v>220000</v>
      </c>
      <c r="K45" s="67"/>
      <c r="L45" s="67"/>
      <c r="M45" s="67"/>
      <c r="N45" s="67"/>
      <c r="O45" s="67"/>
      <c r="P45" s="67"/>
      <c r="Q45" s="67"/>
      <c r="R45" s="67"/>
      <c r="S45" s="67"/>
      <c r="T45" s="67"/>
      <c r="U45" s="67"/>
      <c r="V45" s="67"/>
      <c r="W45" s="22"/>
      <c r="X45" s="9"/>
      <c r="Y45" s="204"/>
      <c r="Z45" s="25"/>
      <c r="AA45" s="25"/>
      <c r="AB45" s="25"/>
      <c r="AC45" s="22"/>
    </row>
    <row r="46" ht="36.0" customHeight="1">
      <c r="A46" s="93">
        <v>34.0</v>
      </c>
      <c r="B46" s="103">
        <v>44924.0</v>
      </c>
      <c r="C46" s="1152">
        <v>1.696792389928E12</v>
      </c>
      <c r="D46" s="92" t="s">
        <v>2387</v>
      </c>
      <c r="E46" s="902" t="s">
        <v>2388</v>
      </c>
      <c r="F46" s="1153" t="s">
        <v>2389</v>
      </c>
      <c r="G46" s="63" t="s">
        <v>75</v>
      </c>
      <c r="H46" s="64">
        <v>1.0</v>
      </c>
      <c r="I46" s="975">
        <v>45000.0</v>
      </c>
      <c r="J46" s="48">
        <f t="shared" si="9"/>
        <v>45000</v>
      </c>
      <c r="K46" s="76">
        <f>SUM(J46)</f>
        <v>45000</v>
      </c>
      <c r="L46" s="1002"/>
      <c r="M46" s="136"/>
      <c r="N46" s="80">
        <f t="shared" ref="N46:N47" si="12">K46+L46-M46</f>
        <v>45000</v>
      </c>
      <c r="O46" s="1446" t="s">
        <v>449</v>
      </c>
      <c r="P46" s="1446" t="s">
        <v>31</v>
      </c>
      <c r="Q46" s="108">
        <v>42000.0</v>
      </c>
      <c r="R46" s="83" t="s">
        <v>32</v>
      </c>
      <c r="S46" s="84" t="s">
        <v>33</v>
      </c>
      <c r="T46" s="92" t="s">
        <v>75</v>
      </c>
      <c r="U46" s="93">
        <v>1.0</v>
      </c>
      <c r="V46" s="121" t="s">
        <v>2390</v>
      </c>
      <c r="W46" s="968"/>
      <c r="X46" s="9"/>
      <c r="Y46" s="204"/>
      <c r="Z46" s="25"/>
      <c r="AA46" s="25"/>
      <c r="AB46" s="25"/>
      <c r="AC46" s="22"/>
    </row>
    <row r="47" ht="30.0" customHeight="1">
      <c r="A47" s="111">
        <v>35.0</v>
      </c>
      <c r="B47" s="112">
        <v>44925.0</v>
      </c>
      <c r="C47" s="1135">
        <v>1.676814197941E12</v>
      </c>
      <c r="D47" s="142" t="s">
        <v>294</v>
      </c>
      <c r="E47" s="1449" t="s">
        <v>295</v>
      </c>
      <c r="F47" s="1136" t="s">
        <v>1161</v>
      </c>
      <c r="G47" s="63" t="s">
        <v>30</v>
      </c>
      <c r="H47" s="64">
        <v>20.0</v>
      </c>
      <c r="I47" s="975">
        <v>220000.0</v>
      </c>
      <c r="J47" s="48">
        <f t="shared" si="9"/>
        <v>4400000</v>
      </c>
      <c r="K47" s="49">
        <f>SUM(J47:J53)</f>
        <v>16840000</v>
      </c>
      <c r="L47" s="1009"/>
      <c r="M47" s="562"/>
      <c r="N47" s="53">
        <f t="shared" si="12"/>
        <v>16840000</v>
      </c>
      <c r="O47" s="1441" t="s">
        <v>449</v>
      </c>
      <c r="P47" s="1441" t="s">
        <v>31</v>
      </c>
      <c r="Q47" s="145">
        <v>510775.0</v>
      </c>
      <c r="R47" s="56" t="s">
        <v>32</v>
      </c>
      <c r="S47" s="57" t="s">
        <v>33</v>
      </c>
      <c r="T47" s="92" t="s">
        <v>165</v>
      </c>
      <c r="U47" s="93">
        <v>2.0</v>
      </c>
      <c r="V47" s="92" t="s">
        <v>2391</v>
      </c>
      <c r="W47" s="22"/>
      <c r="X47" s="9"/>
      <c r="Y47" s="204"/>
      <c r="Z47" s="25"/>
      <c r="AA47" s="25"/>
      <c r="AB47" s="25"/>
      <c r="AC47" s="22"/>
    </row>
    <row r="48" ht="23.25" customHeight="1">
      <c r="A48" s="62"/>
      <c r="B48" s="62"/>
      <c r="C48" s="62"/>
      <c r="D48" s="62"/>
      <c r="E48" s="62"/>
      <c r="F48" s="62"/>
      <c r="G48" s="63" t="s">
        <v>37</v>
      </c>
      <c r="H48" s="64">
        <v>20.0</v>
      </c>
      <c r="I48" s="975">
        <v>220000.0</v>
      </c>
      <c r="J48" s="48">
        <f t="shared" si="9"/>
        <v>4400000</v>
      </c>
      <c r="K48" s="62"/>
      <c r="L48" s="62"/>
      <c r="M48" s="62"/>
      <c r="N48" s="62"/>
      <c r="O48" s="62"/>
      <c r="P48" s="62"/>
      <c r="Q48" s="62"/>
      <c r="R48" s="62"/>
      <c r="S48" s="62"/>
      <c r="T48" s="92" t="s">
        <v>122</v>
      </c>
      <c r="U48" s="93">
        <v>2.0</v>
      </c>
      <c r="V48" s="92" t="s">
        <v>2392</v>
      </c>
      <c r="W48" s="22"/>
      <c r="X48" s="9"/>
      <c r="Y48" s="204"/>
      <c r="Z48" s="25"/>
      <c r="AA48" s="25"/>
      <c r="AB48" s="25"/>
      <c r="AC48" s="22"/>
    </row>
    <row r="49" ht="23.25" customHeight="1">
      <c r="A49" s="62"/>
      <c r="B49" s="62"/>
      <c r="C49" s="62"/>
      <c r="D49" s="62"/>
      <c r="E49" s="62"/>
      <c r="F49" s="62"/>
      <c r="G49" s="63" t="s">
        <v>47</v>
      </c>
      <c r="H49" s="64">
        <v>20.0</v>
      </c>
      <c r="I49" s="975">
        <v>220000.0</v>
      </c>
      <c r="J49" s="48">
        <f t="shared" si="9"/>
        <v>4400000</v>
      </c>
      <c r="K49" s="62"/>
      <c r="L49" s="62"/>
      <c r="M49" s="62"/>
      <c r="N49" s="62"/>
      <c r="O49" s="62"/>
      <c r="P49" s="62"/>
      <c r="Q49" s="62"/>
      <c r="R49" s="62"/>
      <c r="S49" s="62"/>
      <c r="T49" s="92" t="s">
        <v>2180</v>
      </c>
      <c r="U49" s="93">
        <v>20.0</v>
      </c>
      <c r="V49" s="92" t="s">
        <v>2393</v>
      </c>
      <c r="W49" s="22"/>
      <c r="X49" s="9"/>
      <c r="Y49" s="204"/>
      <c r="Z49" s="25"/>
      <c r="AA49" s="25"/>
      <c r="AB49" s="25"/>
      <c r="AC49" s="22"/>
    </row>
    <row r="50" ht="23.25" customHeight="1">
      <c r="A50" s="62"/>
      <c r="B50" s="62"/>
      <c r="C50" s="62"/>
      <c r="D50" s="62"/>
      <c r="E50" s="62"/>
      <c r="F50" s="62"/>
      <c r="G50" s="63" t="s">
        <v>165</v>
      </c>
      <c r="H50" s="64">
        <v>1.0</v>
      </c>
      <c r="I50" s="975">
        <v>220000.0</v>
      </c>
      <c r="J50" s="48">
        <f t="shared" si="9"/>
        <v>220000</v>
      </c>
      <c r="K50" s="62"/>
      <c r="L50" s="62"/>
      <c r="M50" s="62"/>
      <c r="N50" s="62"/>
      <c r="O50" s="62"/>
      <c r="P50" s="62"/>
      <c r="Q50" s="62"/>
      <c r="R50" s="62"/>
      <c r="S50" s="62"/>
      <c r="T50" s="142" t="s">
        <v>2354</v>
      </c>
      <c r="U50" s="111">
        <v>1.0</v>
      </c>
      <c r="V50" s="142" t="s">
        <v>2394</v>
      </c>
      <c r="W50" s="22"/>
      <c r="X50" s="9"/>
      <c r="Y50" s="204"/>
      <c r="Z50" s="25"/>
      <c r="AA50" s="25"/>
      <c r="AB50" s="25"/>
      <c r="AC50" s="22"/>
    </row>
    <row r="51" ht="23.25" customHeight="1">
      <c r="A51" s="62"/>
      <c r="B51" s="62"/>
      <c r="C51" s="62"/>
      <c r="D51" s="62"/>
      <c r="E51" s="62"/>
      <c r="F51" s="62"/>
      <c r="G51" s="63" t="s">
        <v>122</v>
      </c>
      <c r="H51" s="64">
        <v>1.0</v>
      </c>
      <c r="I51" s="975">
        <v>220000.0</v>
      </c>
      <c r="J51" s="48">
        <f t="shared" si="9"/>
        <v>220000</v>
      </c>
      <c r="K51" s="62"/>
      <c r="L51" s="62"/>
      <c r="M51" s="62"/>
      <c r="N51" s="62"/>
      <c r="O51" s="62"/>
      <c r="P51" s="62"/>
      <c r="Q51" s="62"/>
      <c r="R51" s="62"/>
      <c r="S51" s="62"/>
      <c r="T51" s="62"/>
      <c r="U51" s="62"/>
      <c r="V51" s="62"/>
      <c r="W51" s="22"/>
      <c r="X51" s="9"/>
      <c r="Y51" s="204"/>
      <c r="Z51" s="25"/>
      <c r="AA51" s="25"/>
      <c r="AB51" s="25"/>
      <c r="AC51" s="22"/>
    </row>
    <row r="52" ht="23.25" customHeight="1">
      <c r="A52" s="62"/>
      <c r="B52" s="62"/>
      <c r="C52" s="62"/>
      <c r="D52" s="62"/>
      <c r="E52" s="62"/>
      <c r="F52" s="62"/>
      <c r="G52" s="701" t="s">
        <v>2395</v>
      </c>
      <c r="H52" s="64">
        <v>16.0</v>
      </c>
      <c r="I52" s="975">
        <v>140000.0</v>
      </c>
      <c r="J52" s="48">
        <f t="shared" si="9"/>
        <v>2240000</v>
      </c>
      <c r="K52" s="62"/>
      <c r="L52" s="62"/>
      <c r="M52" s="62"/>
      <c r="N52" s="62"/>
      <c r="O52" s="62"/>
      <c r="P52" s="62"/>
      <c r="Q52" s="62"/>
      <c r="R52" s="62"/>
      <c r="S52" s="62"/>
      <c r="T52" s="62"/>
      <c r="U52" s="62"/>
      <c r="V52" s="62"/>
      <c r="W52" s="22"/>
      <c r="X52" s="9"/>
      <c r="Y52" s="204"/>
      <c r="Z52" s="25"/>
      <c r="AA52" s="25"/>
      <c r="AB52" s="25"/>
      <c r="AC52" s="22"/>
    </row>
    <row r="53" ht="23.25" customHeight="1">
      <c r="A53" s="67"/>
      <c r="B53" s="67"/>
      <c r="C53" s="67"/>
      <c r="D53" s="67"/>
      <c r="E53" s="67"/>
      <c r="F53" s="67"/>
      <c r="G53" s="701" t="s">
        <v>2289</v>
      </c>
      <c r="H53" s="64">
        <v>24.0</v>
      </c>
      <c r="I53" s="975">
        <v>40000.0</v>
      </c>
      <c r="J53" s="48">
        <f t="shared" si="9"/>
        <v>960000</v>
      </c>
      <c r="K53" s="67"/>
      <c r="L53" s="67"/>
      <c r="M53" s="67"/>
      <c r="N53" s="67"/>
      <c r="O53" s="67"/>
      <c r="P53" s="67"/>
      <c r="Q53" s="67"/>
      <c r="R53" s="67"/>
      <c r="S53" s="67"/>
      <c r="T53" s="67"/>
      <c r="U53" s="67"/>
      <c r="V53" s="67"/>
      <c r="W53" s="22"/>
      <c r="X53" s="9"/>
      <c r="Y53" s="204"/>
      <c r="Z53" s="25"/>
      <c r="AA53" s="25"/>
      <c r="AB53" s="25"/>
      <c r="AC53" s="22"/>
    </row>
    <row r="54" ht="33.75" customHeight="1">
      <c r="A54" s="64">
        <v>36.0</v>
      </c>
      <c r="B54" s="132">
        <v>44925.0</v>
      </c>
      <c r="C54" s="1240">
        <v>1.67919759382E12</v>
      </c>
      <c r="D54" s="63" t="s">
        <v>2396</v>
      </c>
      <c r="E54" s="1616" t="s">
        <v>2397</v>
      </c>
      <c r="F54" s="1480" t="s">
        <v>2398</v>
      </c>
      <c r="G54" s="457"/>
      <c r="H54" s="85"/>
      <c r="I54" s="459"/>
      <c r="J54" s="48">
        <f t="shared" si="9"/>
        <v>0</v>
      </c>
      <c r="K54" s="76"/>
      <c r="L54" s="89"/>
      <c r="M54" s="136"/>
      <c r="N54" s="80">
        <f t="shared" ref="N54:N62" si="13">K54+L54-M54</f>
        <v>0</v>
      </c>
      <c r="O54" s="1650"/>
      <c r="P54" s="1650"/>
      <c r="Q54" s="82">
        <v>13000.0</v>
      </c>
      <c r="R54" s="83" t="s">
        <v>32</v>
      </c>
      <c r="S54" s="84" t="s">
        <v>33</v>
      </c>
      <c r="T54" s="92" t="s">
        <v>75</v>
      </c>
      <c r="U54" s="64">
        <v>1.0</v>
      </c>
      <c r="V54" s="323" t="s">
        <v>2308</v>
      </c>
      <c r="W54" s="968"/>
      <c r="X54" s="9"/>
      <c r="Y54" s="204"/>
      <c r="Z54" s="25"/>
      <c r="AA54" s="25"/>
      <c r="AB54" s="25"/>
      <c r="AC54" s="22"/>
    </row>
    <row r="55" ht="23.25" customHeight="1">
      <c r="A55" s="64">
        <v>37.0</v>
      </c>
      <c r="B55" s="413">
        <v>44925.0</v>
      </c>
      <c r="C55" s="1139">
        <v>1.696445191936E12</v>
      </c>
      <c r="D55" s="88" t="s">
        <v>2361</v>
      </c>
      <c r="E55" s="1654" t="s">
        <v>2053</v>
      </c>
      <c r="F55" s="1655" t="s">
        <v>2054</v>
      </c>
      <c r="G55" s="68" t="s">
        <v>35</v>
      </c>
      <c r="H55" s="69">
        <v>1.0</v>
      </c>
      <c r="I55" s="975">
        <v>220000.0</v>
      </c>
      <c r="J55" s="48">
        <f t="shared" si="9"/>
        <v>220000</v>
      </c>
      <c r="K55" s="76">
        <f>SUM(J55)</f>
        <v>220000</v>
      </c>
      <c r="L55" s="1656">
        <v>38001.0</v>
      </c>
      <c r="M55" s="1455">
        <v>18001.0</v>
      </c>
      <c r="N55" s="80">
        <f t="shared" si="13"/>
        <v>240000</v>
      </c>
      <c r="O55" s="1446" t="s">
        <v>449</v>
      </c>
      <c r="P55" s="1446" t="s">
        <v>31</v>
      </c>
      <c r="Q55" s="82"/>
      <c r="R55" s="83"/>
      <c r="S55" s="84" t="s">
        <v>33</v>
      </c>
      <c r="T55" s="92" t="s">
        <v>75</v>
      </c>
      <c r="U55" s="64">
        <v>1.0</v>
      </c>
      <c r="V55" s="565" t="s">
        <v>2399</v>
      </c>
      <c r="W55" s="968"/>
      <c r="X55" s="9"/>
      <c r="Y55" s="204"/>
      <c r="Z55" s="25"/>
      <c r="AA55" s="25"/>
      <c r="AB55" s="25"/>
      <c r="AC55" s="22"/>
    </row>
    <row r="56" ht="23.25" customHeight="1">
      <c r="A56" s="93">
        <v>38.0</v>
      </c>
      <c r="B56" s="103">
        <v>44925.0</v>
      </c>
      <c r="C56" s="1152">
        <v>1.696507262184E12</v>
      </c>
      <c r="D56" s="432" t="s">
        <v>2400</v>
      </c>
      <c r="E56" s="902" t="s">
        <v>2401</v>
      </c>
      <c r="F56" s="1153" t="s">
        <v>2402</v>
      </c>
      <c r="G56" s="457"/>
      <c r="H56" s="85"/>
      <c r="I56" s="459"/>
      <c r="J56" s="48">
        <f t="shared" si="9"/>
        <v>0</v>
      </c>
      <c r="K56" s="76"/>
      <c r="L56" s="1002"/>
      <c r="M56" s="136"/>
      <c r="N56" s="80">
        <f t="shared" si="13"/>
        <v>0</v>
      </c>
      <c r="O56" s="1446" t="s">
        <v>449</v>
      </c>
      <c r="P56" s="1650"/>
      <c r="Q56" s="108">
        <v>13200.0</v>
      </c>
      <c r="R56" s="83" t="s">
        <v>32</v>
      </c>
      <c r="S56" s="84" t="s">
        <v>33</v>
      </c>
      <c r="T56" s="92" t="s">
        <v>75</v>
      </c>
      <c r="U56" s="1447">
        <v>1.0</v>
      </c>
      <c r="V56" s="323" t="s">
        <v>2308</v>
      </c>
      <c r="W56" s="968"/>
      <c r="X56" s="9"/>
      <c r="Y56" s="204"/>
      <c r="Z56" s="25"/>
      <c r="AA56" s="25"/>
      <c r="AB56" s="25"/>
      <c r="AC56" s="22"/>
    </row>
    <row r="57" ht="23.25" customHeight="1">
      <c r="A57" s="64">
        <v>39.0</v>
      </c>
      <c r="B57" s="132">
        <v>44925.0</v>
      </c>
      <c r="C57" s="1240">
        <v>1.696612139786E12</v>
      </c>
      <c r="D57" s="68" t="s">
        <v>2403</v>
      </c>
      <c r="E57" s="1616" t="s">
        <v>2404</v>
      </c>
      <c r="F57" s="1358" t="s">
        <v>2405</v>
      </c>
      <c r="G57" s="457"/>
      <c r="H57" s="85"/>
      <c r="I57" s="459"/>
      <c r="J57" s="48">
        <f t="shared" si="9"/>
        <v>0</v>
      </c>
      <c r="K57" s="76"/>
      <c r="L57" s="89"/>
      <c r="M57" s="136"/>
      <c r="N57" s="80">
        <f t="shared" si="13"/>
        <v>0</v>
      </c>
      <c r="O57" s="1446" t="s">
        <v>449</v>
      </c>
      <c r="P57" s="1650"/>
      <c r="Q57" s="82">
        <v>11000.0</v>
      </c>
      <c r="R57" s="83" t="s">
        <v>32</v>
      </c>
      <c r="S57" s="84" t="s">
        <v>33</v>
      </c>
      <c r="T57" s="92" t="s">
        <v>75</v>
      </c>
      <c r="U57" s="64">
        <v>1.0</v>
      </c>
      <c r="V57" s="323" t="s">
        <v>2308</v>
      </c>
      <c r="W57" s="968"/>
      <c r="X57" s="9"/>
      <c r="Y57" s="204"/>
      <c r="Z57" s="25"/>
      <c r="AA57" s="25"/>
      <c r="AB57" s="25"/>
      <c r="AC57" s="22"/>
    </row>
    <row r="58" ht="23.25" customHeight="1">
      <c r="A58" s="64">
        <v>40.0</v>
      </c>
      <c r="B58" s="1657">
        <v>44928.0</v>
      </c>
      <c r="C58" s="1240">
        <v>1.68269457611E12</v>
      </c>
      <c r="D58" s="63" t="s">
        <v>2406</v>
      </c>
      <c r="E58" s="1616" t="s">
        <v>2407</v>
      </c>
      <c r="F58" s="1358" t="s">
        <v>2408</v>
      </c>
      <c r="G58" s="63" t="s">
        <v>457</v>
      </c>
      <c r="H58" s="64">
        <v>1.0</v>
      </c>
      <c r="I58" s="975">
        <v>45000.0</v>
      </c>
      <c r="J58" s="48">
        <f t="shared" si="9"/>
        <v>45000</v>
      </c>
      <c r="K58" s="76">
        <f>SUM(J58)</f>
        <v>45000</v>
      </c>
      <c r="L58" s="114">
        <v>35001.0</v>
      </c>
      <c r="M58" s="1455">
        <v>35001.0</v>
      </c>
      <c r="N58" s="80">
        <f t="shared" si="13"/>
        <v>45000</v>
      </c>
      <c r="O58" s="1446" t="s">
        <v>449</v>
      </c>
      <c r="P58" s="1658" t="s">
        <v>31</v>
      </c>
      <c r="Q58" s="82"/>
      <c r="R58" s="83"/>
      <c r="S58" s="91"/>
      <c r="T58" s="85"/>
      <c r="U58" s="85"/>
      <c r="V58" s="323"/>
      <c r="W58" s="22"/>
      <c r="X58" s="9"/>
      <c r="Y58" s="204"/>
      <c r="Z58" s="25"/>
      <c r="AA58" s="25"/>
      <c r="AB58" s="25"/>
      <c r="AC58" s="22"/>
    </row>
    <row r="59" ht="23.25" customHeight="1">
      <c r="A59" s="64">
        <v>41.0</v>
      </c>
      <c r="B59" s="132">
        <v>44928.0</v>
      </c>
      <c r="C59" s="1240">
        <v>1.68164391193E12</v>
      </c>
      <c r="D59" s="68" t="s">
        <v>2409</v>
      </c>
      <c r="E59" s="1616" t="s">
        <v>2410</v>
      </c>
      <c r="F59" s="1358" t="s">
        <v>2411</v>
      </c>
      <c r="G59" s="457"/>
      <c r="H59" s="85"/>
      <c r="I59" s="459"/>
      <c r="J59" s="48">
        <f t="shared" si="9"/>
        <v>0</v>
      </c>
      <c r="K59" s="76"/>
      <c r="L59" s="89"/>
      <c r="M59" s="136"/>
      <c r="N59" s="80">
        <f t="shared" si="13"/>
        <v>0</v>
      </c>
      <c r="O59" s="1446" t="s">
        <v>449</v>
      </c>
      <c r="P59" s="1650"/>
      <c r="Q59" s="82">
        <v>15000.0</v>
      </c>
      <c r="R59" s="83" t="s">
        <v>32</v>
      </c>
      <c r="S59" s="84" t="s">
        <v>33</v>
      </c>
      <c r="T59" s="92" t="s">
        <v>75</v>
      </c>
      <c r="U59" s="64">
        <v>1.0</v>
      </c>
      <c r="V59" s="323" t="s">
        <v>2308</v>
      </c>
      <c r="W59" s="968"/>
      <c r="X59" s="9"/>
      <c r="Y59" s="204"/>
      <c r="Z59" s="25"/>
      <c r="AA59" s="25"/>
      <c r="AB59" s="25"/>
      <c r="AC59" s="22"/>
    </row>
    <row r="60" ht="23.25" customHeight="1">
      <c r="A60" s="64">
        <v>42.0</v>
      </c>
      <c r="B60" s="132">
        <v>44928.0</v>
      </c>
      <c r="C60" s="1240">
        <v>1.682065302275E12</v>
      </c>
      <c r="D60" s="68" t="s">
        <v>206</v>
      </c>
      <c r="E60" s="1616" t="s">
        <v>1079</v>
      </c>
      <c r="F60" s="1358" t="s">
        <v>1080</v>
      </c>
      <c r="G60" s="63" t="s">
        <v>30</v>
      </c>
      <c r="H60" s="64">
        <v>10.0</v>
      </c>
      <c r="I60" s="975">
        <v>220000.0</v>
      </c>
      <c r="J60" s="48">
        <f t="shared" si="9"/>
        <v>2200000</v>
      </c>
      <c r="K60" s="76">
        <f>SUM(J60)</f>
        <v>2200000</v>
      </c>
      <c r="L60" s="89"/>
      <c r="M60" s="136"/>
      <c r="N60" s="80">
        <f t="shared" si="13"/>
        <v>2200000</v>
      </c>
      <c r="O60" s="1446" t="s">
        <v>449</v>
      </c>
      <c r="P60" s="1446" t="s">
        <v>31</v>
      </c>
      <c r="Q60" s="82">
        <v>104000.0</v>
      </c>
      <c r="R60" s="83" t="s">
        <v>32</v>
      </c>
      <c r="S60" s="84" t="s">
        <v>33</v>
      </c>
      <c r="T60" s="92"/>
      <c r="U60" s="64"/>
      <c r="V60" s="323"/>
      <c r="W60" s="968"/>
      <c r="X60" s="9"/>
      <c r="Y60" s="204"/>
      <c r="Z60" s="25"/>
      <c r="AA60" s="25"/>
      <c r="AB60" s="25"/>
      <c r="AC60" s="22"/>
    </row>
    <row r="61" ht="23.25" customHeight="1">
      <c r="A61" s="64">
        <v>43.0</v>
      </c>
      <c r="B61" s="132">
        <v>44928.0</v>
      </c>
      <c r="C61" s="1240">
        <v>1.675470932782E12</v>
      </c>
      <c r="D61" s="68" t="s">
        <v>2154</v>
      </c>
      <c r="E61" s="1616" t="s">
        <v>2155</v>
      </c>
      <c r="F61" s="1358" t="s">
        <v>2156</v>
      </c>
      <c r="G61" s="457"/>
      <c r="H61" s="85"/>
      <c r="I61" s="975"/>
      <c r="J61" s="48">
        <f t="shared" si="9"/>
        <v>0</v>
      </c>
      <c r="K61" s="76"/>
      <c r="L61" s="89"/>
      <c r="M61" s="136"/>
      <c r="N61" s="80">
        <f t="shared" si="13"/>
        <v>0</v>
      </c>
      <c r="O61" s="1446" t="s">
        <v>449</v>
      </c>
      <c r="P61" s="1650"/>
      <c r="Q61" s="82">
        <v>13200.0</v>
      </c>
      <c r="R61" s="83" t="s">
        <v>32</v>
      </c>
      <c r="S61" s="1659" t="s">
        <v>33</v>
      </c>
      <c r="T61" s="92" t="s">
        <v>75</v>
      </c>
      <c r="U61" s="1660">
        <v>1.0</v>
      </c>
      <c r="V61" s="323" t="s">
        <v>2308</v>
      </c>
      <c r="W61" s="968"/>
      <c r="X61" s="9"/>
      <c r="Y61" s="204"/>
      <c r="Z61" s="25"/>
      <c r="AA61" s="25"/>
      <c r="AB61" s="25"/>
      <c r="AC61" s="22"/>
    </row>
    <row r="62" ht="23.25" customHeight="1">
      <c r="A62" s="1661">
        <v>44.0</v>
      </c>
      <c r="B62" s="125">
        <v>44928.0</v>
      </c>
      <c r="C62" s="1662">
        <v>1.675114424129E12</v>
      </c>
      <c r="D62" s="1663" t="s">
        <v>2412</v>
      </c>
      <c r="E62" s="1664" t="s">
        <v>2413</v>
      </c>
      <c r="F62" s="1665" t="s">
        <v>2414</v>
      </c>
      <c r="G62" s="899" t="s">
        <v>47</v>
      </c>
      <c r="H62" s="1660">
        <v>2.0</v>
      </c>
      <c r="I62" s="975">
        <v>220000.0</v>
      </c>
      <c r="J62" s="48">
        <f t="shared" si="9"/>
        <v>440000</v>
      </c>
      <c r="K62" s="49">
        <f>SUM(J62:J63)</f>
        <v>660000</v>
      </c>
      <c r="L62" s="50"/>
      <c r="M62" s="562"/>
      <c r="N62" s="53">
        <f t="shared" si="13"/>
        <v>660000</v>
      </c>
      <c r="O62" s="1441" t="s">
        <v>449</v>
      </c>
      <c r="P62" s="1441" t="s">
        <v>31</v>
      </c>
      <c r="Q62" s="55">
        <v>53999.0</v>
      </c>
      <c r="R62" s="56" t="s">
        <v>32</v>
      </c>
      <c r="S62" s="1666" t="s">
        <v>33</v>
      </c>
      <c r="T62" s="126" t="s">
        <v>2180</v>
      </c>
      <c r="U62" s="39">
        <v>1.0</v>
      </c>
      <c r="V62" s="587" t="s">
        <v>2386</v>
      </c>
      <c r="W62" s="22"/>
      <c r="X62" s="9"/>
      <c r="Y62" s="204"/>
      <c r="Z62" s="25"/>
      <c r="AA62" s="25"/>
      <c r="AB62" s="25"/>
      <c r="AC62" s="22"/>
    </row>
    <row r="63" ht="23.25" customHeight="1">
      <c r="A63" s="67"/>
      <c r="B63" s="67"/>
      <c r="C63" s="67"/>
      <c r="D63" s="67"/>
      <c r="E63" s="67"/>
      <c r="F63" s="67"/>
      <c r="G63" s="63" t="s">
        <v>30</v>
      </c>
      <c r="H63" s="64">
        <v>1.0</v>
      </c>
      <c r="I63" s="975">
        <v>220000.0</v>
      </c>
      <c r="J63" s="48">
        <f t="shared" si="9"/>
        <v>220000</v>
      </c>
      <c r="K63" s="67"/>
      <c r="L63" s="67"/>
      <c r="M63" s="67"/>
      <c r="N63" s="67"/>
      <c r="O63" s="67"/>
      <c r="P63" s="67"/>
      <c r="Q63" s="67"/>
      <c r="R63" s="67"/>
      <c r="S63" s="819"/>
      <c r="T63" s="67"/>
      <c r="U63" s="67"/>
      <c r="V63" s="67"/>
      <c r="W63" s="22"/>
      <c r="X63" s="9"/>
      <c r="Y63" s="204"/>
      <c r="Z63" s="25"/>
      <c r="AA63" s="25"/>
      <c r="AB63" s="25"/>
      <c r="AC63" s="22"/>
    </row>
    <row r="64" ht="54.0" customHeight="1">
      <c r="A64" s="1660">
        <v>45.0</v>
      </c>
      <c r="B64" s="125">
        <v>44930.0</v>
      </c>
      <c r="C64" s="1240">
        <v>1.682349863206E12</v>
      </c>
      <c r="D64" s="68" t="s">
        <v>2303</v>
      </c>
      <c r="E64" s="1667" t="s">
        <v>2304</v>
      </c>
      <c r="F64" s="63" t="s">
        <v>2415</v>
      </c>
      <c r="G64" s="63" t="s">
        <v>37</v>
      </c>
      <c r="H64" s="64">
        <v>1.0</v>
      </c>
      <c r="I64" s="1482"/>
      <c r="J64" s="48">
        <f t="shared" si="9"/>
        <v>0</v>
      </c>
      <c r="K64" s="49"/>
      <c r="L64" s="89"/>
      <c r="M64" s="136"/>
      <c r="N64" s="80">
        <f t="shared" ref="N64:N70" si="14">K64+L64-M64</f>
        <v>0</v>
      </c>
      <c r="O64" s="1668" t="s">
        <v>449</v>
      </c>
      <c r="P64" s="1669"/>
      <c r="Q64" s="1670">
        <v>28200.0</v>
      </c>
      <c r="R64" s="1519" t="s">
        <v>32</v>
      </c>
      <c r="S64" s="1671" t="s">
        <v>33</v>
      </c>
      <c r="T64" s="64" t="s">
        <v>37</v>
      </c>
      <c r="U64" s="64">
        <v>1.0</v>
      </c>
      <c r="V64" s="613" t="s">
        <v>2416</v>
      </c>
      <c r="W64" s="22"/>
      <c r="X64" s="9"/>
      <c r="Y64" s="204"/>
      <c r="Z64" s="25"/>
      <c r="AA64" s="25"/>
      <c r="AB64" s="25"/>
      <c r="AC64" s="22"/>
    </row>
    <row r="65" ht="23.25" customHeight="1">
      <c r="A65" s="1660">
        <v>46.0</v>
      </c>
      <c r="B65" s="125">
        <v>44930.0</v>
      </c>
      <c r="C65" s="1240">
        <v>1.682303837355E12</v>
      </c>
      <c r="D65" s="164" t="s">
        <v>2293</v>
      </c>
      <c r="E65" s="1616" t="s">
        <v>2294</v>
      </c>
      <c r="F65" s="63" t="s">
        <v>2295</v>
      </c>
      <c r="G65" s="63" t="s">
        <v>37</v>
      </c>
      <c r="H65" s="64">
        <v>1.0</v>
      </c>
      <c r="I65" s="1482">
        <v>220000.0</v>
      </c>
      <c r="J65" s="48">
        <f t="shared" si="9"/>
        <v>220000</v>
      </c>
      <c r="K65" s="49">
        <f t="shared" ref="K65:K67" si="15">SUM(J65)</f>
        <v>220000</v>
      </c>
      <c r="L65" s="114">
        <v>48500.0</v>
      </c>
      <c r="M65" s="1455">
        <v>28500.0</v>
      </c>
      <c r="N65" s="80">
        <f t="shared" si="14"/>
        <v>240000</v>
      </c>
      <c r="O65" s="1672"/>
      <c r="P65" s="1669"/>
      <c r="Q65" s="1673"/>
      <c r="R65" s="1674"/>
      <c r="S65" s="1671" t="s">
        <v>33</v>
      </c>
      <c r="T65" s="85"/>
      <c r="U65" s="414"/>
      <c r="V65" s="86"/>
      <c r="W65" s="22"/>
      <c r="X65" s="9"/>
      <c r="Y65" s="204"/>
      <c r="Z65" s="25"/>
      <c r="AA65" s="25"/>
      <c r="AB65" s="25"/>
      <c r="AC65" s="22"/>
    </row>
    <row r="66" ht="23.25" customHeight="1">
      <c r="A66" s="1660">
        <v>47.0</v>
      </c>
      <c r="B66" s="125">
        <v>44935.0</v>
      </c>
      <c r="C66" s="1240">
        <v>1.697503055124E12</v>
      </c>
      <c r="D66" s="63" t="s">
        <v>2417</v>
      </c>
      <c r="E66" s="1616" t="s">
        <v>2418</v>
      </c>
      <c r="F66" s="1358" t="s">
        <v>2419</v>
      </c>
      <c r="G66" s="63" t="s">
        <v>35</v>
      </c>
      <c r="H66" s="64">
        <v>1.0</v>
      </c>
      <c r="I66" s="1482">
        <v>220000.0</v>
      </c>
      <c r="J66" s="48">
        <f t="shared" si="9"/>
        <v>220000</v>
      </c>
      <c r="K66" s="49">
        <f t="shared" si="15"/>
        <v>220000</v>
      </c>
      <c r="L66" s="89"/>
      <c r="M66" s="136"/>
      <c r="N66" s="80">
        <f t="shared" si="14"/>
        <v>220000</v>
      </c>
      <c r="O66" s="1668" t="s">
        <v>449</v>
      </c>
      <c r="P66" s="1516" t="s">
        <v>31</v>
      </c>
      <c r="Q66" s="1670">
        <v>48500.0</v>
      </c>
      <c r="R66" s="1519" t="s">
        <v>32</v>
      </c>
      <c r="S66" s="1671" t="s">
        <v>33</v>
      </c>
      <c r="T66" s="64" t="s">
        <v>2420</v>
      </c>
      <c r="U66" s="64">
        <v>1.0</v>
      </c>
      <c r="V66" s="565" t="s">
        <v>2421</v>
      </c>
      <c r="W66" s="22"/>
      <c r="X66" s="9"/>
      <c r="Y66" s="204"/>
      <c r="Z66" s="25"/>
      <c r="AA66" s="25"/>
      <c r="AB66" s="25"/>
      <c r="AC66" s="22"/>
    </row>
    <row r="67" ht="23.25" customHeight="1">
      <c r="A67" s="1660">
        <v>48.0</v>
      </c>
      <c r="B67" s="125">
        <v>44935.0</v>
      </c>
      <c r="C67" s="1240">
        <v>1.697682804851E12</v>
      </c>
      <c r="D67" s="68" t="s">
        <v>734</v>
      </c>
      <c r="E67" s="1616" t="s">
        <v>735</v>
      </c>
      <c r="F67" s="63" t="s">
        <v>1942</v>
      </c>
      <c r="G67" s="63" t="s">
        <v>30</v>
      </c>
      <c r="H67" s="64">
        <v>2.0</v>
      </c>
      <c r="I67" s="1482">
        <v>220000.0</v>
      </c>
      <c r="J67" s="48">
        <f t="shared" si="9"/>
        <v>440000</v>
      </c>
      <c r="K67" s="49">
        <f t="shared" si="15"/>
        <v>440000</v>
      </c>
      <c r="L67" s="89"/>
      <c r="M67" s="136"/>
      <c r="N67" s="80">
        <f t="shared" si="14"/>
        <v>440000</v>
      </c>
      <c r="O67" s="1668" t="s">
        <v>449</v>
      </c>
      <c r="P67" s="1516" t="s">
        <v>31</v>
      </c>
      <c r="Q67" s="1670">
        <v>57500.0</v>
      </c>
      <c r="R67" s="1519" t="s">
        <v>32</v>
      </c>
      <c r="S67" s="1671" t="s">
        <v>33</v>
      </c>
      <c r="T67" s="64" t="s">
        <v>2420</v>
      </c>
      <c r="U67" s="64">
        <v>1.0</v>
      </c>
      <c r="V67" s="565" t="s">
        <v>2421</v>
      </c>
      <c r="W67" s="22"/>
      <c r="X67" s="9"/>
      <c r="Y67" s="204"/>
      <c r="Z67" s="25"/>
      <c r="AA67" s="25"/>
      <c r="AB67" s="25"/>
      <c r="AC67" s="22"/>
    </row>
    <row r="68" ht="23.25" customHeight="1">
      <c r="A68" s="1660">
        <v>49.0</v>
      </c>
      <c r="B68" s="125">
        <v>44935.0</v>
      </c>
      <c r="C68" s="1240">
        <v>1.69855614487E12</v>
      </c>
      <c r="D68" s="68" t="s">
        <v>2184</v>
      </c>
      <c r="E68" s="1616" t="s">
        <v>2185</v>
      </c>
      <c r="F68" s="63" t="s">
        <v>2186</v>
      </c>
      <c r="G68" s="63"/>
      <c r="H68" s="64"/>
      <c r="I68" s="1482"/>
      <c r="J68" s="48">
        <f t="shared" si="9"/>
        <v>0</v>
      </c>
      <c r="K68" s="76"/>
      <c r="L68" s="89"/>
      <c r="M68" s="136"/>
      <c r="N68" s="80">
        <f t="shared" si="14"/>
        <v>0</v>
      </c>
      <c r="O68" s="1672"/>
      <c r="P68" s="1669"/>
      <c r="Q68" s="1670">
        <v>37001.0</v>
      </c>
      <c r="R68" s="1519" t="s">
        <v>32</v>
      </c>
      <c r="S68" s="1675"/>
      <c r="T68" s="64" t="s">
        <v>2420</v>
      </c>
      <c r="U68" s="64">
        <v>1.0</v>
      </c>
      <c r="V68" s="565" t="s">
        <v>2421</v>
      </c>
      <c r="W68" s="22"/>
      <c r="X68" s="9"/>
      <c r="Y68" s="204"/>
      <c r="Z68" s="25"/>
      <c r="AA68" s="25"/>
      <c r="AB68" s="25"/>
      <c r="AC68" s="22"/>
    </row>
    <row r="69" ht="23.25" customHeight="1">
      <c r="A69" s="1660">
        <v>50.0</v>
      </c>
      <c r="B69" s="125">
        <v>44935.0</v>
      </c>
      <c r="C69" s="1240">
        <v>1.698457389945E12</v>
      </c>
      <c r="D69" s="63" t="s">
        <v>2383</v>
      </c>
      <c r="E69" s="1616" t="s">
        <v>2384</v>
      </c>
      <c r="F69" s="1358" t="s">
        <v>2385</v>
      </c>
      <c r="G69" s="63"/>
      <c r="H69" s="64"/>
      <c r="I69" s="1482"/>
      <c r="J69" s="48">
        <f t="shared" si="9"/>
        <v>0</v>
      </c>
      <c r="K69" s="76"/>
      <c r="L69" s="89"/>
      <c r="M69" s="136"/>
      <c r="N69" s="80">
        <f t="shared" si="14"/>
        <v>0</v>
      </c>
      <c r="O69" s="1672"/>
      <c r="P69" s="1669"/>
      <c r="Q69" s="1670">
        <v>37001.0</v>
      </c>
      <c r="R69" s="1519" t="s">
        <v>32</v>
      </c>
      <c r="S69" s="1671" t="s">
        <v>33</v>
      </c>
      <c r="T69" s="64" t="s">
        <v>2420</v>
      </c>
      <c r="U69" s="64">
        <v>1.0</v>
      </c>
      <c r="V69" s="565" t="s">
        <v>2421</v>
      </c>
      <c r="W69" s="22"/>
      <c r="X69" s="9"/>
      <c r="Y69" s="204"/>
      <c r="Z69" s="25"/>
      <c r="AA69" s="25"/>
      <c r="AB69" s="25"/>
      <c r="AC69" s="22"/>
    </row>
    <row r="70" ht="23.25" customHeight="1">
      <c r="A70" s="1661">
        <v>51.0</v>
      </c>
      <c r="B70" s="125">
        <v>44935.0</v>
      </c>
      <c r="C70" s="1146">
        <v>1.703369142113E12</v>
      </c>
      <c r="D70" s="126" t="s">
        <v>550</v>
      </c>
      <c r="E70" s="1630" t="s">
        <v>551</v>
      </c>
      <c r="F70" s="1147" t="s">
        <v>889</v>
      </c>
      <c r="G70" s="63" t="s">
        <v>58</v>
      </c>
      <c r="H70" s="64">
        <v>5.0</v>
      </c>
      <c r="I70" s="1482">
        <v>220000.0</v>
      </c>
      <c r="J70" s="48">
        <f t="shared" si="9"/>
        <v>1100000</v>
      </c>
      <c r="K70" s="49">
        <f>SUM(J70:J72)</f>
        <v>3300000</v>
      </c>
      <c r="L70" s="50"/>
      <c r="M70" s="562"/>
      <c r="N70" s="53">
        <f t="shared" si="14"/>
        <v>3300000</v>
      </c>
      <c r="O70" s="1676" t="s">
        <v>449</v>
      </c>
      <c r="P70" s="1508" t="s">
        <v>31</v>
      </c>
      <c r="Q70" s="1677">
        <v>155994.0</v>
      </c>
      <c r="R70" s="1511" t="s">
        <v>32</v>
      </c>
      <c r="S70" s="1678" t="s">
        <v>33</v>
      </c>
      <c r="T70" s="39" t="s">
        <v>2420</v>
      </c>
      <c r="U70" s="39">
        <v>1.0</v>
      </c>
      <c r="V70" s="587" t="s">
        <v>2422</v>
      </c>
      <c r="W70" s="22"/>
      <c r="X70" s="9"/>
      <c r="Y70" s="204"/>
      <c r="Z70" s="25"/>
      <c r="AA70" s="25"/>
      <c r="AB70" s="25"/>
      <c r="AC70" s="22"/>
    </row>
    <row r="71" ht="23.25" customHeight="1">
      <c r="A71" s="62"/>
      <c r="B71" s="62"/>
      <c r="C71" s="62"/>
      <c r="D71" s="62"/>
      <c r="E71" s="62"/>
      <c r="F71" s="62"/>
      <c r="G71" s="63" t="s">
        <v>47</v>
      </c>
      <c r="H71" s="64">
        <v>5.0</v>
      </c>
      <c r="I71" s="1482">
        <v>220000.0</v>
      </c>
      <c r="J71" s="48">
        <f t="shared" si="9"/>
        <v>1100000</v>
      </c>
      <c r="K71" s="62"/>
      <c r="L71" s="62"/>
      <c r="M71" s="62"/>
      <c r="N71" s="62"/>
      <c r="O71" s="423"/>
      <c r="P71" s="62"/>
      <c r="Q71" s="62"/>
      <c r="R71" s="62"/>
      <c r="S71" s="423"/>
      <c r="T71" s="62"/>
      <c r="U71" s="62"/>
      <c r="V71" s="62"/>
      <c r="W71" s="22"/>
      <c r="X71" s="9"/>
      <c r="Y71" s="204"/>
      <c r="Z71" s="25"/>
      <c r="AA71" s="25"/>
      <c r="AB71" s="25"/>
      <c r="AC71" s="22"/>
    </row>
    <row r="72" ht="30.0" customHeight="1">
      <c r="A72" s="67"/>
      <c r="B72" s="62"/>
      <c r="C72" s="67"/>
      <c r="D72" s="67"/>
      <c r="E72" s="67"/>
      <c r="F72" s="67"/>
      <c r="G72" s="63" t="s">
        <v>30</v>
      </c>
      <c r="H72" s="64">
        <v>5.0</v>
      </c>
      <c r="I72" s="1482">
        <v>220000.0</v>
      </c>
      <c r="J72" s="48">
        <f t="shared" si="9"/>
        <v>1100000</v>
      </c>
      <c r="K72" s="67"/>
      <c r="L72" s="67"/>
      <c r="M72" s="67"/>
      <c r="N72" s="67"/>
      <c r="O72" s="102"/>
      <c r="P72" s="67"/>
      <c r="Q72" s="67"/>
      <c r="R72" s="67"/>
      <c r="S72" s="102"/>
      <c r="T72" s="67"/>
      <c r="U72" s="67"/>
      <c r="V72" s="67"/>
      <c r="W72" s="22"/>
      <c r="X72" s="9"/>
      <c r="Y72" s="204"/>
      <c r="Z72" s="25"/>
      <c r="AA72" s="25"/>
      <c r="AB72" s="25"/>
      <c r="AC72" s="22"/>
    </row>
    <row r="73" ht="30.0" customHeight="1">
      <c r="A73" s="1661">
        <v>52.0</v>
      </c>
      <c r="B73" s="125">
        <v>44936.0</v>
      </c>
      <c r="C73" s="1146">
        <v>1.701841050325E12</v>
      </c>
      <c r="D73" s="195" t="s">
        <v>517</v>
      </c>
      <c r="E73" s="1630" t="s">
        <v>518</v>
      </c>
      <c r="F73" s="126" t="s">
        <v>2423</v>
      </c>
      <c r="G73" s="126" t="s">
        <v>30</v>
      </c>
      <c r="H73" s="39">
        <v>1.0</v>
      </c>
      <c r="I73" s="1482">
        <v>220000.0</v>
      </c>
      <c r="J73" s="48">
        <f t="shared" si="9"/>
        <v>220000</v>
      </c>
      <c r="K73" s="49">
        <f>SUM(J73:J78)</f>
        <v>1055000</v>
      </c>
      <c r="L73" s="50"/>
      <c r="M73" s="562"/>
      <c r="N73" s="53">
        <f>K73+L73-M73</f>
        <v>1055000</v>
      </c>
      <c r="O73" s="1676"/>
      <c r="P73" s="1508"/>
      <c r="Q73" s="1677">
        <v>67997.0</v>
      </c>
      <c r="R73" s="1511" t="s">
        <v>32</v>
      </c>
      <c r="S73" s="1678" t="s">
        <v>33</v>
      </c>
      <c r="T73" s="39" t="s">
        <v>2420</v>
      </c>
      <c r="U73" s="39">
        <v>1.0</v>
      </c>
      <c r="V73" s="587" t="s">
        <v>2422</v>
      </c>
      <c r="W73" s="22"/>
      <c r="X73" s="9"/>
      <c r="Y73" s="204"/>
      <c r="Z73" s="25"/>
      <c r="AA73" s="25"/>
      <c r="AB73" s="25"/>
      <c r="AC73" s="22"/>
    </row>
    <row r="74" ht="23.25" customHeight="1">
      <c r="A74" s="62"/>
      <c r="B74" s="62"/>
      <c r="C74" s="62"/>
      <c r="D74" s="62"/>
      <c r="E74" s="62"/>
      <c r="F74" s="62"/>
      <c r="G74" s="126" t="s">
        <v>122</v>
      </c>
      <c r="H74" s="39">
        <v>1.0</v>
      </c>
      <c r="I74" s="1482">
        <v>220000.0</v>
      </c>
      <c r="J74" s="48">
        <f t="shared" si="9"/>
        <v>220000</v>
      </c>
      <c r="K74" s="62"/>
      <c r="L74" s="62"/>
      <c r="M74" s="62"/>
      <c r="N74" s="62"/>
      <c r="O74" s="423"/>
      <c r="P74" s="62"/>
      <c r="Q74" s="62"/>
      <c r="R74" s="62"/>
      <c r="S74" s="423"/>
      <c r="T74" s="62"/>
      <c r="U74" s="62"/>
      <c r="V74" s="62"/>
      <c r="W74" s="22"/>
      <c r="X74" s="9"/>
      <c r="Y74" s="204"/>
      <c r="Z74" s="25"/>
      <c r="AA74" s="25"/>
      <c r="AB74" s="25"/>
      <c r="AC74" s="22"/>
    </row>
    <row r="75" ht="23.25" customHeight="1">
      <c r="A75" s="62"/>
      <c r="B75" s="62"/>
      <c r="C75" s="62"/>
      <c r="D75" s="62"/>
      <c r="E75" s="62"/>
      <c r="F75" s="62"/>
      <c r="G75" s="126" t="s">
        <v>2180</v>
      </c>
      <c r="H75" s="39">
        <v>2.0</v>
      </c>
      <c r="I75" s="1482">
        <v>80000.0</v>
      </c>
      <c r="J75" s="48">
        <f t="shared" si="9"/>
        <v>160000</v>
      </c>
      <c r="K75" s="62"/>
      <c r="L75" s="62"/>
      <c r="M75" s="62"/>
      <c r="N75" s="62"/>
      <c r="O75" s="423"/>
      <c r="P75" s="62"/>
      <c r="Q75" s="62"/>
      <c r="R75" s="62"/>
      <c r="S75" s="423"/>
      <c r="T75" s="62"/>
      <c r="U75" s="62"/>
      <c r="V75" s="62"/>
      <c r="W75" s="22"/>
      <c r="X75" s="9"/>
      <c r="Y75" s="204"/>
      <c r="Z75" s="25"/>
      <c r="AA75" s="25"/>
      <c r="AB75" s="25"/>
      <c r="AC75" s="22"/>
    </row>
    <row r="76" ht="23.25" customHeight="1">
      <c r="A76" s="62"/>
      <c r="B76" s="62"/>
      <c r="C76" s="62"/>
      <c r="D76" s="62"/>
      <c r="E76" s="62"/>
      <c r="F76" s="62"/>
      <c r="G76" s="1679" t="s">
        <v>2424</v>
      </c>
      <c r="H76" s="94">
        <v>1.0</v>
      </c>
      <c r="I76" s="1482">
        <v>150000.0</v>
      </c>
      <c r="J76" s="48">
        <f t="shared" si="9"/>
        <v>150000</v>
      </c>
      <c r="K76" s="62"/>
      <c r="L76" s="62"/>
      <c r="M76" s="62"/>
      <c r="N76" s="62"/>
      <c r="O76" s="423"/>
      <c r="P76" s="62"/>
      <c r="Q76" s="62"/>
      <c r="R76" s="62"/>
      <c r="S76" s="423"/>
      <c r="T76" s="62"/>
      <c r="U76" s="62"/>
      <c r="V76" s="62"/>
      <c r="W76" s="22"/>
      <c r="X76" s="9"/>
      <c r="Y76" s="204"/>
      <c r="Z76" s="25"/>
      <c r="AA76" s="25"/>
      <c r="AB76" s="25"/>
      <c r="AC76" s="22"/>
    </row>
    <row r="77" ht="23.25" customHeight="1">
      <c r="A77" s="62"/>
      <c r="B77" s="62"/>
      <c r="C77" s="62"/>
      <c r="D77" s="62"/>
      <c r="E77" s="62"/>
      <c r="F77" s="62"/>
      <c r="G77" s="1679" t="s">
        <v>2425</v>
      </c>
      <c r="H77" s="94">
        <v>1.0</v>
      </c>
      <c r="I77" s="1482">
        <v>125000.0</v>
      </c>
      <c r="J77" s="48">
        <f t="shared" si="9"/>
        <v>125000</v>
      </c>
      <c r="K77" s="62"/>
      <c r="L77" s="62"/>
      <c r="M77" s="62"/>
      <c r="N77" s="62"/>
      <c r="O77" s="423"/>
      <c r="P77" s="62"/>
      <c r="Q77" s="62"/>
      <c r="R77" s="62"/>
      <c r="S77" s="423"/>
      <c r="T77" s="62"/>
      <c r="U77" s="62"/>
      <c r="V77" s="62"/>
      <c r="W77" s="22"/>
      <c r="X77" s="9"/>
      <c r="Y77" s="204"/>
      <c r="Z77" s="25"/>
      <c r="AA77" s="25"/>
      <c r="AB77" s="25"/>
      <c r="AC77" s="22"/>
    </row>
    <row r="78" ht="23.25" customHeight="1">
      <c r="A78" s="67"/>
      <c r="B78" s="62"/>
      <c r="C78" s="62"/>
      <c r="D78" s="62"/>
      <c r="E78" s="62"/>
      <c r="F78" s="62"/>
      <c r="G78" s="1679" t="s">
        <v>76</v>
      </c>
      <c r="H78" s="94">
        <v>2.0</v>
      </c>
      <c r="I78" s="1482">
        <v>90000.0</v>
      </c>
      <c r="J78" s="48">
        <f t="shared" si="9"/>
        <v>180000</v>
      </c>
      <c r="K78" s="67"/>
      <c r="L78" s="67"/>
      <c r="M78" s="67"/>
      <c r="N78" s="67"/>
      <c r="O78" s="102"/>
      <c r="P78" s="67"/>
      <c r="Q78" s="67"/>
      <c r="R78" s="67"/>
      <c r="S78" s="102"/>
      <c r="T78" s="67"/>
      <c r="U78" s="67"/>
      <c r="V78" s="67"/>
      <c r="W78" s="22"/>
      <c r="X78" s="9"/>
      <c r="Y78" s="204"/>
      <c r="Z78" s="25"/>
      <c r="AA78" s="25"/>
      <c r="AB78" s="25"/>
      <c r="AC78" s="22"/>
    </row>
    <row r="79" ht="23.25" customHeight="1">
      <c r="A79" s="1661">
        <v>53.0</v>
      </c>
      <c r="B79" s="125">
        <v>44936.0</v>
      </c>
      <c r="C79" s="1146">
        <v>1.679979672383E12</v>
      </c>
      <c r="D79" s="126" t="s">
        <v>1655</v>
      </c>
      <c r="E79" s="1630" t="s">
        <v>1656</v>
      </c>
      <c r="F79" s="126" t="s">
        <v>1657</v>
      </c>
      <c r="G79" s="126" t="s">
        <v>37</v>
      </c>
      <c r="H79" s="39">
        <v>6.0</v>
      </c>
      <c r="I79" s="1482">
        <v>220000.0</v>
      </c>
      <c r="J79" s="577">
        <f t="shared" si="9"/>
        <v>1320000</v>
      </c>
      <c r="K79" s="49">
        <f>SUM(J79:J84)</f>
        <v>6920000</v>
      </c>
      <c r="L79" s="50"/>
      <c r="M79" s="562"/>
      <c r="N79" s="53">
        <f>K79+L79-M79</f>
        <v>6920000</v>
      </c>
      <c r="O79" s="1676" t="s">
        <v>449</v>
      </c>
      <c r="P79" s="1508" t="s">
        <v>31</v>
      </c>
      <c r="Q79" s="1677">
        <v>228410.0</v>
      </c>
      <c r="R79" s="1511" t="s">
        <v>32</v>
      </c>
      <c r="S79" s="1678" t="s">
        <v>33</v>
      </c>
      <c r="T79" s="39" t="s">
        <v>2420</v>
      </c>
      <c r="U79" s="39">
        <v>1.0</v>
      </c>
      <c r="V79" s="587" t="s">
        <v>2422</v>
      </c>
      <c r="W79" s="22"/>
      <c r="X79" s="9"/>
      <c r="Y79" s="204"/>
      <c r="Z79" s="25"/>
      <c r="AA79" s="25"/>
      <c r="AB79" s="25"/>
      <c r="AC79" s="22"/>
    </row>
    <row r="80" ht="23.25" customHeight="1">
      <c r="A80" s="62"/>
      <c r="B80" s="62"/>
      <c r="C80" s="62"/>
      <c r="D80" s="62"/>
      <c r="E80" s="62"/>
      <c r="F80" s="62"/>
      <c r="G80" s="126" t="s">
        <v>382</v>
      </c>
      <c r="H80" s="39">
        <v>11.0</v>
      </c>
      <c r="I80" s="1482">
        <v>220000.0</v>
      </c>
      <c r="J80" s="577">
        <f t="shared" si="9"/>
        <v>2420000</v>
      </c>
      <c r="K80" s="62"/>
      <c r="L80" s="62"/>
      <c r="M80" s="62"/>
      <c r="N80" s="62"/>
      <c r="O80" s="423"/>
      <c r="P80" s="62"/>
      <c r="Q80" s="62"/>
      <c r="R80" s="62"/>
      <c r="S80" s="423"/>
      <c r="T80" s="62"/>
      <c r="U80" s="62"/>
      <c r="V80" s="62"/>
      <c r="W80" s="22"/>
      <c r="X80" s="9"/>
      <c r="Y80" s="204"/>
      <c r="Z80" s="25"/>
      <c r="AA80" s="25"/>
      <c r="AB80" s="25"/>
      <c r="AC80" s="22"/>
    </row>
    <row r="81" ht="23.25" customHeight="1">
      <c r="A81" s="62"/>
      <c r="B81" s="62"/>
      <c r="C81" s="62"/>
      <c r="D81" s="62"/>
      <c r="E81" s="62"/>
      <c r="F81" s="62"/>
      <c r="G81" s="126" t="s">
        <v>30</v>
      </c>
      <c r="H81" s="39">
        <v>3.0</v>
      </c>
      <c r="I81" s="1482">
        <v>220000.0</v>
      </c>
      <c r="J81" s="577">
        <f t="shared" si="9"/>
        <v>660000</v>
      </c>
      <c r="K81" s="62"/>
      <c r="L81" s="62"/>
      <c r="M81" s="62"/>
      <c r="N81" s="62"/>
      <c r="O81" s="423"/>
      <c r="P81" s="62"/>
      <c r="Q81" s="62"/>
      <c r="R81" s="62"/>
      <c r="S81" s="423"/>
      <c r="T81" s="62"/>
      <c r="U81" s="62"/>
      <c r="V81" s="62"/>
      <c r="W81" s="22"/>
      <c r="X81" s="9"/>
      <c r="Y81" s="204"/>
      <c r="Z81" s="25"/>
      <c r="AA81" s="25"/>
      <c r="AB81" s="25"/>
      <c r="AC81" s="22"/>
    </row>
    <row r="82" ht="23.25" customHeight="1">
      <c r="A82" s="62"/>
      <c r="B82" s="62"/>
      <c r="C82" s="62"/>
      <c r="D82" s="62"/>
      <c r="E82" s="62"/>
      <c r="F82" s="62"/>
      <c r="G82" s="126" t="s">
        <v>47</v>
      </c>
      <c r="H82" s="39">
        <v>4.0</v>
      </c>
      <c r="I82" s="1482">
        <v>220000.0</v>
      </c>
      <c r="J82" s="577">
        <f t="shared" si="9"/>
        <v>880000</v>
      </c>
      <c r="K82" s="62"/>
      <c r="L82" s="62"/>
      <c r="M82" s="62"/>
      <c r="N82" s="62"/>
      <c r="O82" s="423"/>
      <c r="P82" s="62"/>
      <c r="Q82" s="62"/>
      <c r="R82" s="62"/>
      <c r="S82" s="423"/>
      <c r="T82" s="62"/>
      <c r="U82" s="62"/>
      <c r="V82" s="62"/>
      <c r="W82" s="22"/>
      <c r="X82" s="9"/>
      <c r="Y82" s="204"/>
      <c r="Z82" s="25"/>
      <c r="AA82" s="25"/>
      <c r="AB82" s="25"/>
      <c r="AC82" s="22"/>
    </row>
    <row r="83" ht="23.25" customHeight="1">
      <c r="A83" s="62"/>
      <c r="B83" s="62"/>
      <c r="C83" s="62"/>
      <c r="D83" s="62"/>
      <c r="E83" s="62"/>
      <c r="F83" s="62"/>
      <c r="G83" s="126" t="s">
        <v>2180</v>
      </c>
      <c r="H83" s="39">
        <v>16.0</v>
      </c>
      <c r="I83" s="1482">
        <v>80000.0</v>
      </c>
      <c r="J83" s="577">
        <f t="shared" si="9"/>
        <v>1280000</v>
      </c>
      <c r="K83" s="62"/>
      <c r="L83" s="62"/>
      <c r="M83" s="62"/>
      <c r="N83" s="62"/>
      <c r="O83" s="423"/>
      <c r="P83" s="62"/>
      <c r="Q83" s="62"/>
      <c r="R83" s="62"/>
      <c r="S83" s="423"/>
      <c r="T83" s="62"/>
      <c r="U83" s="62"/>
      <c r="V83" s="62"/>
      <c r="W83" s="22"/>
      <c r="X83" s="9"/>
      <c r="Y83" s="204"/>
      <c r="Z83" s="25"/>
      <c r="AA83" s="25"/>
      <c r="AB83" s="25"/>
      <c r="AC83" s="22"/>
    </row>
    <row r="84" ht="23.25" customHeight="1">
      <c r="A84" s="67"/>
      <c r="B84" s="62"/>
      <c r="C84" s="62"/>
      <c r="D84" s="62"/>
      <c r="E84" s="62"/>
      <c r="F84" s="62"/>
      <c r="G84" s="1679" t="s">
        <v>76</v>
      </c>
      <c r="H84" s="94">
        <v>4.0</v>
      </c>
      <c r="I84" s="1482">
        <v>90000.0</v>
      </c>
      <c r="J84" s="577">
        <f t="shared" ref="J84:J102" si="16">$H$84*I84</f>
        <v>360000</v>
      </c>
      <c r="K84" s="67"/>
      <c r="L84" s="67"/>
      <c r="M84" s="67"/>
      <c r="N84" s="67"/>
      <c r="O84" s="102"/>
      <c r="P84" s="67"/>
      <c r="Q84" s="67"/>
      <c r="R84" s="67"/>
      <c r="S84" s="102"/>
      <c r="T84" s="67"/>
      <c r="U84" s="67"/>
      <c r="V84" s="67"/>
      <c r="W84" s="22"/>
      <c r="X84" s="9"/>
      <c r="Y84" s="204"/>
      <c r="Z84" s="25"/>
      <c r="AA84" s="25"/>
      <c r="AB84" s="25"/>
      <c r="AC84" s="22"/>
    </row>
    <row r="85" ht="23.25" customHeight="1">
      <c r="A85" s="1660">
        <v>54.0</v>
      </c>
      <c r="B85" s="132">
        <v>44936.0</v>
      </c>
      <c r="C85" s="1146">
        <v>1.699706978385E12</v>
      </c>
      <c r="D85" s="126" t="s">
        <v>2426</v>
      </c>
      <c r="E85" s="1630" t="s">
        <v>2427</v>
      </c>
      <c r="F85" s="126" t="s">
        <v>2428</v>
      </c>
      <c r="G85" s="126"/>
      <c r="H85" s="39"/>
      <c r="I85" s="1482"/>
      <c r="J85" s="48">
        <f t="shared" si="16"/>
        <v>0</v>
      </c>
      <c r="K85" s="76"/>
      <c r="L85" s="89"/>
      <c r="M85" s="136"/>
      <c r="N85" s="80">
        <f t="shared" ref="N85:N103" si="17">K85+L85-M85</f>
        <v>0</v>
      </c>
      <c r="O85" s="1672"/>
      <c r="P85" s="1669"/>
      <c r="Q85" s="1670">
        <v>13200.0</v>
      </c>
      <c r="R85" s="1519" t="s">
        <v>32</v>
      </c>
      <c r="S85" s="1671" t="s">
        <v>33</v>
      </c>
      <c r="T85" s="64" t="s">
        <v>2420</v>
      </c>
      <c r="U85" s="64">
        <v>1.0</v>
      </c>
      <c r="V85" s="565" t="s">
        <v>2421</v>
      </c>
      <c r="W85" s="22"/>
      <c r="X85" s="9"/>
      <c r="Y85" s="204"/>
      <c r="Z85" s="25"/>
      <c r="AA85" s="25"/>
      <c r="AB85" s="25"/>
      <c r="AC85" s="22"/>
    </row>
    <row r="86" ht="23.25" customHeight="1">
      <c r="A86" s="1660">
        <v>55.0</v>
      </c>
      <c r="B86" s="132">
        <v>44936.0</v>
      </c>
      <c r="C86" s="1146">
        <v>1.699141644552E12</v>
      </c>
      <c r="D86" s="126" t="s">
        <v>1139</v>
      </c>
      <c r="E86" s="1630" t="s">
        <v>1140</v>
      </c>
      <c r="F86" s="1147" t="s">
        <v>2429</v>
      </c>
      <c r="G86" s="126"/>
      <c r="H86" s="39"/>
      <c r="I86" s="1482"/>
      <c r="J86" s="48">
        <f t="shared" si="16"/>
        <v>0</v>
      </c>
      <c r="K86" s="76"/>
      <c r="L86" s="89"/>
      <c r="M86" s="136"/>
      <c r="N86" s="80">
        <f t="shared" si="17"/>
        <v>0</v>
      </c>
      <c r="O86" s="1672"/>
      <c r="P86" s="1669"/>
      <c r="Q86" s="1670">
        <v>13200.0</v>
      </c>
      <c r="R86" s="1519" t="s">
        <v>32</v>
      </c>
      <c r="S86" s="1671" t="s">
        <v>33</v>
      </c>
      <c r="T86" s="64" t="s">
        <v>2420</v>
      </c>
      <c r="U86" s="64">
        <v>1.0</v>
      </c>
      <c r="V86" s="565" t="s">
        <v>2421</v>
      </c>
      <c r="W86" s="22"/>
      <c r="X86" s="9"/>
      <c r="Y86" s="204"/>
      <c r="Z86" s="25"/>
      <c r="AA86" s="25"/>
      <c r="AB86" s="25"/>
      <c r="AC86" s="22"/>
    </row>
    <row r="87" ht="28.5" customHeight="1">
      <c r="A87" s="1660">
        <v>56.0</v>
      </c>
      <c r="B87" s="132">
        <v>44936.0</v>
      </c>
      <c r="C87" s="1146">
        <v>1.699495146036E12</v>
      </c>
      <c r="D87" s="126" t="s">
        <v>2430</v>
      </c>
      <c r="E87" s="1630" t="s">
        <v>2431</v>
      </c>
      <c r="F87" s="1147" t="s">
        <v>2432</v>
      </c>
      <c r="G87" s="126"/>
      <c r="H87" s="39"/>
      <c r="I87" s="1482"/>
      <c r="J87" s="48">
        <f t="shared" si="16"/>
        <v>0</v>
      </c>
      <c r="K87" s="76"/>
      <c r="L87" s="89"/>
      <c r="M87" s="136"/>
      <c r="N87" s="80">
        <f t="shared" si="17"/>
        <v>0</v>
      </c>
      <c r="O87" s="1672"/>
      <c r="P87" s="1669"/>
      <c r="Q87" s="1670">
        <v>13200.0</v>
      </c>
      <c r="R87" s="1519" t="s">
        <v>32</v>
      </c>
      <c r="S87" s="1671" t="s">
        <v>33</v>
      </c>
      <c r="T87" s="64" t="s">
        <v>2420</v>
      </c>
      <c r="U87" s="64">
        <v>1.0</v>
      </c>
      <c r="V87" s="565" t="s">
        <v>2421</v>
      </c>
      <c r="W87" s="22"/>
      <c r="X87" s="9"/>
      <c r="Y87" s="204"/>
      <c r="Z87" s="25"/>
      <c r="AA87" s="25"/>
      <c r="AB87" s="25"/>
      <c r="AC87" s="22"/>
    </row>
    <row r="88" ht="23.25" customHeight="1">
      <c r="A88" s="1660">
        <v>57.0</v>
      </c>
      <c r="B88" s="132">
        <v>44936.0</v>
      </c>
      <c r="C88" s="1146">
        <v>1.699366453548E12</v>
      </c>
      <c r="D88" s="126" t="s">
        <v>1052</v>
      </c>
      <c r="E88" s="1630" t="s">
        <v>1053</v>
      </c>
      <c r="F88" s="1147" t="s">
        <v>1438</v>
      </c>
      <c r="G88" s="126"/>
      <c r="H88" s="39"/>
      <c r="I88" s="1482"/>
      <c r="J88" s="48">
        <f t="shared" si="16"/>
        <v>0</v>
      </c>
      <c r="K88" s="76"/>
      <c r="L88" s="89"/>
      <c r="M88" s="136"/>
      <c r="N88" s="80">
        <f t="shared" si="17"/>
        <v>0</v>
      </c>
      <c r="O88" s="1672"/>
      <c r="P88" s="1669"/>
      <c r="Q88" s="1670">
        <v>13200.0</v>
      </c>
      <c r="R88" s="1519" t="s">
        <v>32</v>
      </c>
      <c r="S88" s="1671" t="s">
        <v>33</v>
      </c>
      <c r="T88" s="64" t="s">
        <v>2420</v>
      </c>
      <c r="U88" s="64">
        <v>1.0</v>
      </c>
      <c r="V88" s="565" t="s">
        <v>2421</v>
      </c>
      <c r="W88" s="22"/>
      <c r="X88" s="9"/>
      <c r="Y88" s="204"/>
      <c r="Z88" s="25"/>
      <c r="AA88" s="25"/>
      <c r="AB88" s="25"/>
      <c r="AC88" s="22"/>
    </row>
    <row r="89" ht="23.25" customHeight="1">
      <c r="A89" s="1660">
        <v>58.0</v>
      </c>
      <c r="B89" s="132">
        <v>44936.0</v>
      </c>
      <c r="C89" s="1146">
        <v>1.698763854183E12</v>
      </c>
      <c r="D89" s="126" t="s">
        <v>2433</v>
      </c>
      <c r="E89" s="1630" t="s">
        <v>2434</v>
      </c>
      <c r="F89" s="1147" t="s">
        <v>2435</v>
      </c>
      <c r="G89" s="126"/>
      <c r="H89" s="39"/>
      <c r="I89" s="1482"/>
      <c r="J89" s="48">
        <f t="shared" si="16"/>
        <v>0</v>
      </c>
      <c r="K89" s="76"/>
      <c r="L89" s="89"/>
      <c r="M89" s="136"/>
      <c r="N89" s="80">
        <f t="shared" si="17"/>
        <v>0</v>
      </c>
      <c r="O89" s="1672"/>
      <c r="P89" s="1669"/>
      <c r="Q89" s="1670">
        <v>13200.0</v>
      </c>
      <c r="R89" s="1519" t="s">
        <v>32</v>
      </c>
      <c r="S89" s="1671" t="s">
        <v>33</v>
      </c>
      <c r="T89" s="64" t="s">
        <v>2420</v>
      </c>
      <c r="U89" s="64">
        <v>1.0</v>
      </c>
      <c r="V89" s="565" t="s">
        <v>2421</v>
      </c>
      <c r="W89" s="22"/>
      <c r="X89" s="9"/>
      <c r="Y89" s="204"/>
      <c r="Z89" s="25"/>
      <c r="AA89" s="25"/>
      <c r="AB89" s="25"/>
      <c r="AC89" s="22"/>
    </row>
    <row r="90" ht="23.25" customHeight="1">
      <c r="A90" s="1660">
        <v>59.0</v>
      </c>
      <c r="B90" s="132">
        <v>44936.0</v>
      </c>
      <c r="C90" s="1146">
        <v>1.698450050525E12</v>
      </c>
      <c r="D90" s="126" t="s">
        <v>2063</v>
      </c>
      <c r="E90" s="1630" t="s">
        <v>2064</v>
      </c>
      <c r="F90" s="1147" t="s">
        <v>2065</v>
      </c>
      <c r="G90" s="126"/>
      <c r="H90" s="39"/>
      <c r="I90" s="1482"/>
      <c r="J90" s="48">
        <f t="shared" si="16"/>
        <v>0</v>
      </c>
      <c r="K90" s="76"/>
      <c r="L90" s="89"/>
      <c r="M90" s="136"/>
      <c r="N90" s="80">
        <f t="shared" si="17"/>
        <v>0</v>
      </c>
      <c r="O90" s="1672"/>
      <c r="P90" s="1669"/>
      <c r="Q90" s="1670">
        <v>13200.0</v>
      </c>
      <c r="R90" s="1519" t="s">
        <v>32</v>
      </c>
      <c r="S90" s="1671" t="s">
        <v>33</v>
      </c>
      <c r="T90" s="64" t="s">
        <v>2420</v>
      </c>
      <c r="U90" s="64">
        <v>1.0</v>
      </c>
      <c r="V90" s="565" t="s">
        <v>2421</v>
      </c>
      <c r="W90" s="22"/>
      <c r="X90" s="9"/>
      <c r="Y90" s="204"/>
      <c r="Z90" s="25"/>
      <c r="AA90" s="25"/>
      <c r="AB90" s="25"/>
      <c r="AC90" s="22"/>
    </row>
    <row r="91" ht="23.25" customHeight="1">
      <c r="A91" s="1660">
        <v>60.0</v>
      </c>
      <c r="B91" s="132">
        <v>44936.0</v>
      </c>
      <c r="C91" s="1146">
        <v>1.698218622528E12</v>
      </c>
      <c r="D91" s="126" t="s">
        <v>1082</v>
      </c>
      <c r="E91" s="1630" t="s">
        <v>1083</v>
      </c>
      <c r="F91" s="1147" t="s">
        <v>1084</v>
      </c>
      <c r="G91" s="126"/>
      <c r="H91" s="39"/>
      <c r="I91" s="1482"/>
      <c r="J91" s="48">
        <f t="shared" si="16"/>
        <v>0</v>
      </c>
      <c r="K91" s="76"/>
      <c r="L91" s="89"/>
      <c r="M91" s="136"/>
      <c r="N91" s="80">
        <f t="shared" si="17"/>
        <v>0</v>
      </c>
      <c r="O91" s="1672"/>
      <c r="P91" s="1669"/>
      <c r="Q91" s="1670">
        <v>13200.0</v>
      </c>
      <c r="R91" s="1519" t="s">
        <v>32</v>
      </c>
      <c r="S91" s="1671" t="s">
        <v>33</v>
      </c>
      <c r="T91" s="64" t="s">
        <v>2420</v>
      </c>
      <c r="U91" s="64">
        <v>1.0</v>
      </c>
      <c r="V91" s="565" t="s">
        <v>2421</v>
      </c>
      <c r="W91" s="22"/>
      <c r="X91" s="9"/>
      <c r="Y91" s="204"/>
      <c r="Z91" s="25"/>
      <c r="AA91" s="25"/>
      <c r="AB91" s="25"/>
      <c r="AC91" s="22"/>
    </row>
    <row r="92" ht="23.25" customHeight="1">
      <c r="A92" s="1660">
        <v>61.0</v>
      </c>
      <c r="B92" s="132">
        <v>44936.0</v>
      </c>
      <c r="C92" s="1146">
        <v>1.6980671132E12</v>
      </c>
      <c r="D92" s="126" t="s">
        <v>1999</v>
      </c>
      <c r="E92" s="1630" t="s">
        <v>2000</v>
      </c>
      <c r="F92" s="126" t="s">
        <v>2436</v>
      </c>
      <c r="G92" s="126"/>
      <c r="H92" s="39"/>
      <c r="I92" s="1482"/>
      <c r="J92" s="48">
        <f t="shared" si="16"/>
        <v>0</v>
      </c>
      <c r="K92" s="76"/>
      <c r="L92" s="89"/>
      <c r="M92" s="136"/>
      <c r="N92" s="80">
        <f t="shared" si="17"/>
        <v>0</v>
      </c>
      <c r="O92" s="1672"/>
      <c r="P92" s="1669"/>
      <c r="Q92" s="1670">
        <v>13200.0</v>
      </c>
      <c r="R92" s="1519" t="s">
        <v>32</v>
      </c>
      <c r="S92" s="1671" t="s">
        <v>33</v>
      </c>
      <c r="T92" s="64" t="s">
        <v>2420</v>
      </c>
      <c r="U92" s="64">
        <v>1.0</v>
      </c>
      <c r="V92" s="565" t="s">
        <v>2421</v>
      </c>
      <c r="W92" s="22"/>
      <c r="X92" s="9"/>
      <c r="Y92" s="204"/>
      <c r="Z92" s="25"/>
      <c r="AA92" s="25"/>
      <c r="AB92" s="25"/>
      <c r="AC92" s="22"/>
    </row>
    <row r="93" ht="23.25" customHeight="1">
      <c r="A93" s="1660">
        <v>62.0</v>
      </c>
      <c r="B93" s="132">
        <v>44936.0</v>
      </c>
      <c r="C93" s="1146">
        <v>1.697424247658E12</v>
      </c>
      <c r="D93" s="126" t="s">
        <v>2142</v>
      </c>
      <c r="E93" s="1630" t="s">
        <v>2143</v>
      </c>
      <c r="F93" s="126" t="s">
        <v>2437</v>
      </c>
      <c r="G93" s="126"/>
      <c r="H93" s="39"/>
      <c r="I93" s="1482"/>
      <c r="J93" s="48">
        <f t="shared" si="16"/>
        <v>0</v>
      </c>
      <c r="K93" s="76"/>
      <c r="L93" s="89"/>
      <c r="M93" s="136"/>
      <c r="N93" s="80">
        <f t="shared" si="17"/>
        <v>0</v>
      </c>
      <c r="O93" s="1672"/>
      <c r="P93" s="1669"/>
      <c r="Q93" s="1670">
        <v>13200.0</v>
      </c>
      <c r="R93" s="1519" t="s">
        <v>32</v>
      </c>
      <c r="S93" s="1671" t="s">
        <v>33</v>
      </c>
      <c r="T93" s="64" t="s">
        <v>2420</v>
      </c>
      <c r="U93" s="64">
        <v>1.0</v>
      </c>
      <c r="V93" s="565" t="s">
        <v>2421</v>
      </c>
      <c r="W93" s="22"/>
      <c r="X93" s="9"/>
      <c r="Y93" s="204"/>
      <c r="Z93" s="25"/>
      <c r="AA93" s="25"/>
      <c r="AB93" s="25"/>
      <c r="AC93" s="22"/>
    </row>
    <row r="94" ht="23.25" customHeight="1">
      <c r="A94" s="1660">
        <v>63.0</v>
      </c>
      <c r="B94" s="132">
        <v>44936.0</v>
      </c>
      <c r="C94" s="1146">
        <v>1.697061442757E12</v>
      </c>
      <c r="D94" s="126" t="s">
        <v>2438</v>
      </c>
      <c r="E94" s="1630" t="s">
        <v>2439</v>
      </c>
      <c r="F94" s="1147" t="s">
        <v>2440</v>
      </c>
      <c r="G94" s="126"/>
      <c r="H94" s="39"/>
      <c r="I94" s="1482"/>
      <c r="J94" s="48">
        <f t="shared" si="16"/>
        <v>0</v>
      </c>
      <c r="K94" s="76"/>
      <c r="L94" s="89"/>
      <c r="M94" s="136"/>
      <c r="N94" s="80">
        <f t="shared" si="17"/>
        <v>0</v>
      </c>
      <c r="O94" s="1672"/>
      <c r="P94" s="1669"/>
      <c r="Q94" s="1670">
        <v>13200.0</v>
      </c>
      <c r="R94" s="1519" t="s">
        <v>32</v>
      </c>
      <c r="S94" s="1671" t="s">
        <v>33</v>
      </c>
      <c r="T94" s="64" t="s">
        <v>2420</v>
      </c>
      <c r="U94" s="64">
        <v>1.0</v>
      </c>
      <c r="V94" s="565" t="s">
        <v>2421</v>
      </c>
      <c r="W94" s="22"/>
      <c r="X94" s="9"/>
      <c r="Y94" s="204"/>
      <c r="Z94" s="25"/>
      <c r="AA94" s="25"/>
      <c r="AB94" s="25"/>
      <c r="AC94" s="22"/>
    </row>
    <row r="95" ht="23.25" customHeight="1">
      <c r="A95" s="1660">
        <v>64.0</v>
      </c>
      <c r="B95" s="132">
        <v>44936.0</v>
      </c>
      <c r="C95" s="1146">
        <v>1.69760120795E12</v>
      </c>
      <c r="D95" s="126" t="s">
        <v>2255</v>
      </c>
      <c r="E95" s="1630" t="s">
        <v>2256</v>
      </c>
      <c r="F95" s="1147" t="s">
        <v>2441</v>
      </c>
      <c r="G95" s="126"/>
      <c r="H95" s="39"/>
      <c r="I95" s="1482"/>
      <c r="J95" s="48">
        <f t="shared" si="16"/>
        <v>0</v>
      </c>
      <c r="K95" s="76"/>
      <c r="L95" s="89"/>
      <c r="M95" s="136"/>
      <c r="N95" s="80">
        <f t="shared" si="17"/>
        <v>0</v>
      </c>
      <c r="O95" s="1672"/>
      <c r="P95" s="1669"/>
      <c r="Q95" s="1670">
        <v>15600.0</v>
      </c>
      <c r="R95" s="1519" t="s">
        <v>32</v>
      </c>
      <c r="S95" s="1671" t="s">
        <v>33</v>
      </c>
      <c r="T95" s="64" t="s">
        <v>2420</v>
      </c>
      <c r="U95" s="64">
        <v>1.0</v>
      </c>
      <c r="V95" s="565" t="s">
        <v>2421</v>
      </c>
      <c r="W95" s="22"/>
      <c r="X95" s="9"/>
      <c r="Y95" s="204"/>
      <c r="Z95" s="25"/>
      <c r="AA95" s="25"/>
      <c r="AB95" s="25"/>
      <c r="AC95" s="22"/>
    </row>
    <row r="96" ht="33.0" customHeight="1">
      <c r="A96" s="1660">
        <v>65.0</v>
      </c>
      <c r="B96" s="132">
        <v>44936.0</v>
      </c>
      <c r="C96" s="1146">
        <v>1.697238847806E12</v>
      </c>
      <c r="D96" s="126" t="s">
        <v>2190</v>
      </c>
      <c r="E96" s="1630" t="s">
        <v>40</v>
      </c>
      <c r="F96" s="1147" t="s">
        <v>2442</v>
      </c>
      <c r="G96" s="126"/>
      <c r="H96" s="39"/>
      <c r="I96" s="1482"/>
      <c r="J96" s="48">
        <f t="shared" si="16"/>
        <v>0</v>
      </c>
      <c r="K96" s="76"/>
      <c r="L96" s="89"/>
      <c r="M96" s="136"/>
      <c r="N96" s="80">
        <f t="shared" si="17"/>
        <v>0</v>
      </c>
      <c r="O96" s="1672"/>
      <c r="P96" s="1669"/>
      <c r="Q96" s="1670">
        <v>13000.0</v>
      </c>
      <c r="R96" s="1519" t="s">
        <v>32</v>
      </c>
      <c r="S96" s="1671" t="s">
        <v>33</v>
      </c>
      <c r="T96" s="64" t="s">
        <v>2420</v>
      </c>
      <c r="U96" s="64">
        <v>1.0</v>
      </c>
      <c r="V96" s="565" t="s">
        <v>2422</v>
      </c>
      <c r="W96" s="22"/>
      <c r="X96" s="9"/>
      <c r="Y96" s="204"/>
      <c r="Z96" s="25"/>
      <c r="AA96" s="25"/>
      <c r="AB96" s="25"/>
      <c r="AC96" s="22"/>
    </row>
    <row r="97" ht="23.25" customHeight="1">
      <c r="A97" s="1660">
        <v>66.0</v>
      </c>
      <c r="B97" s="132">
        <v>44936.0</v>
      </c>
      <c r="C97" s="1146">
        <v>1.696897622928E12</v>
      </c>
      <c r="D97" s="126" t="s">
        <v>2443</v>
      </c>
      <c r="E97" s="1630" t="s">
        <v>2444</v>
      </c>
      <c r="F97" s="1147" t="s">
        <v>2445</v>
      </c>
      <c r="G97" s="126"/>
      <c r="H97" s="39"/>
      <c r="I97" s="1482"/>
      <c r="J97" s="48">
        <f t="shared" si="16"/>
        <v>0</v>
      </c>
      <c r="K97" s="76"/>
      <c r="L97" s="89"/>
      <c r="M97" s="136"/>
      <c r="N97" s="80">
        <f t="shared" si="17"/>
        <v>0</v>
      </c>
      <c r="O97" s="1672"/>
      <c r="P97" s="1669"/>
      <c r="Q97" s="1670">
        <v>11000.0</v>
      </c>
      <c r="R97" s="1519" t="s">
        <v>32</v>
      </c>
      <c r="S97" s="1671" t="s">
        <v>33</v>
      </c>
      <c r="T97" s="64" t="s">
        <v>2420</v>
      </c>
      <c r="U97" s="64">
        <v>1.0</v>
      </c>
      <c r="V97" s="565" t="s">
        <v>2421</v>
      </c>
      <c r="W97" s="22"/>
      <c r="X97" s="9"/>
      <c r="Y97" s="204"/>
      <c r="Z97" s="25"/>
      <c r="AA97" s="25"/>
      <c r="AB97" s="25"/>
      <c r="AC97" s="22"/>
    </row>
    <row r="98" ht="23.25" customHeight="1">
      <c r="A98" s="1660">
        <v>67.0</v>
      </c>
      <c r="B98" s="132">
        <v>44936.0</v>
      </c>
      <c r="C98" s="1146">
        <v>1.698341506143E12</v>
      </c>
      <c r="D98" s="126" t="s">
        <v>2446</v>
      </c>
      <c r="E98" s="1630" t="s">
        <v>2447</v>
      </c>
      <c r="F98" s="1147" t="s">
        <v>2448</v>
      </c>
      <c r="G98" s="126"/>
      <c r="H98" s="39"/>
      <c r="I98" s="1482"/>
      <c r="J98" s="48">
        <f t="shared" si="16"/>
        <v>0</v>
      </c>
      <c r="K98" s="76"/>
      <c r="L98" s="89"/>
      <c r="M98" s="136"/>
      <c r="N98" s="80">
        <f t="shared" si="17"/>
        <v>0</v>
      </c>
      <c r="O98" s="1672"/>
      <c r="P98" s="1669"/>
      <c r="Q98" s="1670">
        <v>11000.0</v>
      </c>
      <c r="R98" s="1519" t="s">
        <v>32</v>
      </c>
      <c r="S98" s="1671" t="s">
        <v>33</v>
      </c>
      <c r="T98" s="64" t="s">
        <v>2420</v>
      </c>
      <c r="U98" s="64">
        <v>1.0</v>
      </c>
      <c r="V98" s="565" t="s">
        <v>2421</v>
      </c>
      <c r="W98" s="22"/>
      <c r="X98" s="9"/>
      <c r="Y98" s="204"/>
      <c r="Z98" s="25"/>
      <c r="AA98" s="25"/>
      <c r="AB98" s="25"/>
      <c r="AC98" s="22"/>
    </row>
    <row r="99" ht="23.25" customHeight="1">
      <c r="A99" s="1660">
        <v>68.0</v>
      </c>
      <c r="B99" s="132">
        <v>44936.0</v>
      </c>
      <c r="C99" s="1146">
        <v>1.698457389945E12</v>
      </c>
      <c r="D99" s="126" t="s">
        <v>2383</v>
      </c>
      <c r="E99" s="1630" t="s">
        <v>2384</v>
      </c>
      <c r="F99" s="1147" t="s">
        <v>2385</v>
      </c>
      <c r="G99" s="126"/>
      <c r="H99" s="39"/>
      <c r="I99" s="1482"/>
      <c r="J99" s="48">
        <f t="shared" si="16"/>
        <v>0</v>
      </c>
      <c r="K99" s="76"/>
      <c r="L99" s="89"/>
      <c r="M99" s="136"/>
      <c r="N99" s="80">
        <f t="shared" si="17"/>
        <v>0</v>
      </c>
      <c r="O99" s="1672"/>
      <c r="P99" s="1669"/>
      <c r="Q99" s="1670">
        <v>37001.0</v>
      </c>
      <c r="R99" s="1519" t="s">
        <v>32</v>
      </c>
      <c r="S99" s="1671" t="s">
        <v>33</v>
      </c>
      <c r="T99" s="64" t="s">
        <v>2420</v>
      </c>
      <c r="U99" s="64">
        <v>1.0</v>
      </c>
      <c r="V99" s="565" t="s">
        <v>2421</v>
      </c>
      <c r="W99" s="22"/>
      <c r="X99" s="9"/>
      <c r="Y99" s="204"/>
      <c r="Z99" s="25"/>
      <c r="AA99" s="25"/>
      <c r="AB99" s="25"/>
      <c r="AC99" s="22"/>
    </row>
    <row r="100" ht="23.25" customHeight="1">
      <c r="A100" s="1660">
        <v>69.0</v>
      </c>
      <c r="B100" s="132">
        <v>44937.0</v>
      </c>
      <c r="C100" s="1146">
        <v>1.685866913302E12</v>
      </c>
      <c r="D100" s="126" t="s">
        <v>2449</v>
      </c>
      <c r="E100" s="1630" t="s">
        <v>2450</v>
      </c>
      <c r="F100" s="1147" t="s">
        <v>2451</v>
      </c>
      <c r="G100" s="126"/>
      <c r="H100" s="39"/>
      <c r="I100" s="1482"/>
      <c r="J100" s="48">
        <f t="shared" si="16"/>
        <v>0</v>
      </c>
      <c r="K100" s="76"/>
      <c r="L100" s="89"/>
      <c r="M100" s="136"/>
      <c r="N100" s="80">
        <f t="shared" si="17"/>
        <v>0</v>
      </c>
      <c r="O100" s="1672"/>
      <c r="P100" s="1669"/>
      <c r="Q100" s="1670">
        <v>39001.0</v>
      </c>
      <c r="R100" s="1519" t="s">
        <v>32</v>
      </c>
      <c r="S100" s="1671" t="s">
        <v>33</v>
      </c>
      <c r="T100" s="64" t="s">
        <v>2420</v>
      </c>
      <c r="U100" s="64">
        <v>1.0</v>
      </c>
      <c r="V100" s="565" t="s">
        <v>2421</v>
      </c>
      <c r="W100" s="22"/>
      <c r="X100" s="9"/>
      <c r="Y100" s="204"/>
      <c r="Z100" s="25"/>
      <c r="AA100" s="25"/>
      <c r="AB100" s="25"/>
      <c r="AC100" s="22"/>
    </row>
    <row r="101" ht="23.25" customHeight="1">
      <c r="A101" s="1660">
        <v>70.0</v>
      </c>
      <c r="B101" s="1680">
        <v>44937.0</v>
      </c>
      <c r="C101" s="1146">
        <v>1.68596721743E12</v>
      </c>
      <c r="D101" s="126" t="s">
        <v>369</v>
      </c>
      <c r="E101" s="1630" t="s">
        <v>370</v>
      </c>
      <c r="F101" s="1147" t="s">
        <v>371</v>
      </c>
      <c r="G101" s="126"/>
      <c r="H101" s="39"/>
      <c r="I101" s="1482"/>
      <c r="J101" s="48">
        <f t="shared" si="16"/>
        <v>0</v>
      </c>
      <c r="K101" s="76"/>
      <c r="L101" s="89"/>
      <c r="M101" s="136"/>
      <c r="N101" s="80">
        <f t="shared" si="17"/>
        <v>0</v>
      </c>
      <c r="O101" s="1672"/>
      <c r="P101" s="1669"/>
      <c r="Q101" s="1670">
        <v>37001.0</v>
      </c>
      <c r="R101" s="1519" t="s">
        <v>32</v>
      </c>
      <c r="S101" s="1671" t="s">
        <v>33</v>
      </c>
      <c r="T101" s="64" t="s">
        <v>2420</v>
      </c>
      <c r="U101" s="64">
        <v>1.0</v>
      </c>
      <c r="V101" s="565" t="s">
        <v>2421</v>
      </c>
      <c r="W101" s="22"/>
      <c r="X101" s="9"/>
      <c r="Y101" s="204"/>
      <c r="Z101" s="25"/>
      <c r="AA101" s="25"/>
      <c r="AB101" s="25"/>
      <c r="AC101" s="22"/>
    </row>
    <row r="102" ht="31.5" customHeight="1">
      <c r="A102" s="1660">
        <v>71.0</v>
      </c>
      <c r="B102" s="132">
        <v>44937.0</v>
      </c>
      <c r="C102" s="1146">
        <v>1.686014701112E12</v>
      </c>
      <c r="D102" s="126" t="s">
        <v>2452</v>
      </c>
      <c r="E102" s="1630" t="s">
        <v>2453</v>
      </c>
      <c r="F102" s="1147" t="s">
        <v>2454</v>
      </c>
      <c r="G102" s="126"/>
      <c r="H102" s="39"/>
      <c r="I102" s="1482"/>
      <c r="J102" s="48">
        <f t="shared" si="16"/>
        <v>0</v>
      </c>
      <c r="K102" s="76"/>
      <c r="L102" s="89"/>
      <c r="M102" s="136"/>
      <c r="N102" s="80">
        <f t="shared" si="17"/>
        <v>0</v>
      </c>
      <c r="O102" s="1672"/>
      <c r="P102" s="1669"/>
      <c r="Q102" s="1670">
        <v>30000.0</v>
      </c>
      <c r="R102" s="1519" t="s">
        <v>32</v>
      </c>
      <c r="S102" s="1671" t="s">
        <v>33</v>
      </c>
      <c r="T102" s="64" t="s">
        <v>2420</v>
      </c>
      <c r="U102" s="64">
        <v>1.0</v>
      </c>
      <c r="V102" s="565" t="s">
        <v>2421</v>
      </c>
      <c r="W102" s="22"/>
      <c r="X102" s="9"/>
      <c r="Y102" s="204"/>
      <c r="Z102" s="25"/>
      <c r="AA102" s="25"/>
      <c r="AB102" s="25"/>
      <c r="AC102" s="22"/>
    </row>
    <row r="103" ht="23.25" customHeight="1">
      <c r="A103" s="1661">
        <v>71.0</v>
      </c>
      <c r="B103" s="125">
        <v>44937.0</v>
      </c>
      <c r="C103" s="1146">
        <v>1.697613121125E12</v>
      </c>
      <c r="D103" s="126" t="s">
        <v>1264</v>
      </c>
      <c r="E103" s="1630" t="s">
        <v>1265</v>
      </c>
      <c r="F103" s="1147" t="s">
        <v>2455</v>
      </c>
      <c r="G103" s="126" t="s">
        <v>516</v>
      </c>
      <c r="H103" s="39">
        <v>1.0</v>
      </c>
      <c r="I103" s="1471">
        <v>220000.0</v>
      </c>
      <c r="J103" s="577">
        <f t="shared" ref="J103:J109" si="18">$H103*I103</f>
        <v>220000</v>
      </c>
      <c r="K103" s="49">
        <f>SUM(J103:J105)</f>
        <v>660000</v>
      </c>
      <c r="L103" s="50"/>
      <c r="M103" s="562"/>
      <c r="N103" s="53">
        <f t="shared" si="17"/>
        <v>660000</v>
      </c>
      <c r="O103" s="1676" t="s">
        <v>449</v>
      </c>
      <c r="P103" s="1508" t="s">
        <v>31</v>
      </c>
      <c r="Q103" s="1677">
        <v>46999.0</v>
      </c>
      <c r="R103" s="1511" t="s">
        <v>32</v>
      </c>
      <c r="S103" s="1678" t="s">
        <v>33</v>
      </c>
      <c r="T103" s="100"/>
      <c r="U103" s="100"/>
      <c r="V103" s="587" t="s">
        <v>2456</v>
      </c>
      <c r="W103" s="22"/>
      <c r="X103" s="9"/>
      <c r="Y103" s="204"/>
      <c r="Z103" s="25"/>
      <c r="AA103" s="25"/>
      <c r="AB103" s="25"/>
      <c r="AC103" s="22"/>
    </row>
    <row r="104" ht="23.25" customHeight="1">
      <c r="A104" s="62"/>
      <c r="B104" s="62"/>
      <c r="C104" s="62"/>
      <c r="D104" s="62"/>
      <c r="E104" s="62"/>
      <c r="F104" s="62"/>
      <c r="G104" s="126" t="s">
        <v>35</v>
      </c>
      <c r="H104" s="39">
        <v>1.0</v>
      </c>
      <c r="I104" s="1471">
        <v>220000.0</v>
      </c>
      <c r="J104" s="577">
        <f t="shared" si="18"/>
        <v>220000</v>
      </c>
      <c r="K104" s="62"/>
      <c r="L104" s="62"/>
      <c r="M104" s="62"/>
      <c r="N104" s="62"/>
      <c r="O104" s="423"/>
      <c r="P104" s="62"/>
      <c r="Q104" s="62"/>
      <c r="R104" s="62"/>
      <c r="S104" s="423"/>
      <c r="T104" s="62"/>
      <c r="U104" s="62"/>
      <c r="V104" s="62"/>
      <c r="W104" s="22"/>
      <c r="X104" s="9"/>
      <c r="Y104" s="204"/>
      <c r="Z104" s="25"/>
      <c r="AA104" s="25"/>
      <c r="AB104" s="25"/>
      <c r="AC104" s="22"/>
    </row>
    <row r="105" ht="23.25" customHeight="1">
      <c r="A105" s="67"/>
      <c r="B105" s="67"/>
      <c r="C105" s="62"/>
      <c r="D105" s="62"/>
      <c r="E105" s="62"/>
      <c r="F105" s="62"/>
      <c r="G105" s="126" t="s">
        <v>30</v>
      </c>
      <c r="H105" s="39">
        <v>1.0</v>
      </c>
      <c r="I105" s="1471">
        <v>220000.0</v>
      </c>
      <c r="J105" s="577">
        <f t="shared" si="18"/>
        <v>220000</v>
      </c>
      <c r="K105" s="67"/>
      <c r="L105" s="67"/>
      <c r="M105" s="67"/>
      <c r="N105" s="67"/>
      <c r="O105" s="102"/>
      <c r="P105" s="67"/>
      <c r="Q105" s="67"/>
      <c r="R105" s="67"/>
      <c r="S105" s="102"/>
      <c r="T105" s="67"/>
      <c r="U105" s="67"/>
      <c r="V105" s="67"/>
      <c r="W105" s="22"/>
      <c r="X105" s="9"/>
      <c r="Y105" s="204"/>
      <c r="Z105" s="25"/>
      <c r="AA105" s="25"/>
      <c r="AB105" s="25"/>
      <c r="AC105" s="22"/>
    </row>
    <row r="106" ht="23.25" customHeight="1">
      <c r="A106" s="1660">
        <v>72.0</v>
      </c>
      <c r="B106" s="125">
        <v>44938.0</v>
      </c>
      <c r="C106" s="1146">
        <v>1.697857754838E12</v>
      </c>
      <c r="D106" s="195" t="s">
        <v>171</v>
      </c>
      <c r="E106" s="1630" t="s">
        <v>172</v>
      </c>
      <c r="F106" s="1147" t="s">
        <v>1421</v>
      </c>
      <c r="G106" s="126" t="s">
        <v>35</v>
      </c>
      <c r="H106" s="39">
        <v>3.0</v>
      </c>
      <c r="I106" s="1471">
        <v>220000.0</v>
      </c>
      <c r="J106" s="577">
        <f t="shared" si="18"/>
        <v>660000</v>
      </c>
      <c r="K106" s="76">
        <f t="shared" ref="K106:K110" si="19">SUM(J106)</f>
        <v>660000</v>
      </c>
      <c r="L106" s="89"/>
      <c r="M106" s="136"/>
      <c r="N106" s="80">
        <f t="shared" ref="N106:N109" si="20">K106+L106-M106</f>
        <v>660000</v>
      </c>
      <c r="O106" s="1668" t="s">
        <v>449</v>
      </c>
      <c r="P106" s="1669"/>
      <c r="Q106" s="1670">
        <v>53999.0</v>
      </c>
      <c r="R106" s="1519" t="s">
        <v>32</v>
      </c>
      <c r="S106" s="1671" t="s">
        <v>33</v>
      </c>
      <c r="T106" s="64" t="s">
        <v>2420</v>
      </c>
      <c r="U106" s="64">
        <v>1.0</v>
      </c>
      <c r="V106" s="565" t="s">
        <v>2422</v>
      </c>
      <c r="W106" s="22"/>
      <c r="X106" s="9"/>
      <c r="Y106" s="204"/>
      <c r="Z106" s="25"/>
      <c r="AA106" s="25"/>
      <c r="AB106" s="25"/>
      <c r="AC106" s="22"/>
    </row>
    <row r="107" ht="23.25" customHeight="1">
      <c r="A107" s="1660">
        <v>73.0</v>
      </c>
      <c r="B107" s="125">
        <v>44938.0</v>
      </c>
      <c r="C107" s="1146">
        <v>1.704045638743E12</v>
      </c>
      <c r="D107" s="195" t="s">
        <v>1075</v>
      </c>
      <c r="E107" s="1630" t="s">
        <v>1076</v>
      </c>
      <c r="F107" s="155" t="s">
        <v>2457</v>
      </c>
      <c r="G107" s="126" t="s">
        <v>30</v>
      </c>
      <c r="H107" s="39">
        <v>2.0</v>
      </c>
      <c r="I107" s="1471">
        <v>220000.0</v>
      </c>
      <c r="J107" s="577">
        <f t="shared" si="18"/>
        <v>440000</v>
      </c>
      <c r="K107" s="76">
        <f t="shared" si="19"/>
        <v>440000</v>
      </c>
      <c r="L107" s="89"/>
      <c r="M107" s="136"/>
      <c r="N107" s="80">
        <f t="shared" si="20"/>
        <v>440000</v>
      </c>
      <c r="O107" s="1672"/>
      <c r="P107" s="1669"/>
      <c r="Q107" s="1670">
        <v>50999.0</v>
      </c>
      <c r="R107" s="1519" t="s">
        <v>32</v>
      </c>
      <c r="S107" s="1671" t="s">
        <v>33</v>
      </c>
      <c r="T107" s="64" t="s">
        <v>2420</v>
      </c>
      <c r="U107" s="64">
        <v>1.0</v>
      </c>
      <c r="V107" s="565" t="s">
        <v>2422</v>
      </c>
      <c r="W107" s="22"/>
      <c r="X107" s="9"/>
      <c r="Y107" s="204"/>
      <c r="Z107" s="25"/>
      <c r="AA107" s="25"/>
      <c r="AB107" s="25"/>
      <c r="AC107" s="22"/>
    </row>
    <row r="108" ht="23.25" customHeight="1">
      <c r="A108" s="1660">
        <v>74.0</v>
      </c>
      <c r="B108" s="125">
        <v>44939.0</v>
      </c>
      <c r="C108" s="1146">
        <v>1.677898044873E12</v>
      </c>
      <c r="D108" s="126" t="s">
        <v>2271</v>
      </c>
      <c r="E108" s="1630" t="s">
        <v>2272</v>
      </c>
      <c r="F108" s="155" t="s">
        <v>2458</v>
      </c>
      <c r="G108" s="126"/>
      <c r="H108" s="39"/>
      <c r="I108" s="1471"/>
      <c r="J108" s="577">
        <f t="shared" si="18"/>
        <v>0</v>
      </c>
      <c r="K108" s="76">
        <f t="shared" si="19"/>
        <v>0</v>
      </c>
      <c r="L108" s="89"/>
      <c r="M108" s="136"/>
      <c r="N108" s="80">
        <f t="shared" si="20"/>
        <v>0</v>
      </c>
      <c r="O108" s="1672"/>
      <c r="P108" s="1669"/>
      <c r="Q108" s="1670">
        <v>13200.0</v>
      </c>
      <c r="R108" s="1519" t="s">
        <v>32</v>
      </c>
      <c r="S108" s="1671" t="s">
        <v>33</v>
      </c>
      <c r="T108" s="64" t="s">
        <v>2420</v>
      </c>
      <c r="U108" s="64">
        <v>1.0</v>
      </c>
      <c r="V108" s="565" t="s">
        <v>2459</v>
      </c>
      <c r="W108" s="22"/>
      <c r="X108" s="9"/>
      <c r="Y108" s="204"/>
      <c r="Z108" s="25"/>
      <c r="AA108" s="25"/>
      <c r="AB108" s="25"/>
      <c r="AC108" s="22"/>
    </row>
    <row r="109" ht="35.25" customHeight="1">
      <c r="A109" s="1660">
        <v>75.0</v>
      </c>
      <c r="B109" s="125">
        <v>44940.0</v>
      </c>
      <c r="C109" s="1146">
        <v>1.676336285162E12</v>
      </c>
      <c r="D109" s="195" t="s">
        <v>206</v>
      </c>
      <c r="E109" s="1630" t="s">
        <v>1079</v>
      </c>
      <c r="F109" s="1681" t="s">
        <v>2189</v>
      </c>
      <c r="G109" s="126" t="s">
        <v>30</v>
      </c>
      <c r="H109" s="39">
        <v>12.0</v>
      </c>
      <c r="I109" s="1471">
        <v>220000.0</v>
      </c>
      <c r="J109" s="577">
        <f t="shared" si="18"/>
        <v>2640000</v>
      </c>
      <c r="K109" s="76">
        <f t="shared" si="19"/>
        <v>2640000</v>
      </c>
      <c r="L109" s="89"/>
      <c r="M109" s="136"/>
      <c r="N109" s="80">
        <f t="shared" si="20"/>
        <v>2640000</v>
      </c>
      <c r="O109" s="1672"/>
      <c r="P109" s="1669"/>
      <c r="Q109" s="1670">
        <v>96999.0</v>
      </c>
      <c r="R109" s="1519" t="s">
        <v>32</v>
      </c>
      <c r="S109" s="1675"/>
      <c r="T109" s="64" t="s">
        <v>2460</v>
      </c>
      <c r="U109" s="64">
        <v>1.0</v>
      </c>
      <c r="V109" s="565" t="s">
        <v>2228</v>
      </c>
      <c r="W109" s="22"/>
      <c r="X109" s="9"/>
      <c r="Y109" s="204"/>
      <c r="Z109" s="25"/>
      <c r="AA109" s="25"/>
      <c r="AB109" s="25"/>
      <c r="AC109" s="22"/>
    </row>
    <row r="110" ht="24.75" customHeight="1">
      <c r="A110" s="9"/>
      <c r="B110" s="1167" t="s">
        <v>384</v>
      </c>
      <c r="C110" s="16"/>
      <c r="D110" s="16"/>
      <c r="E110" s="16"/>
      <c r="F110" s="16"/>
      <c r="G110" s="16"/>
      <c r="H110" s="16"/>
      <c r="I110" s="17"/>
      <c r="J110" s="1168">
        <f>SUM(J4:J109)</f>
        <v>43265000</v>
      </c>
      <c r="K110" s="76">
        <f t="shared" si="19"/>
        <v>43265000</v>
      </c>
      <c r="L110" s="201">
        <f t="shared" ref="L110:V110" si="21">SUM(L4:L109)</f>
        <v>121502</v>
      </c>
      <c r="M110" s="201">
        <f t="shared" si="21"/>
        <v>81502</v>
      </c>
      <c r="N110" s="201">
        <f t="shared" si="21"/>
        <v>43305000</v>
      </c>
      <c r="O110" s="201">
        <f t="shared" si="21"/>
        <v>0</v>
      </c>
      <c r="P110" s="201">
        <f t="shared" si="21"/>
        <v>0</v>
      </c>
      <c r="Q110" s="201">
        <f t="shared" si="21"/>
        <v>3093883</v>
      </c>
      <c r="R110" s="201">
        <f t="shared" si="21"/>
        <v>0</v>
      </c>
      <c r="S110" s="201">
        <f t="shared" si="21"/>
        <v>0</v>
      </c>
      <c r="T110" s="201">
        <f t="shared" si="21"/>
        <v>0</v>
      </c>
      <c r="U110" s="201">
        <f t="shared" si="21"/>
        <v>99</v>
      </c>
      <c r="V110" s="201">
        <f t="shared" si="21"/>
        <v>0</v>
      </c>
      <c r="W110" s="9"/>
      <c r="X110" s="9"/>
      <c r="Y110" s="204"/>
      <c r="Z110" s="205"/>
      <c r="AA110" s="205"/>
      <c r="AB110" s="205"/>
      <c r="AC110" s="9"/>
    </row>
    <row r="111" ht="24.75" customHeight="1">
      <c r="A111" s="9"/>
      <c r="B111" s="463" t="s">
        <v>385</v>
      </c>
      <c r="C111" s="16"/>
      <c r="D111" s="16"/>
      <c r="E111" s="16"/>
      <c r="F111" s="16"/>
      <c r="G111" s="16"/>
      <c r="H111" s="16"/>
      <c r="I111" s="17"/>
      <c r="J111" s="1604">
        <f>SUMIF(G4:G109, "&lt;&gt;*Omi*", J4:J109)</f>
        <v>4395000</v>
      </c>
      <c r="K111" s="1605"/>
      <c r="L111" s="208"/>
      <c r="M111" s="210"/>
      <c r="N111" s="211"/>
      <c r="O111" s="210"/>
      <c r="P111" s="210"/>
      <c r="Q111" s="23"/>
      <c r="R111" s="23"/>
      <c r="S111" s="23"/>
      <c r="T111" s="23"/>
      <c r="U111" s="464"/>
      <c r="V111" s="464"/>
      <c r="W111" s="9"/>
      <c r="X111" s="9"/>
      <c r="Y111" s="204"/>
      <c r="Z111" s="205"/>
      <c r="AA111" s="205"/>
      <c r="AB111" s="205"/>
      <c r="AC111" s="9"/>
    </row>
    <row r="112" ht="42.0" customHeight="1">
      <c r="A112" s="9"/>
      <c r="B112" s="214" t="s">
        <v>386</v>
      </c>
      <c r="C112" s="16"/>
      <c r="D112" s="16"/>
      <c r="E112" s="16"/>
      <c r="F112" s="16"/>
      <c r="G112" s="16"/>
      <c r="H112" s="16"/>
      <c r="I112" s="17"/>
      <c r="J112" s="1606">
        <f>J110-J111</f>
        <v>38870000</v>
      </c>
      <c r="K112" s="1605"/>
      <c r="L112" s="216"/>
      <c r="M112" s="216"/>
      <c r="N112" s="216"/>
      <c r="O112" s="216"/>
      <c r="P112" s="23"/>
      <c r="Q112" s="23"/>
      <c r="R112" s="23"/>
      <c r="S112" s="23"/>
      <c r="T112" s="23"/>
      <c r="U112" s="464"/>
      <c r="V112" s="464"/>
      <c r="W112" s="9"/>
      <c r="X112" s="9"/>
      <c r="Y112" s="204"/>
      <c r="Z112" s="205"/>
      <c r="AA112" s="205"/>
      <c r="AB112" s="205"/>
      <c r="AC112" s="9"/>
    </row>
    <row r="113" ht="24.75" customHeight="1">
      <c r="A113" s="9"/>
      <c r="B113" s="502" t="s">
        <v>347</v>
      </c>
      <c r="C113" s="16"/>
      <c r="D113" s="16"/>
      <c r="E113" s="16"/>
      <c r="F113" s="16"/>
      <c r="G113" s="16"/>
      <c r="H113" s="16"/>
      <c r="I113" s="17"/>
      <c r="J113" s="1604">
        <f>SUMIF(R4:R109,"Cty trả ship",Q4:Q109)</f>
        <v>3093883</v>
      </c>
      <c r="K113" s="1605"/>
      <c r="L113" s="216"/>
      <c r="M113" s="1607"/>
      <c r="N113" s="216"/>
      <c r="O113" s="216"/>
      <c r="P113" s="23"/>
      <c r="Q113" s="23"/>
      <c r="R113" s="23"/>
      <c r="S113" s="23"/>
      <c r="T113" s="23"/>
      <c r="U113" s="464"/>
      <c r="V113" s="464"/>
      <c r="W113" s="9"/>
      <c r="X113" s="218"/>
      <c r="Y113" s="219"/>
      <c r="Z113" s="205"/>
      <c r="AA113" s="205"/>
      <c r="AB113" s="205"/>
      <c r="AC113" s="9"/>
    </row>
    <row r="114" ht="24.75" customHeight="1">
      <c r="A114" s="9"/>
      <c r="B114" s="220" t="s">
        <v>388</v>
      </c>
      <c r="C114" s="16"/>
      <c r="D114" s="16"/>
      <c r="E114" s="16"/>
      <c r="F114" s="16"/>
      <c r="G114" s="16"/>
      <c r="H114" s="16"/>
      <c r="I114" s="17"/>
      <c r="J114" s="1608">
        <f>M110</f>
        <v>81502</v>
      </c>
      <c r="K114" s="1605"/>
      <c r="L114" s="208"/>
      <c r="M114" s="210"/>
      <c r="N114" s="211"/>
      <c r="O114" s="210"/>
      <c r="P114" s="210"/>
      <c r="Q114" s="23"/>
      <c r="R114" s="23"/>
      <c r="S114" s="210"/>
      <c r="T114" s="210"/>
      <c r="U114" s="466"/>
      <c r="V114" s="466"/>
      <c r="W114" s="210"/>
      <c r="X114" s="218"/>
      <c r="Y114" s="219"/>
      <c r="Z114" s="205"/>
      <c r="AA114" s="205"/>
      <c r="AB114" s="205"/>
      <c r="AC114" s="9"/>
    </row>
    <row r="115" ht="15.75" customHeight="1">
      <c r="A115" s="9"/>
      <c r="B115" s="9"/>
      <c r="C115" s="9"/>
      <c r="D115" s="9"/>
      <c r="E115" s="9"/>
      <c r="F115" s="222"/>
      <c r="G115" s="223"/>
      <c r="H115" s="224"/>
      <c r="I115" s="225"/>
      <c r="J115" s="225"/>
      <c r="K115" s="22"/>
      <c r="L115" s="9"/>
      <c r="M115" s="9"/>
      <c r="N115" s="226"/>
      <c r="O115" s="9"/>
      <c r="P115" s="9"/>
      <c r="Q115" s="9"/>
      <c r="R115" s="9"/>
      <c r="S115" s="9"/>
      <c r="T115" s="9"/>
      <c r="U115" s="913"/>
      <c r="V115" s="913"/>
      <c r="W115" s="9"/>
      <c r="X115" s="9"/>
      <c r="Y115" s="204"/>
      <c r="Z115" s="205"/>
      <c r="AA115" s="205"/>
      <c r="AB115" s="205"/>
      <c r="AC115" s="9"/>
    </row>
    <row r="116" ht="15.75" customHeight="1">
      <c r="A116" s="218"/>
      <c r="B116" s="227"/>
      <c r="C116" s="228"/>
      <c r="D116" s="229"/>
      <c r="E116" s="230"/>
      <c r="F116" s="229"/>
      <c r="G116" s="231"/>
      <c r="H116" s="231"/>
      <c r="I116" s="231"/>
      <c r="J116" s="232"/>
      <c r="K116" s="233"/>
      <c r="L116" s="232"/>
      <c r="M116" s="232"/>
      <c r="N116" s="234"/>
      <c r="O116" s="218"/>
      <c r="P116" s="218"/>
      <c r="Q116" s="218"/>
      <c r="R116" s="218"/>
      <c r="S116" s="218"/>
      <c r="T116" s="218"/>
      <c r="U116" s="601"/>
      <c r="V116" s="601"/>
      <c r="W116" s="235"/>
      <c r="X116" s="218"/>
      <c r="Y116" s="219"/>
      <c r="Z116" s="205"/>
      <c r="AA116" s="205"/>
      <c r="AB116" s="205"/>
      <c r="AC116" s="9"/>
    </row>
    <row r="117" ht="15.75" customHeight="1">
      <c r="A117" s="218"/>
      <c r="B117" s="236"/>
      <c r="C117" s="16"/>
      <c r="D117" s="17"/>
      <c r="E117" s="237" t="s">
        <v>389</v>
      </c>
      <c r="F117" s="16"/>
      <c r="G117" s="16"/>
      <c r="H117" s="16"/>
      <c r="I117" s="16"/>
      <c r="J117" s="17"/>
      <c r="K117" s="23"/>
      <c r="L117" s="218"/>
      <c r="M117" s="1171" t="s">
        <v>864</v>
      </c>
      <c r="N117" s="2"/>
      <c r="O117" s="2"/>
      <c r="P117" s="2"/>
      <c r="Q117" s="2"/>
      <c r="R117" s="2"/>
      <c r="S117" s="3"/>
      <c r="T117" s="218"/>
      <c r="U117" s="604"/>
      <c r="V117" s="604"/>
      <c r="W117" s="240"/>
      <c r="X117" s="218"/>
      <c r="Y117" s="219"/>
      <c r="Z117" s="205"/>
      <c r="AA117" s="205"/>
      <c r="AB117" s="205"/>
      <c r="AC117" s="9"/>
    </row>
    <row r="118" ht="15.75" customHeight="1">
      <c r="A118" s="218"/>
      <c r="B118" s="241" t="s">
        <v>391</v>
      </c>
      <c r="C118" s="242" t="s">
        <v>392</v>
      </c>
      <c r="D118" s="243" t="s">
        <v>393</v>
      </c>
      <c r="E118" s="244" t="s">
        <v>394</v>
      </c>
      <c r="F118" s="245" t="s">
        <v>395</v>
      </c>
      <c r="G118" s="201" t="s">
        <v>396</v>
      </c>
      <c r="H118" s="243" t="s">
        <v>397</v>
      </c>
      <c r="I118" s="246" t="s">
        <v>398</v>
      </c>
      <c r="J118" s="247" t="s">
        <v>399</v>
      </c>
      <c r="K118" s="23"/>
      <c r="L118" s="218"/>
      <c r="M118" s="1172" t="s">
        <v>400</v>
      </c>
      <c r="N118" s="1682" t="s">
        <v>2461</v>
      </c>
      <c r="O118" s="1682" t="s">
        <v>2462</v>
      </c>
      <c r="P118" s="1683" t="s">
        <v>404</v>
      </c>
      <c r="Q118" s="1683" t="s">
        <v>2463</v>
      </c>
      <c r="R118" s="252" t="s">
        <v>405</v>
      </c>
      <c r="S118" s="253" t="s">
        <v>406</v>
      </c>
      <c r="T118" s="9"/>
      <c r="U118" s="618"/>
      <c r="V118" s="608"/>
      <c r="W118" s="240"/>
      <c r="X118" s="218"/>
      <c r="Y118" s="219"/>
      <c r="Z118" s="205"/>
      <c r="AA118" s="205"/>
      <c r="AB118" s="205"/>
      <c r="AC118" s="9"/>
    </row>
    <row r="119" ht="15.75" customHeight="1">
      <c r="A119" s="218"/>
      <c r="B119" s="254" t="s">
        <v>407</v>
      </c>
      <c r="C119" s="85" t="s">
        <v>121</v>
      </c>
      <c r="D119" s="255">
        <f t="shared" ref="D119:D158" si="22">SUMIF($G$4:$G$112,C119,$H$4:$H$112)</f>
        <v>0</v>
      </c>
      <c r="E119" s="65"/>
      <c r="F119" s="255"/>
      <c r="G119" s="256">
        <f t="shared" ref="G119:G158" si="23">D119-E119-F119</f>
        <v>0</v>
      </c>
      <c r="H119" s="128">
        <v>220000.0</v>
      </c>
      <c r="I119" s="217">
        <f t="shared" ref="I119:I158" si="24">G119*H119</f>
        <v>0</v>
      </c>
      <c r="J119" s="257">
        <f t="shared" ref="J119:J156" si="25">SUMIF($T$4:$T$109,C119,$U$4:$U$109)</f>
        <v>0</v>
      </c>
      <c r="K119" s="23"/>
      <c r="L119" s="218"/>
      <c r="M119" s="103">
        <v>44921.0</v>
      </c>
      <c r="N119" s="261">
        <f>240000+705000+660000+2640000+660000+660000</f>
        <v>5565000</v>
      </c>
      <c r="O119" s="261"/>
      <c r="P119" s="1176">
        <f>107504+66501+54000+44999+62001+51000+21500+54000+53001</f>
        <v>514506</v>
      </c>
      <c r="Q119" s="1177"/>
      <c r="R119" s="1178">
        <f t="shared" ref="R119:R127" si="26">N119+O119-P119-Q119</f>
        <v>5050494</v>
      </c>
      <c r="S119" s="488"/>
      <c r="T119" s="9"/>
      <c r="U119" s="608"/>
      <c r="V119" s="611"/>
      <c r="W119" s="266"/>
      <c r="X119" s="218"/>
      <c r="Y119" s="219"/>
      <c r="Z119" s="205"/>
      <c r="AA119" s="205"/>
      <c r="AB119" s="205"/>
      <c r="AC119" s="9"/>
    </row>
    <row r="120" ht="15.75" customHeight="1">
      <c r="A120" s="218"/>
      <c r="B120" s="62"/>
      <c r="C120" s="85" t="s">
        <v>123</v>
      </c>
      <c r="D120" s="255">
        <f t="shared" si="22"/>
        <v>1</v>
      </c>
      <c r="E120" s="65"/>
      <c r="F120" s="255"/>
      <c r="G120" s="256">
        <f t="shared" si="23"/>
        <v>1</v>
      </c>
      <c r="H120" s="128">
        <v>220000.0</v>
      </c>
      <c r="I120" s="217">
        <f t="shared" si="24"/>
        <v>220000</v>
      </c>
      <c r="J120" s="257">
        <f t="shared" si="25"/>
        <v>0</v>
      </c>
      <c r="K120" s="23"/>
      <c r="L120" s="218"/>
      <c r="M120" s="112" t="s">
        <v>2464</v>
      </c>
      <c r="N120" s="261">
        <f>240000+660000+480000+880000+880000</f>
        <v>3140000</v>
      </c>
      <c r="O120" s="261"/>
      <c r="P120" s="487">
        <f>97003+32000+50001+51000</f>
        <v>230004</v>
      </c>
      <c r="Q120" s="1177"/>
      <c r="R120" s="1178">
        <f t="shared" si="26"/>
        <v>2909996</v>
      </c>
      <c r="S120" s="488"/>
      <c r="T120" s="9"/>
      <c r="U120" s="608"/>
      <c r="V120" s="611"/>
      <c r="W120" s="266"/>
      <c r="X120" s="218"/>
      <c r="Y120" s="219"/>
      <c r="Z120" s="205"/>
      <c r="AA120" s="205"/>
      <c r="AB120" s="205"/>
      <c r="AC120" s="9"/>
    </row>
    <row r="121" ht="15.75" customHeight="1">
      <c r="A121" s="218"/>
      <c r="B121" s="62"/>
      <c r="C121" s="85" t="s">
        <v>124</v>
      </c>
      <c r="D121" s="255">
        <f t="shared" si="22"/>
        <v>39</v>
      </c>
      <c r="E121" s="65"/>
      <c r="F121" s="255"/>
      <c r="G121" s="256">
        <f t="shared" si="23"/>
        <v>39</v>
      </c>
      <c r="H121" s="128">
        <v>220000.0</v>
      </c>
      <c r="I121" s="217">
        <f t="shared" si="24"/>
        <v>8580000</v>
      </c>
      <c r="J121" s="257">
        <f t="shared" si="25"/>
        <v>0</v>
      </c>
      <c r="K121" s="23"/>
      <c r="L121" s="218"/>
      <c r="M121" s="67"/>
      <c r="N121" s="261"/>
      <c r="O121" s="496">
        <v>45000.0</v>
      </c>
      <c r="P121" s="487"/>
      <c r="Q121" s="1177"/>
      <c r="R121" s="1178">
        <f t="shared" si="26"/>
        <v>45000</v>
      </c>
      <c r="S121" s="483" t="s">
        <v>2465</v>
      </c>
      <c r="T121" s="9"/>
      <c r="U121" s="608"/>
      <c r="V121" s="611"/>
      <c r="W121" s="266"/>
      <c r="X121" s="218"/>
      <c r="Y121" s="219"/>
      <c r="Z121" s="205"/>
      <c r="AA121" s="205"/>
      <c r="AB121" s="205"/>
      <c r="AC121" s="9"/>
    </row>
    <row r="122" ht="15.75" customHeight="1">
      <c r="A122" s="218"/>
      <c r="B122" s="62"/>
      <c r="C122" s="129" t="s">
        <v>125</v>
      </c>
      <c r="D122" s="255">
        <f t="shared" si="22"/>
        <v>11</v>
      </c>
      <c r="E122" s="65"/>
      <c r="F122" s="255"/>
      <c r="G122" s="256">
        <f t="shared" si="23"/>
        <v>11</v>
      </c>
      <c r="H122" s="80">
        <v>220000.0</v>
      </c>
      <c r="I122" s="217">
        <f t="shared" si="24"/>
        <v>2420000</v>
      </c>
      <c r="J122" s="257">
        <f t="shared" si="25"/>
        <v>0</v>
      </c>
      <c r="K122" s="23"/>
      <c r="L122" s="218"/>
      <c r="M122" s="103">
        <v>44925.0</v>
      </c>
      <c r="N122" s="261">
        <f>2920000</f>
        <v>2920000</v>
      </c>
      <c r="O122" s="261">
        <f>N8+N5+N4</f>
        <v>880000</v>
      </c>
      <c r="P122" s="487"/>
      <c r="Q122" s="487">
        <f>Q7+Q14+Q10+Q11+Q13+Q4+Q5+Q8+Q6+Q12</f>
        <v>434000</v>
      </c>
      <c r="R122" s="1178">
        <f t="shared" si="26"/>
        <v>3366000</v>
      </c>
      <c r="S122" s="488"/>
      <c r="T122" s="9"/>
      <c r="U122" s="608"/>
      <c r="V122" s="611"/>
      <c r="W122" s="266"/>
      <c r="X122" s="218"/>
      <c r="Y122" s="219"/>
      <c r="Z122" s="205"/>
      <c r="AA122" s="205"/>
      <c r="AB122" s="205"/>
      <c r="AC122" s="9"/>
    </row>
    <row r="123" ht="15.75" customHeight="1">
      <c r="A123" s="218"/>
      <c r="B123" s="62"/>
      <c r="C123" s="129" t="s">
        <v>129</v>
      </c>
      <c r="D123" s="255">
        <f t="shared" si="22"/>
        <v>3</v>
      </c>
      <c r="E123" s="268"/>
      <c r="F123" s="269"/>
      <c r="G123" s="256">
        <f t="shared" si="23"/>
        <v>3</v>
      </c>
      <c r="H123" s="80">
        <v>220000.0</v>
      </c>
      <c r="I123" s="217">
        <f t="shared" si="24"/>
        <v>660000</v>
      </c>
      <c r="J123" s="257">
        <f t="shared" si="25"/>
        <v>2</v>
      </c>
      <c r="K123" s="23"/>
      <c r="L123" s="218"/>
      <c r="M123" s="103">
        <v>44928.0</v>
      </c>
      <c r="N123" s="261"/>
      <c r="O123" s="261">
        <f>N55 + N37+N28+N14+N43+N30+ N11</f>
        <v>4520000</v>
      </c>
      <c r="P123" s="487"/>
      <c r="Q123" s="487">
        <f>Q36+Q30+Q21+Q20+Q27+Q42+Q56+Q24+Q25+Q38+Q22+Q37+Q39+L55+Q57+Q44+Q43+Q23+Q54+Q47+Q34+Q32+Q35+Q41+Q40+Q46+Q28+Q26+Q33</f>
        <v>1263283</v>
      </c>
      <c r="R123" s="1178">
        <f t="shared" si="26"/>
        <v>3256717</v>
      </c>
      <c r="S123" s="488"/>
      <c r="T123" s="9"/>
      <c r="U123" s="608"/>
      <c r="V123" s="611"/>
      <c r="W123" s="266"/>
      <c r="X123" s="218"/>
      <c r="Y123" s="219"/>
      <c r="Z123" s="205"/>
      <c r="AA123" s="205"/>
      <c r="AB123" s="205"/>
      <c r="AC123" s="9"/>
    </row>
    <row r="124" ht="15.75" customHeight="1">
      <c r="A124" s="218"/>
      <c r="B124" s="62"/>
      <c r="C124" s="85" t="s">
        <v>133</v>
      </c>
      <c r="D124" s="255">
        <f t="shared" si="22"/>
        <v>8</v>
      </c>
      <c r="E124" s="65"/>
      <c r="F124" s="269"/>
      <c r="G124" s="256">
        <f t="shared" si="23"/>
        <v>8</v>
      </c>
      <c r="H124" s="128">
        <v>220000.0</v>
      </c>
      <c r="I124" s="217">
        <f t="shared" si="24"/>
        <v>1760000</v>
      </c>
      <c r="J124" s="257">
        <f t="shared" si="25"/>
        <v>0</v>
      </c>
      <c r="K124" s="23"/>
      <c r="L124" s="218"/>
      <c r="M124" s="103">
        <v>44930.0</v>
      </c>
      <c r="N124" s="261"/>
      <c r="O124" s="261">
        <f>N44+N36+N38+N47</f>
        <v>18380000</v>
      </c>
      <c r="P124" s="1610"/>
      <c r="Q124" s="1610">
        <v>0.0</v>
      </c>
      <c r="R124" s="1178">
        <f t="shared" si="26"/>
        <v>18380000</v>
      </c>
      <c r="S124" s="488"/>
      <c r="T124" s="9"/>
      <c r="U124" s="608"/>
      <c r="V124" s="611"/>
      <c r="W124" s="266"/>
      <c r="X124" s="218"/>
      <c r="Y124" s="219"/>
      <c r="Z124" s="205"/>
      <c r="AA124" s="205"/>
      <c r="AB124" s="205"/>
      <c r="AC124" s="9"/>
    </row>
    <row r="125" ht="15.75" customHeight="1">
      <c r="A125" s="218"/>
      <c r="B125" s="62"/>
      <c r="C125" s="85" t="s">
        <v>135</v>
      </c>
      <c r="D125" s="255">
        <f t="shared" si="22"/>
        <v>0</v>
      </c>
      <c r="E125" s="268"/>
      <c r="F125" s="269"/>
      <c r="G125" s="256">
        <f t="shared" si="23"/>
        <v>0</v>
      </c>
      <c r="H125" s="128">
        <v>220000.0</v>
      </c>
      <c r="I125" s="217">
        <f t="shared" si="24"/>
        <v>0</v>
      </c>
      <c r="J125" s="257">
        <f t="shared" si="25"/>
        <v>0</v>
      </c>
      <c r="K125" s="23"/>
      <c r="L125" s="218"/>
      <c r="M125" s="103">
        <v>44932.0</v>
      </c>
      <c r="N125" s="261"/>
      <c r="O125" s="261">
        <f>N60+N58</f>
        <v>2245000</v>
      </c>
      <c r="P125" s="487"/>
      <c r="Q125" s="1177">
        <f>Q62+Q61+Q59+Q60</f>
        <v>186199</v>
      </c>
      <c r="R125" s="1178">
        <f t="shared" si="26"/>
        <v>2058801</v>
      </c>
      <c r="S125" s="488"/>
      <c r="T125" s="9"/>
      <c r="U125" s="608"/>
      <c r="V125" s="611"/>
      <c r="W125" s="266"/>
      <c r="X125" s="218"/>
      <c r="Y125" s="219"/>
      <c r="Z125" s="205"/>
      <c r="AA125" s="205"/>
      <c r="AB125" s="205"/>
      <c r="AC125" s="9"/>
    </row>
    <row r="126" ht="15.75" customHeight="1">
      <c r="A126" s="218"/>
      <c r="B126" s="62"/>
      <c r="C126" s="64" t="s">
        <v>2194</v>
      </c>
      <c r="D126" s="255">
        <f t="shared" si="22"/>
        <v>20</v>
      </c>
      <c r="E126" s="65"/>
      <c r="F126" s="269"/>
      <c r="G126" s="256">
        <f t="shared" si="23"/>
        <v>20</v>
      </c>
      <c r="H126" s="128">
        <v>80000.0</v>
      </c>
      <c r="I126" s="217">
        <f t="shared" si="24"/>
        <v>1600000</v>
      </c>
      <c r="J126" s="257">
        <f t="shared" si="25"/>
        <v>27</v>
      </c>
      <c r="K126" s="23"/>
      <c r="L126" s="218"/>
      <c r="M126" s="103">
        <v>44935.0</v>
      </c>
      <c r="N126" s="261"/>
      <c r="O126" s="261">
        <f>N62</f>
        <v>660000</v>
      </c>
      <c r="P126" s="487"/>
      <c r="Q126" s="1177">
        <f>L65+Q64</f>
        <v>76700</v>
      </c>
      <c r="R126" s="1178">
        <f t="shared" si="26"/>
        <v>583300</v>
      </c>
      <c r="S126" s="488"/>
      <c r="T126" s="9"/>
      <c r="U126" s="608"/>
      <c r="V126" s="611"/>
      <c r="W126" s="266"/>
      <c r="X126" s="218"/>
      <c r="Y126" s="219"/>
      <c r="Z126" s="205"/>
      <c r="AA126" s="205"/>
      <c r="AB126" s="205"/>
      <c r="AC126" s="9"/>
    </row>
    <row r="127" ht="15.75" customHeight="1">
      <c r="A127" s="218"/>
      <c r="B127" s="62"/>
      <c r="C127" s="64" t="s">
        <v>488</v>
      </c>
      <c r="D127" s="255">
        <f t="shared" si="22"/>
        <v>1</v>
      </c>
      <c r="E127" s="65"/>
      <c r="F127" s="269"/>
      <c r="G127" s="256">
        <f t="shared" si="23"/>
        <v>1</v>
      </c>
      <c r="H127" s="137">
        <v>45000.0</v>
      </c>
      <c r="I127" s="217">
        <f t="shared" si="24"/>
        <v>45000</v>
      </c>
      <c r="J127" s="257">
        <f t="shared" si="25"/>
        <v>0</v>
      </c>
      <c r="K127" s="23"/>
      <c r="L127" s="218"/>
      <c r="M127" s="103">
        <v>44939.0</v>
      </c>
      <c r="N127" s="261"/>
      <c r="O127" s="261">
        <f>N70+N66+N67+N79</f>
        <v>10880000</v>
      </c>
      <c r="P127" s="487"/>
      <c r="Q127" s="1177">
        <f>Q97+Q67+Q98+Q90+Q87+Q95+Q68+Q96+Q91+Q89+Q85+Q73+Q79+Q94+Q92+Q86+Q70+Q93+Q66+Q69+Q88</f>
        <v>815003</v>
      </c>
      <c r="R127" s="1178">
        <f t="shared" si="26"/>
        <v>10064997</v>
      </c>
      <c r="S127" s="488"/>
      <c r="T127" s="9"/>
      <c r="U127" s="608"/>
      <c r="V127" s="611"/>
      <c r="W127" s="266"/>
      <c r="X127" s="218"/>
      <c r="Y127" s="219"/>
      <c r="Z127" s="205"/>
      <c r="AA127" s="205"/>
      <c r="AB127" s="205"/>
      <c r="AC127" s="9"/>
    </row>
    <row r="128" ht="15.75" customHeight="1">
      <c r="A128" s="218"/>
      <c r="B128" s="62"/>
      <c r="C128" s="64" t="s">
        <v>412</v>
      </c>
      <c r="D128" s="255">
        <f t="shared" si="22"/>
        <v>0</v>
      </c>
      <c r="E128" s="65"/>
      <c r="F128" s="269"/>
      <c r="G128" s="256">
        <f t="shared" si="23"/>
        <v>0</v>
      </c>
      <c r="H128" s="137">
        <v>45000.0</v>
      </c>
      <c r="I128" s="217">
        <f t="shared" si="24"/>
        <v>0</v>
      </c>
      <c r="J128" s="257">
        <f t="shared" si="25"/>
        <v>0</v>
      </c>
      <c r="K128" s="23"/>
      <c r="L128" s="218"/>
      <c r="M128" s="103"/>
      <c r="N128" s="261"/>
      <c r="O128" s="261"/>
      <c r="P128" s="487"/>
      <c r="Q128" s="1177"/>
      <c r="R128" s="1178"/>
      <c r="S128" s="488"/>
      <c r="T128" s="9"/>
      <c r="U128" s="608"/>
      <c r="V128" s="611"/>
      <c r="W128" s="266"/>
      <c r="X128" s="218"/>
      <c r="Y128" s="219"/>
      <c r="Z128" s="205"/>
      <c r="AA128" s="205"/>
      <c r="AB128" s="205"/>
      <c r="AC128" s="9"/>
    </row>
    <row r="129" ht="15.75" customHeight="1">
      <c r="A129" s="218"/>
      <c r="B129" s="62"/>
      <c r="C129" s="85" t="s">
        <v>142</v>
      </c>
      <c r="D129" s="255">
        <f t="shared" si="22"/>
        <v>1</v>
      </c>
      <c r="E129" s="65"/>
      <c r="F129" s="269"/>
      <c r="G129" s="256">
        <f t="shared" si="23"/>
        <v>1</v>
      </c>
      <c r="H129" s="128">
        <v>220000.0</v>
      </c>
      <c r="I129" s="217">
        <f t="shared" si="24"/>
        <v>220000</v>
      </c>
      <c r="J129" s="257">
        <f t="shared" si="25"/>
        <v>0</v>
      </c>
      <c r="K129" s="23"/>
      <c r="L129" s="218"/>
      <c r="M129" s="1684"/>
      <c r="N129" s="261"/>
      <c r="O129" s="261"/>
      <c r="P129" s="487"/>
      <c r="Q129" s="1177"/>
      <c r="R129" s="1178"/>
      <c r="S129" s="488"/>
      <c r="T129" s="9"/>
      <c r="U129" s="608"/>
      <c r="V129" s="611"/>
      <c r="W129" s="266"/>
      <c r="X129" s="218"/>
      <c r="Y129" s="219"/>
      <c r="Z129" s="205"/>
      <c r="AA129" s="205"/>
      <c r="AB129" s="205"/>
      <c r="AC129" s="9"/>
    </row>
    <row r="130" ht="15.75" customHeight="1">
      <c r="A130" s="218"/>
      <c r="B130" s="62"/>
      <c r="C130" s="64" t="s">
        <v>161</v>
      </c>
      <c r="D130" s="255">
        <f t="shared" si="22"/>
        <v>5</v>
      </c>
      <c r="E130" s="65"/>
      <c r="F130" s="269"/>
      <c r="G130" s="256">
        <f t="shared" si="23"/>
        <v>5</v>
      </c>
      <c r="H130" s="128">
        <v>220000.0</v>
      </c>
      <c r="I130" s="217">
        <f t="shared" si="24"/>
        <v>1100000</v>
      </c>
      <c r="J130" s="257">
        <f t="shared" si="25"/>
        <v>0</v>
      </c>
      <c r="K130" s="23"/>
      <c r="L130" s="218"/>
      <c r="M130" s="620"/>
      <c r="N130" s="261"/>
      <c r="O130" s="261"/>
      <c r="P130" s="487"/>
      <c r="Q130" s="1177"/>
      <c r="R130" s="1178"/>
      <c r="S130" s="488"/>
      <c r="T130" s="9"/>
      <c r="U130" s="608"/>
      <c r="V130" s="611"/>
      <c r="W130" s="266"/>
      <c r="X130" s="218"/>
      <c r="Y130" s="219"/>
      <c r="Z130" s="205"/>
      <c r="AA130" s="205"/>
      <c r="AB130" s="205"/>
      <c r="AC130" s="9"/>
    </row>
    <row r="131" ht="15.75" customHeight="1">
      <c r="A131" s="218"/>
      <c r="B131" s="62"/>
      <c r="C131" s="85" t="s">
        <v>145</v>
      </c>
      <c r="D131" s="255">
        <f t="shared" si="22"/>
        <v>72</v>
      </c>
      <c r="E131" s="65"/>
      <c r="F131" s="269"/>
      <c r="G131" s="256">
        <f t="shared" si="23"/>
        <v>72</v>
      </c>
      <c r="H131" s="128">
        <v>220000.0</v>
      </c>
      <c r="I131" s="217">
        <f t="shared" si="24"/>
        <v>15840000</v>
      </c>
      <c r="J131" s="257">
        <f t="shared" si="25"/>
        <v>0</v>
      </c>
      <c r="K131" s="23"/>
      <c r="L131" s="218"/>
      <c r="M131" s="620"/>
      <c r="N131" s="261"/>
      <c r="O131" s="261"/>
      <c r="P131" s="487"/>
      <c r="Q131" s="1177"/>
      <c r="R131" s="1178">
        <f t="shared" ref="R131:R135" si="27">N131+O131-P131-Q131</f>
        <v>0</v>
      </c>
      <c r="S131" s="488"/>
      <c r="T131" s="9"/>
      <c r="U131" s="608"/>
      <c r="V131" s="611"/>
      <c r="W131" s="266"/>
      <c r="X131" s="218"/>
      <c r="Y131" s="219"/>
      <c r="Z131" s="205"/>
      <c r="AA131" s="205"/>
      <c r="AB131" s="205"/>
      <c r="AC131" s="9"/>
    </row>
    <row r="132" ht="15.75" customHeight="1">
      <c r="A132" s="218"/>
      <c r="B132" s="62"/>
      <c r="C132" s="85" t="s">
        <v>153</v>
      </c>
      <c r="D132" s="255">
        <f t="shared" si="22"/>
        <v>1</v>
      </c>
      <c r="E132" s="65"/>
      <c r="F132" s="269"/>
      <c r="G132" s="256">
        <f t="shared" si="23"/>
        <v>1</v>
      </c>
      <c r="H132" s="128">
        <v>45000.0</v>
      </c>
      <c r="I132" s="217">
        <f t="shared" si="24"/>
        <v>45000</v>
      </c>
      <c r="J132" s="257">
        <f t="shared" si="25"/>
        <v>35</v>
      </c>
      <c r="K132" s="23"/>
      <c r="L132" s="218"/>
      <c r="M132" s="620"/>
      <c r="N132" s="261"/>
      <c r="O132" s="261"/>
      <c r="P132" s="487"/>
      <c r="Q132" s="1177"/>
      <c r="R132" s="1178">
        <f t="shared" si="27"/>
        <v>0</v>
      </c>
      <c r="S132" s="488"/>
      <c r="T132" s="9"/>
      <c r="U132" s="608"/>
      <c r="V132" s="611"/>
      <c r="W132" s="266"/>
      <c r="X132" s="218"/>
      <c r="Y132" s="219"/>
      <c r="Z132" s="205"/>
      <c r="AA132" s="205"/>
      <c r="AB132" s="205"/>
      <c r="AC132" s="9"/>
    </row>
    <row r="133" ht="15.75" customHeight="1">
      <c r="A133" s="218"/>
      <c r="B133" s="62"/>
      <c r="C133" s="139" t="s">
        <v>151</v>
      </c>
      <c r="D133" s="255">
        <f t="shared" si="22"/>
        <v>28</v>
      </c>
      <c r="E133" s="93">
        <v>1.0</v>
      </c>
      <c r="F133" s="269"/>
      <c r="G133" s="256">
        <f t="shared" si="23"/>
        <v>27</v>
      </c>
      <c r="H133" s="140">
        <v>220000.0</v>
      </c>
      <c r="I133" s="217">
        <f t="shared" si="24"/>
        <v>5940000</v>
      </c>
      <c r="J133" s="257">
        <f t="shared" si="25"/>
        <v>1</v>
      </c>
      <c r="K133" s="23"/>
      <c r="L133" s="218"/>
      <c r="M133" s="620"/>
      <c r="N133" s="261"/>
      <c r="O133" s="261"/>
      <c r="P133" s="487"/>
      <c r="Q133" s="1177"/>
      <c r="R133" s="1178">
        <f t="shared" si="27"/>
        <v>0</v>
      </c>
      <c r="S133" s="488"/>
      <c r="T133" s="9"/>
      <c r="U133" s="608"/>
      <c r="V133" s="611"/>
      <c r="W133" s="266"/>
      <c r="X133" s="218"/>
      <c r="Y133" s="219"/>
      <c r="Z133" s="205"/>
      <c r="AA133" s="205"/>
      <c r="AB133" s="205"/>
      <c r="AC133" s="9"/>
    </row>
    <row r="134" ht="15.75" customHeight="1">
      <c r="A134" s="218"/>
      <c r="B134" s="62"/>
      <c r="C134" s="65" t="s">
        <v>148</v>
      </c>
      <c r="D134" s="255">
        <f t="shared" si="22"/>
        <v>2</v>
      </c>
      <c r="E134" s="65"/>
      <c r="F134" s="269"/>
      <c r="G134" s="256">
        <f t="shared" si="23"/>
        <v>2</v>
      </c>
      <c r="H134" s="66">
        <v>220000.0</v>
      </c>
      <c r="I134" s="217">
        <f t="shared" si="24"/>
        <v>440000</v>
      </c>
      <c r="J134" s="257">
        <f t="shared" si="25"/>
        <v>2</v>
      </c>
      <c r="K134" s="23"/>
      <c r="L134" s="218"/>
      <c r="M134" s="620"/>
      <c r="N134" s="261"/>
      <c r="O134" s="261"/>
      <c r="P134" s="487"/>
      <c r="Q134" s="1177"/>
      <c r="R134" s="1178">
        <f t="shared" si="27"/>
        <v>0</v>
      </c>
      <c r="S134" s="488"/>
      <c r="T134" s="9"/>
      <c r="U134" s="608"/>
      <c r="V134" s="611"/>
      <c r="W134" s="266"/>
      <c r="X134" s="218"/>
      <c r="Y134" s="219"/>
      <c r="Z134" s="205"/>
      <c r="AA134" s="205"/>
      <c r="AB134" s="205"/>
      <c r="AC134" s="9"/>
    </row>
    <row r="135" ht="15.75" customHeight="1">
      <c r="A135" s="218"/>
      <c r="B135" s="1611" t="s">
        <v>2288</v>
      </c>
      <c r="C135" s="283" t="s">
        <v>34</v>
      </c>
      <c r="D135" s="255">
        <f t="shared" si="22"/>
        <v>1</v>
      </c>
      <c r="E135" s="284"/>
      <c r="F135" s="269"/>
      <c r="G135" s="256">
        <f t="shared" si="23"/>
        <v>1</v>
      </c>
      <c r="H135" s="61">
        <v>65000.0</v>
      </c>
      <c r="I135" s="217">
        <f t="shared" si="24"/>
        <v>65000</v>
      </c>
      <c r="J135" s="257">
        <f t="shared" si="25"/>
        <v>0</v>
      </c>
      <c r="K135" s="23"/>
      <c r="L135" s="218"/>
      <c r="M135" s="620"/>
      <c r="N135" s="261"/>
      <c r="O135" s="261"/>
      <c r="P135" s="487"/>
      <c r="Q135" s="1177"/>
      <c r="R135" s="1178">
        <f t="shared" si="27"/>
        <v>0</v>
      </c>
      <c r="S135" s="488"/>
      <c r="T135" s="617"/>
      <c r="U135" s="618"/>
      <c r="V135" s="616"/>
      <c r="W135" s="266"/>
      <c r="X135" s="218"/>
      <c r="Y135" s="219"/>
      <c r="Z135" s="205"/>
      <c r="AA135" s="205"/>
      <c r="AB135" s="205"/>
      <c r="AC135" s="9"/>
    </row>
    <row r="136" ht="15.75" customHeight="1">
      <c r="A136" s="218"/>
      <c r="B136" s="62"/>
      <c r="C136" s="285" t="s">
        <v>36</v>
      </c>
      <c r="D136" s="255">
        <f t="shared" si="22"/>
        <v>1</v>
      </c>
      <c r="E136" s="284"/>
      <c r="F136" s="269"/>
      <c r="G136" s="256">
        <f t="shared" si="23"/>
        <v>1</v>
      </c>
      <c r="H136" s="66">
        <v>180000.0</v>
      </c>
      <c r="I136" s="217">
        <f t="shared" si="24"/>
        <v>180000</v>
      </c>
      <c r="J136" s="257">
        <f t="shared" si="25"/>
        <v>0</v>
      </c>
      <c r="K136" s="23"/>
      <c r="L136" s="218"/>
      <c r="M136" s="1180" t="s">
        <v>421</v>
      </c>
      <c r="N136" s="1123">
        <f t="shared" ref="N136:R136" si="28">SUM(N119:N135)</f>
        <v>11625000</v>
      </c>
      <c r="O136" s="1123">
        <f t="shared" si="28"/>
        <v>37610000</v>
      </c>
      <c r="P136" s="1123">
        <f t="shared" si="28"/>
        <v>744510</v>
      </c>
      <c r="Q136" s="1123">
        <f t="shared" si="28"/>
        <v>2775185</v>
      </c>
      <c r="R136" s="1123">
        <f t="shared" si="28"/>
        <v>45715305</v>
      </c>
      <c r="S136" s="1181"/>
      <c r="T136" s="617"/>
      <c r="U136" s="618"/>
      <c r="V136" s="616"/>
      <c r="W136" s="266"/>
      <c r="X136" s="218"/>
      <c r="Y136" s="219"/>
      <c r="Z136" s="205"/>
      <c r="AA136" s="205"/>
      <c r="AB136" s="205"/>
      <c r="AC136" s="9"/>
    </row>
    <row r="137" ht="15.75" customHeight="1">
      <c r="A137" s="218"/>
      <c r="B137" s="62"/>
      <c r="C137" s="285" t="s">
        <v>38</v>
      </c>
      <c r="D137" s="255">
        <f t="shared" si="22"/>
        <v>0</v>
      </c>
      <c r="E137" s="284"/>
      <c r="F137" s="269"/>
      <c r="G137" s="256">
        <f t="shared" si="23"/>
        <v>0</v>
      </c>
      <c r="H137" s="66">
        <v>160000.0</v>
      </c>
      <c r="I137" s="217">
        <f t="shared" si="24"/>
        <v>0</v>
      </c>
      <c r="J137" s="257">
        <f t="shared" si="25"/>
        <v>0</v>
      </c>
      <c r="K137" s="23"/>
      <c r="L137" s="218"/>
      <c r="M137" s="218"/>
      <c r="N137" s="298"/>
      <c r="O137" s="299"/>
      <c r="P137" s="299"/>
      <c r="Q137" s="299"/>
      <c r="R137" s="299"/>
      <c r="S137" s="299"/>
      <c r="T137" s="617"/>
      <c r="U137" s="618"/>
      <c r="V137" s="616"/>
      <c r="W137" s="266"/>
      <c r="X137" s="218"/>
      <c r="Y137" s="219"/>
      <c r="Z137" s="205"/>
      <c r="AA137" s="205"/>
      <c r="AB137" s="205"/>
      <c r="AC137" s="9"/>
    </row>
    <row r="138" ht="15.75" customHeight="1">
      <c r="A138" s="218"/>
      <c r="B138" s="62"/>
      <c r="C138" s="285" t="s">
        <v>43</v>
      </c>
      <c r="D138" s="255">
        <f t="shared" si="22"/>
        <v>1</v>
      </c>
      <c r="E138" s="284"/>
      <c r="F138" s="269"/>
      <c r="G138" s="256">
        <f t="shared" si="23"/>
        <v>1</v>
      </c>
      <c r="H138" s="66">
        <v>80000.0</v>
      </c>
      <c r="I138" s="217">
        <f t="shared" si="24"/>
        <v>80000</v>
      </c>
      <c r="J138" s="257">
        <f t="shared" si="25"/>
        <v>0</v>
      </c>
      <c r="K138" s="23"/>
      <c r="L138" s="218"/>
      <c r="M138" s="218"/>
      <c r="N138" s="298"/>
      <c r="O138" s="299"/>
      <c r="P138" s="299"/>
      <c r="Q138" s="299"/>
      <c r="R138" s="299"/>
      <c r="S138" s="299"/>
      <c r="T138" s="617"/>
      <c r="U138" s="618"/>
      <c r="V138" s="616"/>
      <c r="W138" s="266"/>
      <c r="X138" s="218"/>
      <c r="Y138" s="219"/>
      <c r="Z138" s="205"/>
      <c r="AA138" s="205"/>
      <c r="AB138" s="205"/>
      <c r="AC138" s="9"/>
    </row>
    <row r="139" ht="15.75" customHeight="1">
      <c r="A139" s="218"/>
      <c r="B139" s="62"/>
      <c r="C139" s="285" t="s">
        <v>48</v>
      </c>
      <c r="D139" s="255">
        <f t="shared" si="22"/>
        <v>1</v>
      </c>
      <c r="E139" s="284"/>
      <c r="F139" s="269"/>
      <c r="G139" s="256">
        <f t="shared" si="23"/>
        <v>1</v>
      </c>
      <c r="H139" s="66">
        <v>55000.0</v>
      </c>
      <c r="I139" s="217">
        <f t="shared" si="24"/>
        <v>55000</v>
      </c>
      <c r="J139" s="257">
        <f t="shared" si="25"/>
        <v>0</v>
      </c>
      <c r="K139" s="23"/>
      <c r="L139" s="218"/>
      <c r="M139" s="218"/>
      <c r="N139" s="298"/>
      <c r="O139" s="299"/>
      <c r="P139" s="299"/>
      <c r="Q139" s="299"/>
      <c r="R139" s="299"/>
      <c r="S139" s="299"/>
      <c r="T139" s="617"/>
      <c r="U139" s="618"/>
      <c r="V139" s="616"/>
      <c r="W139" s="266"/>
      <c r="X139" s="218"/>
      <c r="Y139" s="219"/>
      <c r="Z139" s="205"/>
      <c r="AA139" s="205"/>
      <c r="AB139" s="205"/>
      <c r="AC139" s="9"/>
    </row>
    <row r="140" ht="15.75" customHeight="1">
      <c r="A140" s="218"/>
      <c r="B140" s="62"/>
      <c r="C140" s="285" t="s">
        <v>60</v>
      </c>
      <c r="D140" s="255">
        <f t="shared" si="22"/>
        <v>0</v>
      </c>
      <c r="E140" s="284"/>
      <c r="F140" s="269"/>
      <c r="G140" s="256">
        <f t="shared" si="23"/>
        <v>0</v>
      </c>
      <c r="H140" s="66">
        <v>45000.0</v>
      </c>
      <c r="I140" s="217">
        <f t="shared" si="24"/>
        <v>0</v>
      </c>
      <c r="J140" s="257">
        <f t="shared" si="25"/>
        <v>0</v>
      </c>
      <c r="K140" s="23"/>
      <c r="L140" s="218"/>
      <c r="M140" s="218"/>
      <c r="N140" s="298"/>
      <c r="O140" s="299"/>
      <c r="P140" s="299"/>
      <c r="Q140" s="299"/>
      <c r="R140" s="299"/>
      <c r="S140" s="299"/>
      <c r="T140" s="617"/>
      <c r="U140" s="618"/>
      <c r="V140" s="616"/>
      <c r="W140" s="266"/>
      <c r="X140" s="218"/>
      <c r="Y140" s="219"/>
      <c r="Z140" s="205"/>
      <c r="AA140" s="205"/>
      <c r="AB140" s="205"/>
      <c r="AC140" s="9"/>
    </row>
    <row r="141" ht="15.75" customHeight="1">
      <c r="A141" s="218"/>
      <c r="B141" s="62"/>
      <c r="C141" s="285" t="s">
        <v>679</v>
      </c>
      <c r="D141" s="255">
        <f t="shared" si="22"/>
        <v>0</v>
      </c>
      <c r="E141" s="284"/>
      <c r="F141" s="269"/>
      <c r="G141" s="256">
        <f t="shared" si="23"/>
        <v>0</v>
      </c>
      <c r="H141" s="66">
        <v>110000.0</v>
      </c>
      <c r="I141" s="217">
        <f t="shared" si="24"/>
        <v>0</v>
      </c>
      <c r="J141" s="257">
        <f t="shared" si="25"/>
        <v>0</v>
      </c>
      <c r="K141" s="23"/>
      <c r="L141" s="218"/>
      <c r="M141" s="218"/>
      <c r="N141" s="298"/>
      <c r="O141" s="299"/>
      <c r="P141" s="299"/>
      <c r="Q141" s="299"/>
      <c r="R141" s="299"/>
      <c r="S141" s="299"/>
      <c r="T141" s="617"/>
      <c r="U141" s="618"/>
      <c r="V141" s="616"/>
      <c r="W141" s="266"/>
      <c r="X141" s="218"/>
      <c r="Y141" s="219"/>
      <c r="Z141" s="205"/>
      <c r="AA141" s="205"/>
      <c r="AB141" s="205"/>
      <c r="AC141" s="9"/>
    </row>
    <row r="142" ht="15.75" customHeight="1">
      <c r="A142" s="218"/>
      <c r="B142" s="62"/>
      <c r="C142" s="285" t="s">
        <v>66</v>
      </c>
      <c r="D142" s="255">
        <f t="shared" si="22"/>
        <v>0</v>
      </c>
      <c r="E142" s="284"/>
      <c r="F142" s="269"/>
      <c r="G142" s="256">
        <f t="shared" si="23"/>
        <v>0</v>
      </c>
      <c r="H142" s="66">
        <v>205000.0</v>
      </c>
      <c r="I142" s="217">
        <f t="shared" si="24"/>
        <v>0</v>
      </c>
      <c r="J142" s="257">
        <f t="shared" si="25"/>
        <v>0</v>
      </c>
      <c r="K142" s="23"/>
      <c r="L142" s="218"/>
      <c r="M142" s="218"/>
      <c r="N142" s="298"/>
      <c r="O142" s="299"/>
      <c r="P142" s="299"/>
      <c r="Q142" s="299"/>
      <c r="R142" s="299"/>
      <c r="S142" s="299"/>
      <c r="T142" s="617"/>
      <c r="U142" s="618"/>
      <c r="V142" s="616"/>
      <c r="W142" s="266"/>
      <c r="X142" s="218"/>
      <c r="Y142" s="219"/>
      <c r="Z142" s="205"/>
      <c r="AA142" s="205"/>
      <c r="AB142" s="205"/>
      <c r="AC142" s="9"/>
    </row>
    <row r="143" ht="15.75" customHeight="1">
      <c r="A143" s="218"/>
      <c r="B143" s="62"/>
      <c r="C143" s="285" t="s">
        <v>684</v>
      </c>
      <c r="D143" s="255">
        <f t="shared" si="22"/>
        <v>1</v>
      </c>
      <c r="E143" s="284"/>
      <c r="F143" s="269"/>
      <c r="G143" s="256">
        <f t="shared" si="23"/>
        <v>1</v>
      </c>
      <c r="H143" s="66">
        <v>150000.0</v>
      </c>
      <c r="I143" s="217">
        <f t="shared" si="24"/>
        <v>150000</v>
      </c>
      <c r="J143" s="257">
        <f t="shared" si="25"/>
        <v>0</v>
      </c>
      <c r="K143" s="23"/>
      <c r="L143" s="218"/>
      <c r="M143" s="218"/>
      <c r="N143" s="298"/>
      <c r="O143" s="299"/>
      <c r="P143" s="299"/>
      <c r="Q143" s="299"/>
      <c r="R143" s="299"/>
      <c r="S143" s="299"/>
      <c r="T143" s="617"/>
      <c r="U143" s="618"/>
      <c r="V143" s="616"/>
      <c r="W143" s="266"/>
      <c r="X143" s="218"/>
      <c r="Y143" s="219"/>
      <c r="Z143" s="205"/>
      <c r="AA143" s="205"/>
      <c r="AB143" s="205"/>
      <c r="AC143" s="9"/>
    </row>
    <row r="144" ht="15.75" customHeight="1">
      <c r="A144" s="218"/>
      <c r="B144" s="62"/>
      <c r="C144" s="288" t="s">
        <v>71</v>
      </c>
      <c r="D144" s="255">
        <f t="shared" si="22"/>
        <v>0</v>
      </c>
      <c r="E144" s="284"/>
      <c r="F144" s="269"/>
      <c r="G144" s="256">
        <f t="shared" si="23"/>
        <v>0</v>
      </c>
      <c r="H144" s="66">
        <v>85000.0</v>
      </c>
      <c r="I144" s="217">
        <f t="shared" si="24"/>
        <v>0</v>
      </c>
      <c r="J144" s="257">
        <f t="shared" si="25"/>
        <v>0</v>
      </c>
      <c r="K144" s="23"/>
      <c r="L144" s="218"/>
      <c r="M144" s="218"/>
      <c r="N144" s="298"/>
      <c r="O144" s="299"/>
      <c r="P144" s="299"/>
      <c r="Q144" s="299"/>
      <c r="R144" s="299"/>
      <c r="S144" s="299"/>
      <c r="T144" s="617"/>
      <c r="U144" s="618"/>
      <c r="V144" s="616"/>
      <c r="W144" s="266"/>
      <c r="X144" s="218"/>
      <c r="Y144" s="219"/>
      <c r="Z144" s="205"/>
      <c r="AA144" s="205"/>
      <c r="AB144" s="205"/>
      <c r="AC144" s="9"/>
    </row>
    <row r="145" ht="15.75" customHeight="1">
      <c r="A145" s="218"/>
      <c r="B145" s="62"/>
      <c r="C145" s="285" t="s">
        <v>76</v>
      </c>
      <c r="D145" s="255">
        <f t="shared" si="22"/>
        <v>6</v>
      </c>
      <c r="E145" s="284"/>
      <c r="F145" s="269"/>
      <c r="G145" s="256">
        <f t="shared" si="23"/>
        <v>6</v>
      </c>
      <c r="H145" s="66">
        <v>90000.0</v>
      </c>
      <c r="I145" s="217">
        <f t="shared" si="24"/>
        <v>540000</v>
      </c>
      <c r="J145" s="257">
        <f t="shared" si="25"/>
        <v>0</v>
      </c>
      <c r="K145" s="23"/>
      <c r="L145" s="218"/>
      <c r="M145" s="218"/>
      <c r="N145" s="298"/>
      <c r="O145" s="299"/>
      <c r="P145" s="299"/>
      <c r="Q145" s="299"/>
      <c r="R145" s="299"/>
      <c r="S145" s="299"/>
      <c r="T145" s="617"/>
      <c r="U145" s="618"/>
      <c r="V145" s="616"/>
      <c r="W145" s="266"/>
      <c r="X145" s="218"/>
      <c r="Y145" s="219"/>
      <c r="Z145" s="205"/>
      <c r="AA145" s="205"/>
      <c r="AB145" s="205"/>
      <c r="AC145" s="9"/>
    </row>
    <row r="146" ht="15.75" customHeight="1">
      <c r="A146" s="218"/>
      <c r="B146" s="62"/>
      <c r="C146" s="285" t="s">
        <v>80</v>
      </c>
      <c r="D146" s="255">
        <f t="shared" si="22"/>
        <v>0</v>
      </c>
      <c r="E146" s="284"/>
      <c r="F146" s="269"/>
      <c r="G146" s="256">
        <f t="shared" si="23"/>
        <v>0</v>
      </c>
      <c r="H146" s="66">
        <v>85000.0</v>
      </c>
      <c r="I146" s="217">
        <f t="shared" si="24"/>
        <v>0</v>
      </c>
      <c r="J146" s="257">
        <f t="shared" si="25"/>
        <v>0</v>
      </c>
      <c r="K146" s="23"/>
      <c r="L146" s="218"/>
      <c r="M146" s="218"/>
      <c r="N146" s="298"/>
      <c r="O146" s="299"/>
      <c r="P146" s="299"/>
      <c r="Q146" s="299"/>
      <c r="R146" s="299"/>
      <c r="S146" s="299"/>
      <c r="T146" s="617"/>
      <c r="U146" s="618"/>
      <c r="V146" s="616"/>
      <c r="W146" s="266"/>
      <c r="X146" s="218"/>
      <c r="Y146" s="219"/>
      <c r="Z146" s="205"/>
      <c r="AA146" s="205"/>
      <c r="AB146" s="205"/>
      <c r="AC146" s="9"/>
    </row>
    <row r="147" ht="15.75" customHeight="1">
      <c r="A147" s="218"/>
      <c r="B147" s="62"/>
      <c r="C147" s="285" t="s">
        <v>81</v>
      </c>
      <c r="D147" s="255">
        <f t="shared" si="22"/>
        <v>0</v>
      </c>
      <c r="E147" s="284"/>
      <c r="F147" s="269"/>
      <c r="G147" s="256">
        <f t="shared" si="23"/>
        <v>0</v>
      </c>
      <c r="H147" s="66">
        <v>150000.0</v>
      </c>
      <c r="I147" s="217">
        <f t="shared" si="24"/>
        <v>0</v>
      </c>
      <c r="J147" s="257">
        <f t="shared" si="25"/>
        <v>0</v>
      </c>
      <c r="K147" s="23"/>
      <c r="L147" s="218"/>
      <c r="M147" s="218"/>
      <c r="N147" s="298"/>
      <c r="O147" s="299"/>
      <c r="P147" s="299"/>
      <c r="Q147" s="299"/>
      <c r="R147" s="299"/>
      <c r="S147" s="299"/>
      <c r="T147" s="617"/>
      <c r="U147" s="618"/>
      <c r="V147" s="616"/>
      <c r="W147" s="266"/>
      <c r="X147" s="218"/>
      <c r="Y147" s="219"/>
      <c r="Z147" s="205"/>
      <c r="AA147" s="205"/>
      <c r="AB147" s="205"/>
      <c r="AC147" s="9"/>
    </row>
    <row r="148" ht="15.75" customHeight="1">
      <c r="A148" s="218"/>
      <c r="B148" s="62"/>
      <c r="C148" s="285" t="s">
        <v>85</v>
      </c>
      <c r="D148" s="255">
        <f t="shared" si="22"/>
        <v>1</v>
      </c>
      <c r="E148" s="284"/>
      <c r="F148" s="269"/>
      <c r="G148" s="256">
        <f t="shared" si="23"/>
        <v>1</v>
      </c>
      <c r="H148" s="66">
        <v>125000.0</v>
      </c>
      <c r="I148" s="217">
        <f t="shared" si="24"/>
        <v>125000</v>
      </c>
      <c r="J148" s="257">
        <f t="shared" si="25"/>
        <v>0</v>
      </c>
      <c r="K148" s="23"/>
      <c r="L148" s="218"/>
      <c r="M148" s="218"/>
      <c r="N148" s="298"/>
      <c r="O148" s="299"/>
      <c r="P148" s="299"/>
      <c r="Q148" s="299"/>
      <c r="R148" s="299"/>
      <c r="S148" s="299"/>
      <c r="T148" s="617"/>
      <c r="U148" s="618"/>
      <c r="V148" s="622"/>
      <c r="W148" s="235"/>
      <c r="X148" s="218"/>
      <c r="Y148" s="219"/>
      <c r="Z148" s="205"/>
      <c r="AA148" s="205"/>
      <c r="AB148" s="205"/>
      <c r="AC148" s="9"/>
    </row>
    <row r="149" ht="15.75" customHeight="1">
      <c r="A149" s="218"/>
      <c r="B149" s="62"/>
      <c r="C149" s="285" t="s">
        <v>89</v>
      </c>
      <c r="D149" s="255">
        <f t="shared" si="22"/>
        <v>0</v>
      </c>
      <c r="E149" s="284"/>
      <c r="F149" s="269"/>
      <c r="G149" s="256">
        <f t="shared" si="23"/>
        <v>0</v>
      </c>
      <c r="H149" s="66">
        <v>35000.0</v>
      </c>
      <c r="I149" s="217">
        <f t="shared" si="24"/>
        <v>0</v>
      </c>
      <c r="J149" s="257">
        <f t="shared" si="25"/>
        <v>0</v>
      </c>
      <c r="K149" s="23"/>
      <c r="L149" s="218"/>
      <c r="M149" s="218"/>
      <c r="N149" s="298"/>
      <c r="O149" s="299"/>
      <c r="P149" s="299"/>
      <c r="Q149" s="299"/>
      <c r="R149" s="299"/>
      <c r="S149" s="299"/>
      <c r="T149" s="617"/>
      <c r="U149" s="618"/>
      <c r="V149" s="616"/>
      <c r="W149" s="266"/>
      <c r="X149" s="218"/>
      <c r="Y149" s="219"/>
      <c r="Z149" s="205"/>
      <c r="AA149" s="205"/>
      <c r="AB149" s="205"/>
      <c r="AC149" s="9"/>
    </row>
    <row r="150" ht="15.75" customHeight="1">
      <c r="A150" s="218"/>
      <c r="B150" s="62"/>
      <c r="C150" s="285" t="s">
        <v>93</v>
      </c>
      <c r="D150" s="255">
        <f t="shared" si="22"/>
        <v>0</v>
      </c>
      <c r="E150" s="284"/>
      <c r="F150" s="269"/>
      <c r="G150" s="256">
        <f t="shared" si="23"/>
        <v>0</v>
      </c>
      <c r="H150" s="66">
        <v>90000.0</v>
      </c>
      <c r="I150" s="217">
        <f t="shared" si="24"/>
        <v>0</v>
      </c>
      <c r="J150" s="257">
        <f t="shared" si="25"/>
        <v>0</v>
      </c>
      <c r="K150" s="23"/>
      <c r="L150" s="218"/>
      <c r="M150" s="218"/>
      <c r="N150" s="298"/>
      <c r="O150" s="299"/>
      <c r="P150" s="299"/>
      <c r="Q150" s="299"/>
      <c r="R150" s="299"/>
      <c r="S150" s="299"/>
      <c r="T150" s="617"/>
      <c r="U150" s="618"/>
      <c r="V150" s="616"/>
      <c r="W150" s="266"/>
      <c r="X150" s="218"/>
      <c r="Y150" s="219"/>
      <c r="Z150" s="205"/>
      <c r="AA150" s="205"/>
      <c r="AB150" s="205"/>
      <c r="AC150" s="9"/>
    </row>
    <row r="151" ht="15.75" customHeight="1">
      <c r="A151" s="218"/>
      <c r="B151" s="62"/>
      <c r="C151" s="285" t="s">
        <v>94</v>
      </c>
      <c r="D151" s="255">
        <f t="shared" si="22"/>
        <v>0</v>
      </c>
      <c r="E151" s="284"/>
      <c r="F151" s="269"/>
      <c r="G151" s="256">
        <f t="shared" si="23"/>
        <v>0</v>
      </c>
      <c r="H151" s="66">
        <v>140000.0</v>
      </c>
      <c r="I151" s="217">
        <f t="shared" si="24"/>
        <v>0</v>
      </c>
      <c r="J151" s="257">
        <f t="shared" si="25"/>
        <v>0</v>
      </c>
      <c r="K151" s="23"/>
      <c r="L151" s="218"/>
      <c r="M151" s="218"/>
      <c r="N151" s="298"/>
      <c r="O151" s="299"/>
      <c r="P151" s="299"/>
      <c r="Q151" s="299"/>
      <c r="R151" s="299"/>
      <c r="S151" s="299"/>
      <c r="T151" s="617"/>
      <c r="U151" s="618"/>
      <c r="V151" s="611"/>
      <c r="W151" s="266"/>
      <c r="X151" s="218"/>
      <c r="Y151" s="219"/>
      <c r="Z151" s="205"/>
      <c r="AA151" s="205"/>
      <c r="AB151" s="205"/>
      <c r="AC151" s="9"/>
    </row>
    <row r="152" ht="15.75" customHeight="1">
      <c r="A152" s="218"/>
      <c r="B152" s="62"/>
      <c r="C152" s="285" t="s">
        <v>97</v>
      </c>
      <c r="D152" s="255">
        <f t="shared" si="22"/>
        <v>0</v>
      </c>
      <c r="E152" s="284"/>
      <c r="F152" s="269"/>
      <c r="G152" s="256">
        <f t="shared" si="23"/>
        <v>0</v>
      </c>
      <c r="H152" s="66">
        <v>95000.0</v>
      </c>
      <c r="I152" s="217">
        <f t="shared" si="24"/>
        <v>0</v>
      </c>
      <c r="J152" s="257">
        <f t="shared" si="25"/>
        <v>0</v>
      </c>
      <c r="K152" s="23"/>
      <c r="L152" s="218"/>
      <c r="M152" s="218"/>
      <c r="N152" s="298"/>
      <c r="O152" s="299"/>
      <c r="P152" s="299"/>
      <c r="Q152" s="299"/>
      <c r="R152" s="299"/>
      <c r="S152" s="299"/>
      <c r="T152" s="617"/>
      <c r="U152" s="608"/>
      <c r="V152" s="611"/>
      <c r="W152" s="266"/>
      <c r="X152" s="218"/>
      <c r="Y152" s="219"/>
      <c r="Z152" s="205"/>
      <c r="AA152" s="205"/>
      <c r="AB152" s="205"/>
      <c r="AC152" s="9"/>
    </row>
    <row r="153" ht="15.75" customHeight="1">
      <c r="A153" s="218"/>
      <c r="B153" s="62"/>
      <c r="C153" s="285" t="s">
        <v>99</v>
      </c>
      <c r="D153" s="255">
        <f t="shared" si="22"/>
        <v>16</v>
      </c>
      <c r="E153" s="284"/>
      <c r="F153" s="269"/>
      <c r="G153" s="256">
        <f t="shared" si="23"/>
        <v>16</v>
      </c>
      <c r="H153" s="66">
        <v>140000.0</v>
      </c>
      <c r="I153" s="217">
        <f t="shared" si="24"/>
        <v>2240000</v>
      </c>
      <c r="J153" s="257">
        <f t="shared" si="25"/>
        <v>0</v>
      </c>
      <c r="K153" s="23"/>
      <c r="L153" s="218"/>
      <c r="M153" s="218"/>
      <c r="N153" s="298"/>
      <c r="O153" s="299"/>
      <c r="P153" s="299"/>
      <c r="Q153" s="299"/>
      <c r="R153" s="299"/>
      <c r="S153" s="299"/>
      <c r="T153" s="218"/>
      <c r="U153" s="608"/>
      <c r="V153" s="611"/>
      <c r="W153" s="266"/>
      <c r="X153" s="218"/>
      <c r="Y153" s="219"/>
      <c r="Z153" s="205"/>
      <c r="AA153" s="205"/>
      <c r="AB153" s="205"/>
      <c r="AC153" s="9"/>
    </row>
    <row r="154" ht="15.75" customHeight="1">
      <c r="A154" s="218"/>
      <c r="B154" s="62"/>
      <c r="C154" s="285" t="s">
        <v>101</v>
      </c>
      <c r="D154" s="255">
        <f t="shared" si="22"/>
        <v>0</v>
      </c>
      <c r="E154" s="284"/>
      <c r="F154" s="269"/>
      <c r="G154" s="256">
        <f t="shared" si="23"/>
        <v>0</v>
      </c>
      <c r="H154" s="66">
        <v>150000.0</v>
      </c>
      <c r="I154" s="217">
        <f t="shared" si="24"/>
        <v>0</v>
      </c>
      <c r="J154" s="257">
        <f t="shared" si="25"/>
        <v>0</v>
      </c>
      <c r="K154" s="23"/>
      <c r="L154" s="218"/>
      <c r="M154" s="218"/>
      <c r="N154" s="298"/>
      <c r="O154" s="299"/>
      <c r="P154" s="299"/>
      <c r="Q154" s="299"/>
      <c r="R154" s="299"/>
      <c r="S154" s="299"/>
      <c r="T154" s="218"/>
      <c r="U154" s="608"/>
      <c r="V154" s="611"/>
      <c r="W154" s="266"/>
      <c r="X154" s="218"/>
      <c r="Y154" s="219"/>
      <c r="Z154" s="205"/>
      <c r="AA154" s="205"/>
      <c r="AB154" s="205"/>
      <c r="AC154" s="9"/>
    </row>
    <row r="155" ht="15.75" customHeight="1">
      <c r="A155" s="218"/>
      <c r="B155" s="62"/>
      <c r="C155" s="285" t="s">
        <v>109</v>
      </c>
      <c r="D155" s="255">
        <f t="shared" si="22"/>
        <v>0</v>
      </c>
      <c r="E155" s="284"/>
      <c r="F155" s="269"/>
      <c r="G155" s="256">
        <f t="shared" si="23"/>
        <v>0</v>
      </c>
      <c r="H155" s="66">
        <v>125000.0</v>
      </c>
      <c r="I155" s="217">
        <f t="shared" si="24"/>
        <v>0</v>
      </c>
      <c r="J155" s="257">
        <f t="shared" si="25"/>
        <v>0</v>
      </c>
      <c r="K155" s="23"/>
      <c r="L155" s="218"/>
      <c r="M155" s="218"/>
      <c r="N155" s="298"/>
      <c r="O155" s="299"/>
      <c r="P155" s="299"/>
      <c r="Q155" s="299"/>
      <c r="R155" s="299"/>
      <c r="S155" s="299"/>
      <c r="T155" s="218"/>
      <c r="U155" s="608"/>
      <c r="V155" s="622"/>
      <c r="W155" s="235"/>
      <c r="X155" s="218"/>
      <c r="Y155" s="219"/>
      <c r="Z155" s="205"/>
      <c r="AA155" s="205"/>
      <c r="AB155" s="205"/>
      <c r="AC155" s="9"/>
    </row>
    <row r="156" ht="15.75" customHeight="1">
      <c r="A156" s="218"/>
      <c r="B156" s="62"/>
      <c r="C156" s="285" t="s">
        <v>113</v>
      </c>
      <c r="D156" s="255">
        <f t="shared" si="22"/>
        <v>0</v>
      </c>
      <c r="E156" s="284"/>
      <c r="F156" s="269"/>
      <c r="G156" s="256">
        <f t="shared" si="23"/>
        <v>0</v>
      </c>
      <c r="H156" s="66">
        <v>75000.0</v>
      </c>
      <c r="I156" s="217">
        <f t="shared" si="24"/>
        <v>0</v>
      </c>
      <c r="J156" s="257">
        <f t="shared" si="25"/>
        <v>0</v>
      </c>
      <c r="K156" s="23"/>
      <c r="L156" s="218"/>
      <c r="M156" s="218"/>
      <c r="N156" s="298"/>
      <c r="O156" s="299"/>
      <c r="P156" s="299"/>
      <c r="Q156" s="299"/>
      <c r="R156" s="299"/>
      <c r="S156" s="299"/>
      <c r="T156" s="218"/>
      <c r="U156" s="608"/>
      <c r="V156" s="622"/>
      <c r="W156" s="235"/>
      <c r="X156" s="218"/>
      <c r="Y156" s="219"/>
      <c r="Z156" s="205"/>
      <c r="AA156" s="205"/>
      <c r="AB156" s="205"/>
      <c r="AC156" s="9"/>
    </row>
    <row r="157" ht="15.75" customHeight="1">
      <c r="A157" s="218"/>
      <c r="B157" s="62"/>
      <c r="C157" s="303" t="s">
        <v>2289</v>
      </c>
      <c r="D157" s="255">
        <f t="shared" si="22"/>
        <v>24</v>
      </c>
      <c r="E157" s="501"/>
      <c r="F157" s="305"/>
      <c r="G157" s="256">
        <f t="shared" si="23"/>
        <v>24</v>
      </c>
      <c r="H157" s="87">
        <v>40000.0</v>
      </c>
      <c r="I157" s="217">
        <f t="shared" si="24"/>
        <v>960000</v>
      </c>
      <c r="J157" s="257"/>
      <c r="K157" s="23"/>
      <c r="L157" s="218"/>
      <c r="M157" s="218"/>
      <c r="N157" s="298"/>
      <c r="O157" s="299"/>
      <c r="P157" s="299"/>
      <c r="Q157" s="299"/>
      <c r="R157" s="299"/>
      <c r="S157" s="299"/>
      <c r="T157" s="218"/>
      <c r="U157" s="608"/>
      <c r="V157" s="622"/>
      <c r="W157" s="235"/>
      <c r="X157" s="218"/>
      <c r="Y157" s="219"/>
      <c r="Z157" s="205"/>
      <c r="AA157" s="205"/>
      <c r="AB157" s="205"/>
      <c r="AC157" s="9"/>
    </row>
    <row r="158" ht="15.75" customHeight="1">
      <c r="A158" s="218"/>
      <c r="B158" s="67"/>
      <c r="C158" s="300" t="s">
        <v>116</v>
      </c>
      <c r="D158" s="301">
        <f t="shared" si="22"/>
        <v>0</v>
      </c>
      <c r="E158" s="501"/>
      <c r="F158" s="305"/>
      <c r="G158" s="624">
        <f t="shared" si="23"/>
        <v>0</v>
      </c>
      <c r="H158" s="302">
        <v>475000.0</v>
      </c>
      <c r="I158" s="217">
        <f t="shared" si="24"/>
        <v>0</v>
      </c>
      <c r="J158" s="257">
        <f>SUMIF($T$4:$T$109,C158,$U$4:$U$109)</f>
        <v>0</v>
      </c>
      <c r="K158" s="23"/>
      <c r="L158" s="218"/>
      <c r="M158" s="218"/>
      <c r="N158" s="298"/>
      <c r="O158" s="299"/>
      <c r="P158" s="299"/>
      <c r="Q158" s="299"/>
      <c r="R158" s="299"/>
      <c r="S158" s="299"/>
      <c r="T158" s="218"/>
      <c r="U158" s="608"/>
      <c r="V158" s="622"/>
      <c r="W158" s="235"/>
      <c r="X158" s="218"/>
      <c r="Y158" s="219"/>
      <c r="Z158" s="205"/>
      <c r="AA158" s="205"/>
      <c r="AB158" s="205"/>
      <c r="AC158" s="9"/>
    </row>
    <row r="159" ht="22.5" customHeight="1">
      <c r="A159" s="218"/>
      <c r="B159" s="308" t="s">
        <v>419</v>
      </c>
      <c r="C159" s="16"/>
      <c r="D159" s="16"/>
      <c r="E159" s="16"/>
      <c r="F159" s="16"/>
      <c r="G159" s="16"/>
      <c r="H159" s="17"/>
      <c r="I159" s="309">
        <f>SUM(I119:I134)</f>
        <v>38870000</v>
      </c>
      <c r="J159" s="23"/>
      <c r="K159" s="23"/>
      <c r="L159" s="218"/>
      <c r="M159" s="218"/>
      <c r="N159" s="298"/>
      <c r="O159" s="299"/>
      <c r="P159" s="299"/>
      <c r="Q159" s="299"/>
      <c r="R159" s="299"/>
      <c r="S159" s="299"/>
      <c r="T159" s="299"/>
      <c r="U159" s="608"/>
      <c r="V159" s="601"/>
      <c r="W159" s="235"/>
      <c r="X159" s="218"/>
      <c r="Y159" s="219"/>
      <c r="Z159" s="205"/>
      <c r="AA159" s="205"/>
      <c r="AB159" s="205"/>
      <c r="AC159" s="9"/>
    </row>
    <row r="160" ht="22.5" customHeight="1">
      <c r="A160" s="218"/>
      <c r="B160" s="1612" t="s">
        <v>1528</v>
      </c>
      <c r="C160" s="16"/>
      <c r="D160" s="16"/>
      <c r="E160" s="16"/>
      <c r="F160" s="16"/>
      <c r="G160" s="16"/>
      <c r="H160" s="17"/>
      <c r="I160" s="309">
        <f>SUM(I135:I158)</f>
        <v>4395000</v>
      </c>
      <c r="J160" s="23"/>
      <c r="K160" s="23"/>
      <c r="L160" s="218"/>
      <c r="M160" s="218"/>
      <c r="N160" s="298"/>
      <c r="O160" s="299"/>
      <c r="P160" s="299"/>
      <c r="Q160" s="299"/>
      <c r="R160" s="299"/>
      <c r="S160" s="299"/>
      <c r="T160" s="299"/>
      <c r="U160" s="608"/>
      <c r="V160" s="601"/>
      <c r="W160" s="235"/>
      <c r="X160" s="218"/>
      <c r="Y160" s="219"/>
      <c r="Z160" s="205"/>
      <c r="AA160" s="205"/>
      <c r="AB160" s="205"/>
      <c r="AC160" s="9"/>
    </row>
    <row r="161" ht="22.5" customHeight="1">
      <c r="A161" s="218"/>
      <c r="B161" s="1685" t="s">
        <v>2466</v>
      </c>
      <c r="C161" s="16"/>
      <c r="D161" s="16"/>
      <c r="E161" s="16"/>
      <c r="F161" s="16"/>
      <c r="G161" s="16"/>
      <c r="H161" s="17"/>
      <c r="I161" s="313">
        <f>SUM(I159:I160)</f>
        <v>43265000</v>
      </c>
      <c r="J161" s="23"/>
      <c r="K161" s="23"/>
      <c r="L161" s="218"/>
      <c r="M161" s="218"/>
      <c r="N161" s="234"/>
      <c r="O161" s="218"/>
      <c r="P161" s="218"/>
      <c r="Q161" s="218"/>
      <c r="R161" s="218"/>
      <c r="S161" s="218"/>
      <c r="T161" s="218"/>
      <c r="U161" s="601"/>
      <c r="V161" s="601"/>
      <c r="W161" s="235"/>
      <c r="X161" s="218"/>
      <c r="Y161" s="219"/>
      <c r="Z161" s="205"/>
      <c r="AA161" s="205"/>
      <c r="AB161" s="205"/>
      <c r="AC161" s="9"/>
    </row>
    <row r="162" ht="22.5" customHeight="1">
      <c r="A162" s="218"/>
      <c r="B162" s="321" t="s">
        <v>425</v>
      </c>
      <c r="C162" s="16"/>
      <c r="D162" s="16"/>
      <c r="E162" s="16"/>
      <c r="F162" s="16"/>
      <c r="G162" s="16"/>
      <c r="H162" s="17"/>
      <c r="I162" s="322">
        <f>SUMIF(P4:P109,"Đã thu",N4:N109)</f>
        <v>38270000</v>
      </c>
      <c r="J162" s="23"/>
      <c r="K162" s="335"/>
      <c r="L162" s="299"/>
      <c r="M162" s="235"/>
      <c r="N162" s="234"/>
      <c r="O162" s="218"/>
      <c r="P162" s="218"/>
      <c r="Q162" s="218"/>
      <c r="R162" s="218"/>
      <c r="S162" s="218"/>
      <c r="T162" s="218"/>
      <c r="U162" s="601"/>
      <c r="V162" s="601"/>
      <c r="W162" s="235"/>
      <c r="X162" s="218"/>
      <c r="Y162" s="219"/>
      <c r="Z162" s="205"/>
      <c r="AA162" s="205"/>
      <c r="AB162" s="205"/>
      <c r="AC162" s="9"/>
    </row>
    <row r="163" ht="22.5" customHeight="1">
      <c r="A163" s="325"/>
      <c r="B163" s="326" t="s">
        <v>426</v>
      </c>
      <c r="C163" s="16"/>
      <c r="D163" s="16"/>
      <c r="E163" s="16"/>
      <c r="F163" s="16"/>
      <c r="G163" s="16"/>
      <c r="H163" s="17"/>
      <c r="I163" s="327">
        <f>I161-I162</f>
        <v>4995000</v>
      </c>
      <c r="J163" s="23"/>
      <c r="K163" s="335"/>
      <c r="L163" s="299"/>
      <c r="M163" s="218"/>
      <c r="N163" s="234"/>
      <c r="O163" s="218"/>
      <c r="P163" s="218"/>
      <c r="Q163" s="218"/>
      <c r="R163" s="218"/>
      <c r="S163" s="218"/>
      <c r="T163" s="218"/>
      <c r="U163" s="601"/>
      <c r="V163" s="601"/>
      <c r="W163" s="235"/>
      <c r="X163" s="218"/>
      <c r="Y163" s="219"/>
      <c r="Z163" s="205"/>
      <c r="AA163" s="205"/>
      <c r="AB163" s="205"/>
      <c r="AC163" s="9"/>
    </row>
    <row r="164" ht="22.5" customHeight="1">
      <c r="A164" s="325"/>
      <c r="B164" s="330" t="s">
        <v>427</v>
      </c>
      <c r="C164" s="16"/>
      <c r="D164" s="16"/>
      <c r="E164" s="16"/>
      <c r="F164" s="16"/>
      <c r="G164" s="16"/>
      <c r="H164" s="17"/>
      <c r="I164" s="331">
        <f>L110+Q110</f>
        <v>3215385</v>
      </c>
      <c r="J164" s="23"/>
      <c r="K164" s="503"/>
      <c r="L164" s="299"/>
      <c r="M164" s="218"/>
      <c r="N164" s="234"/>
      <c r="O164" s="218"/>
      <c r="P164" s="218"/>
      <c r="Q164" s="218"/>
      <c r="R164" s="218"/>
      <c r="S164" s="218"/>
      <c r="T164" s="218"/>
      <c r="U164" s="601"/>
      <c r="V164" s="601"/>
      <c r="W164" s="235"/>
      <c r="X164" s="218"/>
      <c r="Y164" s="219"/>
      <c r="Z164" s="205"/>
      <c r="AA164" s="205"/>
      <c r="AB164" s="205"/>
      <c r="AC164" s="9"/>
    </row>
    <row r="165" ht="22.5" customHeight="1">
      <c r="A165" s="218"/>
      <c r="B165" s="321" t="s">
        <v>428</v>
      </c>
      <c r="C165" s="16"/>
      <c r="D165" s="16"/>
      <c r="E165" s="16"/>
      <c r="F165" s="16"/>
      <c r="G165" s="16"/>
      <c r="H165" s="17"/>
      <c r="I165" s="207">
        <f>SUMIF($S$4:$S$109,"x",Q4:Q109)+SUMIF($S$4:$S$109,"x",$L$4:$L$109)</f>
        <v>3046384</v>
      </c>
      <c r="J165" s="23"/>
      <c r="K165" s="335"/>
      <c r="L165" s="299"/>
      <c r="M165" s="299"/>
      <c r="N165" s="234"/>
      <c r="O165" s="218"/>
      <c r="P165" s="218"/>
      <c r="Q165" s="218"/>
      <c r="R165" s="218"/>
      <c r="S165" s="218"/>
      <c r="T165" s="218"/>
      <c r="U165" s="601"/>
      <c r="V165" s="601"/>
      <c r="W165" s="235"/>
      <c r="X165" s="218"/>
      <c r="Y165" s="219"/>
      <c r="Z165" s="205"/>
      <c r="AA165" s="205"/>
      <c r="AB165" s="205"/>
      <c r="AC165" s="9"/>
    </row>
    <row r="166" ht="22.5" customHeight="1">
      <c r="A166" s="218"/>
      <c r="B166" s="326" t="s">
        <v>429</v>
      </c>
      <c r="C166" s="16"/>
      <c r="D166" s="16"/>
      <c r="E166" s="16"/>
      <c r="F166" s="16"/>
      <c r="G166" s="16"/>
      <c r="H166" s="17"/>
      <c r="I166" s="327">
        <f>I164-I165</f>
        <v>169001</v>
      </c>
      <c r="J166" s="23"/>
      <c r="K166" s="335"/>
      <c r="L166" s="299"/>
      <c r="M166" s="218"/>
      <c r="N166" s="234"/>
      <c r="O166" s="218"/>
      <c r="P166" s="218"/>
      <c r="Q166" s="218"/>
      <c r="R166" s="218"/>
      <c r="S166" s="218"/>
      <c r="T166" s="218"/>
      <c r="U166" s="601"/>
      <c r="V166" s="601"/>
      <c r="W166" s="235"/>
      <c r="X166" s="218"/>
      <c r="Y166" s="219"/>
      <c r="Z166" s="205"/>
      <c r="AA166" s="205"/>
      <c r="AB166" s="205"/>
      <c r="AC166" s="9"/>
    </row>
    <row r="167" ht="15.75" customHeight="1">
      <c r="A167" s="218"/>
      <c r="B167" s="336"/>
      <c r="C167" s="336"/>
      <c r="D167" s="336"/>
      <c r="E167" s="337"/>
      <c r="F167" s="338"/>
      <c r="G167" s="218"/>
      <c r="H167" s="218"/>
      <c r="I167" s="218"/>
      <c r="J167" s="218"/>
      <c r="K167" s="23"/>
      <c r="L167" s="218"/>
      <c r="M167" s="218"/>
      <c r="N167" s="234"/>
      <c r="O167" s="218"/>
      <c r="P167" s="218"/>
      <c r="Q167" s="218"/>
      <c r="R167" s="218"/>
      <c r="S167" s="218"/>
      <c r="T167" s="218"/>
      <c r="U167" s="601"/>
      <c r="V167" s="601"/>
      <c r="W167" s="235"/>
      <c r="X167" s="218"/>
      <c r="Y167" s="219"/>
      <c r="Z167" s="205"/>
      <c r="AA167" s="205"/>
      <c r="AB167" s="205"/>
      <c r="AC167" s="9"/>
    </row>
    <row r="168" ht="15.75" customHeight="1">
      <c r="A168" s="339" t="s">
        <v>430</v>
      </c>
      <c r="E168" s="337"/>
      <c r="F168" s="338"/>
      <c r="G168" s="218"/>
      <c r="H168" s="218"/>
      <c r="I168" s="218"/>
      <c r="J168" s="218"/>
      <c r="K168" s="23"/>
      <c r="L168" s="218"/>
      <c r="M168" s="218"/>
      <c r="N168" s="234"/>
      <c r="O168" s="218"/>
      <c r="P168" s="218"/>
      <c r="Q168" s="218"/>
      <c r="R168" s="218"/>
      <c r="S168" s="218"/>
      <c r="T168" s="218"/>
      <c r="U168" s="601"/>
      <c r="V168" s="601"/>
      <c r="W168" s="235"/>
      <c r="X168" s="218"/>
      <c r="Y168" s="219"/>
      <c r="Z168" s="205"/>
      <c r="AA168" s="205"/>
      <c r="AB168" s="205"/>
      <c r="AC168" s="9"/>
    </row>
    <row r="169" ht="15.75" customHeight="1">
      <c r="A169" s="340"/>
      <c r="B169" s="341"/>
      <c r="C169" s="341"/>
      <c r="D169" s="341"/>
      <c r="E169" s="341"/>
      <c r="F169" s="341"/>
      <c r="G169" s="341"/>
      <c r="H169" s="341"/>
      <c r="I169" s="341"/>
      <c r="J169" s="341"/>
      <c r="K169" s="341"/>
      <c r="L169" s="341"/>
      <c r="M169" s="341"/>
      <c r="N169" s="343"/>
      <c r="O169" s="344"/>
      <c r="P169" s="344"/>
      <c r="Q169" s="344"/>
      <c r="R169" s="344"/>
      <c r="S169" s="344"/>
      <c r="T169" s="344"/>
      <c r="U169" s="662"/>
      <c r="V169" s="662"/>
      <c r="W169" s="344"/>
      <c r="X169" s="344"/>
      <c r="Y169" s="219"/>
      <c r="Z169" s="205"/>
      <c r="AA169" s="205"/>
      <c r="AB169" s="205"/>
      <c r="AC169" s="9"/>
    </row>
    <row r="170" ht="15.75" customHeight="1">
      <c r="A170" s="340"/>
      <c r="B170" s="346" t="s">
        <v>431</v>
      </c>
      <c r="C170" s="347" t="s">
        <v>432</v>
      </c>
      <c r="D170" s="348" t="s">
        <v>433</v>
      </c>
      <c r="E170" s="348" t="s">
        <v>434</v>
      </c>
      <c r="F170" s="349" t="s">
        <v>5</v>
      </c>
      <c r="G170" s="348" t="s">
        <v>435</v>
      </c>
      <c r="H170" s="348" t="s">
        <v>25</v>
      </c>
      <c r="I170" s="349" t="s">
        <v>26</v>
      </c>
      <c r="J170" s="349" t="s">
        <v>436</v>
      </c>
      <c r="K170" s="349" t="s">
        <v>437</v>
      </c>
      <c r="L170" s="349" t="s">
        <v>438</v>
      </c>
      <c r="M170" s="932" t="s">
        <v>9</v>
      </c>
      <c r="N170" s="933" t="s">
        <v>439</v>
      </c>
      <c r="O170" s="17"/>
      <c r="P170" s="344"/>
      <c r="Q170" s="340"/>
      <c r="R170" s="340"/>
      <c r="S170" s="340"/>
      <c r="T170" s="340"/>
      <c r="U170" s="779"/>
      <c r="V170" s="780"/>
      <c r="W170" s="340"/>
      <c r="X170" s="299"/>
      <c r="Y170" s="353"/>
      <c r="Z170" s="205"/>
      <c r="AA170" s="205"/>
      <c r="AB170" s="205"/>
      <c r="AC170" s="9"/>
    </row>
    <row r="171" ht="36.75" customHeight="1">
      <c r="A171" s="354"/>
      <c r="B171" s="785"/>
      <c r="C171" s="1182"/>
      <c r="D171" s="357"/>
      <c r="E171" s="357"/>
      <c r="F171" s="129"/>
      <c r="G171" s="357"/>
      <c r="H171" s="357"/>
      <c r="I171" s="358"/>
      <c r="J171" s="359"/>
      <c r="K171" s="359"/>
      <c r="L171" s="358"/>
      <c r="M171" s="1183"/>
      <c r="N171" s="1184"/>
      <c r="O171" s="17"/>
      <c r="P171" s="344"/>
      <c r="Q171" s="364"/>
      <c r="R171" s="364"/>
      <c r="S171" s="364"/>
      <c r="T171" s="364"/>
      <c r="U171" s="601"/>
      <c r="V171" s="622"/>
      <c r="W171" s="364"/>
      <c r="X171" s="364"/>
      <c r="Y171" s="365"/>
      <c r="Z171" s="205"/>
      <c r="AA171" s="205"/>
      <c r="AB171" s="205"/>
      <c r="AC171" s="9"/>
    </row>
    <row r="172" ht="36.75" customHeight="1">
      <c r="A172" s="354"/>
      <c r="B172" s="785"/>
      <c r="C172" s="1182"/>
      <c r="D172" s="357"/>
      <c r="E172" s="357"/>
      <c r="F172" s="129"/>
      <c r="G172" s="357"/>
      <c r="H172" s="357"/>
      <c r="I172" s="358"/>
      <c r="J172" s="359"/>
      <c r="K172" s="359"/>
      <c r="L172" s="358"/>
      <c r="M172" s="1183"/>
      <c r="N172" s="1184"/>
      <c r="O172" s="17"/>
      <c r="P172" s="642"/>
      <c r="Q172" s="784"/>
      <c r="R172" s="364"/>
      <c r="S172" s="364"/>
      <c r="T172" s="364"/>
      <c r="U172" s="601"/>
      <c r="V172" s="601"/>
      <c r="W172" s="370"/>
      <c r="X172" s="364"/>
      <c r="Y172" s="365"/>
      <c r="Z172" s="205"/>
      <c r="AA172" s="205"/>
      <c r="AB172" s="205"/>
      <c r="AC172" s="9"/>
    </row>
    <row r="173" ht="36.75" customHeight="1">
      <c r="A173" s="354"/>
      <c r="B173" s="1185"/>
      <c r="C173" s="1186"/>
      <c r="D173" s="1187"/>
      <c r="E173" s="1187"/>
      <c r="F173" s="1188"/>
      <c r="G173" s="1187"/>
      <c r="H173" s="1187"/>
      <c r="I173" s="1189"/>
      <c r="J173" s="1190"/>
      <c r="K173" s="359"/>
      <c r="L173" s="358"/>
      <c r="M173" s="1183"/>
      <c r="N173" s="1184"/>
      <c r="O173" s="17"/>
      <c r="P173" s="642"/>
      <c r="Q173" s="784"/>
      <c r="R173" s="364"/>
      <c r="S173" s="364"/>
      <c r="T173" s="364"/>
      <c r="U173" s="601"/>
      <c r="V173" s="601"/>
      <c r="W173" s="370"/>
      <c r="X173" s="364"/>
      <c r="Y173" s="365"/>
      <c r="Z173" s="205"/>
      <c r="AA173" s="205"/>
      <c r="AB173" s="205"/>
      <c r="AC173" s="9"/>
    </row>
    <row r="174" ht="31.5" customHeight="1">
      <c r="A174" s="354"/>
      <c r="B174" s="389" t="s">
        <v>421</v>
      </c>
      <c r="C174" s="16"/>
      <c r="D174" s="16"/>
      <c r="E174" s="16"/>
      <c r="F174" s="16"/>
      <c r="G174" s="16"/>
      <c r="H174" s="16"/>
      <c r="I174" s="16"/>
      <c r="J174" s="17"/>
      <c r="K174" s="1191">
        <f>SUM(K171:K173)</f>
        <v>0</v>
      </c>
      <c r="L174" s="392"/>
      <c r="M174" s="967">
        <f>SUM(M171:M173)</f>
        <v>0</v>
      </c>
      <c r="N174" s="542"/>
      <c r="O174" s="17"/>
      <c r="P174" s="344"/>
      <c r="Q174" s="364"/>
      <c r="R174" s="364"/>
      <c r="S174" s="364"/>
      <c r="T174" s="364"/>
      <c r="U174" s="601"/>
      <c r="V174" s="601"/>
      <c r="W174" s="370"/>
      <c r="X174" s="364"/>
      <c r="Y174" s="365"/>
      <c r="Z174" s="205"/>
      <c r="AA174" s="205"/>
      <c r="AB174" s="205"/>
      <c r="AC174" s="9"/>
    </row>
    <row r="175" ht="15.75" customHeight="1">
      <c r="A175" s="344"/>
      <c r="B175" s="345"/>
      <c r="C175" s="394"/>
      <c r="D175" s="395"/>
      <c r="E175" s="395"/>
      <c r="F175" s="395"/>
      <c r="G175" s="396"/>
      <c r="H175" s="345"/>
      <c r="I175" s="344"/>
      <c r="J175" s="344"/>
      <c r="K175" s="107"/>
      <c r="L175" s="344"/>
      <c r="M175" s="344"/>
      <c r="N175" s="343"/>
      <c r="O175" s="344"/>
      <c r="P175" s="344"/>
      <c r="Q175" s="344"/>
      <c r="R175" s="344"/>
      <c r="S175" s="344"/>
      <c r="T175" s="344"/>
      <c r="U175" s="662"/>
      <c r="V175" s="662"/>
      <c r="W175" s="344"/>
      <c r="X175" s="344"/>
      <c r="Y175" s="219"/>
      <c r="Z175" s="205"/>
      <c r="AA175" s="205"/>
      <c r="AB175" s="205"/>
      <c r="AC175" s="9"/>
    </row>
    <row r="176" ht="15.75" customHeight="1">
      <c r="A176" s="9"/>
      <c r="B176" s="223"/>
      <c r="C176" s="394"/>
      <c r="D176" s="395"/>
      <c r="E176" s="395"/>
      <c r="F176" s="395"/>
      <c r="G176" s="396"/>
      <c r="H176" s="224"/>
      <c r="I176" s="225"/>
      <c r="J176" s="225"/>
      <c r="K176" s="22"/>
      <c r="L176" s="9"/>
      <c r="M176" s="9"/>
      <c r="N176" s="226"/>
      <c r="O176" s="9"/>
      <c r="P176" s="9"/>
      <c r="Q176" s="9"/>
      <c r="R176" s="9"/>
      <c r="S176" s="9"/>
      <c r="T176" s="9"/>
      <c r="U176" s="913"/>
      <c r="V176" s="913"/>
      <c r="W176" s="9"/>
      <c r="X176" s="9"/>
      <c r="Y176" s="204"/>
      <c r="Z176" s="205"/>
      <c r="AA176" s="205"/>
      <c r="AB176" s="205"/>
      <c r="AC176" s="9"/>
    </row>
    <row r="177" ht="15.75" customHeight="1">
      <c r="A177" s="9"/>
      <c r="B177" s="223"/>
      <c r="C177" s="397"/>
      <c r="D177" s="9"/>
      <c r="E177" s="9"/>
      <c r="F177" s="222"/>
      <c r="G177" s="223"/>
      <c r="H177" s="224"/>
      <c r="I177" s="225"/>
      <c r="J177" s="225"/>
      <c r="K177" s="22"/>
      <c r="L177" s="9"/>
      <c r="M177" s="9"/>
      <c r="N177" s="226"/>
      <c r="O177" s="9"/>
      <c r="P177" s="9"/>
      <c r="Q177" s="9"/>
      <c r="R177" s="9"/>
      <c r="S177" s="9"/>
      <c r="T177" s="9"/>
      <c r="U177" s="913"/>
      <c r="V177" s="913"/>
      <c r="W177" s="9"/>
      <c r="X177" s="9"/>
      <c r="Y177" s="204"/>
      <c r="Z177" s="9"/>
      <c r="AA177" s="9"/>
      <c r="AB177" s="9"/>
      <c r="AC177" s="9"/>
    </row>
    <row r="178" ht="15.75" customHeight="1">
      <c r="A178" s="9"/>
      <c r="B178" s="223"/>
      <c r="C178" s="397"/>
      <c r="D178" s="9"/>
      <c r="E178" s="9"/>
      <c r="F178" s="222"/>
      <c r="G178" s="223"/>
      <c r="H178" s="224"/>
      <c r="I178" s="225"/>
      <c r="J178" s="225"/>
      <c r="K178" s="22"/>
      <c r="L178" s="9"/>
      <c r="M178" s="9"/>
      <c r="N178" s="226"/>
      <c r="O178" s="9"/>
      <c r="P178" s="9"/>
      <c r="Q178" s="9"/>
      <c r="R178" s="9"/>
      <c r="S178" s="9"/>
      <c r="T178" s="9"/>
      <c r="U178" s="913"/>
      <c r="V178" s="913"/>
      <c r="W178" s="9"/>
      <c r="X178" s="9"/>
      <c r="Y178" s="204"/>
      <c r="Z178" s="9"/>
      <c r="AA178" s="9"/>
      <c r="AB178" s="9"/>
      <c r="AC178" s="9"/>
    </row>
    <row r="179" ht="15.75" customHeight="1">
      <c r="A179" s="9"/>
      <c r="B179" s="223"/>
      <c r="C179" s="397"/>
      <c r="D179" s="9"/>
      <c r="E179" s="9"/>
      <c r="F179" s="222"/>
      <c r="G179" s="223"/>
      <c r="H179" s="224"/>
      <c r="I179" s="225"/>
      <c r="J179" s="225"/>
      <c r="K179" s="22"/>
      <c r="L179" s="9"/>
      <c r="M179" s="9"/>
      <c r="N179" s="226"/>
      <c r="O179" s="9"/>
      <c r="P179" s="9"/>
      <c r="Q179" s="9"/>
      <c r="R179" s="9"/>
      <c r="S179" s="9"/>
      <c r="T179" s="9"/>
      <c r="U179" s="913"/>
      <c r="V179" s="913"/>
      <c r="W179" s="9"/>
      <c r="X179" s="9"/>
      <c r="Y179" s="204"/>
      <c r="Z179" s="9"/>
      <c r="AA179" s="9"/>
      <c r="AB179" s="9"/>
      <c r="AC179" s="9"/>
    </row>
    <row r="180" ht="15.75" customHeight="1">
      <c r="A180" s="9"/>
      <c r="B180" s="223"/>
      <c r="C180" s="397"/>
      <c r="D180" s="9"/>
      <c r="E180" s="9"/>
      <c r="F180" s="222"/>
      <c r="G180" s="223"/>
      <c r="H180" s="224"/>
      <c r="I180" s="225"/>
      <c r="J180" s="225"/>
      <c r="K180" s="22"/>
      <c r="L180" s="9"/>
      <c r="M180" s="9"/>
      <c r="N180" s="226"/>
      <c r="O180" s="9"/>
      <c r="P180" s="9"/>
      <c r="Q180" s="9"/>
      <c r="R180" s="9"/>
      <c r="S180" s="9"/>
      <c r="T180" s="9"/>
      <c r="U180" s="913"/>
      <c r="V180" s="913"/>
      <c r="W180" s="9"/>
      <c r="X180" s="9"/>
      <c r="Y180" s="204"/>
      <c r="Z180" s="9"/>
      <c r="AA180" s="9"/>
      <c r="AB180" s="9"/>
      <c r="AC180" s="9"/>
    </row>
    <row r="181" ht="15.75" customHeight="1">
      <c r="A181" s="9"/>
      <c r="B181" s="223"/>
      <c r="C181" s="397"/>
      <c r="D181" s="9"/>
      <c r="E181" s="9"/>
      <c r="F181" s="222"/>
      <c r="G181" s="223"/>
      <c r="H181" s="224"/>
      <c r="I181" s="225"/>
      <c r="J181" s="225"/>
      <c r="K181" s="22"/>
      <c r="L181" s="9"/>
      <c r="M181" s="9"/>
      <c r="N181" s="226"/>
      <c r="O181" s="9"/>
      <c r="P181" s="9"/>
      <c r="Q181" s="9"/>
      <c r="R181" s="9"/>
      <c r="S181" s="9"/>
      <c r="T181" s="9"/>
      <c r="U181" s="913"/>
      <c r="V181" s="913"/>
      <c r="W181" s="9"/>
      <c r="X181" s="9"/>
      <c r="Y181" s="204"/>
      <c r="Z181" s="9"/>
      <c r="AA181" s="9"/>
      <c r="AB181" s="9"/>
      <c r="AC181" s="9"/>
    </row>
    <row r="182" ht="15.75" customHeight="1">
      <c r="A182" s="9"/>
      <c r="B182" s="223"/>
      <c r="C182" s="397"/>
      <c r="D182" s="9"/>
      <c r="E182" s="9"/>
      <c r="F182" s="222"/>
      <c r="G182" s="223"/>
      <c r="H182" s="224"/>
      <c r="I182" s="225"/>
      <c r="J182" s="225"/>
      <c r="K182" s="22"/>
      <c r="L182" s="9"/>
      <c r="M182" s="9"/>
      <c r="N182" s="226"/>
      <c r="O182" s="9"/>
      <c r="P182" s="9"/>
      <c r="Q182" s="9"/>
      <c r="R182" s="9"/>
      <c r="S182" s="9"/>
      <c r="T182" s="9"/>
      <c r="U182" s="913"/>
      <c r="V182" s="913"/>
      <c r="W182" s="9"/>
      <c r="X182" s="9"/>
      <c r="Y182" s="204"/>
      <c r="Z182" s="9"/>
      <c r="AA182" s="9"/>
      <c r="AB182" s="9"/>
      <c r="AC182" s="9"/>
    </row>
    <row r="183" ht="15.75" customHeight="1">
      <c r="A183" s="9"/>
      <c r="B183" s="223"/>
      <c r="C183" s="397"/>
      <c r="D183" s="9"/>
      <c r="E183" s="9"/>
      <c r="F183" s="222"/>
      <c r="G183" s="223"/>
      <c r="H183" s="224"/>
      <c r="I183" s="225"/>
      <c r="J183" s="225"/>
      <c r="K183" s="22"/>
      <c r="L183" s="9"/>
      <c r="M183" s="9"/>
      <c r="N183" s="226"/>
      <c r="O183" s="9"/>
      <c r="P183" s="9"/>
      <c r="Q183" s="9"/>
      <c r="R183" s="9"/>
      <c r="S183" s="9"/>
      <c r="T183" s="9"/>
      <c r="U183" s="913"/>
      <c r="V183" s="913"/>
      <c r="W183" s="9"/>
      <c r="X183" s="9"/>
      <c r="Y183" s="204"/>
      <c r="Z183" s="9"/>
      <c r="AA183" s="9"/>
      <c r="AB183" s="9"/>
      <c r="AC183" s="9"/>
    </row>
    <row r="184" ht="15.75" customHeight="1">
      <c r="A184" s="9"/>
      <c r="B184" s="223"/>
      <c r="C184" s="397"/>
      <c r="D184" s="9"/>
      <c r="E184" s="9"/>
      <c r="F184" s="222"/>
      <c r="G184" s="223"/>
      <c r="H184" s="224"/>
      <c r="I184" s="225"/>
      <c r="J184" s="225"/>
      <c r="K184" s="22"/>
      <c r="L184" s="9"/>
      <c r="M184" s="9"/>
      <c r="N184" s="226"/>
      <c r="O184" s="9"/>
      <c r="P184" s="9"/>
      <c r="Q184" s="9"/>
      <c r="R184" s="9"/>
      <c r="S184" s="9"/>
      <c r="T184" s="9"/>
      <c r="U184" s="913"/>
      <c r="V184" s="913"/>
      <c r="W184" s="9"/>
      <c r="X184" s="9"/>
      <c r="Y184" s="204"/>
      <c r="Z184" s="9"/>
      <c r="AA184" s="9"/>
      <c r="AB184" s="9"/>
      <c r="AC184" s="9"/>
    </row>
    <row r="185" ht="15.75" customHeight="1">
      <c r="A185" s="9"/>
      <c r="B185" s="223"/>
      <c r="C185" s="397"/>
      <c r="D185" s="556"/>
      <c r="E185" s="9"/>
      <c r="F185" s="222"/>
      <c r="G185" s="223"/>
      <c r="H185" s="224"/>
      <c r="I185" s="225"/>
      <c r="J185" s="225"/>
      <c r="K185" s="22"/>
      <c r="L185" s="9"/>
      <c r="M185" s="9"/>
      <c r="N185" s="226"/>
      <c r="O185" s="9"/>
      <c r="P185" s="9"/>
      <c r="Q185" s="9"/>
      <c r="R185" s="9"/>
      <c r="S185" s="9"/>
      <c r="T185" s="9"/>
      <c r="U185" s="913"/>
      <c r="V185" s="913"/>
      <c r="W185" s="9"/>
      <c r="X185" s="9"/>
      <c r="Y185" s="204"/>
      <c r="Z185" s="9"/>
      <c r="AA185" s="9"/>
      <c r="AB185" s="9"/>
      <c r="AC185" s="9"/>
    </row>
    <row r="186" ht="15.75" customHeight="1">
      <c r="A186" s="9"/>
      <c r="B186" s="223"/>
      <c r="C186" s="397"/>
      <c r="D186" s="1686"/>
      <c r="E186" s="9"/>
      <c r="F186" s="222"/>
      <c r="G186" s="223"/>
      <c r="H186" s="224"/>
      <c r="I186" s="225"/>
      <c r="J186" s="225"/>
      <c r="K186" s="22"/>
      <c r="L186" s="9"/>
      <c r="M186" s="9"/>
      <c r="N186" s="226"/>
      <c r="O186" s="9"/>
      <c r="P186" s="9"/>
      <c r="Q186" s="9"/>
      <c r="R186" s="9"/>
      <c r="S186" s="9"/>
      <c r="T186" s="9"/>
      <c r="U186" s="913"/>
      <c r="V186" s="913"/>
      <c r="W186" s="9"/>
      <c r="X186" s="9"/>
      <c r="Y186" s="204"/>
      <c r="Z186" s="9"/>
      <c r="AA186" s="9"/>
      <c r="AB186" s="9"/>
      <c r="AC186" s="9"/>
    </row>
    <row r="187" ht="15.75" customHeight="1">
      <c r="A187" s="9"/>
      <c r="B187" s="223"/>
      <c r="C187" s="397"/>
      <c r="D187" s="9"/>
      <c r="E187" s="9"/>
      <c r="F187" s="222"/>
      <c r="G187" s="223"/>
      <c r="H187" s="224"/>
      <c r="I187" s="225"/>
      <c r="J187" s="225"/>
      <c r="K187" s="22"/>
      <c r="L187" s="9"/>
      <c r="M187" s="9"/>
      <c r="N187" s="226"/>
      <c r="O187" s="9"/>
      <c r="P187" s="9"/>
      <c r="Q187" s="9"/>
      <c r="R187" s="9"/>
      <c r="S187" s="9"/>
      <c r="T187" s="9"/>
      <c r="U187" s="913"/>
      <c r="V187" s="913"/>
      <c r="W187" s="9"/>
      <c r="X187" s="9"/>
      <c r="Y187" s="204"/>
      <c r="Z187" s="9"/>
      <c r="AA187" s="9"/>
      <c r="AB187" s="9"/>
      <c r="AC187" s="9"/>
    </row>
    <row r="188" ht="15.75" customHeight="1">
      <c r="A188" s="9"/>
      <c r="B188" s="223"/>
      <c r="C188" s="397"/>
      <c r="D188" s="9"/>
      <c r="E188" s="9"/>
      <c r="F188" s="222"/>
      <c r="G188" s="223"/>
      <c r="H188" s="224"/>
      <c r="I188" s="225"/>
      <c r="J188" s="225"/>
      <c r="K188" s="22"/>
      <c r="L188" s="9"/>
      <c r="M188" s="9"/>
      <c r="N188" s="226"/>
      <c r="O188" s="9"/>
      <c r="P188" s="9"/>
      <c r="Q188" s="9"/>
      <c r="R188" s="9"/>
      <c r="S188" s="9"/>
      <c r="T188" s="9"/>
      <c r="U188" s="913"/>
      <c r="V188" s="913"/>
      <c r="W188" s="9"/>
      <c r="X188" s="9"/>
      <c r="Y188" s="204"/>
      <c r="Z188" s="9"/>
      <c r="AA188" s="9"/>
      <c r="AB188" s="9"/>
      <c r="AC188" s="9"/>
    </row>
    <row r="189" ht="15.75" customHeight="1">
      <c r="A189" s="9"/>
      <c r="B189" s="223"/>
      <c r="C189" s="397"/>
      <c r="D189" s="9"/>
      <c r="E189" s="9"/>
      <c r="F189" s="222"/>
      <c r="G189" s="223"/>
      <c r="H189" s="224"/>
      <c r="I189" s="225"/>
      <c r="J189" s="225"/>
      <c r="K189" s="22"/>
      <c r="L189" s="9"/>
      <c r="M189" s="9"/>
      <c r="N189" s="226"/>
      <c r="O189" s="9"/>
      <c r="P189" s="9"/>
      <c r="Q189" s="9"/>
      <c r="R189" s="9"/>
      <c r="S189" s="9"/>
      <c r="T189" s="9"/>
      <c r="U189" s="913"/>
      <c r="V189" s="913"/>
      <c r="W189" s="9"/>
      <c r="X189" s="9"/>
      <c r="Y189" s="204"/>
      <c r="Z189" s="9"/>
      <c r="AA189" s="9"/>
      <c r="AB189" s="9"/>
      <c r="AC189" s="9"/>
    </row>
    <row r="190" ht="15.75" customHeight="1">
      <c r="A190" s="9"/>
      <c r="B190" s="223"/>
      <c r="C190" s="397"/>
      <c r="D190" s="9"/>
      <c r="E190" s="9"/>
      <c r="F190" s="222"/>
      <c r="G190" s="223"/>
      <c r="H190" s="224"/>
      <c r="I190" s="225"/>
      <c r="J190" s="225"/>
      <c r="K190" s="22"/>
      <c r="L190" s="9"/>
      <c r="M190" s="9"/>
      <c r="N190" s="226"/>
      <c r="O190" s="9"/>
      <c r="P190" s="9"/>
      <c r="Q190" s="9"/>
      <c r="R190" s="9"/>
      <c r="S190" s="9"/>
      <c r="T190" s="9"/>
      <c r="U190" s="913"/>
      <c r="V190" s="913"/>
      <c r="W190" s="9"/>
      <c r="X190" s="9"/>
      <c r="Y190" s="204"/>
      <c r="Z190" s="9"/>
      <c r="AA190" s="9"/>
      <c r="AB190" s="9"/>
      <c r="AC190" s="9"/>
    </row>
    <row r="191" ht="15.75" customHeight="1">
      <c r="A191" s="9"/>
      <c r="B191" s="223"/>
      <c r="C191" s="397"/>
      <c r="D191" s="9"/>
      <c r="E191" s="9"/>
      <c r="F191" s="222"/>
      <c r="G191" s="223"/>
      <c r="H191" s="224"/>
      <c r="I191" s="225"/>
      <c r="J191" s="225"/>
      <c r="K191" s="22"/>
      <c r="L191" s="9"/>
      <c r="M191" s="9"/>
      <c r="N191" s="226"/>
      <c r="O191" s="9"/>
      <c r="P191" s="9"/>
      <c r="Q191" s="9"/>
      <c r="R191" s="9"/>
      <c r="S191" s="9"/>
      <c r="T191" s="9"/>
      <c r="U191" s="913"/>
      <c r="V191" s="913"/>
      <c r="W191" s="9"/>
      <c r="X191" s="9"/>
      <c r="Y191" s="204"/>
      <c r="Z191" s="9"/>
      <c r="AA191" s="9"/>
      <c r="AB191" s="9"/>
      <c r="AC191" s="9"/>
    </row>
    <row r="192" ht="15.75" customHeight="1">
      <c r="A192" s="9"/>
      <c r="B192" s="223"/>
      <c r="C192" s="397"/>
      <c r="D192" s="9"/>
      <c r="E192" s="9"/>
      <c r="F192" s="222"/>
      <c r="G192" s="223"/>
      <c r="H192" s="224"/>
      <c r="I192" s="225"/>
      <c r="J192" s="225"/>
      <c r="K192" s="22"/>
      <c r="L192" s="9"/>
      <c r="M192" s="9"/>
      <c r="N192" s="226"/>
      <c r="O192" s="9"/>
      <c r="P192" s="9"/>
      <c r="Q192" s="9"/>
      <c r="R192" s="9"/>
      <c r="S192" s="9"/>
      <c r="T192" s="9"/>
      <c r="U192" s="913"/>
      <c r="V192" s="913"/>
      <c r="W192" s="9"/>
      <c r="X192" s="9"/>
      <c r="Y192" s="204"/>
      <c r="Z192" s="9"/>
      <c r="AA192" s="9"/>
      <c r="AB192" s="9"/>
      <c r="AC192" s="9"/>
    </row>
    <row r="193" ht="15.75" customHeight="1">
      <c r="A193" s="9"/>
      <c r="B193" s="223"/>
      <c r="C193" s="397"/>
      <c r="D193" s="9"/>
      <c r="E193" s="9"/>
      <c r="F193" s="222"/>
      <c r="G193" s="223"/>
      <c r="H193" s="224"/>
      <c r="I193" s="225"/>
      <c r="J193" s="225"/>
      <c r="K193" s="22"/>
      <c r="L193" s="9"/>
      <c r="M193" s="9"/>
      <c r="N193" s="226"/>
      <c r="O193" s="9"/>
      <c r="P193" s="9"/>
      <c r="Q193" s="9"/>
      <c r="R193" s="9"/>
      <c r="S193" s="9"/>
      <c r="T193" s="9"/>
      <c r="U193" s="913"/>
      <c r="V193" s="913"/>
      <c r="W193" s="9"/>
      <c r="X193" s="9"/>
      <c r="Y193" s="204"/>
      <c r="Z193" s="9"/>
      <c r="AA193" s="9"/>
      <c r="AB193" s="9"/>
      <c r="AC193" s="9"/>
    </row>
    <row r="194" ht="15.75" customHeight="1">
      <c r="A194" s="9"/>
      <c r="B194" s="223"/>
      <c r="C194" s="397"/>
      <c r="D194" s="9"/>
      <c r="E194" s="9"/>
      <c r="F194" s="222"/>
      <c r="G194" s="223"/>
      <c r="H194" s="224"/>
      <c r="I194" s="225"/>
      <c r="J194" s="225"/>
      <c r="K194" s="22"/>
      <c r="L194" s="9"/>
      <c r="M194" s="9"/>
      <c r="N194" s="226"/>
      <c r="O194" s="9"/>
      <c r="P194" s="9"/>
      <c r="Q194" s="9"/>
      <c r="R194" s="9"/>
      <c r="S194" s="9"/>
      <c r="T194" s="9"/>
      <c r="U194" s="913"/>
      <c r="V194" s="913"/>
      <c r="W194" s="9"/>
      <c r="X194" s="9"/>
      <c r="Y194" s="204"/>
      <c r="Z194" s="9"/>
      <c r="AA194" s="9"/>
      <c r="AB194" s="9"/>
      <c r="AC194" s="9"/>
    </row>
    <row r="195" ht="15.75" customHeight="1">
      <c r="A195" s="9"/>
      <c r="B195" s="223"/>
      <c r="C195" s="397"/>
      <c r="D195" s="9"/>
      <c r="E195" s="9"/>
      <c r="F195" s="222"/>
      <c r="G195" s="223"/>
      <c r="H195" s="224"/>
      <c r="I195" s="225"/>
      <c r="J195" s="225"/>
      <c r="K195" s="22"/>
      <c r="L195" s="9"/>
      <c r="M195" s="9"/>
      <c r="N195" s="226"/>
      <c r="O195" s="9"/>
      <c r="P195" s="9"/>
      <c r="Q195" s="9"/>
      <c r="R195" s="9"/>
      <c r="S195" s="9"/>
      <c r="T195" s="9"/>
      <c r="U195" s="913"/>
      <c r="V195" s="913"/>
      <c r="W195" s="9"/>
      <c r="X195" s="9"/>
      <c r="Y195" s="204"/>
      <c r="Z195" s="9"/>
      <c r="AA195" s="9"/>
      <c r="AB195" s="9"/>
      <c r="AC195" s="9"/>
    </row>
    <row r="196" ht="15.75" customHeight="1">
      <c r="A196" s="9"/>
      <c r="B196" s="223"/>
      <c r="C196" s="397"/>
      <c r="D196" s="9"/>
      <c r="E196" s="9"/>
      <c r="F196" s="222"/>
      <c r="G196" s="223"/>
      <c r="H196" s="224"/>
      <c r="I196" s="225"/>
      <c r="J196" s="225"/>
      <c r="K196" s="22"/>
      <c r="L196" s="9"/>
      <c r="M196" s="9"/>
      <c r="N196" s="226"/>
      <c r="O196" s="9"/>
      <c r="P196" s="9"/>
      <c r="Q196" s="9"/>
      <c r="R196" s="9"/>
      <c r="S196" s="9"/>
      <c r="T196" s="9"/>
      <c r="U196" s="913"/>
      <c r="V196" s="913"/>
      <c r="W196" s="9"/>
      <c r="X196" s="9"/>
      <c r="Y196" s="204"/>
      <c r="Z196" s="9"/>
      <c r="AA196" s="9"/>
      <c r="AB196" s="9"/>
      <c r="AC196" s="9"/>
    </row>
    <row r="197" ht="15.75" customHeight="1">
      <c r="A197" s="9"/>
      <c r="B197" s="223"/>
      <c r="C197" s="397"/>
      <c r="D197" s="9"/>
      <c r="E197" s="9"/>
      <c r="F197" s="222"/>
      <c r="G197" s="223"/>
      <c r="H197" s="224"/>
      <c r="I197" s="225"/>
      <c r="J197" s="225"/>
      <c r="K197" s="22"/>
      <c r="L197" s="9"/>
      <c r="M197" s="9"/>
      <c r="N197" s="226"/>
      <c r="O197" s="9"/>
      <c r="P197" s="9"/>
      <c r="Q197" s="9"/>
      <c r="R197" s="9"/>
      <c r="S197" s="9"/>
      <c r="T197" s="9"/>
      <c r="U197" s="913"/>
      <c r="V197" s="913"/>
      <c r="W197" s="9"/>
      <c r="X197" s="9"/>
      <c r="Y197" s="204"/>
      <c r="Z197" s="9"/>
      <c r="AA197" s="9"/>
      <c r="AB197" s="9"/>
      <c r="AC197" s="9"/>
    </row>
    <row r="198" ht="15.7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204"/>
      <c r="Z198" s="9"/>
      <c r="AA198" s="9"/>
      <c r="AB198" s="9"/>
      <c r="AC198" s="9"/>
    </row>
    <row r="199" ht="15.7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204"/>
      <c r="Z199" s="9"/>
      <c r="AA199" s="9"/>
      <c r="AB199" s="9"/>
      <c r="AC199" s="9"/>
    </row>
    <row r="200" ht="15.7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204"/>
      <c r="Z200" s="9"/>
      <c r="AA200" s="9"/>
      <c r="AB200" s="9"/>
      <c r="AC200" s="9"/>
    </row>
    <row r="201" ht="15.7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204"/>
      <c r="Z201" s="9"/>
      <c r="AA201" s="9"/>
      <c r="AB201" s="9"/>
      <c r="AC201" s="9"/>
    </row>
    <row r="202" ht="15.7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204"/>
      <c r="Z202" s="9"/>
      <c r="AA202" s="9"/>
      <c r="AB202" s="9"/>
      <c r="AC202" s="9"/>
    </row>
    <row r="203" ht="15.7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204"/>
      <c r="Z203" s="9"/>
      <c r="AA203" s="9"/>
      <c r="AB203" s="9"/>
      <c r="AC203" s="9"/>
    </row>
    <row r="204" ht="15.7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204"/>
      <c r="Z204" s="9"/>
      <c r="AA204" s="9"/>
      <c r="AB204" s="9"/>
      <c r="AC204" s="9"/>
    </row>
    <row r="205" ht="15.7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204"/>
      <c r="Z205" s="9"/>
      <c r="AA205" s="9"/>
      <c r="AB205" s="9"/>
      <c r="AC205" s="9"/>
    </row>
    <row r="206" ht="15.7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204"/>
      <c r="Z206" s="9"/>
      <c r="AA206" s="9"/>
      <c r="AB206" s="9"/>
      <c r="AC206" s="9"/>
    </row>
    <row r="207" ht="15.7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204"/>
      <c r="Z207" s="9"/>
      <c r="AA207" s="9"/>
      <c r="AB207" s="9"/>
      <c r="AC207" s="9"/>
    </row>
    <row r="208" ht="15.7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204"/>
      <c r="Z208" s="9"/>
      <c r="AA208" s="9"/>
      <c r="AB208" s="9"/>
      <c r="AC208" s="9"/>
    </row>
    <row r="209" ht="15.7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204"/>
      <c r="Z209" s="9"/>
      <c r="AA209" s="9"/>
      <c r="AB209" s="9"/>
      <c r="AC209" s="9"/>
    </row>
    <row r="210" ht="15.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204"/>
      <c r="Z210" s="9"/>
      <c r="AA210" s="9"/>
      <c r="AB210" s="9"/>
      <c r="AC210" s="9"/>
    </row>
    <row r="211" ht="15.7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204"/>
      <c r="Z211" s="9"/>
      <c r="AA211" s="9"/>
      <c r="AB211" s="9"/>
      <c r="AC211" s="9"/>
    </row>
    <row r="212" ht="15.7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204"/>
      <c r="Z212" s="9"/>
      <c r="AA212" s="9"/>
      <c r="AB212" s="9"/>
      <c r="AC212" s="9"/>
    </row>
    <row r="213" ht="15.7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204"/>
      <c r="Z213" s="9"/>
      <c r="AA213" s="9"/>
      <c r="AB213" s="9"/>
      <c r="AC213" s="9"/>
    </row>
    <row r="214" ht="15.7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204"/>
      <c r="Z214" s="9"/>
      <c r="AA214" s="9"/>
      <c r="AB214" s="9"/>
      <c r="AC214" s="9"/>
    </row>
    <row r="215" ht="15.7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204"/>
      <c r="Z215" s="9"/>
      <c r="AA215" s="9"/>
      <c r="AB215" s="9"/>
      <c r="AC215" s="9"/>
    </row>
    <row r="216"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204"/>
      <c r="Z216" s="9"/>
      <c r="AA216" s="9"/>
      <c r="AB216" s="9"/>
      <c r="AC216" s="9"/>
    </row>
    <row r="217"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204"/>
      <c r="Z217" s="9"/>
      <c r="AA217" s="9"/>
      <c r="AB217" s="9"/>
      <c r="AC217" s="9"/>
    </row>
    <row r="218"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204"/>
      <c r="Z218" s="9"/>
      <c r="AA218" s="9"/>
      <c r="AB218" s="9"/>
      <c r="AC218" s="9"/>
    </row>
    <row r="219"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204"/>
      <c r="Z219" s="9"/>
      <c r="AA219" s="9"/>
      <c r="AB219" s="9"/>
      <c r="AC219" s="9"/>
    </row>
    <row r="220"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204"/>
      <c r="Z220" s="9"/>
      <c r="AA220" s="9"/>
      <c r="AB220" s="9"/>
      <c r="AC220" s="9"/>
    </row>
    <row r="221"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204"/>
      <c r="Z221" s="9"/>
      <c r="AA221" s="9"/>
      <c r="AB221" s="9"/>
      <c r="AC221" s="9"/>
    </row>
    <row r="222"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204"/>
      <c r="Z222" s="9"/>
      <c r="AA222" s="9"/>
      <c r="AB222" s="9"/>
      <c r="AC222" s="9"/>
    </row>
    <row r="223"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204"/>
      <c r="Z223" s="9"/>
      <c r="AA223" s="9"/>
      <c r="AB223" s="9"/>
      <c r="AC223" s="9"/>
    </row>
    <row r="224"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204"/>
      <c r="Z224" s="9"/>
      <c r="AA224" s="9"/>
      <c r="AB224" s="9"/>
      <c r="AC224" s="9"/>
    </row>
    <row r="225"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204"/>
      <c r="Z225" s="9"/>
      <c r="AA225" s="9"/>
      <c r="AB225" s="9"/>
      <c r="AC225" s="9"/>
    </row>
    <row r="2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204"/>
      <c r="Z226" s="9"/>
      <c r="AA226" s="9"/>
      <c r="AB226" s="9"/>
      <c r="AC226" s="9"/>
    </row>
    <row r="227"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204"/>
      <c r="Z227" s="9"/>
      <c r="AA227" s="9"/>
      <c r="AB227" s="9"/>
      <c r="AC227" s="9"/>
    </row>
    <row r="228"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204"/>
      <c r="Z228" s="9"/>
      <c r="AA228" s="9"/>
      <c r="AB228" s="9"/>
      <c r="AC228" s="9"/>
    </row>
    <row r="229"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204"/>
      <c r="Z229" s="9"/>
      <c r="AA229" s="9"/>
      <c r="AB229" s="9"/>
      <c r="AC229" s="9"/>
    </row>
    <row r="230"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204"/>
      <c r="Z230" s="9"/>
      <c r="AA230" s="9"/>
      <c r="AB230" s="9"/>
      <c r="AC230" s="9"/>
    </row>
    <row r="231"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204"/>
      <c r="Z231" s="9"/>
      <c r="AA231" s="9"/>
      <c r="AB231" s="9"/>
      <c r="AC231" s="9"/>
    </row>
    <row r="232"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204"/>
      <c r="Z232" s="9"/>
      <c r="AA232" s="9"/>
      <c r="AB232" s="9"/>
      <c r="AC232" s="9"/>
    </row>
    <row r="233"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204"/>
      <c r="Z233" s="9"/>
      <c r="AA233" s="9"/>
      <c r="AB233" s="9"/>
      <c r="AC233" s="9"/>
    </row>
    <row r="234"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204"/>
      <c r="Z234" s="9"/>
      <c r="AA234" s="9"/>
      <c r="AB234" s="9"/>
      <c r="AC234" s="9"/>
    </row>
    <row r="235"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204"/>
      <c r="Z235" s="9"/>
      <c r="AA235" s="9"/>
      <c r="AB235" s="9"/>
      <c r="AC235" s="9"/>
    </row>
    <row r="23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204"/>
      <c r="Z236" s="9"/>
      <c r="AA236" s="9"/>
      <c r="AB236" s="9"/>
      <c r="AC236" s="9"/>
    </row>
    <row r="237"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204"/>
      <c r="Z237" s="9"/>
      <c r="AA237" s="9"/>
      <c r="AB237" s="9"/>
      <c r="AC237" s="9"/>
    </row>
    <row r="238"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204"/>
      <c r="Z238" s="9"/>
      <c r="AA238" s="9"/>
      <c r="AB238" s="9"/>
      <c r="AC238" s="9"/>
    </row>
    <row r="239"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204"/>
      <c r="Z239" s="9"/>
      <c r="AA239" s="9"/>
      <c r="AB239" s="9"/>
      <c r="AC239" s="9"/>
    </row>
    <row r="240"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204"/>
      <c r="Z240" s="9"/>
      <c r="AA240" s="9"/>
      <c r="AB240" s="9"/>
      <c r="AC240" s="9"/>
    </row>
    <row r="241"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204"/>
      <c r="Z241" s="9"/>
      <c r="AA241" s="9"/>
      <c r="AB241" s="9"/>
      <c r="AC241" s="9"/>
    </row>
    <row r="242"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204"/>
      <c r="Z242" s="9"/>
      <c r="AA242" s="9"/>
      <c r="AB242" s="9"/>
      <c r="AC242" s="9"/>
    </row>
    <row r="243"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204"/>
      <c r="Z243" s="9"/>
      <c r="AA243" s="9"/>
      <c r="AB243" s="9"/>
      <c r="AC243" s="9"/>
    </row>
    <row r="244"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204"/>
      <c r="Z244" s="9"/>
      <c r="AA244" s="9"/>
      <c r="AB244" s="9"/>
      <c r="AC244" s="9"/>
    </row>
    <row r="245"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204"/>
      <c r="Z245" s="9"/>
      <c r="AA245" s="9"/>
      <c r="AB245" s="9"/>
      <c r="AC245" s="9"/>
    </row>
    <row r="24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204"/>
      <c r="Z246" s="9"/>
      <c r="AA246" s="9"/>
      <c r="AB246" s="9"/>
      <c r="AC246" s="9"/>
    </row>
    <row r="247"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204"/>
      <c r="Z247" s="9"/>
      <c r="AA247" s="9"/>
      <c r="AB247" s="9"/>
      <c r="AC247" s="9"/>
    </row>
    <row r="248" ht="15.7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204"/>
      <c r="Z248" s="9"/>
      <c r="AA248" s="9"/>
      <c r="AB248" s="9"/>
      <c r="AC248" s="9"/>
    </row>
    <row r="249"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204"/>
      <c r="Z249" s="9"/>
      <c r="AA249" s="9"/>
      <c r="AB249" s="9"/>
      <c r="AC249" s="9"/>
    </row>
    <row r="250"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204"/>
      <c r="Z250" s="9"/>
      <c r="AA250" s="9"/>
      <c r="AB250" s="9"/>
      <c r="AC250" s="9"/>
    </row>
    <row r="251"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204"/>
      <c r="Z251" s="9"/>
      <c r="AA251" s="9"/>
      <c r="AB251" s="9"/>
      <c r="AC251" s="9"/>
    </row>
    <row r="252"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204"/>
      <c r="Z252" s="9"/>
      <c r="AA252" s="9"/>
      <c r="AB252" s="9"/>
      <c r="AC252" s="9"/>
    </row>
    <row r="253" ht="15.7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204"/>
      <c r="Z253" s="9"/>
      <c r="AA253" s="9"/>
      <c r="AB253" s="9"/>
      <c r="AC253" s="9"/>
    </row>
    <row r="254"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204"/>
      <c r="Z254" s="9"/>
      <c r="AA254" s="9"/>
      <c r="AB254" s="9"/>
      <c r="AC254" s="9"/>
    </row>
    <row r="255"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204"/>
      <c r="Z255" s="9"/>
      <c r="AA255" s="9"/>
      <c r="AB255" s="9"/>
      <c r="AC255" s="9"/>
    </row>
    <row r="25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204"/>
      <c r="Z256" s="9"/>
      <c r="AA256" s="9"/>
      <c r="AB256" s="9"/>
      <c r="AC256" s="9"/>
    </row>
    <row r="257"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204"/>
      <c r="Z257" s="9"/>
      <c r="AA257" s="9"/>
      <c r="AB257" s="9"/>
      <c r="AC257" s="9"/>
    </row>
    <row r="258"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204"/>
      <c r="Z258" s="9"/>
      <c r="AA258" s="9"/>
      <c r="AB258" s="9"/>
      <c r="AC258" s="9"/>
    </row>
    <row r="259"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204"/>
      <c r="Z259" s="9"/>
      <c r="AA259" s="9"/>
      <c r="AB259" s="9"/>
      <c r="AC259" s="9"/>
    </row>
    <row r="260"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204"/>
      <c r="Z260" s="9"/>
      <c r="AA260" s="9"/>
      <c r="AB260" s="9"/>
      <c r="AC260" s="9"/>
    </row>
    <row r="261"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204"/>
      <c r="Z261" s="9"/>
      <c r="AA261" s="9"/>
      <c r="AB261" s="9"/>
      <c r="AC261" s="9"/>
    </row>
    <row r="262"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204"/>
      <c r="Z262" s="9"/>
      <c r="AA262" s="9"/>
      <c r="AB262" s="9"/>
      <c r="AC262" s="9"/>
    </row>
    <row r="263"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204"/>
      <c r="Z263" s="9"/>
      <c r="AA263" s="9"/>
      <c r="AB263" s="9"/>
      <c r="AC263" s="9"/>
    </row>
    <row r="264"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204"/>
      <c r="Z264" s="9"/>
      <c r="AA264" s="9"/>
      <c r="AB264" s="9"/>
      <c r="AC264" s="9"/>
    </row>
    <row r="265"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204"/>
      <c r="Z265" s="9"/>
      <c r="AA265" s="9"/>
      <c r="AB265" s="9"/>
      <c r="AC265" s="9"/>
    </row>
    <row r="26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204"/>
      <c r="Z266" s="9"/>
      <c r="AA266" s="9"/>
      <c r="AB266" s="9"/>
      <c r="AC266" s="9"/>
    </row>
    <row r="267"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204"/>
      <c r="Z267" s="9"/>
      <c r="AA267" s="9"/>
      <c r="AB267" s="9"/>
      <c r="AC267" s="9"/>
    </row>
    <row r="268"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204"/>
      <c r="Z268" s="9"/>
      <c r="AA268" s="9"/>
      <c r="AB268" s="9"/>
      <c r="AC268" s="9"/>
    </row>
    <row r="269"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204"/>
      <c r="Z269" s="9"/>
      <c r="AA269" s="9"/>
      <c r="AB269" s="9"/>
      <c r="AC269" s="9"/>
    </row>
    <row r="270"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204"/>
      <c r="Z270" s="9"/>
      <c r="AA270" s="9"/>
      <c r="AB270" s="9"/>
      <c r="AC270" s="9"/>
    </row>
    <row r="271"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204"/>
      <c r="Z271" s="9"/>
      <c r="AA271" s="9"/>
      <c r="AB271" s="9"/>
      <c r="AC271" s="9"/>
    </row>
    <row r="272"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204"/>
      <c r="Z272" s="9"/>
      <c r="AA272" s="9"/>
      <c r="AB272" s="9"/>
      <c r="AC272" s="9"/>
    </row>
    <row r="273"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204"/>
      <c r="Z273" s="9"/>
      <c r="AA273" s="9"/>
      <c r="AB273" s="9"/>
      <c r="AC273" s="9"/>
    </row>
    <row r="274"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204"/>
      <c r="Z274" s="9"/>
      <c r="AA274" s="9"/>
      <c r="AB274" s="9"/>
      <c r="AC274" s="9"/>
    </row>
    <row r="275"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204"/>
      <c r="Z275" s="9"/>
      <c r="AA275" s="9"/>
      <c r="AB275" s="9"/>
      <c r="AC275" s="9"/>
    </row>
    <row r="27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204"/>
      <c r="Z276" s="9"/>
      <c r="AA276" s="9"/>
      <c r="AB276" s="9"/>
      <c r="AC276" s="9"/>
    </row>
    <row r="277"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204"/>
      <c r="Z277" s="9"/>
      <c r="AA277" s="9"/>
      <c r="AB277" s="9"/>
      <c r="AC277" s="9"/>
    </row>
    <row r="278"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204"/>
      <c r="Z278" s="9"/>
      <c r="AA278" s="9"/>
      <c r="AB278" s="9"/>
      <c r="AC278" s="9"/>
    </row>
    <row r="279"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204"/>
      <c r="Z279" s="9"/>
      <c r="AA279" s="9"/>
      <c r="AB279" s="9"/>
      <c r="AC279" s="9"/>
    </row>
    <row r="280"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204"/>
      <c r="Z280" s="9"/>
      <c r="AA280" s="9"/>
      <c r="AB280" s="9"/>
      <c r="AC280" s="9"/>
    </row>
    <row r="281"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204"/>
      <c r="Z281" s="9"/>
      <c r="AA281" s="9"/>
      <c r="AB281" s="9"/>
      <c r="AC281" s="9"/>
    </row>
    <row r="282"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204"/>
      <c r="Z282" s="9"/>
      <c r="AA282" s="9"/>
      <c r="AB282" s="9"/>
      <c r="AC282" s="9"/>
    </row>
    <row r="283"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204"/>
      <c r="Z283" s="9"/>
      <c r="AA283" s="9"/>
      <c r="AB283" s="9"/>
      <c r="AC283" s="9"/>
    </row>
    <row r="284" ht="15.7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204"/>
      <c r="Z284" s="9"/>
      <c r="AA284" s="9"/>
      <c r="AB284" s="9"/>
      <c r="AC284" s="9"/>
    </row>
    <row r="285" ht="15.7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204"/>
      <c r="Z285" s="9"/>
      <c r="AA285" s="9"/>
      <c r="AB285" s="9"/>
      <c r="AC285" s="9"/>
    </row>
    <row r="286" ht="15.7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204"/>
      <c r="Z286" s="9"/>
      <c r="AA286" s="9"/>
      <c r="AB286" s="9"/>
      <c r="AC286" s="9"/>
    </row>
    <row r="287" ht="15.7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204"/>
      <c r="Z287" s="9"/>
      <c r="AA287" s="9"/>
      <c r="AB287" s="9"/>
      <c r="AC287" s="9"/>
    </row>
    <row r="288" ht="15.7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204"/>
      <c r="Z288" s="9"/>
      <c r="AA288" s="9"/>
      <c r="AB288" s="9"/>
      <c r="AC288" s="9"/>
    </row>
    <row r="289" ht="15.7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204"/>
      <c r="Z289" s="9"/>
      <c r="AA289" s="9"/>
      <c r="AB289" s="9"/>
      <c r="AC289" s="9"/>
    </row>
    <row r="290" ht="15.7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204"/>
      <c r="Z290" s="9"/>
      <c r="AA290" s="9"/>
      <c r="AB290" s="9"/>
      <c r="AC290" s="9"/>
    </row>
    <row r="291" ht="15.7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204"/>
      <c r="Z291" s="9"/>
      <c r="AA291" s="9"/>
      <c r="AB291" s="9"/>
      <c r="AC291" s="9"/>
    </row>
    <row r="292" ht="15.7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204"/>
      <c r="Z292" s="9"/>
      <c r="AA292" s="9"/>
      <c r="AB292" s="9"/>
      <c r="AC292" s="9"/>
    </row>
    <row r="293" ht="15.7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204"/>
      <c r="Z293" s="9"/>
      <c r="AA293" s="9"/>
      <c r="AB293" s="9"/>
      <c r="AC293" s="9"/>
    </row>
    <row r="294" ht="15.7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204"/>
      <c r="Z294" s="9"/>
      <c r="AA294" s="9"/>
      <c r="AB294" s="9"/>
      <c r="AC294" s="9"/>
    </row>
    <row r="295" ht="15.7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204"/>
      <c r="Z295" s="9"/>
      <c r="AA295" s="9"/>
      <c r="AB295" s="9"/>
      <c r="AC295" s="9"/>
    </row>
    <row r="296" ht="15.7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204"/>
      <c r="Z296" s="9"/>
      <c r="AA296" s="9"/>
      <c r="AB296" s="9"/>
      <c r="AC296" s="9"/>
    </row>
    <row r="297" ht="15.7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204"/>
      <c r="Z297" s="9"/>
      <c r="AA297" s="9"/>
      <c r="AB297" s="9"/>
      <c r="AC297" s="9"/>
    </row>
    <row r="298" ht="15.7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204"/>
      <c r="Z298" s="9"/>
      <c r="AA298" s="9"/>
      <c r="AB298" s="9"/>
      <c r="AC298" s="9"/>
    </row>
    <row r="299" ht="15.7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204"/>
      <c r="Z299" s="9"/>
      <c r="AA299" s="9"/>
      <c r="AB299" s="9"/>
      <c r="AC299" s="9"/>
    </row>
    <row r="300" ht="15.7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204"/>
      <c r="Z300" s="9"/>
      <c r="AA300" s="9"/>
      <c r="AB300" s="9"/>
      <c r="AC300" s="9"/>
    </row>
    <row r="301" ht="15.7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204"/>
      <c r="Z301" s="9"/>
      <c r="AA301" s="9"/>
      <c r="AB301" s="9"/>
      <c r="AC301" s="9"/>
    </row>
    <row r="302" ht="15.7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204"/>
      <c r="Z302" s="9"/>
      <c r="AA302" s="9"/>
      <c r="AB302" s="9"/>
      <c r="AC302" s="9"/>
    </row>
    <row r="303" ht="15.7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204"/>
      <c r="Z303" s="9"/>
      <c r="AA303" s="9"/>
      <c r="AB303" s="9"/>
      <c r="AC303" s="9"/>
    </row>
    <row r="304" ht="15.7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204"/>
      <c r="Z304" s="9"/>
      <c r="AA304" s="9"/>
      <c r="AB304" s="9"/>
      <c r="AC304" s="9"/>
    </row>
    <row r="305" ht="15.7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204"/>
      <c r="Z305" s="9"/>
      <c r="AA305" s="9"/>
      <c r="AB305" s="9"/>
      <c r="AC305" s="9"/>
    </row>
    <row r="306" ht="15.7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204"/>
      <c r="Z306" s="9"/>
      <c r="AA306" s="9"/>
      <c r="AB306" s="9"/>
      <c r="AC306" s="9"/>
    </row>
    <row r="307" ht="15.7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204"/>
      <c r="Z307" s="9"/>
      <c r="AA307" s="9"/>
      <c r="AB307" s="9"/>
      <c r="AC307" s="9"/>
    </row>
    <row r="308" ht="15.7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204"/>
      <c r="Z308" s="9"/>
      <c r="AA308" s="9"/>
      <c r="AB308" s="9"/>
      <c r="AC308" s="9"/>
    </row>
    <row r="309" ht="15.7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204"/>
      <c r="Z309" s="9"/>
      <c r="AA309" s="9"/>
      <c r="AB309" s="9"/>
      <c r="AC309" s="9"/>
    </row>
    <row r="310" ht="15.7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204"/>
      <c r="Z310" s="9"/>
      <c r="AA310" s="9"/>
      <c r="AB310" s="9"/>
      <c r="AC310" s="9"/>
    </row>
    <row r="311" ht="15.7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204"/>
      <c r="Z311" s="9"/>
      <c r="AA311" s="9"/>
      <c r="AB311" s="9"/>
      <c r="AC311" s="9"/>
    </row>
    <row r="312" ht="15.7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204"/>
      <c r="Z312" s="9"/>
      <c r="AA312" s="9"/>
      <c r="AB312" s="9"/>
      <c r="AC312" s="9"/>
    </row>
    <row r="313" ht="15.7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204"/>
      <c r="Z313" s="9"/>
      <c r="AA313" s="9"/>
      <c r="AB313" s="9"/>
      <c r="AC313" s="9"/>
    </row>
    <row r="314" ht="15.7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204"/>
      <c r="Z314" s="9"/>
      <c r="AA314" s="9"/>
      <c r="AB314" s="9"/>
      <c r="AC314" s="9"/>
    </row>
    <row r="315" ht="15.7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204"/>
      <c r="Z315" s="9"/>
      <c r="AA315" s="9"/>
      <c r="AB315" s="9"/>
      <c r="AC315" s="9"/>
    </row>
    <row r="316" ht="15.7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204"/>
      <c r="Z316" s="9"/>
      <c r="AA316" s="9"/>
      <c r="AB316" s="9"/>
      <c r="AC316" s="9"/>
    </row>
    <row r="317" ht="15.7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204"/>
      <c r="Z317" s="9"/>
      <c r="AA317" s="9"/>
      <c r="AB317" s="9"/>
      <c r="AC317" s="9"/>
    </row>
    <row r="318" ht="15.7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204"/>
      <c r="Z318" s="9"/>
      <c r="AA318" s="9"/>
      <c r="AB318" s="9"/>
      <c r="AC318" s="9"/>
    </row>
    <row r="319" ht="15.7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204"/>
      <c r="Z319" s="9"/>
      <c r="AA319" s="9"/>
      <c r="AB319" s="9"/>
      <c r="AC319" s="9"/>
    </row>
    <row r="320" ht="15.7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204"/>
      <c r="Z320" s="9"/>
      <c r="AA320" s="9"/>
      <c r="AB320" s="9"/>
      <c r="AC320" s="9"/>
    </row>
    <row r="321" ht="15.7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204"/>
      <c r="Z321" s="9"/>
      <c r="AA321" s="9"/>
      <c r="AB321" s="9"/>
      <c r="AC321" s="9"/>
    </row>
    <row r="322" ht="15.7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204"/>
      <c r="Z322" s="9"/>
      <c r="AA322" s="9"/>
      <c r="AB322" s="9"/>
      <c r="AC322" s="9"/>
    </row>
    <row r="323" ht="15.7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204"/>
      <c r="Z323" s="9"/>
      <c r="AA323" s="9"/>
      <c r="AB323" s="9"/>
      <c r="AC323" s="9"/>
    </row>
    <row r="324" ht="15.7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204"/>
      <c r="Z324" s="9"/>
      <c r="AA324" s="9"/>
      <c r="AB324" s="9"/>
      <c r="AC324" s="9"/>
    </row>
    <row r="325" ht="15.7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204"/>
      <c r="Z325" s="9"/>
      <c r="AA325" s="9"/>
      <c r="AB325" s="9"/>
      <c r="AC325" s="9"/>
    </row>
    <row r="326" ht="15.7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204"/>
      <c r="Z326" s="9"/>
      <c r="AA326" s="9"/>
      <c r="AB326" s="9"/>
      <c r="AC326" s="9"/>
    </row>
    <row r="327" ht="15.7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204"/>
      <c r="Z327" s="9"/>
      <c r="AA327" s="9"/>
      <c r="AB327" s="9"/>
      <c r="AC327" s="9"/>
    </row>
    <row r="328" ht="15.7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204"/>
      <c r="Z328" s="9"/>
      <c r="AA328" s="9"/>
      <c r="AB328" s="9"/>
      <c r="AC328" s="9"/>
    </row>
    <row r="329" ht="15.7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204"/>
      <c r="Z329" s="9"/>
      <c r="AA329" s="9"/>
      <c r="AB329" s="9"/>
      <c r="AC329" s="9"/>
    </row>
    <row r="330" ht="15.7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204"/>
      <c r="Z330" s="9"/>
      <c r="AA330" s="9"/>
      <c r="AB330" s="9"/>
      <c r="AC330" s="9"/>
    </row>
    <row r="331" ht="15.7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204"/>
      <c r="Z331" s="9"/>
      <c r="AA331" s="9"/>
      <c r="AB331" s="9"/>
      <c r="AC331" s="9"/>
    </row>
    <row r="332" ht="15.7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204"/>
      <c r="Z332" s="9"/>
      <c r="AA332" s="9"/>
      <c r="AB332" s="9"/>
      <c r="AC332" s="9"/>
    </row>
    <row r="333" ht="15.7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204"/>
      <c r="Z333" s="9"/>
      <c r="AA333" s="9"/>
      <c r="AB333" s="9"/>
      <c r="AC333" s="9"/>
    </row>
    <row r="334" ht="15.7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204"/>
      <c r="Z334" s="9"/>
      <c r="AA334" s="9"/>
      <c r="AB334" s="9"/>
      <c r="AC334" s="9"/>
    </row>
    <row r="335" ht="15.7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204"/>
      <c r="Z335" s="9"/>
      <c r="AA335" s="9"/>
      <c r="AB335" s="9"/>
      <c r="AC335" s="9"/>
    </row>
    <row r="336" ht="15.7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204"/>
      <c r="Z336" s="9"/>
      <c r="AA336" s="9"/>
      <c r="AB336" s="9"/>
      <c r="AC336" s="9"/>
    </row>
    <row r="337" ht="15.7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204"/>
      <c r="Z337" s="9"/>
      <c r="AA337" s="9"/>
      <c r="AB337" s="9"/>
      <c r="AC337" s="9"/>
    </row>
    <row r="338" ht="15.7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204"/>
      <c r="Z338" s="9"/>
      <c r="AA338" s="9"/>
      <c r="AB338" s="9"/>
      <c r="AC338" s="9"/>
    </row>
    <row r="339" ht="15.7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204"/>
      <c r="Z339" s="9"/>
      <c r="AA339" s="9"/>
      <c r="AB339" s="9"/>
      <c r="AC339" s="9"/>
    </row>
    <row r="340" ht="15.7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204"/>
      <c r="Z340" s="9"/>
      <c r="AA340" s="9"/>
      <c r="AB340" s="9"/>
      <c r="AC340" s="9"/>
    </row>
    <row r="341" ht="15.7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204"/>
      <c r="Z341" s="9"/>
      <c r="AA341" s="9"/>
      <c r="AB341" s="9"/>
      <c r="AC341" s="9"/>
    </row>
    <row r="342" ht="15.7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204"/>
      <c r="Z342" s="9"/>
      <c r="AA342" s="9"/>
      <c r="AB342" s="9"/>
      <c r="AC342" s="9"/>
    </row>
    <row r="343" ht="15.7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204"/>
      <c r="Z343" s="9"/>
      <c r="AA343" s="9"/>
      <c r="AB343" s="9"/>
      <c r="AC343" s="9"/>
    </row>
    <row r="344" ht="15.7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204"/>
      <c r="Z344" s="9"/>
      <c r="AA344" s="9"/>
      <c r="AB344" s="9"/>
      <c r="AC344" s="9"/>
    </row>
    <row r="345" ht="15.7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204"/>
      <c r="Z345" s="9"/>
      <c r="AA345" s="9"/>
      <c r="AB345" s="9"/>
      <c r="AC345" s="9"/>
    </row>
    <row r="346" ht="15.7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204"/>
      <c r="Z346" s="9"/>
      <c r="AA346" s="9"/>
      <c r="AB346" s="9"/>
      <c r="AC346" s="9"/>
    </row>
    <row r="347" ht="15.7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204"/>
      <c r="Z347" s="9"/>
      <c r="AA347" s="9"/>
      <c r="AB347" s="9"/>
      <c r="AC347" s="9"/>
    </row>
    <row r="348" ht="15.7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204"/>
      <c r="Z348" s="9"/>
      <c r="AA348" s="9"/>
      <c r="AB348" s="9"/>
      <c r="AC348" s="9"/>
    </row>
    <row r="349" ht="15.7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204"/>
      <c r="Z349" s="9"/>
      <c r="AA349" s="9"/>
      <c r="AB349" s="9"/>
      <c r="AC349" s="9"/>
    </row>
    <row r="350" ht="15.7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204"/>
      <c r="Z350" s="9"/>
      <c r="AA350" s="9"/>
      <c r="AB350" s="9"/>
      <c r="AC350" s="9"/>
    </row>
    <row r="351" ht="15.7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204"/>
      <c r="Z351" s="9"/>
      <c r="AA351" s="9"/>
      <c r="AB351" s="9"/>
      <c r="AC351" s="9"/>
    </row>
    <row r="352" ht="15.7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204"/>
      <c r="Z352" s="9"/>
      <c r="AA352" s="9"/>
      <c r="AB352" s="9"/>
      <c r="AC352" s="9"/>
    </row>
    <row r="353" ht="15.7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204"/>
      <c r="Z353" s="9"/>
      <c r="AA353" s="9"/>
      <c r="AB353" s="9"/>
      <c r="AC353" s="9"/>
    </row>
    <row r="354" ht="15.7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204"/>
      <c r="Z354" s="9"/>
      <c r="AA354" s="9"/>
      <c r="AB354" s="9"/>
      <c r="AC354" s="9"/>
    </row>
    <row r="355" ht="15.7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204"/>
      <c r="Z355" s="9"/>
      <c r="AA355" s="9"/>
      <c r="AB355" s="9"/>
      <c r="AC355" s="9"/>
    </row>
    <row r="356" ht="15.7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204"/>
      <c r="Z356" s="9"/>
      <c r="AA356" s="9"/>
      <c r="AB356" s="9"/>
      <c r="AC356" s="9"/>
    </row>
    <row r="357" ht="15.7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204"/>
      <c r="Z357" s="9"/>
      <c r="AA357" s="9"/>
      <c r="AB357" s="9"/>
      <c r="AC357" s="9"/>
    </row>
    <row r="358" ht="15.7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204"/>
      <c r="Z358" s="9"/>
      <c r="AA358" s="9"/>
      <c r="AB358" s="9"/>
      <c r="AC358" s="9"/>
    </row>
    <row r="359" ht="15.7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204"/>
      <c r="Z359" s="9"/>
      <c r="AA359" s="9"/>
      <c r="AB359" s="9"/>
      <c r="AC359" s="9"/>
    </row>
    <row r="360" ht="15.7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204"/>
      <c r="Z360" s="9"/>
      <c r="AA360" s="9"/>
      <c r="AB360" s="9"/>
      <c r="AC360" s="9"/>
    </row>
    <row r="361" ht="15.7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204"/>
      <c r="Z361" s="9"/>
      <c r="AA361" s="9"/>
      <c r="AB361" s="9"/>
      <c r="AC361" s="9"/>
    </row>
    <row r="362" ht="15.7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204"/>
      <c r="Z362" s="9"/>
      <c r="AA362" s="9"/>
      <c r="AB362" s="9"/>
      <c r="AC362" s="9"/>
    </row>
    <row r="363" ht="15.7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204"/>
      <c r="Z363" s="9"/>
      <c r="AA363" s="9"/>
      <c r="AB363" s="9"/>
      <c r="AC363" s="9"/>
    </row>
    <row r="364" ht="15.7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204"/>
      <c r="Z364" s="9"/>
      <c r="AA364" s="9"/>
      <c r="AB364" s="9"/>
      <c r="AC364" s="9"/>
    </row>
    <row r="365" ht="15.7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204"/>
      <c r="Z365" s="9"/>
      <c r="AA365" s="9"/>
      <c r="AB365" s="9"/>
      <c r="AC365" s="9"/>
    </row>
    <row r="366" ht="15.7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204"/>
      <c r="Z366" s="9"/>
      <c r="AA366" s="9"/>
      <c r="AB366" s="9"/>
      <c r="AC366" s="9"/>
    </row>
    <row r="367" ht="15.7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204"/>
      <c r="Z367" s="9"/>
      <c r="AA367" s="9"/>
      <c r="AB367" s="9"/>
      <c r="AC367" s="9"/>
    </row>
    <row r="368" ht="15.7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204"/>
      <c r="Z368" s="9"/>
      <c r="AA368" s="9"/>
      <c r="AB368" s="9"/>
      <c r="AC368" s="9"/>
    </row>
    <row r="369" ht="15.7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204"/>
      <c r="Z369" s="9"/>
      <c r="AA369" s="9"/>
      <c r="AB369" s="9"/>
      <c r="AC369" s="9"/>
    </row>
    <row r="370" ht="15.7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204"/>
      <c r="Z370" s="9"/>
      <c r="AA370" s="9"/>
      <c r="AB370" s="9"/>
      <c r="AC370" s="9"/>
    </row>
    <row r="371" ht="15.7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204"/>
      <c r="Z371" s="9"/>
      <c r="AA371" s="9"/>
      <c r="AB371" s="9"/>
      <c r="AC371" s="9"/>
    </row>
    <row r="372" ht="15.7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204"/>
      <c r="Z372" s="9"/>
      <c r="AA372" s="9"/>
      <c r="AB372" s="9"/>
      <c r="AC372" s="9"/>
    </row>
    <row r="373" ht="15.7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204"/>
      <c r="Z373" s="9"/>
      <c r="AA373" s="9"/>
      <c r="AB373" s="9"/>
      <c r="AC373" s="9"/>
    </row>
    <row r="374" ht="15.7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204"/>
      <c r="Z374" s="9"/>
      <c r="AA374" s="9"/>
      <c r="AB374" s="9"/>
      <c r="AC374" s="9"/>
    </row>
    <row r="375" ht="15.7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204"/>
      <c r="Z375" s="9"/>
      <c r="AA375" s="9"/>
      <c r="AB375" s="9"/>
      <c r="AC375" s="9"/>
    </row>
    <row r="376" ht="15.7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204"/>
      <c r="Z376" s="9"/>
      <c r="AA376" s="9"/>
      <c r="AB376" s="9"/>
      <c r="AC376" s="9"/>
    </row>
    <row r="377" ht="15.7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204"/>
      <c r="Z377" s="9"/>
      <c r="AA377" s="9"/>
      <c r="AB377" s="9"/>
      <c r="AC377" s="9"/>
    </row>
    <row r="378" ht="15.7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204"/>
      <c r="Z378" s="9"/>
      <c r="AA378" s="9"/>
      <c r="AB378" s="9"/>
      <c r="AC378" s="9"/>
    </row>
    <row r="379" ht="15.7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204"/>
      <c r="Z379" s="9"/>
      <c r="AA379" s="9"/>
      <c r="AB379" s="9"/>
      <c r="AC379" s="9"/>
    </row>
    <row r="380" ht="15.7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204"/>
      <c r="Z380" s="9"/>
      <c r="AA380" s="9"/>
      <c r="AB380" s="9"/>
      <c r="AC380" s="9"/>
    </row>
    <row r="381" ht="15.7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204"/>
      <c r="Z381" s="9"/>
      <c r="AA381" s="9"/>
      <c r="AB381" s="9"/>
      <c r="AC381" s="9"/>
    </row>
    <row r="382" ht="15.7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204"/>
      <c r="Z382" s="9"/>
      <c r="AA382" s="9"/>
      <c r="AB382" s="9"/>
      <c r="AC382" s="9"/>
    </row>
    <row r="383" ht="15.7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204"/>
      <c r="Z383" s="9"/>
      <c r="AA383" s="9"/>
      <c r="AB383" s="9"/>
      <c r="AC383" s="9"/>
    </row>
    <row r="384" ht="15.7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204"/>
      <c r="Z384" s="9"/>
      <c r="AA384" s="9"/>
      <c r="AB384" s="9"/>
      <c r="AC384" s="9"/>
    </row>
    <row r="385" ht="15.7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204"/>
      <c r="Z385" s="9"/>
      <c r="AA385" s="9"/>
      <c r="AB385" s="9"/>
      <c r="AC385" s="9"/>
    </row>
    <row r="386" ht="15.7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204"/>
      <c r="Z386" s="9"/>
      <c r="AA386" s="9"/>
      <c r="AB386" s="9"/>
      <c r="AC386" s="9"/>
    </row>
    <row r="387" ht="15.7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204"/>
      <c r="Z387" s="9"/>
      <c r="AA387" s="9"/>
      <c r="AB387" s="9"/>
      <c r="AC387" s="9"/>
    </row>
    <row r="388" ht="15.7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204"/>
      <c r="Z388" s="9"/>
      <c r="AA388" s="9"/>
      <c r="AB388" s="9"/>
      <c r="AC388" s="9"/>
    </row>
    <row r="389" ht="15.7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204"/>
      <c r="Z389" s="9"/>
      <c r="AA389" s="9"/>
      <c r="AB389" s="9"/>
      <c r="AC389" s="9"/>
    </row>
    <row r="390" ht="15.7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204"/>
      <c r="Z390" s="9"/>
      <c r="AA390" s="9"/>
      <c r="AB390" s="9"/>
      <c r="AC390" s="9"/>
    </row>
    <row r="391" ht="15.7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204"/>
      <c r="Z391" s="9"/>
      <c r="AA391" s="9"/>
      <c r="AB391" s="9"/>
      <c r="AC391" s="9"/>
    </row>
    <row r="392" ht="15.7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204"/>
      <c r="Z392" s="9"/>
      <c r="AA392" s="9"/>
      <c r="AB392" s="9"/>
      <c r="AC392" s="9"/>
    </row>
    <row r="393" ht="15.7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204"/>
      <c r="Z393" s="9"/>
      <c r="AA393" s="9"/>
      <c r="AB393" s="9"/>
      <c r="AC393" s="9"/>
    </row>
    <row r="394" ht="15.7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204"/>
      <c r="Z394" s="9"/>
      <c r="AA394" s="9"/>
      <c r="AB394" s="9"/>
      <c r="AC394" s="9"/>
    </row>
    <row r="395" ht="15.7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204"/>
      <c r="Z395" s="9"/>
      <c r="AA395" s="9"/>
      <c r="AB395" s="9"/>
      <c r="AC395" s="9"/>
    </row>
    <row r="396" ht="15.7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204"/>
      <c r="Z396" s="9"/>
      <c r="AA396" s="9"/>
      <c r="AB396" s="9"/>
      <c r="AC396" s="9"/>
    </row>
    <row r="397" ht="15.7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204"/>
      <c r="Z397" s="9"/>
      <c r="AA397" s="9"/>
      <c r="AB397" s="9"/>
      <c r="AC397" s="9"/>
    </row>
    <row r="398" ht="15.7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204"/>
      <c r="Z398" s="9"/>
      <c r="AA398" s="9"/>
      <c r="AB398" s="9"/>
      <c r="AC398" s="9"/>
    </row>
    <row r="399" ht="15.7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204"/>
      <c r="Z399" s="9"/>
      <c r="AA399" s="9"/>
      <c r="AB399" s="9"/>
      <c r="AC399" s="9"/>
    </row>
    <row r="400" ht="15.7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204"/>
      <c r="Z400" s="9"/>
      <c r="AA400" s="9"/>
      <c r="AB400" s="9"/>
      <c r="AC400" s="9"/>
    </row>
    <row r="401" ht="15.7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204"/>
      <c r="Z401" s="9"/>
      <c r="AA401" s="9"/>
      <c r="AB401" s="9"/>
      <c r="AC401" s="9"/>
    </row>
    <row r="402" ht="15.7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204"/>
      <c r="Z402" s="9"/>
      <c r="AA402" s="9"/>
      <c r="AB402" s="9"/>
      <c r="AC402" s="9"/>
    </row>
    <row r="403" ht="15.7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204"/>
      <c r="Z403" s="9"/>
      <c r="AA403" s="9"/>
      <c r="AB403" s="9"/>
      <c r="AC403" s="9"/>
    </row>
    <row r="404" ht="15.7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204"/>
      <c r="Z404" s="9"/>
      <c r="AA404" s="9"/>
      <c r="AB404" s="9"/>
      <c r="AC404" s="9"/>
    </row>
    <row r="405" ht="15.7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204"/>
      <c r="Z405" s="9"/>
      <c r="AA405" s="9"/>
      <c r="AB405" s="9"/>
      <c r="AC405" s="9"/>
    </row>
    <row r="406" ht="15.7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204"/>
      <c r="Z406" s="9"/>
      <c r="AA406" s="9"/>
      <c r="AB406" s="9"/>
      <c r="AC406" s="9"/>
    </row>
    <row r="407" ht="15.7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204"/>
      <c r="Z407" s="9"/>
      <c r="AA407" s="9"/>
      <c r="AB407" s="9"/>
      <c r="AC407" s="9"/>
    </row>
    <row r="408" ht="15.7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204"/>
      <c r="Z408" s="9"/>
      <c r="AA408" s="9"/>
      <c r="AB408" s="9"/>
      <c r="AC408" s="9"/>
    </row>
    <row r="409" ht="15.7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204"/>
      <c r="Z409" s="9"/>
      <c r="AA409" s="9"/>
      <c r="AB409" s="9"/>
      <c r="AC409" s="9"/>
    </row>
    <row r="410" ht="15.7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204"/>
      <c r="Z410" s="9"/>
      <c r="AA410" s="9"/>
      <c r="AB410" s="9"/>
      <c r="AC410" s="9"/>
    </row>
    <row r="411" ht="15.7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204"/>
      <c r="Z411" s="9"/>
      <c r="AA411" s="9"/>
      <c r="AB411" s="9"/>
      <c r="AC411" s="9"/>
    </row>
    <row r="412" ht="15.7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204"/>
      <c r="Z412" s="9"/>
      <c r="AA412" s="9"/>
      <c r="AB412" s="9"/>
      <c r="AC412" s="9"/>
    </row>
    <row r="413" ht="15.7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204"/>
      <c r="Z413" s="9"/>
      <c r="AA413" s="9"/>
      <c r="AB413" s="9"/>
      <c r="AC413" s="9"/>
    </row>
    <row r="414" ht="15.7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204"/>
      <c r="Z414" s="9"/>
      <c r="AA414" s="9"/>
      <c r="AB414" s="9"/>
      <c r="AC414" s="9"/>
    </row>
    <row r="415" ht="15.7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204"/>
      <c r="Z415" s="9"/>
      <c r="AA415" s="9"/>
      <c r="AB415" s="9"/>
      <c r="AC415" s="9"/>
    </row>
    <row r="416" ht="15.7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204"/>
      <c r="Z416" s="9"/>
      <c r="AA416" s="9"/>
      <c r="AB416" s="9"/>
      <c r="AC416" s="9"/>
    </row>
    <row r="417" ht="15.7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204"/>
      <c r="Z417" s="9"/>
      <c r="AA417" s="9"/>
      <c r="AB417" s="9"/>
      <c r="AC417" s="9"/>
    </row>
    <row r="418" ht="15.7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204"/>
      <c r="Z418" s="9"/>
      <c r="AA418" s="9"/>
      <c r="AB418" s="9"/>
      <c r="AC418" s="9"/>
    </row>
    <row r="419" ht="15.7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204"/>
      <c r="Z419" s="9"/>
      <c r="AA419" s="9"/>
      <c r="AB419" s="9"/>
      <c r="AC419" s="9"/>
    </row>
    <row r="420" ht="15.7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204"/>
      <c r="Z420" s="9"/>
      <c r="AA420" s="9"/>
      <c r="AB420" s="9"/>
      <c r="AC420" s="9"/>
    </row>
    <row r="421" ht="15.7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204"/>
      <c r="Z421" s="9"/>
      <c r="AA421" s="9"/>
      <c r="AB421" s="9"/>
      <c r="AC421" s="9"/>
    </row>
    <row r="422" ht="15.7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204"/>
      <c r="Z422" s="9"/>
      <c r="AA422" s="9"/>
      <c r="AB422" s="9"/>
      <c r="AC422" s="9"/>
    </row>
    <row r="423" ht="15.7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204"/>
      <c r="Z423" s="9"/>
      <c r="AA423" s="9"/>
      <c r="AB423" s="9"/>
      <c r="AC423" s="9"/>
    </row>
    <row r="424" ht="15.7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204"/>
      <c r="Z424" s="9"/>
      <c r="AA424" s="9"/>
      <c r="AB424" s="9"/>
      <c r="AC424" s="9"/>
    </row>
    <row r="425" ht="15.7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204"/>
      <c r="Z425" s="9"/>
      <c r="AA425" s="9"/>
      <c r="AB425" s="9"/>
      <c r="AC425" s="9"/>
    </row>
    <row r="426" ht="15.7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204"/>
      <c r="Z426" s="9"/>
      <c r="AA426" s="9"/>
      <c r="AB426" s="9"/>
      <c r="AC426" s="9"/>
    </row>
    <row r="427" ht="15.7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204"/>
      <c r="Z427" s="9"/>
      <c r="AA427" s="9"/>
      <c r="AB427" s="9"/>
      <c r="AC427" s="9"/>
    </row>
    <row r="428" ht="15.7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204"/>
      <c r="Z428" s="9"/>
      <c r="AA428" s="9"/>
      <c r="AB428" s="9"/>
      <c r="AC428" s="9"/>
    </row>
    <row r="429" ht="15.7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204"/>
      <c r="Z429" s="9"/>
      <c r="AA429" s="9"/>
      <c r="AB429" s="9"/>
      <c r="AC429" s="9"/>
    </row>
    <row r="430" ht="15.7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204"/>
      <c r="Z430" s="9"/>
      <c r="AA430" s="9"/>
      <c r="AB430" s="9"/>
      <c r="AC430" s="9"/>
    </row>
    <row r="431" ht="15.7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204"/>
      <c r="Z431" s="9"/>
      <c r="AA431" s="9"/>
      <c r="AB431" s="9"/>
      <c r="AC431" s="9"/>
    </row>
    <row r="432" ht="15.7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204"/>
      <c r="Z432" s="9"/>
      <c r="AA432" s="9"/>
      <c r="AB432" s="9"/>
      <c r="AC432" s="9"/>
    </row>
    <row r="433" ht="15.7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204"/>
      <c r="Z433" s="9"/>
      <c r="AA433" s="9"/>
      <c r="AB433" s="9"/>
      <c r="AC433" s="9"/>
    </row>
    <row r="434" ht="15.7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204"/>
      <c r="Z434" s="9"/>
      <c r="AA434" s="9"/>
      <c r="AB434" s="9"/>
      <c r="AC434" s="9"/>
    </row>
    <row r="435" ht="15.7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204"/>
      <c r="Z435" s="9"/>
      <c r="AA435" s="9"/>
      <c r="AB435" s="9"/>
      <c r="AC435" s="9"/>
    </row>
    <row r="436" ht="15.7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204"/>
      <c r="Z436" s="9"/>
      <c r="AA436" s="9"/>
      <c r="AB436" s="9"/>
      <c r="AC436" s="9"/>
    </row>
    <row r="437" ht="15.7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204"/>
      <c r="Z437" s="9"/>
      <c r="AA437" s="9"/>
      <c r="AB437" s="9"/>
      <c r="AC437" s="9"/>
    </row>
    <row r="438" ht="15.7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204"/>
      <c r="Z438" s="9"/>
      <c r="AA438" s="9"/>
      <c r="AB438" s="9"/>
      <c r="AC438" s="9"/>
    </row>
    <row r="439" ht="15.7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204"/>
      <c r="Z439" s="9"/>
      <c r="AA439" s="9"/>
      <c r="AB439" s="9"/>
      <c r="AC439" s="9"/>
    </row>
    <row r="440" ht="15.7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204"/>
      <c r="Z440" s="9"/>
      <c r="AA440" s="9"/>
      <c r="AB440" s="9"/>
      <c r="AC440" s="9"/>
    </row>
    <row r="441" ht="15.7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204"/>
      <c r="Z441" s="9"/>
      <c r="AA441" s="9"/>
      <c r="AB441" s="9"/>
      <c r="AC441" s="9"/>
    </row>
    <row r="442" ht="15.7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204"/>
      <c r="Z442" s="9"/>
      <c r="AA442" s="9"/>
      <c r="AB442" s="9"/>
      <c r="AC442" s="9"/>
    </row>
    <row r="443" ht="15.7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204"/>
      <c r="Z443" s="9"/>
      <c r="AA443" s="9"/>
      <c r="AB443" s="9"/>
      <c r="AC443" s="9"/>
    </row>
    <row r="444" ht="15.7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204"/>
      <c r="Z444" s="9"/>
      <c r="AA444" s="9"/>
      <c r="AB444" s="9"/>
      <c r="AC444" s="9"/>
    </row>
    <row r="445" ht="15.7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204"/>
      <c r="Z445" s="9"/>
      <c r="AA445" s="9"/>
      <c r="AB445" s="9"/>
      <c r="AC445" s="9"/>
    </row>
    <row r="446" ht="15.7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204"/>
      <c r="Z446" s="9"/>
      <c r="AA446" s="9"/>
      <c r="AB446" s="9"/>
      <c r="AC446" s="9"/>
    </row>
    <row r="447" ht="15.7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204"/>
      <c r="Z447" s="9"/>
      <c r="AA447" s="9"/>
      <c r="AB447" s="9"/>
      <c r="AC447" s="9"/>
    </row>
    <row r="448" ht="15.7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204"/>
      <c r="Z448" s="9"/>
      <c r="AA448" s="9"/>
      <c r="AB448" s="9"/>
      <c r="AC448" s="9"/>
    </row>
    <row r="449" ht="15.7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204"/>
      <c r="Z449" s="9"/>
      <c r="AA449" s="9"/>
      <c r="AB449" s="9"/>
      <c r="AC449" s="9"/>
    </row>
    <row r="450" ht="15.7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204"/>
      <c r="Z450" s="9"/>
      <c r="AA450" s="9"/>
      <c r="AB450" s="9"/>
      <c r="AC450" s="9"/>
    </row>
    <row r="451" ht="15.7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204"/>
      <c r="Z451" s="9"/>
      <c r="AA451" s="9"/>
      <c r="AB451" s="9"/>
      <c r="AC451" s="9"/>
    </row>
    <row r="452" ht="15.7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204"/>
      <c r="Z452" s="9"/>
      <c r="AA452" s="9"/>
      <c r="AB452" s="9"/>
      <c r="AC452" s="9"/>
    </row>
    <row r="453" ht="15.7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204"/>
      <c r="Z453" s="9"/>
      <c r="AA453" s="9"/>
      <c r="AB453" s="9"/>
      <c r="AC453" s="9"/>
    </row>
    <row r="454" ht="15.7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204"/>
      <c r="Z454" s="9"/>
      <c r="AA454" s="9"/>
      <c r="AB454" s="9"/>
      <c r="AC454" s="9"/>
    </row>
    <row r="455" ht="15.7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204"/>
      <c r="Z455" s="9"/>
      <c r="AA455" s="9"/>
      <c r="AB455" s="9"/>
      <c r="AC455" s="9"/>
    </row>
    <row r="456" ht="15.7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204"/>
      <c r="Z456" s="9"/>
      <c r="AA456" s="9"/>
      <c r="AB456" s="9"/>
      <c r="AC456" s="9"/>
    </row>
    <row r="457" ht="15.7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204"/>
      <c r="Z457" s="9"/>
      <c r="AA457" s="9"/>
      <c r="AB457" s="9"/>
      <c r="AC457" s="9"/>
    </row>
    <row r="458" ht="15.7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204"/>
      <c r="Z458" s="9"/>
      <c r="AA458" s="9"/>
      <c r="AB458" s="9"/>
      <c r="AC458" s="9"/>
    </row>
    <row r="459" ht="15.7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204"/>
      <c r="Z459" s="9"/>
      <c r="AA459" s="9"/>
      <c r="AB459" s="9"/>
      <c r="AC459" s="9"/>
    </row>
    <row r="460" ht="15.7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204"/>
      <c r="Z460" s="9"/>
      <c r="AA460" s="9"/>
      <c r="AB460" s="9"/>
      <c r="AC460" s="9"/>
    </row>
    <row r="461" ht="15.7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204"/>
      <c r="Z461" s="9"/>
      <c r="AA461" s="9"/>
      <c r="AB461" s="9"/>
      <c r="AC461" s="9"/>
    </row>
    <row r="462" ht="15.7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204"/>
      <c r="Z462" s="9"/>
      <c r="AA462" s="9"/>
      <c r="AB462" s="9"/>
      <c r="AC462" s="9"/>
    </row>
    <row r="463" ht="15.7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204"/>
      <c r="Z463" s="9"/>
      <c r="AA463" s="9"/>
      <c r="AB463" s="9"/>
      <c r="AC463" s="9"/>
    </row>
    <row r="464" ht="15.7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204"/>
      <c r="Z464" s="9"/>
      <c r="AA464" s="9"/>
      <c r="AB464" s="9"/>
      <c r="AC464" s="9"/>
    </row>
    <row r="465" ht="15.7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204"/>
      <c r="Z465" s="9"/>
      <c r="AA465" s="9"/>
      <c r="AB465" s="9"/>
      <c r="AC465" s="9"/>
    </row>
    <row r="466" ht="15.7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204"/>
      <c r="Z466" s="9"/>
      <c r="AA466" s="9"/>
      <c r="AB466" s="9"/>
      <c r="AC466" s="9"/>
    </row>
    <row r="467" ht="15.7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204"/>
      <c r="Z467" s="9"/>
      <c r="AA467" s="9"/>
      <c r="AB467" s="9"/>
      <c r="AC467" s="9"/>
    </row>
    <row r="468" ht="15.7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204"/>
      <c r="Z468" s="9"/>
      <c r="AA468" s="9"/>
      <c r="AB468" s="9"/>
      <c r="AC468" s="9"/>
    </row>
    <row r="469" ht="15.7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204"/>
      <c r="Z469" s="9"/>
      <c r="AA469" s="9"/>
      <c r="AB469" s="9"/>
      <c r="AC469" s="9"/>
    </row>
    <row r="470" ht="15.7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204"/>
      <c r="Z470" s="9"/>
      <c r="AA470" s="9"/>
      <c r="AB470" s="9"/>
      <c r="AC470" s="9"/>
    </row>
    <row r="471" ht="15.7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204"/>
      <c r="Z471" s="9"/>
      <c r="AA471" s="9"/>
      <c r="AB471" s="9"/>
      <c r="AC471" s="9"/>
    </row>
    <row r="472" ht="15.7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204"/>
      <c r="Z472" s="9"/>
      <c r="AA472" s="9"/>
      <c r="AB472" s="9"/>
      <c r="AC472" s="9"/>
    </row>
    <row r="473" ht="15.7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204"/>
      <c r="Z473" s="9"/>
      <c r="AA473" s="9"/>
      <c r="AB473" s="9"/>
      <c r="AC473" s="9"/>
    </row>
    <row r="474" ht="15.7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204"/>
      <c r="Z474" s="9"/>
      <c r="AA474" s="9"/>
      <c r="AB474" s="9"/>
      <c r="AC474" s="9"/>
    </row>
    <row r="475" ht="15.7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204"/>
      <c r="Z475" s="9"/>
      <c r="AA475" s="9"/>
      <c r="AB475" s="9"/>
      <c r="AC475" s="9"/>
    </row>
    <row r="476" ht="15.7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204"/>
      <c r="Z476" s="9"/>
      <c r="AA476" s="9"/>
      <c r="AB476" s="9"/>
      <c r="AC476" s="9"/>
    </row>
    <row r="477" ht="15.7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204"/>
      <c r="Z477" s="9"/>
      <c r="AA477" s="9"/>
      <c r="AB477" s="9"/>
      <c r="AC477" s="9"/>
    </row>
    <row r="478" ht="15.7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204"/>
      <c r="Z478" s="9"/>
      <c r="AA478" s="9"/>
      <c r="AB478" s="9"/>
      <c r="AC478" s="9"/>
    </row>
    <row r="479"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204"/>
      <c r="Z479" s="9"/>
      <c r="AA479" s="9"/>
      <c r="AB479" s="9"/>
      <c r="AC479" s="9"/>
    </row>
    <row r="480"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204"/>
      <c r="Z480" s="9"/>
      <c r="AA480" s="9"/>
      <c r="AB480" s="9"/>
      <c r="AC480" s="9"/>
    </row>
    <row r="481"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204"/>
      <c r="Z481" s="9"/>
      <c r="AA481" s="9"/>
      <c r="AB481" s="9"/>
      <c r="AC481" s="9"/>
    </row>
    <row r="482"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204"/>
      <c r="Z482" s="9"/>
      <c r="AA482" s="9"/>
      <c r="AB482" s="9"/>
      <c r="AC482" s="9"/>
    </row>
    <row r="483"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204"/>
      <c r="Z483" s="9"/>
      <c r="AA483" s="9"/>
      <c r="AB483" s="9"/>
      <c r="AC483" s="9"/>
    </row>
    <row r="484"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204"/>
      <c r="Z484" s="9"/>
      <c r="AA484" s="9"/>
      <c r="AB484" s="9"/>
      <c r="AC484" s="9"/>
    </row>
    <row r="485"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204"/>
      <c r="Z485" s="9"/>
      <c r="AA485" s="9"/>
      <c r="AB485" s="9"/>
      <c r="AC485" s="9"/>
    </row>
    <row r="486"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204"/>
      <c r="Z486" s="9"/>
      <c r="AA486" s="9"/>
      <c r="AB486" s="9"/>
      <c r="AC486" s="9"/>
    </row>
    <row r="487"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204"/>
      <c r="Z487" s="9"/>
      <c r="AA487" s="9"/>
      <c r="AB487" s="9"/>
      <c r="AC487" s="9"/>
    </row>
    <row r="488"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204"/>
      <c r="Z488" s="9"/>
      <c r="AA488" s="9"/>
      <c r="AB488" s="9"/>
      <c r="AC488" s="9"/>
    </row>
    <row r="489"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204"/>
      <c r="Z489" s="9"/>
      <c r="AA489" s="9"/>
      <c r="AB489" s="9"/>
      <c r="AC489" s="9"/>
    </row>
    <row r="490"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204"/>
      <c r="Z490" s="9"/>
      <c r="AA490" s="9"/>
      <c r="AB490" s="9"/>
      <c r="AC490" s="9"/>
    </row>
    <row r="491"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204"/>
      <c r="Z491" s="9"/>
      <c r="AA491" s="9"/>
      <c r="AB491" s="9"/>
      <c r="AC491" s="9"/>
    </row>
    <row r="492"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204"/>
      <c r="Z492" s="9"/>
      <c r="AA492" s="9"/>
      <c r="AB492" s="9"/>
      <c r="AC492" s="9"/>
    </row>
    <row r="493"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204"/>
      <c r="Z493" s="9"/>
      <c r="AA493" s="9"/>
      <c r="AB493" s="9"/>
      <c r="AC493" s="9"/>
    </row>
    <row r="494"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204"/>
      <c r="Z494" s="9"/>
      <c r="AA494" s="9"/>
      <c r="AB494" s="9"/>
      <c r="AC494" s="9"/>
    </row>
    <row r="495"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204"/>
      <c r="Z495" s="9"/>
      <c r="AA495" s="9"/>
      <c r="AB495" s="9"/>
      <c r="AC495" s="9"/>
    </row>
    <row r="496"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204"/>
      <c r="Z496" s="9"/>
      <c r="AA496" s="9"/>
      <c r="AB496" s="9"/>
      <c r="AC496" s="9"/>
    </row>
    <row r="497"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204"/>
      <c r="Z497" s="9"/>
      <c r="AA497" s="9"/>
      <c r="AB497" s="9"/>
      <c r="AC497" s="9"/>
    </row>
    <row r="498"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204"/>
      <c r="Z498" s="9"/>
      <c r="AA498" s="9"/>
      <c r="AB498" s="9"/>
      <c r="AC498" s="9"/>
    </row>
    <row r="499"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204"/>
      <c r="Z499" s="9"/>
      <c r="AA499" s="9"/>
      <c r="AB499" s="9"/>
      <c r="AC499" s="9"/>
    </row>
    <row r="500"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204"/>
      <c r="Z500" s="9"/>
      <c r="AA500" s="9"/>
      <c r="AB500" s="9"/>
      <c r="AC500" s="9"/>
    </row>
    <row r="501"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204"/>
      <c r="Z501" s="9"/>
      <c r="AA501" s="9"/>
      <c r="AB501" s="9"/>
      <c r="AC501" s="9"/>
    </row>
    <row r="502"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204"/>
      <c r="Z502" s="9"/>
      <c r="AA502" s="9"/>
      <c r="AB502" s="9"/>
      <c r="AC502" s="9"/>
    </row>
    <row r="503"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204"/>
      <c r="Z503" s="9"/>
      <c r="AA503" s="9"/>
      <c r="AB503" s="9"/>
      <c r="AC503" s="9"/>
    </row>
    <row r="504"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204"/>
      <c r="Z504" s="9"/>
      <c r="AA504" s="9"/>
      <c r="AB504" s="9"/>
      <c r="AC504" s="9"/>
    </row>
    <row r="505"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204"/>
      <c r="Z505" s="9"/>
      <c r="AA505" s="9"/>
      <c r="AB505" s="9"/>
      <c r="AC505" s="9"/>
    </row>
    <row r="506"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204"/>
      <c r="Z506" s="9"/>
      <c r="AA506" s="9"/>
      <c r="AB506" s="9"/>
      <c r="AC506" s="9"/>
    </row>
    <row r="507"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204"/>
      <c r="Z507" s="9"/>
      <c r="AA507" s="9"/>
      <c r="AB507" s="9"/>
      <c r="AC507" s="9"/>
    </row>
    <row r="508"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204"/>
      <c r="Z508" s="9"/>
      <c r="AA508" s="9"/>
      <c r="AB508" s="9"/>
      <c r="AC508" s="9"/>
    </row>
    <row r="509"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204"/>
      <c r="Z509" s="9"/>
      <c r="AA509" s="9"/>
      <c r="AB509" s="9"/>
      <c r="AC509" s="9"/>
    </row>
    <row r="510"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204"/>
      <c r="Z510" s="9"/>
      <c r="AA510" s="9"/>
      <c r="AB510" s="9"/>
      <c r="AC510" s="9"/>
    </row>
    <row r="511"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204"/>
      <c r="Z511" s="9"/>
      <c r="AA511" s="9"/>
      <c r="AB511" s="9"/>
      <c r="AC511" s="9"/>
    </row>
    <row r="512"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204"/>
      <c r="Z512" s="9"/>
      <c r="AA512" s="9"/>
      <c r="AB512" s="9"/>
      <c r="AC512" s="9"/>
    </row>
    <row r="513"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204"/>
      <c r="Z513" s="9"/>
      <c r="AA513" s="9"/>
      <c r="AB513" s="9"/>
      <c r="AC513" s="9"/>
    </row>
    <row r="514"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204"/>
      <c r="Z514" s="9"/>
      <c r="AA514" s="9"/>
      <c r="AB514" s="9"/>
      <c r="AC514" s="9"/>
    </row>
    <row r="515"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204"/>
      <c r="Z515" s="9"/>
      <c r="AA515" s="9"/>
      <c r="AB515" s="9"/>
      <c r="AC515" s="9"/>
    </row>
    <row r="516"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204"/>
      <c r="Z516" s="9"/>
      <c r="AA516" s="9"/>
      <c r="AB516" s="9"/>
      <c r="AC516" s="9"/>
    </row>
    <row r="517"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204"/>
      <c r="Z517" s="9"/>
      <c r="AA517" s="9"/>
      <c r="AB517" s="9"/>
      <c r="AC517" s="9"/>
    </row>
    <row r="518"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204"/>
      <c r="Z518" s="9"/>
      <c r="AA518" s="9"/>
      <c r="AB518" s="9"/>
      <c r="AC518" s="9"/>
    </row>
    <row r="519"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204"/>
      <c r="Z519" s="9"/>
      <c r="AA519" s="9"/>
      <c r="AB519" s="9"/>
      <c r="AC519" s="9"/>
    </row>
    <row r="520"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204"/>
      <c r="Z520" s="9"/>
      <c r="AA520" s="9"/>
      <c r="AB520" s="9"/>
      <c r="AC520" s="9"/>
    </row>
    <row r="521"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204"/>
      <c r="Z521" s="9"/>
      <c r="AA521" s="9"/>
      <c r="AB521" s="9"/>
      <c r="AC521" s="9"/>
    </row>
    <row r="522"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204"/>
      <c r="Z522" s="9"/>
      <c r="AA522" s="9"/>
      <c r="AB522" s="9"/>
      <c r="AC522" s="9"/>
    </row>
    <row r="523"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204"/>
      <c r="Z523" s="9"/>
      <c r="AA523" s="9"/>
      <c r="AB523" s="9"/>
      <c r="AC523" s="9"/>
    </row>
    <row r="524"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204"/>
      <c r="Z524" s="9"/>
      <c r="AA524" s="9"/>
      <c r="AB524" s="9"/>
      <c r="AC524" s="9"/>
    </row>
    <row r="525"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204"/>
      <c r="Z525" s="9"/>
      <c r="AA525" s="9"/>
      <c r="AB525" s="9"/>
      <c r="AC525" s="9"/>
    </row>
    <row r="526"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204"/>
      <c r="Z526" s="9"/>
      <c r="AA526" s="9"/>
      <c r="AB526" s="9"/>
      <c r="AC526" s="9"/>
    </row>
    <row r="527"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204"/>
      <c r="Z527" s="9"/>
      <c r="AA527" s="9"/>
      <c r="AB527" s="9"/>
      <c r="AC527" s="9"/>
    </row>
    <row r="528"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204"/>
      <c r="Z528" s="9"/>
      <c r="AA528" s="9"/>
      <c r="AB528" s="9"/>
      <c r="AC528" s="9"/>
    </row>
    <row r="529"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204"/>
      <c r="Z529" s="9"/>
      <c r="AA529" s="9"/>
      <c r="AB529" s="9"/>
      <c r="AC529" s="9"/>
    </row>
    <row r="530"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204"/>
      <c r="Z530" s="9"/>
      <c r="AA530" s="9"/>
      <c r="AB530" s="9"/>
      <c r="AC530" s="9"/>
    </row>
    <row r="531"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204"/>
      <c r="Z531" s="9"/>
      <c r="AA531" s="9"/>
      <c r="AB531" s="9"/>
      <c r="AC531" s="9"/>
    </row>
    <row r="532"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204"/>
      <c r="Z532" s="9"/>
      <c r="AA532" s="9"/>
      <c r="AB532" s="9"/>
      <c r="AC532" s="9"/>
    </row>
    <row r="533"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204"/>
      <c r="Z533" s="9"/>
      <c r="AA533" s="9"/>
      <c r="AB533" s="9"/>
      <c r="AC533" s="9"/>
    </row>
    <row r="534"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204"/>
      <c r="Z534" s="9"/>
      <c r="AA534" s="9"/>
      <c r="AB534" s="9"/>
      <c r="AC534" s="9"/>
    </row>
    <row r="535"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204"/>
      <c r="Z535" s="9"/>
      <c r="AA535" s="9"/>
      <c r="AB535" s="9"/>
      <c r="AC535" s="9"/>
    </row>
    <row r="536"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204"/>
      <c r="Z536" s="9"/>
      <c r="AA536" s="9"/>
      <c r="AB536" s="9"/>
      <c r="AC536" s="9"/>
    </row>
    <row r="537"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204"/>
      <c r="Z537" s="9"/>
      <c r="AA537" s="9"/>
      <c r="AB537" s="9"/>
      <c r="AC537" s="9"/>
    </row>
    <row r="538"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204"/>
      <c r="Z538" s="9"/>
      <c r="AA538" s="9"/>
      <c r="AB538" s="9"/>
      <c r="AC538" s="9"/>
    </row>
    <row r="539"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204"/>
      <c r="Z539" s="9"/>
      <c r="AA539" s="9"/>
      <c r="AB539" s="9"/>
      <c r="AC539" s="9"/>
    </row>
    <row r="540"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204"/>
      <c r="Z540" s="9"/>
      <c r="AA540" s="9"/>
      <c r="AB540" s="9"/>
      <c r="AC540" s="9"/>
    </row>
    <row r="541"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204"/>
      <c r="Z541" s="9"/>
      <c r="AA541" s="9"/>
      <c r="AB541" s="9"/>
      <c r="AC541" s="9"/>
    </row>
    <row r="542"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204"/>
      <c r="Z542" s="9"/>
      <c r="AA542" s="9"/>
      <c r="AB542" s="9"/>
      <c r="AC542" s="9"/>
    </row>
    <row r="543"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204"/>
      <c r="Z543" s="9"/>
      <c r="AA543" s="9"/>
      <c r="AB543" s="9"/>
      <c r="AC543" s="9"/>
    </row>
    <row r="544"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204"/>
      <c r="Z544" s="9"/>
      <c r="AA544" s="9"/>
      <c r="AB544" s="9"/>
      <c r="AC544" s="9"/>
    </row>
    <row r="545"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204"/>
      <c r="Z545" s="9"/>
      <c r="AA545" s="9"/>
      <c r="AB545" s="9"/>
      <c r="AC545" s="9"/>
    </row>
    <row r="546"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204"/>
      <c r="Z546" s="9"/>
      <c r="AA546" s="9"/>
      <c r="AB546" s="9"/>
      <c r="AC546" s="9"/>
    </row>
    <row r="547"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204"/>
      <c r="Z547" s="9"/>
      <c r="AA547" s="9"/>
      <c r="AB547" s="9"/>
      <c r="AC547" s="9"/>
    </row>
    <row r="548"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204"/>
      <c r="Z548" s="9"/>
      <c r="AA548" s="9"/>
      <c r="AB548" s="9"/>
      <c r="AC548" s="9"/>
    </row>
    <row r="549"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204"/>
      <c r="Z549" s="9"/>
      <c r="AA549" s="9"/>
      <c r="AB549" s="9"/>
      <c r="AC549" s="9"/>
    </row>
    <row r="550"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204"/>
      <c r="Z550" s="9"/>
      <c r="AA550" s="9"/>
      <c r="AB550" s="9"/>
      <c r="AC550" s="9"/>
    </row>
    <row r="551"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204"/>
      <c r="Z551" s="9"/>
      <c r="AA551" s="9"/>
      <c r="AB551" s="9"/>
      <c r="AC551" s="9"/>
    </row>
    <row r="552"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204"/>
      <c r="Z552" s="9"/>
      <c r="AA552" s="9"/>
      <c r="AB552" s="9"/>
      <c r="AC552" s="9"/>
    </row>
    <row r="553"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204"/>
      <c r="Z553" s="9"/>
      <c r="AA553" s="9"/>
      <c r="AB553" s="9"/>
      <c r="AC553" s="9"/>
    </row>
    <row r="554"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204"/>
      <c r="Z554" s="9"/>
      <c r="AA554" s="9"/>
      <c r="AB554" s="9"/>
      <c r="AC554" s="9"/>
    </row>
    <row r="555"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204"/>
      <c r="Z555" s="9"/>
      <c r="AA555" s="9"/>
      <c r="AB555" s="9"/>
      <c r="AC555" s="9"/>
    </row>
    <row r="556"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204"/>
      <c r="Z556" s="9"/>
      <c r="AA556" s="9"/>
      <c r="AB556" s="9"/>
      <c r="AC556" s="9"/>
    </row>
    <row r="557"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204"/>
      <c r="Z557" s="9"/>
      <c r="AA557" s="9"/>
      <c r="AB557" s="9"/>
      <c r="AC557" s="9"/>
    </row>
    <row r="558"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204"/>
      <c r="Z558" s="9"/>
      <c r="AA558" s="9"/>
      <c r="AB558" s="9"/>
      <c r="AC558" s="9"/>
    </row>
    <row r="559"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204"/>
      <c r="Z559" s="9"/>
      <c r="AA559" s="9"/>
      <c r="AB559" s="9"/>
      <c r="AC559" s="9"/>
    </row>
    <row r="560"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204"/>
      <c r="Z560" s="9"/>
      <c r="AA560" s="9"/>
      <c r="AB560" s="9"/>
      <c r="AC560" s="9"/>
    </row>
    <row r="561"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204"/>
      <c r="Z561" s="9"/>
      <c r="AA561" s="9"/>
      <c r="AB561" s="9"/>
      <c r="AC561" s="9"/>
    </row>
    <row r="562"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204"/>
      <c r="Z562" s="9"/>
      <c r="AA562" s="9"/>
      <c r="AB562" s="9"/>
      <c r="AC562" s="9"/>
    </row>
    <row r="563"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204"/>
      <c r="Z563" s="9"/>
      <c r="AA563" s="9"/>
      <c r="AB563" s="9"/>
      <c r="AC563" s="9"/>
    </row>
    <row r="564"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204"/>
      <c r="Z564" s="9"/>
      <c r="AA564" s="9"/>
      <c r="AB564" s="9"/>
      <c r="AC564" s="9"/>
    </row>
    <row r="565"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204"/>
      <c r="Z565" s="9"/>
      <c r="AA565" s="9"/>
      <c r="AB565" s="9"/>
      <c r="AC565" s="9"/>
    </row>
    <row r="566"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204"/>
      <c r="Z566" s="9"/>
      <c r="AA566" s="9"/>
      <c r="AB566" s="9"/>
      <c r="AC566" s="9"/>
    </row>
    <row r="567"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204"/>
      <c r="Z567" s="9"/>
      <c r="AA567" s="9"/>
      <c r="AB567" s="9"/>
      <c r="AC567" s="9"/>
    </row>
    <row r="568"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204"/>
      <c r="Z568" s="9"/>
      <c r="AA568" s="9"/>
      <c r="AB568" s="9"/>
      <c r="AC568" s="9"/>
    </row>
    <row r="569"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204"/>
      <c r="Z569" s="9"/>
      <c r="AA569" s="9"/>
      <c r="AB569" s="9"/>
      <c r="AC569" s="9"/>
    </row>
    <row r="570"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204"/>
      <c r="Z570" s="9"/>
      <c r="AA570" s="9"/>
      <c r="AB570" s="9"/>
      <c r="AC570" s="9"/>
    </row>
    <row r="571"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204"/>
      <c r="Z571" s="9"/>
      <c r="AA571" s="9"/>
      <c r="AB571" s="9"/>
      <c r="AC571" s="9"/>
    </row>
    <row r="572"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204"/>
      <c r="Z572" s="9"/>
      <c r="AA572" s="9"/>
      <c r="AB572" s="9"/>
      <c r="AC572" s="9"/>
    </row>
    <row r="573"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204"/>
      <c r="Z573" s="9"/>
      <c r="AA573" s="9"/>
      <c r="AB573" s="9"/>
      <c r="AC573" s="9"/>
    </row>
    <row r="574"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204"/>
      <c r="Z574" s="9"/>
      <c r="AA574" s="9"/>
      <c r="AB574" s="9"/>
      <c r="AC574" s="9"/>
    </row>
    <row r="575"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204"/>
      <c r="Z575" s="9"/>
      <c r="AA575" s="9"/>
      <c r="AB575" s="9"/>
      <c r="AC575" s="9"/>
    </row>
    <row r="576"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204"/>
      <c r="Z576" s="9"/>
      <c r="AA576" s="9"/>
      <c r="AB576" s="9"/>
      <c r="AC576" s="9"/>
    </row>
    <row r="577"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204"/>
      <c r="Z577" s="9"/>
      <c r="AA577" s="9"/>
      <c r="AB577" s="9"/>
      <c r="AC577" s="9"/>
    </row>
    <row r="578"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204"/>
      <c r="Z578" s="9"/>
      <c r="AA578" s="9"/>
      <c r="AB578" s="9"/>
      <c r="AC578" s="9"/>
    </row>
    <row r="579"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204"/>
      <c r="Z579" s="9"/>
      <c r="AA579" s="9"/>
      <c r="AB579" s="9"/>
      <c r="AC579" s="9"/>
    </row>
    <row r="580"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204"/>
      <c r="Z580" s="9"/>
      <c r="AA580" s="9"/>
      <c r="AB580" s="9"/>
      <c r="AC580" s="9"/>
    </row>
    <row r="581"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204"/>
      <c r="Z581" s="9"/>
      <c r="AA581" s="9"/>
      <c r="AB581" s="9"/>
      <c r="AC581" s="9"/>
    </row>
    <row r="582"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204"/>
      <c r="Z582" s="9"/>
      <c r="AA582" s="9"/>
      <c r="AB582" s="9"/>
      <c r="AC582" s="9"/>
    </row>
    <row r="583"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204"/>
      <c r="Z583" s="9"/>
      <c r="AA583" s="9"/>
      <c r="AB583" s="9"/>
      <c r="AC583" s="9"/>
    </row>
    <row r="584"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204"/>
      <c r="Z584" s="9"/>
      <c r="AA584" s="9"/>
      <c r="AB584" s="9"/>
      <c r="AC584" s="9"/>
    </row>
    <row r="585"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204"/>
      <c r="Z585" s="9"/>
      <c r="AA585" s="9"/>
      <c r="AB585" s="9"/>
      <c r="AC585" s="9"/>
    </row>
    <row r="586"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204"/>
      <c r="Z586" s="9"/>
      <c r="AA586" s="9"/>
      <c r="AB586" s="9"/>
      <c r="AC586" s="9"/>
    </row>
    <row r="587"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204"/>
      <c r="Z587" s="9"/>
      <c r="AA587" s="9"/>
      <c r="AB587" s="9"/>
      <c r="AC587" s="9"/>
    </row>
    <row r="588"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204"/>
      <c r="Z588" s="9"/>
      <c r="AA588" s="9"/>
      <c r="AB588" s="9"/>
      <c r="AC588" s="9"/>
    </row>
    <row r="589"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204"/>
      <c r="Z589" s="9"/>
      <c r="AA589" s="9"/>
      <c r="AB589" s="9"/>
      <c r="AC589" s="9"/>
    </row>
    <row r="590"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204"/>
      <c r="Z590" s="9"/>
      <c r="AA590" s="9"/>
      <c r="AB590" s="9"/>
      <c r="AC590" s="9"/>
    </row>
    <row r="591"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204"/>
      <c r="Z591" s="9"/>
      <c r="AA591" s="9"/>
      <c r="AB591" s="9"/>
      <c r="AC591" s="9"/>
    </row>
    <row r="592"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204"/>
      <c r="Z592" s="9"/>
      <c r="AA592" s="9"/>
      <c r="AB592" s="9"/>
      <c r="AC592" s="9"/>
    </row>
    <row r="593"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204"/>
      <c r="Z593" s="9"/>
      <c r="AA593" s="9"/>
      <c r="AB593" s="9"/>
      <c r="AC593" s="9"/>
    </row>
    <row r="594"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204"/>
      <c r="Z594" s="9"/>
      <c r="AA594" s="9"/>
      <c r="AB594" s="9"/>
      <c r="AC594" s="9"/>
    </row>
    <row r="595"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204"/>
      <c r="Z595" s="9"/>
      <c r="AA595" s="9"/>
      <c r="AB595" s="9"/>
      <c r="AC595" s="9"/>
    </row>
    <row r="596"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204"/>
      <c r="Z596" s="9"/>
      <c r="AA596" s="9"/>
      <c r="AB596" s="9"/>
      <c r="AC596" s="9"/>
    </row>
    <row r="597"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204"/>
      <c r="Z597" s="9"/>
      <c r="AA597" s="9"/>
      <c r="AB597" s="9"/>
      <c r="AC597" s="9"/>
    </row>
    <row r="598"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204"/>
      <c r="Z598" s="9"/>
      <c r="AA598" s="9"/>
      <c r="AB598" s="9"/>
      <c r="AC598" s="9"/>
    </row>
    <row r="599"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204"/>
      <c r="Z599" s="9"/>
      <c r="AA599" s="9"/>
      <c r="AB599" s="9"/>
      <c r="AC599" s="9"/>
    </row>
    <row r="600"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204"/>
      <c r="Z600" s="9"/>
      <c r="AA600" s="9"/>
      <c r="AB600" s="9"/>
      <c r="AC600" s="9"/>
    </row>
    <row r="601"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204"/>
      <c r="Z601" s="9"/>
      <c r="AA601" s="9"/>
      <c r="AB601" s="9"/>
      <c r="AC601" s="9"/>
    </row>
    <row r="602"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204"/>
      <c r="Z602" s="9"/>
      <c r="AA602" s="9"/>
      <c r="AB602" s="9"/>
      <c r="AC602" s="9"/>
    </row>
    <row r="603"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204"/>
      <c r="Z603" s="9"/>
      <c r="AA603" s="9"/>
      <c r="AB603" s="9"/>
      <c r="AC603" s="9"/>
    </row>
    <row r="604"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204"/>
      <c r="Z604" s="9"/>
      <c r="AA604" s="9"/>
      <c r="AB604" s="9"/>
      <c r="AC604" s="9"/>
    </row>
    <row r="605"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204"/>
      <c r="Z605" s="9"/>
      <c r="AA605" s="9"/>
      <c r="AB605" s="9"/>
      <c r="AC605" s="9"/>
    </row>
    <row r="606"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204"/>
      <c r="Z606" s="9"/>
      <c r="AA606" s="9"/>
      <c r="AB606" s="9"/>
      <c r="AC606" s="9"/>
    </row>
    <row r="607"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204"/>
      <c r="Z607" s="9"/>
      <c r="AA607" s="9"/>
      <c r="AB607" s="9"/>
      <c r="AC607" s="9"/>
    </row>
    <row r="608"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204"/>
      <c r="Z608" s="9"/>
      <c r="AA608" s="9"/>
      <c r="AB608" s="9"/>
      <c r="AC608" s="9"/>
    </row>
    <row r="609"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204"/>
      <c r="Z609" s="9"/>
      <c r="AA609" s="9"/>
      <c r="AB609" s="9"/>
      <c r="AC609" s="9"/>
    </row>
    <row r="610"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204"/>
      <c r="Z610" s="9"/>
      <c r="AA610" s="9"/>
      <c r="AB610" s="9"/>
      <c r="AC610" s="9"/>
    </row>
    <row r="611"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204"/>
      <c r="Z611" s="9"/>
      <c r="AA611" s="9"/>
      <c r="AB611" s="9"/>
      <c r="AC611" s="9"/>
    </row>
    <row r="612"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204"/>
      <c r="Z612" s="9"/>
      <c r="AA612" s="9"/>
      <c r="AB612" s="9"/>
      <c r="AC612" s="9"/>
    </row>
    <row r="613"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204"/>
      <c r="Z613" s="9"/>
      <c r="AA613" s="9"/>
      <c r="AB613" s="9"/>
      <c r="AC613" s="9"/>
    </row>
    <row r="614"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204"/>
      <c r="Z614" s="9"/>
      <c r="AA614" s="9"/>
      <c r="AB614" s="9"/>
      <c r="AC614" s="9"/>
    </row>
    <row r="615"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204"/>
      <c r="Z615" s="9"/>
      <c r="AA615" s="9"/>
      <c r="AB615" s="9"/>
      <c r="AC615" s="9"/>
    </row>
    <row r="616"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204"/>
      <c r="Z616" s="9"/>
      <c r="AA616" s="9"/>
      <c r="AB616" s="9"/>
      <c r="AC616" s="9"/>
    </row>
    <row r="617"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204"/>
      <c r="Z617" s="9"/>
      <c r="AA617" s="9"/>
      <c r="AB617" s="9"/>
      <c r="AC617" s="9"/>
    </row>
    <row r="618"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204"/>
      <c r="Z618" s="9"/>
      <c r="AA618" s="9"/>
      <c r="AB618" s="9"/>
      <c r="AC618" s="9"/>
    </row>
    <row r="619"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204"/>
      <c r="Z619" s="9"/>
      <c r="AA619" s="9"/>
      <c r="AB619" s="9"/>
      <c r="AC619" s="9"/>
    </row>
    <row r="620"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204"/>
      <c r="Z620" s="9"/>
      <c r="AA620" s="9"/>
      <c r="AB620" s="9"/>
      <c r="AC620" s="9"/>
    </row>
    <row r="621"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204"/>
      <c r="Z621" s="9"/>
      <c r="AA621" s="9"/>
      <c r="AB621" s="9"/>
      <c r="AC621" s="9"/>
    </row>
    <row r="622"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204"/>
      <c r="Z622" s="9"/>
      <c r="AA622" s="9"/>
      <c r="AB622" s="9"/>
      <c r="AC622" s="9"/>
    </row>
    <row r="623"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204"/>
      <c r="Z623" s="9"/>
      <c r="AA623" s="9"/>
      <c r="AB623" s="9"/>
      <c r="AC623" s="9"/>
    </row>
    <row r="624"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204"/>
      <c r="Z624" s="9"/>
      <c r="AA624" s="9"/>
      <c r="AB624" s="9"/>
      <c r="AC624" s="9"/>
    </row>
    <row r="625"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204"/>
      <c r="Z625" s="9"/>
      <c r="AA625" s="9"/>
      <c r="AB625" s="9"/>
      <c r="AC625" s="9"/>
    </row>
    <row r="626"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204"/>
      <c r="Z626" s="9"/>
      <c r="AA626" s="9"/>
      <c r="AB626" s="9"/>
      <c r="AC626" s="9"/>
    </row>
    <row r="627"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204"/>
      <c r="Z627" s="9"/>
      <c r="AA627" s="9"/>
      <c r="AB627" s="9"/>
      <c r="AC627" s="9"/>
    </row>
    <row r="628"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204"/>
      <c r="Z628" s="9"/>
      <c r="AA628" s="9"/>
      <c r="AB628" s="9"/>
      <c r="AC628" s="9"/>
    </row>
    <row r="629"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204"/>
      <c r="Z629" s="9"/>
      <c r="AA629" s="9"/>
      <c r="AB629" s="9"/>
      <c r="AC629" s="9"/>
    </row>
    <row r="630"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204"/>
      <c r="Z630" s="9"/>
      <c r="AA630" s="9"/>
      <c r="AB630" s="9"/>
      <c r="AC630" s="9"/>
    </row>
    <row r="631"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204"/>
      <c r="Z631" s="9"/>
      <c r="AA631" s="9"/>
      <c r="AB631" s="9"/>
      <c r="AC631" s="9"/>
    </row>
    <row r="632"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204"/>
      <c r="Z632" s="9"/>
      <c r="AA632" s="9"/>
      <c r="AB632" s="9"/>
      <c r="AC632" s="9"/>
    </row>
    <row r="633"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204"/>
      <c r="Z633" s="9"/>
      <c r="AA633" s="9"/>
      <c r="AB633" s="9"/>
      <c r="AC633" s="9"/>
    </row>
    <row r="634"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204"/>
      <c r="Z634" s="9"/>
      <c r="AA634" s="9"/>
      <c r="AB634" s="9"/>
      <c r="AC634" s="9"/>
    </row>
    <row r="635"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204"/>
      <c r="Z635" s="9"/>
      <c r="AA635" s="9"/>
      <c r="AB635" s="9"/>
      <c r="AC635" s="9"/>
    </row>
    <row r="636"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204"/>
      <c r="Z636" s="9"/>
      <c r="AA636" s="9"/>
      <c r="AB636" s="9"/>
      <c r="AC636" s="9"/>
    </row>
    <row r="637"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204"/>
      <c r="Z637" s="9"/>
      <c r="AA637" s="9"/>
      <c r="AB637" s="9"/>
      <c r="AC637" s="9"/>
    </row>
    <row r="638"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204"/>
      <c r="Z638" s="9"/>
      <c r="AA638" s="9"/>
      <c r="AB638" s="9"/>
      <c r="AC638" s="9"/>
    </row>
    <row r="639"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204"/>
      <c r="Z639" s="9"/>
      <c r="AA639" s="9"/>
      <c r="AB639" s="9"/>
      <c r="AC639" s="9"/>
    </row>
    <row r="640"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204"/>
      <c r="Z640" s="9"/>
      <c r="AA640" s="9"/>
      <c r="AB640" s="9"/>
      <c r="AC640" s="9"/>
    </row>
    <row r="641"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204"/>
      <c r="Z641" s="9"/>
      <c r="AA641" s="9"/>
      <c r="AB641" s="9"/>
      <c r="AC641" s="9"/>
    </row>
    <row r="642"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204"/>
      <c r="Z642" s="9"/>
      <c r="AA642" s="9"/>
      <c r="AB642" s="9"/>
      <c r="AC642" s="9"/>
    </row>
    <row r="643"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204"/>
      <c r="Z643" s="9"/>
      <c r="AA643" s="9"/>
      <c r="AB643" s="9"/>
      <c r="AC643" s="9"/>
    </row>
    <row r="644"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204"/>
      <c r="Z644" s="9"/>
      <c r="AA644" s="9"/>
      <c r="AB644" s="9"/>
      <c r="AC644" s="9"/>
    </row>
    <row r="645"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204"/>
      <c r="Z645" s="9"/>
      <c r="AA645" s="9"/>
      <c r="AB645" s="9"/>
      <c r="AC645" s="9"/>
    </row>
    <row r="646"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204"/>
      <c r="Z646" s="9"/>
      <c r="AA646" s="9"/>
      <c r="AB646" s="9"/>
      <c r="AC646" s="9"/>
    </row>
    <row r="647"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204"/>
      <c r="Z647" s="9"/>
      <c r="AA647" s="9"/>
      <c r="AB647" s="9"/>
      <c r="AC647" s="9"/>
    </row>
    <row r="648"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204"/>
      <c r="Z648" s="9"/>
      <c r="AA648" s="9"/>
      <c r="AB648" s="9"/>
      <c r="AC648" s="9"/>
    </row>
    <row r="649"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204"/>
      <c r="Z649" s="9"/>
      <c r="AA649" s="9"/>
      <c r="AB649" s="9"/>
      <c r="AC649" s="9"/>
    </row>
    <row r="650"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204"/>
      <c r="Z650" s="9"/>
      <c r="AA650" s="9"/>
      <c r="AB650" s="9"/>
      <c r="AC650" s="9"/>
    </row>
    <row r="651"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204"/>
      <c r="Z651" s="9"/>
      <c r="AA651" s="9"/>
      <c r="AB651" s="9"/>
      <c r="AC651" s="9"/>
    </row>
    <row r="652"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204"/>
      <c r="Z652" s="9"/>
      <c r="AA652" s="9"/>
      <c r="AB652" s="9"/>
      <c r="AC652" s="9"/>
    </row>
    <row r="653"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204"/>
      <c r="Z653" s="9"/>
      <c r="AA653" s="9"/>
      <c r="AB653" s="9"/>
      <c r="AC653" s="9"/>
    </row>
    <row r="654"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204"/>
      <c r="Z654" s="9"/>
      <c r="AA654" s="9"/>
      <c r="AB654" s="9"/>
      <c r="AC654" s="9"/>
    </row>
    <row r="655"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204"/>
      <c r="Z655" s="9"/>
      <c r="AA655" s="9"/>
      <c r="AB655" s="9"/>
      <c r="AC655" s="9"/>
    </row>
    <row r="656"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204"/>
      <c r="Z656" s="9"/>
      <c r="AA656" s="9"/>
      <c r="AB656" s="9"/>
      <c r="AC656" s="9"/>
    </row>
    <row r="657"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204"/>
      <c r="Z657" s="9"/>
      <c r="AA657" s="9"/>
      <c r="AB657" s="9"/>
      <c r="AC657" s="9"/>
    </row>
    <row r="658"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204"/>
      <c r="Z658" s="9"/>
      <c r="AA658" s="9"/>
      <c r="AB658" s="9"/>
      <c r="AC658" s="9"/>
    </row>
    <row r="659"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204"/>
      <c r="Z659" s="9"/>
      <c r="AA659" s="9"/>
      <c r="AB659" s="9"/>
      <c r="AC659" s="9"/>
    </row>
    <row r="660"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204"/>
      <c r="Z660" s="9"/>
      <c r="AA660" s="9"/>
      <c r="AB660" s="9"/>
      <c r="AC660" s="9"/>
    </row>
    <row r="661"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204"/>
      <c r="Z661" s="9"/>
      <c r="AA661" s="9"/>
      <c r="AB661" s="9"/>
      <c r="AC661" s="9"/>
    </row>
    <row r="662"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204"/>
      <c r="Z662" s="9"/>
      <c r="AA662" s="9"/>
      <c r="AB662" s="9"/>
      <c r="AC662" s="9"/>
    </row>
    <row r="663"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204"/>
      <c r="Z663" s="9"/>
      <c r="AA663" s="9"/>
      <c r="AB663" s="9"/>
      <c r="AC663" s="9"/>
    </row>
    <row r="664"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204"/>
      <c r="Z664" s="9"/>
      <c r="AA664" s="9"/>
      <c r="AB664" s="9"/>
      <c r="AC664" s="9"/>
    </row>
    <row r="665"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204"/>
      <c r="Z665" s="9"/>
      <c r="AA665" s="9"/>
      <c r="AB665" s="9"/>
      <c r="AC665" s="9"/>
    </row>
    <row r="666"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204"/>
      <c r="Z666" s="9"/>
      <c r="AA666" s="9"/>
      <c r="AB666" s="9"/>
      <c r="AC666" s="9"/>
    </row>
    <row r="667"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204"/>
      <c r="Z667" s="9"/>
      <c r="AA667" s="9"/>
      <c r="AB667" s="9"/>
      <c r="AC667" s="9"/>
    </row>
    <row r="668"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204"/>
      <c r="Z668" s="9"/>
      <c r="AA668" s="9"/>
      <c r="AB668" s="9"/>
      <c r="AC668" s="9"/>
    </row>
    <row r="669"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204"/>
      <c r="Z669" s="9"/>
      <c r="AA669" s="9"/>
      <c r="AB669" s="9"/>
      <c r="AC669" s="9"/>
    </row>
    <row r="670"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204"/>
      <c r="Z670" s="9"/>
      <c r="AA670" s="9"/>
      <c r="AB670" s="9"/>
      <c r="AC670" s="9"/>
    </row>
    <row r="671"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204"/>
      <c r="Z671" s="9"/>
      <c r="AA671" s="9"/>
      <c r="AB671" s="9"/>
      <c r="AC671" s="9"/>
    </row>
    <row r="672"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204"/>
      <c r="Z672" s="9"/>
      <c r="AA672" s="9"/>
      <c r="AB672" s="9"/>
      <c r="AC672" s="9"/>
    </row>
    <row r="673"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204"/>
      <c r="Z673" s="9"/>
      <c r="AA673" s="9"/>
      <c r="AB673" s="9"/>
      <c r="AC673" s="9"/>
    </row>
    <row r="674"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204"/>
      <c r="Z674" s="9"/>
      <c r="AA674" s="9"/>
      <c r="AB674" s="9"/>
      <c r="AC674" s="9"/>
    </row>
    <row r="675"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204"/>
      <c r="Z675" s="9"/>
      <c r="AA675" s="9"/>
      <c r="AB675" s="9"/>
      <c r="AC675" s="9"/>
    </row>
    <row r="676"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204"/>
      <c r="Z676" s="9"/>
      <c r="AA676" s="9"/>
      <c r="AB676" s="9"/>
      <c r="AC676" s="9"/>
    </row>
    <row r="677"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204"/>
      <c r="Z677" s="9"/>
      <c r="AA677" s="9"/>
      <c r="AB677" s="9"/>
      <c r="AC677" s="9"/>
    </row>
    <row r="678"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204"/>
      <c r="Z678" s="9"/>
      <c r="AA678" s="9"/>
      <c r="AB678" s="9"/>
      <c r="AC678" s="9"/>
    </row>
    <row r="679"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204"/>
      <c r="Z679" s="9"/>
      <c r="AA679" s="9"/>
      <c r="AB679" s="9"/>
      <c r="AC679" s="9"/>
    </row>
    <row r="680"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204"/>
      <c r="Z680" s="9"/>
      <c r="AA680" s="9"/>
      <c r="AB680" s="9"/>
      <c r="AC680" s="9"/>
    </row>
    <row r="681"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204"/>
      <c r="Z681" s="9"/>
      <c r="AA681" s="9"/>
      <c r="AB681" s="9"/>
      <c r="AC681" s="9"/>
    </row>
    <row r="682"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204"/>
      <c r="Z682" s="9"/>
      <c r="AA682" s="9"/>
      <c r="AB682" s="9"/>
      <c r="AC682" s="9"/>
    </row>
    <row r="683"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204"/>
      <c r="Z683" s="9"/>
      <c r="AA683" s="9"/>
      <c r="AB683" s="9"/>
      <c r="AC683" s="9"/>
    </row>
    <row r="684"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204"/>
      <c r="Z684" s="9"/>
      <c r="AA684" s="9"/>
      <c r="AB684" s="9"/>
      <c r="AC684" s="9"/>
    </row>
    <row r="685"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204"/>
      <c r="Z685" s="9"/>
      <c r="AA685" s="9"/>
      <c r="AB685" s="9"/>
      <c r="AC685" s="9"/>
    </row>
    <row r="686"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204"/>
      <c r="Z686" s="9"/>
      <c r="AA686" s="9"/>
      <c r="AB686" s="9"/>
      <c r="AC686" s="9"/>
    </row>
    <row r="687"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204"/>
      <c r="Z687" s="9"/>
      <c r="AA687" s="9"/>
      <c r="AB687" s="9"/>
      <c r="AC687" s="9"/>
    </row>
    <row r="688"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204"/>
      <c r="Z688" s="9"/>
      <c r="AA688" s="9"/>
      <c r="AB688" s="9"/>
      <c r="AC688" s="9"/>
    </row>
    <row r="689"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204"/>
      <c r="Z689" s="9"/>
      <c r="AA689" s="9"/>
      <c r="AB689" s="9"/>
      <c r="AC689" s="9"/>
    </row>
    <row r="690"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204"/>
      <c r="Z690" s="9"/>
      <c r="AA690" s="9"/>
      <c r="AB690" s="9"/>
      <c r="AC690" s="9"/>
    </row>
    <row r="691"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204"/>
      <c r="Z691" s="9"/>
      <c r="AA691" s="9"/>
      <c r="AB691" s="9"/>
      <c r="AC691" s="9"/>
    </row>
    <row r="692"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204"/>
      <c r="Z692" s="9"/>
      <c r="AA692" s="9"/>
      <c r="AB692" s="9"/>
      <c r="AC692" s="9"/>
    </row>
    <row r="693"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204"/>
      <c r="Z693" s="9"/>
      <c r="AA693" s="9"/>
      <c r="AB693" s="9"/>
      <c r="AC693" s="9"/>
    </row>
    <row r="694"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204"/>
      <c r="Z694" s="9"/>
      <c r="AA694" s="9"/>
      <c r="AB694" s="9"/>
      <c r="AC694" s="9"/>
    </row>
    <row r="695"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204"/>
      <c r="Z695" s="9"/>
      <c r="AA695" s="9"/>
      <c r="AB695" s="9"/>
      <c r="AC695" s="9"/>
    </row>
    <row r="696"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204"/>
      <c r="Z696" s="9"/>
      <c r="AA696" s="9"/>
      <c r="AB696" s="9"/>
      <c r="AC696" s="9"/>
    </row>
    <row r="697"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204"/>
      <c r="Z697" s="9"/>
      <c r="AA697" s="9"/>
      <c r="AB697" s="9"/>
      <c r="AC697" s="9"/>
    </row>
    <row r="698"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204"/>
      <c r="Z698" s="9"/>
      <c r="AA698" s="9"/>
      <c r="AB698" s="9"/>
      <c r="AC698" s="9"/>
    </row>
    <row r="699"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204"/>
      <c r="Z699" s="9"/>
      <c r="AA699" s="9"/>
      <c r="AB699" s="9"/>
      <c r="AC699" s="9"/>
    </row>
    <row r="700"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204"/>
      <c r="Z700" s="9"/>
      <c r="AA700" s="9"/>
      <c r="AB700" s="9"/>
      <c r="AC700" s="9"/>
    </row>
    <row r="701"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204"/>
      <c r="Z701" s="9"/>
      <c r="AA701" s="9"/>
      <c r="AB701" s="9"/>
      <c r="AC701" s="9"/>
    </row>
    <row r="702"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204"/>
      <c r="Z702" s="9"/>
      <c r="AA702" s="9"/>
      <c r="AB702" s="9"/>
      <c r="AC702" s="9"/>
    </row>
    <row r="703"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204"/>
      <c r="Z703" s="9"/>
      <c r="AA703" s="9"/>
      <c r="AB703" s="9"/>
      <c r="AC703" s="9"/>
    </row>
    <row r="704"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204"/>
      <c r="Z704" s="9"/>
      <c r="AA704" s="9"/>
      <c r="AB704" s="9"/>
      <c r="AC704" s="9"/>
    </row>
    <row r="705"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204"/>
      <c r="Z705" s="9"/>
      <c r="AA705" s="9"/>
      <c r="AB705" s="9"/>
      <c r="AC705" s="9"/>
    </row>
    <row r="706"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204"/>
      <c r="Z706" s="9"/>
      <c r="AA706" s="9"/>
      <c r="AB706" s="9"/>
      <c r="AC706" s="9"/>
    </row>
    <row r="707"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204"/>
      <c r="Z707" s="9"/>
      <c r="AA707" s="9"/>
      <c r="AB707" s="9"/>
      <c r="AC707" s="9"/>
    </row>
    <row r="708"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204"/>
      <c r="Z708" s="9"/>
      <c r="AA708" s="9"/>
      <c r="AB708" s="9"/>
      <c r="AC708" s="9"/>
    </row>
    <row r="709"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204"/>
      <c r="Z709" s="9"/>
      <c r="AA709" s="9"/>
      <c r="AB709" s="9"/>
      <c r="AC709" s="9"/>
    </row>
    <row r="710"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204"/>
      <c r="Z710" s="9"/>
      <c r="AA710" s="9"/>
      <c r="AB710" s="9"/>
      <c r="AC710" s="9"/>
    </row>
    <row r="711"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204"/>
      <c r="Z711" s="9"/>
      <c r="AA711" s="9"/>
      <c r="AB711" s="9"/>
      <c r="AC711" s="9"/>
    </row>
    <row r="712"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204"/>
      <c r="Z712" s="9"/>
      <c r="AA712" s="9"/>
      <c r="AB712" s="9"/>
      <c r="AC712" s="9"/>
    </row>
    <row r="713"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204"/>
      <c r="Z713" s="9"/>
      <c r="AA713" s="9"/>
      <c r="AB713" s="9"/>
      <c r="AC713" s="9"/>
    </row>
    <row r="714"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204"/>
      <c r="Z714" s="9"/>
      <c r="AA714" s="9"/>
      <c r="AB714" s="9"/>
      <c r="AC714" s="9"/>
    </row>
    <row r="715"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204"/>
      <c r="Z715" s="9"/>
      <c r="AA715" s="9"/>
      <c r="AB715" s="9"/>
      <c r="AC715" s="9"/>
    </row>
    <row r="716"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204"/>
      <c r="Z716" s="9"/>
      <c r="AA716" s="9"/>
      <c r="AB716" s="9"/>
      <c r="AC716" s="9"/>
    </row>
    <row r="717"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204"/>
      <c r="Z717" s="9"/>
      <c r="AA717" s="9"/>
      <c r="AB717" s="9"/>
      <c r="AC717" s="9"/>
    </row>
    <row r="718"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204"/>
      <c r="Z718" s="9"/>
      <c r="AA718" s="9"/>
      <c r="AB718" s="9"/>
      <c r="AC718" s="9"/>
    </row>
    <row r="719"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204"/>
      <c r="Z719" s="9"/>
      <c r="AA719" s="9"/>
      <c r="AB719" s="9"/>
      <c r="AC719" s="9"/>
    </row>
    <row r="720"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204"/>
      <c r="Z720" s="9"/>
      <c r="AA720" s="9"/>
      <c r="AB720" s="9"/>
      <c r="AC720" s="9"/>
    </row>
    <row r="721"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204"/>
      <c r="Z721" s="9"/>
      <c r="AA721" s="9"/>
      <c r="AB721" s="9"/>
      <c r="AC721" s="9"/>
    </row>
    <row r="722"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204"/>
      <c r="Z722" s="9"/>
      <c r="AA722" s="9"/>
      <c r="AB722" s="9"/>
      <c r="AC722" s="9"/>
    </row>
    <row r="723"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204"/>
      <c r="Z723" s="9"/>
      <c r="AA723" s="9"/>
      <c r="AB723" s="9"/>
      <c r="AC723" s="9"/>
    </row>
    <row r="724"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204"/>
      <c r="Z724" s="9"/>
      <c r="AA724" s="9"/>
      <c r="AB724" s="9"/>
      <c r="AC724" s="9"/>
    </row>
    <row r="725"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204"/>
      <c r="Z725" s="9"/>
      <c r="AA725" s="9"/>
      <c r="AB725" s="9"/>
      <c r="AC725" s="9"/>
    </row>
    <row r="726"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204"/>
      <c r="Z726" s="9"/>
      <c r="AA726" s="9"/>
      <c r="AB726" s="9"/>
      <c r="AC726" s="9"/>
    </row>
    <row r="727"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204"/>
      <c r="Z727" s="9"/>
      <c r="AA727" s="9"/>
      <c r="AB727" s="9"/>
      <c r="AC727" s="9"/>
    </row>
    <row r="728"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204"/>
      <c r="Z728" s="9"/>
      <c r="AA728" s="9"/>
      <c r="AB728" s="9"/>
      <c r="AC728" s="9"/>
    </row>
    <row r="729"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204"/>
      <c r="Z729" s="9"/>
      <c r="AA729" s="9"/>
      <c r="AB729" s="9"/>
      <c r="AC729" s="9"/>
    </row>
    <row r="730"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204"/>
      <c r="Z730" s="9"/>
      <c r="AA730" s="9"/>
      <c r="AB730" s="9"/>
      <c r="AC730" s="9"/>
    </row>
    <row r="731"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204"/>
      <c r="Z731" s="9"/>
      <c r="AA731" s="9"/>
      <c r="AB731" s="9"/>
      <c r="AC731" s="9"/>
    </row>
    <row r="732"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204"/>
      <c r="Z732" s="9"/>
      <c r="AA732" s="9"/>
      <c r="AB732" s="9"/>
      <c r="AC732" s="9"/>
    </row>
    <row r="733"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204"/>
      <c r="Z733" s="9"/>
      <c r="AA733" s="9"/>
      <c r="AB733" s="9"/>
      <c r="AC733" s="9"/>
    </row>
    <row r="734"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204"/>
      <c r="Z734" s="9"/>
      <c r="AA734" s="9"/>
      <c r="AB734" s="9"/>
      <c r="AC734" s="9"/>
    </row>
    <row r="735"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204"/>
      <c r="Z735" s="9"/>
      <c r="AA735" s="9"/>
      <c r="AB735" s="9"/>
      <c r="AC735" s="9"/>
    </row>
    <row r="736"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204"/>
      <c r="Z736" s="9"/>
      <c r="AA736" s="9"/>
      <c r="AB736" s="9"/>
      <c r="AC736" s="9"/>
    </row>
    <row r="737"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204"/>
      <c r="Z737" s="9"/>
      <c r="AA737" s="9"/>
      <c r="AB737" s="9"/>
      <c r="AC737" s="9"/>
    </row>
    <row r="738"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204"/>
      <c r="Z738" s="9"/>
      <c r="AA738" s="9"/>
      <c r="AB738" s="9"/>
      <c r="AC738" s="9"/>
    </row>
    <row r="739"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204"/>
      <c r="Z739" s="9"/>
      <c r="AA739" s="9"/>
      <c r="AB739" s="9"/>
      <c r="AC739" s="9"/>
    </row>
    <row r="740"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204"/>
      <c r="Z740" s="9"/>
      <c r="AA740" s="9"/>
      <c r="AB740" s="9"/>
      <c r="AC740" s="9"/>
    </row>
    <row r="741"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204"/>
      <c r="Z741" s="9"/>
      <c r="AA741" s="9"/>
      <c r="AB741" s="9"/>
      <c r="AC741" s="9"/>
    </row>
    <row r="742"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204"/>
      <c r="Z742" s="9"/>
      <c r="AA742" s="9"/>
      <c r="AB742" s="9"/>
      <c r="AC742" s="9"/>
    </row>
    <row r="743"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204"/>
      <c r="Z743" s="9"/>
      <c r="AA743" s="9"/>
      <c r="AB743" s="9"/>
      <c r="AC743" s="9"/>
    </row>
    <row r="744"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204"/>
      <c r="Z744" s="9"/>
      <c r="AA744" s="9"/>
      <c r="AB744" s="9"/>
      <c r="AC744" s="9"/>
    </row>
    <row r="745"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204"/>
      <c r="Z745" s="9"/>
      <c r="AA745" s="9"/>
      <c r="AB745" s="9"/>
      <c r="AC745" s="9"/>
    </row>
    <row r="746"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204"/>
      <c r="Z746" s="9"/>
      <c r="AA746" s="9"/>
      <c r="AB746" s="9"/>
      <c r="AC746" s="9"/>
    </row>
    <row r="747"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204"/>
      <c r="Z747" s="9"/>
      <c r="AA747" s="9"/>
      <c r="AB747" s="9"/>
      <c r="AC747" s="9"/>
    </row>
    <row r="748"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204"/>
      <c r="Z748" s="9"/>
      <c r="AA748" s="9"/>
      <c r="AB748" s="9"/>
      <c r="AC748" s="9"/>
    </row>
    <row r="749"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204"/>
      <c r="Z749" s="9"/>
      <c r="AA749" s="9"/>
      <c r="AB749" s="9"/>
      <c r="AC749" s="9"/>
    </row>
    <row r="750"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204"/>
      <c r="Z750" s="9"/>
      <c r="AA750" s="9"/>
      <c r="AB750" s="9"/>
      <c r="AC750" s="9"/>
    </row>
    <row r="751"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204"/>
      <c r="Z751" s="9"/>
      <c r="AA751" s="9"/>
      <c r="AB751" s="9"/>
      <c r="AC751" s="9"/>
    </row>
    <row r="752"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204"/>
      <c r="Z752" s="9"/>
      <c r="AA752" s="9"/>
      <c r="AB752" s="9"/>
      <c r="AC752" s="9"/>
    </row>
    <row r="753"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204"/>
      <c r="Z753" s="9"/>
      <c r="AA753" s="9"/>
      <c r="AB753" s="9"/>
      <c r="AC753" s="9"/>
    </row>
    <row r="754"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204"/>
      <c r="Z754" s="9"/>
      <c r="AA754" s="9"/>
      <c r="AB754" s="9"/>
      <c r="AC754" s="9"/>
    </row>
    <row r="755"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204"/>
      <c r="Z755" s="9"/>
      <c r="AA755" s="9"/>
      <c r="AB755" s="9"/>
      <c r="AC755" s="9"/>
    </row>
    <row r="756"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204"/>
      <c r="Z756" s="9"/>
      <c r="AA756" s="9"/>
      <c r="AB756" s="9"/>
      <c r="AC756" s="9"/>
    </row>
    <row r="757"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204"/>
      <c r="Z757" s="9"/>
      <c r="AA757" s="9"/>
      <c r="AB757" s="9"/>
      <c r="AC757" s="9"/>
    </row>
    <row r="758"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204"/>
      <c r="Z758" s="9"/>
      <c r="AA758" s="9"/>
      <c r="AB758" s="9"/>
      <c r="AC758" s="9"/>
    </row>
    <row r="759"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204"/>
      <c r="Z759" s="9"/>
      <c r="AA759" s="9"/>
      <c r="AB759" s="9"/>
      <c r="AC759" s="9"/>
    </row>
    <row r="760"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204"/>
      <c r="Z760" s="9"/>
      <c r="AA760" s="9"/>
      <c r="AB760" s="9"/>
      <c r="AC760" s="9"/>
    </row>
    <row r="761"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204"/>
      <c r="Z761" s="9"/>
      <c r="AA761" s="9"/>
      <c r="AB761" s="9"/>
      <c r="AC761" s="9"/>
    </row>
    <row r="762"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204"/>
      <c r="Z762" s="9"/>
      <c r="AA762" s="9"/>
      <c r="AB762" s="9"/>
      <c r="AC762" s="9"/>
    </row>
    <row r="763"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204"/>
      <c r="Z763" s="9"/>
      <c r="AA763" s="9"/>
      <c r="AB763" s="9"/>
      <c r="AC763" s="9"/>
    </row>
    <row r="764"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204"/>
      <c r="Z764" s="9"/>
      <c r="AA764" s="9"/>
      <c r="AB764" s="9"/>
      <c r="AC764" s="9"/>
    </row>
    <row r="765"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204"/>
      <c r="Z765" s="9"/>
      <c r="AA765" s="9"/>
      <c r="AB765" s="9"/>
      <c r="AC765" s="9"/>
    </row>
    <row r="766"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204"/>
      <c r="Z766" s="9"/>
      <c r="AA766" s="9"/>
      <c r="AB766" s="9"/>
      <c r="AC766" s="9"/>
    </row>
    <row r="767"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204"/>
      <c r="Z767" s="9"/>
      <c r="AA767" s="9"/>
      <c r="AB767" s="9"/>
      <c r="AC767" s="9"/>
    </row>
    <row r="768"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204"/>
      <c r="Z768" s="9"/>
      <c r="AA768" s="9"/>
      <c r="AB768" s="9"/>
      <c r="AC768" s="9"/>
    </row>
    <row r="769"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204"/>
      <c r="Z769" s="9"/>
      <c r="AA769" s="9"/>
      <c r="AB769" s="9"/>
      <c r="AC769" s="9"/>
    </row>
    <row r="770"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204"/>
      <c r="Z770" s="9"/>
      <c r="AA770" s="9"/>
      <c r="AB770" s="9"/>
      <c r="AC770" s="9"/>
    </row>
    <row r="771"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204"/>
      <c r="Z771" s="9"/>
      <c r="AA771" s="9"/>
      <c r="AB771" s="9"/>
      <c r="AC771" s="9"/>
    </row>
    <row r="772"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204"/>
      <c r="Z772" s="9"/>
      <c r="AA772" s="9"/>
      <c r="AB772" s="9"/>
      <c r="AC772" s="9"/>
    </row>
    <row r="773"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204"/>
      <c r="Z773" s="9"/>
      <c r="AA773" s="9"/>
      <c r="AB773" s="9"/>
      <c r="AC773" s="9"/>
    </row>
    <row r="774"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204"/>
      <c r="Z774" s="9"/>
      <c r="AA774" s="9"/>
      <c r="AB774" s="9"/>
      <c r="AC774" s="9"/>
    </row>
    <row r="775"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204"/>
      <c r="Z775" s="9"/>
      <c r="AA775" s="9"/>
      <c r="AB775" s="9"/>
      <c r="AC775" s="9"/>
    </row>
    <row r="776"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204"/>
      <c r="Z776" s="9"/>
      <c r="AA776" s="9"/>
      <c r="AB776" s="9"/>
      <c r="AC776" s="9"/>
    </row>
    <row r="777"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204"/>
      <c r="Z777" s="9"/>
      <c r="AA777" s="9"/>
      <c r="AB777" s="9"/>
      <c r="AC777" s="9"/>
    </row>
    <row r="778"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204"/>
      <c r="Z778" s="9"/>
      <c r="AA778" s="9"/>
      <c r="AB778" s="9"/>
      <c r="AC778" s="9"/>
    </row>
    <row r="779"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204"/>
      <c r="Z779" s="9"/>
      <c r="AA779" s="9"/>
      <c r="AB779" s="9"/>
      <c r="AC779" s="9"/>
    </row>
    <row r="780"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204"/>
      <c r="Z780" s="9"/>
      <c r="AA780" s="9"/>
      <c r="AB780" s="9"/>
      <c r="AC780" s="9"/>
    </row>
    <row r="781"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204"/>
      <c r="Z781" s="9"/>
      <c r="AA781" s="9"/>
      <c r="AB781" s="9"/>
      <c r="AC781" s="9"/>
    </row>
    <row r="782"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204"/>
      <c r="Z782" s="9"/>
      <c r="AA782" s="9"/>
      <c r="AB782" s="9"/>
      <c r="AC782" s="9"/>
    </row>
    <row r="783"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204"/>
      <c r="Z783" s="9"/>
      <c r="AA783" s="9"/>
      <c r="AB783" s="9"/>
      <c r="AC783" s="9"/>
    </row>
    <row r="784"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204"/>
      <c r="Z784" s="9"/>
      <c r="AA784" s="9"/>
      <c r="AB784" s="9"/>
      <c r="AC784" s="9"/>
    </row>
    <row r="785"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204"/>
      <c r="Z785" s="9"/>
      <c r="AA785" s="9"/>
      <c r="AB785" s="9"/>
      <c r="AC785" s="9"/>
    </row>
    <row r="786"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204"/>
      <c r="Z786" s="9"/>
      <c r="AA786" s="9"/>
      <c r="AB786" s="9"/>
      <c r="AC786" s="9"/>
    </row>
    <row r="787"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204"/>
      <c r="Z787" s="9"/>
      <c r="AA787" s="9"/>
      <c r="AB787" s="9"/>
      <c r="AC787" s="9"/>
    </row>
    <row r="788"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204"/>
      <c r="Z788" s="9"/>
      <c r="AA788" s="9"/>
      <c r="AB788" s="9"/>
      <c r="AC788" s="9"/>
    </row>
    <row r="789"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204"/>
      <c r="Z789" s="9"/>
      <c r="AA789" s="9"/>
      <c r="AB789" s="9"/>
      <c r="AC789" s="9"/>
    </row>
    <row r="790"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204"/>
      <c r="Z790" s="9"/>
      <c r="AA790" s="9"/>
      <c r="AB790" s="9"/>
      <c r="AC790" s="9"/>
    </row>
    <row r="791"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204"/>
      <c r="Z791" s="9"/>
      <c r="AA791" s="9"/>
      <c r="AB791" s="9"/>
      <c r="AC791" s="9"/>
    </row>
    <row r="792"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204"/>
      <c r="Z792" s="9"/>
      <c r="AA792" s="9"/>
      <c r="AB792" s="9"/>
      <c r="AC792" s="9"/>
    </row>
    <row r="793"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204"/>
      <c r="Z793" s="9"/>
      <c r="AA793" s="9"/>
      <c r="AB793" s="9"/>
      <c r="AC793" s="9"/>
    </row>
    <row r="794"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204"/>
      <c r="Z794" s="9"/>
      <c r="AA794" s="9"/>
      <c r="AB794" s="9"/>
      <c r="AC794" s="9"/>
    </row>
    <row r="795"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204"/>
      <c r="Z795" s="9"/>
      <c r="AA795" s="9"/>
      <c r="AB795" s="9"/>
      <c r="AC795" s="9"/>
    </row>
    <row r="796"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204"/>
      <c r="Z796" s="9"/>
      <c r="AA796" s="9"/>
      <c r="AB796" s="9"/>
      <c r="AC796" s="9"/>
    </row>
    <row r="797"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204"/>
      <c r="Z797" s="9"/>
      <c r="AA797" s="9"/>
      <c r="AB797" s="9"/>
      <c r="AC797" s="9"/>
    </row>
    <row r="798"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204"/>
      <c r="Z798" s="9"/>
      <c r="AA798" s="9"/>
      <c r="AB798" s="9"/>
      <c r="AC798" s="9"/>
    </row>
    <row r="799"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204"/>
      <c r="Z799" s="9"/>
      <c r="AA799" s="9"/>
      <c r="AB799" s="9"/>
      <c r="AC799" s="9"/>
    </row>
    <row r="800"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204"/>
      <c r="Z800" s="9"/>
      <c r="AA800" s="9"/>
      <c r="AB800" s="9"/>
      <c r="AC800" s="9"/>
    </row>
    <row r="801"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204"/>
      <c r="Z801" s="9"/>
      <c r="AA801" s="9"/>
      <c r="AB801" s="9"/>
      <c r="AC801" s="9"/>
    </row>
    <row r="802"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204"/>
      <c r="Z802" s="9"/>
      <c r="AA802" s="9"/>
      <c r="AB802" s="9"/>
      <c r="AC802" s="9"/>
    </row>
    <row r="803"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204"/>
      <c r="Z803" s="9"/>
      <c r="AA803" s="9"/>
      <c r="AB803" s="9"/>
      <c r="AC803" s="9"/>
    </row>
    <row r="804"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204"/>
      <c r="Z804" s="9"/>
      <c r="AA804" s="9"/>
      <c r="AB804" s="9"/>
      <c r="AC804" s="9"/>
    </row>
    <row r="805"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204"/>
      <c r="Z805" s="9"/>
      <c r="AA805" s="9"/>
      <c r="AB805" s="9"/>
      <c r="AC805" s="9"/>
    </row>
    <row r="806"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204"/>
      <c r="Z806" s="9"/>
      <c r="AA806" s="9"/>
      <c r="AB806" s="9"/>
      <c r="AC806" s="9"/>
    </row>
    <row r="807"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204"/>
      <c r="Z807" s="9"/>
      <c r="AA807" s="9"/>
      <c r="AB807" s="9"/>
      <c r="AC807" s="9"/>
    </row>
    <row r="808"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204"/>
      <c r="Z808" s="9"/>
      <c r="AA808" s="9"/>
      <c r="AB808" s="9"/>
      <c r="AC808" s="9"/>
    </row>
    <row r="809"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204"/>
      <c r="Z809" s="9"/>
      <c r="AA809" s="9"/>
      <c r="AB809" s="9"/>
      <c r="AC809" s="9"/>
    </row>
    <row r="810"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204"/>
      <c r="Z810" s="9"/>
      <c r="AA810" s="9"/>
      <c r="AB810" s="9"/>
      <c r="AC810" s="9"/>
    </row>
    <row r="811"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204"/>
      <c r="Z811" s="9"/>
      <c r="AA811" s="9"/>
      <c r="AB811" s="9"/>
      <c r="AC811" s="9"/>
    </row>
    <row r="812"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204"/>
      <c r="Z812" s="9"/>
      <c r="AA812" s="9"/>
      <c r="AB812" s="9"/>
      <c r="AC812" s="9"/>
    </row>
    <row r="813"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204"/>
      <c r="Z813" s="9"/>
      <c r="AA813" s="9"/>
      <c r="AB813" s="9"/>
      <c r="AC813" s="9"/>
    </row>
    <row r="814"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204"/>
      <c r="Z814" s="9"/>
      <c r="AA814" s="9"/>
      <c r="AB814" s="9"/>
      <c r="AC814" s="9"/>
    </row>
    <row r="815"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204"/>
      <c r="Z815" s="9"/>
      <c r="AA815" s="9"/>
      <c r="AB815" s="9"/>
      <c r="AC815" s="9"/>
    </row>
    <row r="816"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204"/>
      <c r="Z816" s="9"/>
      <c r="AA816" s="9"/>
      <c r="AB816" s="9"/>
      <c r="AC816" s="9"/>
    </row>
    <row r="817"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204"/>
      <c r="Z817" s="9"/>
      <c r="AA817" s="9"/>
      <c r="AB817" s="9"/>
      <c r="AC817" s="9"/>
    </row>
    <row r="818"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204"/>
      <c r="Z818" s="9"/>
      <c r="AA818" s="9"/>
      <c r="AB818" s="9"/>
      <c r="AC818" s="9"/>
    </row>
    <row r="819"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204"/>
      <c r="Z819" s="9"/>
      <c r="AA819" s="9"/>
      <c r="AB819" s="9"/>
      <c r="AC819" s="9"/>
    </row>
    <row r="820"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204"/>
      <c r="Z820" s="9"/>
      <c r="AA820" s="9"/>
      <c r="AB820" s="9"/>
      <c r="AC820" s="9"/>
    </row>
    <row r="821"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204"/>
      <c r="Z821" s="9"/>
      <c r="AA821" s="9"/>
      <c r="AB821" s="9"/>
      <c r="AC821" s="9"/>
    </row>
    <row r="822"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204"/>
      <c r="Z822" s="9"/>
      <c r="AA822" s="9"/>
      <c r="AB822" s="9"/>
      <c r="AC822" s="9"/>
    </row>
    <row r="823"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204"/>
      <c r="Z823" s="9"/>
      <c r="AA823" s="9"/>
      <c r="AB823" s="9"/>
      <c r="AC823" s="9"/>
    </row>
    <row r="824"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204"/>
      <c r="Z824" s="9"/>
      <c r="AA824" s="9"/>
      <c r="AB824" s="9"/>
      <c r="AC824" s="9"/>
    </row>
    <row r="825"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204"/>
      <c r="Z825" s="9"/>
      <c r="AA825" s="9"/>
      <c r="AB825" s="9"/>
      <c r="AC825" s="9"/>
    </row>
    <row r="826"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204"/>
      <c r="Z826" s="9"/>
      <c r="AA826" s="9"/>
      <c r="AB826" s="9"/>
      <c r="AC826" s="9"/>
    </row>
    <row r="827"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204"/>
      <c r="Z827" s="9"/>
      <c r="AA827" s="9"/>
      <c r="AB827" s="9"/>
      <c r="AC827" s="9"/>
    </row>
    <row r="828"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204"/>
      <c r="Z828" s="9"/>
      <c r="AA828" s="9"/>
      <c r="AB828" s="9"/>
      <c r="AC828" s="9"/>
    </row>
    <row r="829"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204"/>
      <c r="Z829" s="9"/>
      <c r="AA829" s="9"/>
      <c r="AB829" s="9"/>
      <c r="AC829" s="9"/>
    </row>
    <row r="830"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204"/>
      <c r="Z830" s="9"/>
      <c r="AA830" s="9"/>
      <c r="AB830" s="9"/>
      <c r="AC830" s="9"/>
    </row>
    <row r="831"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204"/>
      <c r="Z831" s="9"/>
      <c r="AA831" s="9"/>
      <c r="AB831" s="9"/>
      <c r="AC831" s="9"/>
    </row>
    <row r="832"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204"/>
      <c r="Z832" s="9"/>
      <c r="AA832" s="9"/>
      <c r="AB832" s="9"/>
      <c r="AC832" s="9"/>
    </row>
    <row r="833"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204"/>
      <c r="Z833" s="9"/>
      <c r="AA833" s="9"/>
      <c r="AB833" s="9"/>
      <c r="AC833" s="9"/>
    </row>
    <row r="834"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204"/>
      <c r="Z834" s="9"/>
      <c r="AA834" s="9"/>
      <c r="AB834" s="9"/>
      <c r="AC834" s="9"/>
    </row>
    <row r="835"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204"/>
      <c r="Z835" s="9"/>
      <c r="AA835" s="9"/>
      <c r="AB835" s="9"/>
      <c r="AC835" s="9"/>
    </row>
    <row r="836"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204"/>
      <c r="Z836" s="9"/>
      <c r="AA836" s="9"/>
      <c r="AB836" s="9"/>
      <c r="AC836" s="9"/>
    </row>
    <row r="837"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204"/>
      <c r="Z837" s="9"/>
      <c r="AA837" s="9"/>
      <c r="AB837" s="9"/>
      <c r="AC837" s="9"/>
    </row>
    <row r="838"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204"/>
      <c r="Z838" s="9"/>
      <c r="AA838" s="9"/>
      <c r="AB838" s="9"/>
      <c r="AC838" s="9"/>
    </row>
    <row r="839"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204"/>
      <c r="Z839" s="9"/>
      <c r="AA839" s="9"/>
      <c r="AB839" s="9"/>
      <c r="AC839" s="9"/>
    </row>
    <row r="840"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204"/>
      <c r="Z840" s="9"/>
      <c r="AA840" s="9"/>
      <c r="AB840" s="9"/>
      <c r="AC840" s="9"/>
    </row>
    <row r="841"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204"/>
      <c r="Z841" s="9"/>
      <c r="AA841" s="9"/>
      <c r="AB841" s="9"/>
      <c r="AC841" s="9"/>
    </row>
    <row r="842"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204"/>
      <c r="Z842" s="9"/>
      <c r="AA842" s="9"/>
      <c r="AB842" s="9"/>
      <c r="AC842" s="9"/>
    </row>
    <row r="843"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204"/>
      <c r="Z843" s="9"/>
      <c r="AA843" s="9"/>
      <c r="AB843" s="9"/>
      <c r="AC843" s="9"/>
    </row>
    <row r="844"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204"/>
      <c r="Z844" s="9"/>
      <c r="AA844" s="9"/>
      <c r="AB844" s="9"/>
      <c r="AC844" s="9"/>
    </row>
    <row r="845"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204"/>
      <c r="Z845" s="9"/>
      <c r="AA845" s="9"/>
      <c r="AB845" s="9"/>
      <c r="AC845" s="9"/>
    </row>
    <row r="846"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204"/>
      <c r="Z846" s="9"/>
      <c r="AA846" s="9"/>
      <c r="AB846" s="9"/>
      <c r="AC846" s="9"/>
    </row>
    <row r="847"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204"/>
      <c r="Z847" s="9"/>
      <c r="AA847" s="9"/>
      <c r="AB847" s="9"/>
      <c r="AC847" s="9"/>
    </row>
    <row r="848"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204"/>
      <c r="Z848" s="9"/>
      <c r="AA848" s="9"/>
      <c r="AB848" s="9"/>
      <c r="AC848" s="9"/>
    </row>
    <row r="849"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204"/>
      <c r="Z849" s="9"/>
      <c r="AA849" s="9"/>
      <c r="AB849" s="9"/>
      <c r="AC849" s="9"/>
    </row>
    <row r="850"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204"/>
      <c r="Z850" s="9"/>
      <c r="AA850" s="9"/>
      <c r="AB850" s="9"/>
      <c r="AC850" s="9"/>
    </row>
    <row r="851"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204"/>
      <c r="Z851" s="9"/>
      <c r="AA851" s="9"/>
      <c r="AB851" s="9"/>
      <c r="AC851" s="9"/>
    </row>
    <row r="852"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204"/>
      <c r="Z852" s="9"/>
      <c r="AA852" s="9"/>
      <c r="AB852" s="9"/>
      <c r="AC852" s="9"/>
    </row>
    <row r="853"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204"/>
      <c r="Z853" s="9"/>
      <c r="AA853" s="9"/>
      <c r="AB853" s="9"/>
      <c r="AC853" s="9"/>
    </row>
    <row r="854"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204"/>
      <c r="Z854" s="9"/>
      <c r="AA854" s="9"/>
      <c r="AB854" s="9"/>
      <c r="AC854" s="9"/>
    </row>
    <row r="855"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204"/>
      <c r="Z855" s="9"/>
      <c r="AA855" s="9"/>
      <c r="AB855" s="9"/>
      <c r="AC855" s="9"/>
    </row>
    <row r="856"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204"/>
      <c r="Z856" s="9"/>
      <c r="AA856" s="9"/>
      <c r="AB856" s="9"/>
      <c r="AC856" s="9"/>
    </row>
    <row r="857"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204"/>
      <c r="Z857" s="9"/>
      <c r="AA857" s="9"/>
      <c r="AB857" s="9"/>
      <c r="AC857" s="9"/>
    </row>
    <row r="858"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204"/>
      <c r="Z858" s="9"/>
      <c r="AA858" s="9"/>
      <c r="AB858" s="9"/>
      <c r="AC858" s="9"/>
    </row>
    <row r="859"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204"/>
      <c r="Z859" s="9"/>
      <c r="AA859" s="9"/>
      <c r="AB859" s="9"/>
      <c r="AC859" s="9"/>
    </row>
    <row r="860"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204"/>
      <c r="Z860" s="9"/>
      <c r="AA860" s="9"/>
      <c r="AB860" s="9"/>
      <c r="AC860" s="9"/>
    </row>
    <row r="861"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204"/>
      <c r="Z861" s="9"/>
      <c r="AA861" s="9"/>
      <c r="AB861" s="9"/>
      <c r="AC861" s="9"/>
    </row>
    <row r="862"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204"/>
      <c r="Z862" s="9"/>
      <c r="AA862" s="9"/>
      <c r="AB862" s="9"/>
      <c r="AC862" s="9"/>
    </row>
    <row r="863"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204"/>
      <c r="Z863" s="9"/>
      <c r="AA863" s="9"/>
      <c r="AB863" s="9"/>
      <c r="AC863" s="9"/>
    </row>
    <row r="864"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204"/>
      <c r="Z864" s="9"/>
      <c r="AA864" s="9"/>
      <c r="AB864" s="9"/>
      <c r="AC864" s="9"/>
    </row>
    <row r="865"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204"/>
      <c r="Z865" s="9"/>
      <c r="AA865" s="9"/>
      <c r="AB865" s="9"/>
      <c r="AC865" s="9"/>
    </row>
    <row r="866"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204"/>
      <c r="Z866" s="9"/>
      <c r="AA866" s="9"/>
      <c r="AB866" s="9"/>
      <c r="AC866" s="9"/>
    </row>
    <row r="867"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204"/>
      <c r="Z867" s="9"/>
      <c r="AA867" s="9"/>
      <c r="AB867" s="9"/>
      <c r="AC867" s="9"/>
    </row>
    <row r="868"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204"/>
      <c r="Z868" s="9"/>
      <c r="AA868" s="9"/>
      <c r="AB868" s="9"/>
      <c r="AC868" s="9"/>
    </row>
    <row r="869"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204"/>
      <c r="Z869" s="9"/>
      <c r="AA869" s="9"/>
      <c r="AB869" s="9"/>
      <c r="AC869" s="9"/>
    </row>
    <row r="870"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204"/>
      <c r="Z870" s="9"/>
      <c r="AA870" s="9"/>
      <c r="AB870" s="9"/>
      <c r="AC870" s="9"/>
    </row>
    <row r="871"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204"/>
      <c r="Z871" s="9"/>
      <c r="AA871" s="9"/>
      <c r="AB871" s="9"/>
      <c r="AC871" s="9"/>
    </row>
    <row r="872"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204"/>
      <c r="Z872" s="9"/>
      <c r="AA872" s="9"/>
      <c r="AB872" s="9"/>
      <c r="AC872" s="9"/>
    </row>
    <row r="873"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204"/>
      <c r="Z873" s="9"/>
      <c r="AA873" s="9"/>
      <c r="AB873" s="9"/>
      <c r="AC873" s="9"/>
    </row>
    <row r="874"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204"/>
      <c r="Z874" s="9"/>
      <c r="AA874" s="9"/>
      <c r="AB874" s="9"/>
      <c r="AC874" s="9"/>
    </row>
    <row r="875"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204"/>
      <c r="Z875" s="9"/>
      <c r="AA875" s="9"/>
      <c r="AB875" s="9"/>
      <c r="AC875" s="9"/>
    </row>
    <row r="876"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204"/>
      <c r="Z876" s="9"/>
      <c r="AA876" s="9"/>
      <c r="AB876" s="9"/>
      <c r="AC876" s="9"/>
    </row>
    <row r="877"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204"/>
      <c r="Z877" s="9"/>
      <c r="AA877" s="9"/>
      <c r="AB877" s="9"/>
      <c r="AC877" s="9"/>
    </row>
    <row r="878"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204"/>
      <c r="Z878" s="9"/>
      <c r="AA878" s="9"/>
      <c r="AB878" s="9"/>
      <c r="AC878" s="9"/>
    </row>
    <row r="879"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204"/>
      <c r="Z879" s="9"/>
      <c r="AA879" s="9"/>
      <c r="AB879" s="9"/>
      <c r="AC879" s="9"/>
    </row>
    <row r="880"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204"/>
      <c r="Z880" s="9"/>
      <c r="AA880" s="9"/>
      <c r="AB880" s="9"/>
      <c r="AC880" s="9"/>
    </row>
    <row r="881"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204"/>
      <c r="Z881" s="9"/>
      <c r="AA881" s="9"/>
      <c r="AB881" s="9"/>
      <c r="AC881" s="9"/>
    </row>
    <row r="882"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204"/>
      <c r="Z882" s="9"/>
      <c r="AA882" s="9"/>
      <c r="AB882" s="9"/>
      <c r="AC882" s="9"/>
    </row>
    <row r="883"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204"/>
      <c r="Z883" s="9"/>
      <c r="AA883" s="9"/>
      <c r="AB883" s="9"/>
      <c r="AC883" s="9"/>
    </row>
    <row r="884"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204"/>
      <c r="Z884" s="9"/>
      <c r="AA884" s="9"/>
      <c r="AB884" s="9"/>
      <c r="AC884" s="9"/>
    </row>
    <row r="885"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204"/>
      <c r="Z885" s="9"/>
      <c r="AA885" s="9"/>
      <c r="AB885" s="9"/>
      <c r="AC885" s="9"/>
    </row>
    <row r="886"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204"/>
      <c r="Z886" s="9"/>
      <c r="AA886" s="9"/>
      <c r="AB886" s="9"/>
      <c r="AC886" s="9"/>
    </row>
    <row r="887"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204"/>
      <c r="Z887" s="9"/>
      <c r="AA887" s="9"/>
      <c r="AB887" s="9"/>
      <c r="AC887" s="9"/>
    </row>
    <row r="888"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204"/>
      <c r="Z888" s="9"/>
      <c r="AA888" s="9"/>
      <c r="AB888" s="9"/>
      <c r="AC888" s="9"/>
    </row>
    <row r="889"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204"/>
      <c r="Z889" s="9"/>
      <c r="AA889" s="9"/>
      <c r="AB889" s="9"/>
      <c r="AC889" s="9"/>
    </row>
    <row r="890"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204"/>
      <c r="Z890" s="9"/>
      <c r="AA890" s="9"/>
      <c r="AB890" s="9"/>
      <c r="AC890" s="9"/>
    </row>
    <row r="891"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204"/>
      <c r="Z891" s="9"/>
      <c r="AA891" s="9"/>
      <c r="AB891" s="9"/>
      <c r="AC891" s="9"/>
    </row>
    <row r="892"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204"/>
      <c r="Z892" s="9"/>
      <c r="AA892" s="9"/>
      <c r="AB892" s="9"/>
      <c r="AC892" s="9"/>
    </row>
    <row r="893"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204"/>
      <c r="Z893" s="9"/>
      <c r="AA893" s="9"/>
      <c r="AB893" s="9"/>
      <c r="AC893" s="9"/>
    </row>
    <row r="894"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204"/>
      <c r="Z894" s="9"/>
      <c r="AA894" s="9"/>
      <c r="AB894" s="9"/>
      <c r="AC894" s="9"/>
    </row>
    <row r="895"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204"/>
      <c r="Z895" s="9"/>
      <c r="AA895" s="9"/>
      <c r="AB895" s="9"/>
      <c r="AC895" s="9"/>
    </row>
    <row r="896"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204"/>
      <c r="Z896" s="9"/>
      <c r="AA896" s="9"/>
      <c r="AB896" s="9"/>
      <c r="AC896" s="9"/>
    </row>
    <row r="897"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204"/>
      <c r="Z897" s="9"/>
      <c r="AA897" s="9"/>
      <c r="AB897" s="9"/>
      <c r="AC897" s="9"/>
    </row>
    <row r="898"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204"/>
      <c r="Z898" s="9"/>
      <c r="AA898" s="9"/>
      <c r="AB898" s="9"/>
      <c r="AC898" s="9"/>
    </row>
    <row r="899"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204"/>
      <c r="Z899" s="9"/>
      <c r="AA899" s="9"/>
      <c r="AB899" s="9"/>
      <c r="AC899" s="9"/>
    </row>
    <row r="900"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204"/>
      <c r="Z900" s="9"/>
      <c r="AA900" s="9"/>
      <c r="AB900" s="9"/>
      <c r="AC900" s="9"/>
    </row>
    <row r="901"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204"/>
      <c r="Z901" s="9"/>
      <c r="AA901" s="9"/>
      <c r="AB901" s="9"/>
      <c r="AC901" s="9"/>
    </row>
    <row r="902"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204"/>
      <c r="Z902" s="9"/>
      <c r="AA902" s="9"/>
      <c r="AB902" s="9"/>
      <c r="AC902" s="9"/>
    </row>
    <row r="903"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204"/>
      <c r="Z903" s="9"/>
      <c r="AA903" s="9"/>
      <c r="AB903" s="9"/>
      <c r="AC903" s="9"/>
    </row>
    <row r="904"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204"/>
      <c r="Z904" s="9"/>
      <c r="AA904" s="9"/>
      <c r="AB904" s="9"/>
      <c r="AC904" s="9"/>
    </row>
    <row r="905"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204"/>
      <c r="Z905" s="9"/>
      <c r="AA905" s="9"/>
      <c r="AB905" s="9"/>
      <c r="AC905" s="9"/>
    </row>
    <row r="906"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204"/>
      <c r="Z906" s="9"/>
      <c r="AA906" s="9"/>
      <c r="AB906" s="9"/>
      <c r="AC906" s="9"/>
    </row>
    <row r="907"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204"/>
      <c r="Z907" s="9"/>
      <c r="AA907" s="9"/>
      <c r="AB907" s="9"/>
      <c r="AC907" s="9"/>
    </row>
    <row r="908"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204"/>
      <c r="Z908" s="9"/>
      <c r="AA908" s="9"/>
      <c r="AB908" s="9"/>
      <c r="AC908" s="9"/>
    </row>
    <row r="909"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204"/>
      <c r="Z909" s="9"/>
      <c r="AA909" s="9"/>
      <c r="AB909" s="9"/>
      <c r="AC909" s="9"/>
    </row>
    <row r="910"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204"/>
      <c r="Z910" s="9"/>
      <c r="AA910" s="9"/>
      <c r="AB910" s="9"/>
      <c r="AC910" s="9"/>
    </row>
    <row r="911"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204"/>
      <c r="Z911" s="9"/>
      <c r="AA911" s="9"/>
      <c r="AB911" s="9"/>
      <c r="AC911" s="9"/>
    </row>
    <row r="912"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204"/>
      <c r="Z912" s="9"/>
      <c r="AA912" s="9"/>
      <c r="AB912" s="9"/>
      <c r="AC912" s="9"/>
    </row>
    <row r="913"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204"/>
      <c r="Z913" s="9"/>
      <c r="AA913" s="9"/>
      <c r="AB913" s="9"/>
      <c r="AC913" s="9"/>
    </row>
    <row r="914"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204"/>
      <c r="Z914" s="9"/>
      <c r="AA914" s="9"/>
      <c r="AB914" s="9"/>
      <c r="AC914" s="9"/>
    </row>
    <row r="915"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204"/>
      <c r="Z915" s="9"/>
      <c r="AA915" s="9"/>
      <c r="AB915" s="9"/>
      <c r="AC915" s="9"/>
    </row>
    <row r="916"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204"/>
      <c r="Z916" s="9"/>
      <c r="AA916" s="9"/>
      <c r="AB916" s="9"/>
      <c r="AC916" s="9"/>
    </row>
    <row r="917"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204"/>
      <c r="Z917" s="9"/>
      <c r="AA917" s="9"/>
      <c r="AB917" s="9"/>
      <c r="AC917" s="9"/>
    </row>
    <row r="918"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204"/>
      <c r="Z918" s="9"/>
      <c r="AA918" s="9"/>
      <c r="AB918" s="9"/>
      <c r="AC918" s="9"/>
    </row>
    <row r="919"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204"/>
      <c r="Z919" s="9"/>
      <c r="AA919" s="9"/>
      <c r="AB919" s="9"/>
      <c r="AC919" s="9"/>
    </row>
    <row r="920"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204"/>
      <c r="Z920" s="9"/>
      <c r="AA920" s="9"/>
      <c r="AB920" s="9"/>
      <c r="AC920" s="9"/>
    </row>
    <row r="921"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204"/>
      <c r="Z921" s="9"/>
      <c r="AA921" s="9"/>
      <c r="AB921" s="9"/>
      <c r="AC921" s="9"/>
    </row>
    <row r="922"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204"/>
      <c r="Z922" s="9"/>
      <c r="AA922" s="9"/>
      <c r="AB922" s="9"/>
      <c r="AC922" s="9"/>
    </row>
    <row r="923"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204"/>
      <c r="Z923" s="9"/>
      <c r="AA923" s="9"/>
      <c r="AB923" s="9"/>
      <c r="AC923" s="9"/>
    </row>
    <row r="924"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204"/>
      <c r="Z924" s="9"/>
      <c r="AA924" s="9"/>
      <c r="AB924" s="9"/>
      <c r="AC924" s="9"/>
    </row>
    <row r="925"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204"/>
      <c r="Z925" s="9"/>
      <c r="AA925" s="9"/>
      <c r="AB925" s="9"/>
      <c r="AC925" s="9"/>
    </row>
    <row r="926"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204"/>
      <c r="Z926" s="9"/>
      <c r="AA926" s="9"/>
      <c r="AB926" s="9"/>
      <c r="AC926" s="9"/>
    </row>
    <row r="927"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204"/>
      <c r="Z927" s="9"/>
      <c r="AA927" s="9"/>
      <c r="AB927" s="9"/>
      <c r="AC927" s="9"/>
    </row>
    <row r="928"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204"/>
      <c r="Z928" s="9"/>
      <c r="AA928" s="9"/>
      <c r="AB928" s="9"/>
      <c r="AC928" s="9"/>
    </row>
    <row r="929"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204"/>
      <c r="Z929" s="9"/>
      <c r="AA929" s="9"/>
      <c r="AB929" s="9"/>
      <c r="AC929" s="9"/>
    </row>
    <row r="930"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204"/>
      <c r="Z930" s="9"/>
      <c r="AA930" s="9"/>
      <c r="AB930" s="9"/>
      <c r="AC930" s="9"/>
    </row>
    <row r="931"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204"/>
      <c r="Z931" s="9"/>
      <c r="AA931" s="9"/>
      <c r="AB931" s="9"/>
      <c r="AC931" s="9"/>
    </row>
    <row r="932"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204"/>
      <c r="Z932" s="9"/>
      <c r="AA932" s="9"/>
      <c r="AB932" s="9"/>
      <c r="AC932" s="9"/>
    </row>
    <row r="933"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204"/>
      <c r="Z933" s="9"/>
      <c r="AA933" s="9"/>
      <c r="AB933" s="9"/>
      <c r="AC933" s="9"/>
    </row>
    <row r="934"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204"/>
      <c r="Z934" s="9"/>
      <c r="AA934" s="9"/>
      <c r="AB934" s="9"/>
      <c r="AC934" s="9"/>
    </row>
    <row r="935"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204"/>
      <c r="Z935" s="9"/>
      <c r="AA935" s="9"/>
      <c r="AB935" s="9"/>
      <c r="AC935" s="9"/>
    </row>
    <row r="936"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204"/>
      <c r="Z936" s="9"/>
      <c r="AA936" s="9"/>
      <c r="AB936" s="9"/>
      <c r="AC936" s="9"/>
    </row>
    <row r="937"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204"/>
      <c r="Z937" s="9"/>
      <c r="AA937" s="9"/>
      <c r="AB937" s="9"/>
      <c r="AC937" s="9"/>
    </row>
    <row r="938"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204"/>
      <c r="Z938" s="9"/>
      <c r="AA938" s="9"/>
      <c r="AB938" s="9"/>
      <c r="AC938" s="9"/>
    </row>
    <row r="939"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204"/>
      <c r="Z939" s="9"/>
      <c r="AA939" s="9"/>
      <c r="AB939" s="9"/>
      <c r="AC939" s="9"/>
    </row>
    <row r="940"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204"/>
      <c r="Z940" s="9"/>
      <c r="AA940" s="9"/>
      <c r="AB940" s="9"/>
      <c r="AC940" s="9"/>
    </row>
    <row r="941"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204"/>
      <c r="Z941" s="9"/>
      <c r="AA941" s="9"/>
      <c r="AB941" s="9"/>
      <c r="AC941" s="9"/>
    </row>
    <row r="942"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204"/>
      <c r="Z942" s="9"/>
      <c r="AA942" s="9"/>
      <c r="AB942" s="9"/>
      <c r="AC942" s="9"/>
    </row>
    <row r="943"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204"/>
      <c r="Z943" s="9"/>
      <c r="AA943" s="9"/>
      <c r="AB943" s="9"/>
      <c r="AC943" s="9"/>
    </row>
    <row r="944"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204"/>
      <c r="Z944" s="9"/>
      <c r="AA944" s="9"/>
      <c r="AB944" s="9"/>
      <c r="AC944" s="9"/>
    </row>
    <row r="945"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204"/>
      <c r="Z945" s="9"/>
      <c r="AA945" s="9"/>
      <c r="AB945" s="9"/>
      <c r="AC945" s="9"/>
    </row>
    <row r="946"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204"/>
      <c r="Z946" s="9"/>
      <c r="AA946" s="9"/>
      <c r="AB946" s="9"/>
      <c r="AC946" s="9"/>
    </row>
    <row r="947"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204"/>
      <c r="Z947" s="9"/>
      <c r="AA947" s="9"/>
      <c r="AB947" s="9"/>
      <c r="AC947" s="9"/>
    </row>
    <row r="948"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204"/>
      <c r="Z948" s="9"/>
      <c r="AA948" s="9"/>
      <c r="AB948" s="9"/>
      <c r="AC948" s="9"/>
    </row>
    <row r="949"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204"/>
      <c r="Z949" s="9"/>
      <c r="AA949" s="9"/>
      <c r="AB949" s="9"/>
      <c r="AC949" s="9"/>
    </row>
    <row r="950"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204"/>
      <c r="Z950" s="9"/>
      <c r="AA950" s="9"/>
      <c r="AB950" s="9"/>
      <c r="AC950" s="9"/>
    </row>
    <row r="951"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204"/>
      <c r="Z951" s="9"/>
      <c r="AA951" s="9"/>
      <c r="AB951" s="9"/>
      <c r="AC951" s="9"/>
    </row>
    <row r="952"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204"/>
      <c r="Z952" s="9"/>
      <c r="AA952" s="9"/>
      <c r="AB952" s="9"/>
      <c r="AC952" s="9"/>
    </row>
    <row r="953"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204"/>
      <c r="Z953" s="9"/>
      <c r="AA953" s="9"/>
      <c r="AB953" s="9"/>
      <c r="AC953" s="9"/>
    </row>
    <row r="954"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204"/>
      <c r="Z954" s="9"/>
      <c r="AA954" s="9"/>
      <c r="AB954" s="9"/>
      <c r="AC954" s="9"/>
    </row>
    <row r="955"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204"/>
      <c r="Z955" s="9"/>
      <c r="AA955" s="9"/>
      <c r="AB955" s="9"/>
      <c r="AC955" s="9"/>
    </row>
    <row r="956"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204"/>
      <c r="Z956" s="9"/>
      <c r="AA956" s="9"/>
      <c r="AB956" s="9"/>
      <c r="AC956" s="9"/>
    </row>
    <row r="957"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204"/>
      <c r="Z957" s="9"/>
      <c r="AA957" s="9"/>
      <c r="AB957" s="9"/>
      <c r="AC957" s="9"/>
    </row>
    <row r="958"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204"/>
      <c r="Z958" s="9"/>
      <c r="AA958" s="9"/>
      <c r="AB958" s="9"/>
      <c r="AC958" s="9"/>
    </row>
    <row r="959"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204"/>
      <c r="Z959" s="9"/>
      <c r="AA959" s="9"/>
      <c r="AB959" s="9"/>
      <c r="AC959" s="9"/>
    </row>
    <row r="960"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204"/>
      <c r="Z960" s="9"/>
      <c r="AA960" s="9"/>
      <c r="AB960" s="9"/>
      <c r="AC960" s="9"/>
    </row>
    <row r="961"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204"/>
      <c r="Z961" s="9"/>
      <c r="AA961" s="9"/>
      <c r="AB961" s="9"/>
      <c r="AC961" s="9"/>
    </row>
    <row r="962"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204"/>
      <c r="Z962" s="9"/>
      <c r="AA962" s="9"/>
      <c r="AB962" s="9"/>
      <c r="AC962" s="9"/>
    </row>
    <row r="963"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204"/>
      <c r="Z963" s="9"/>
      <c r="AA963" s="9"/>
      <c r="AB963" s="9"/>
      <c r="AC963" s="9"/>
    </row>
    <row r="964"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204"/>
      <c r="Z964" s="9"/>
      <c r="AA964" s="9"/>
      <c r="AB964" s="9"/>
      <c r="AC964" s="9"/>
    </row>
    <row r="965"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204"/>
      <c r="Z965" s="9"/>
      <c r="AA965" s="9"/>
      <c r="AB965" s="9"/>
      <c r="AC965" s="9"/>
    </row>
    <row r="966"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204"/>
      <c r="Z966" s="9"/>
      <c r="AA966" s="9"/>
      <c r="AB966" s="9"/>
      <c r="AC966" s="9"/>
    </row>
    <row r="967"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204"/>
      <c r="Z967" s="9"/>
      <c r="AA967" s="9"/>
      <c r="AB967" s="9"/>
      <c r="AC967" s="9"/>
    </row>
    <row r="968"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204"/>
      <c r="Z968" s="9"/>
      <c r="AA968" s="9"/>
      <c r="AB968" s="9"/>
      <c r="AC968" s="9"/>
    </row>
    <row r="969"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204"/>
      <c r="Z969" s="9"/>
      <c r="AA969" s="9"/>
      <c r="AB969" s="9"/>
      <c r="AC969" s="9"/>
    </row>
    <row r="970"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204"/>
      <c r="Z970" s="9"/>
      <c r="AA970" s="9"/>
      <c r="AB970" s="9"/>
      <c r="AC970" s="9"/>
    </row>
    <row r="971"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204"/>
      <c r="Z971" s="9"/>
      <c r="AA971" s="9"/>
      <c r="AB971" s="9"/>
      <c r="AC971" s="9"/>
    </row>
    <row r="972"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204"/>
      <c r="Z972" s="9"/>
      <c r="AA972" s="9"/>
      <c r="AB972" s="9"/>
      <c r="AC972" s="9"/>
    </row>
    <row r="973"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204"/>
      <c r="Z973" s="9"/>
      <c r="AA973" s="9"/>
      <c r="AB973" s="9"/>
      <c r="AC973" s="9"/>
    </row>
    <row r="974"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204"/>
      <c r="Z974" s="9"/>
      <c r="AA974" s="9"/>
      <c r="AB974" s="9"/>
      <c r="AC974" s="9"/>
    </row>
    <row r="975"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204"/>
      <c r="Z975" s="9"/>
      <c r="AA975" s="9"/>
      <c r="AB975" s="9"/>
      <c r="AC975" s="9"/>
    </row>
    <row r="976"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204"/>
      <c r="Z976" s="9"/>
      <c r="AA976" s="9"/>
      <c r="AB976" s="9"/>
      <c r="AC976" s="9"/>
    </row>
    <row r="977"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204"/>
      <c r="Z977" s="9"/>
      <c r="AA977" s="9"/>
      <c r="AB977" s="9"/>
      <c r="AC977" s="9"/>
    </row>
    <row r="978"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204"/>
      <c r="Z978" s="9"/>
      <c r="AA978" s="9"/>
      <c r="AB978" s="9"/>
      <c r="AC978" s="9"/>
    </row>
    <row r="979"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204"/>
      <c r="Z979" s="9"/>
      <c r="AA979" s="9"/>
      <c r="AB979" s="9"/>
      <c r="AC979" s="9"/>
    </row>
    <row r="980"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204"/>
      <c r="Z980" s="9"/>
      <c r="AA980" s="9"/>
      <c r="AB980" s="9"/>
      <c r="AC980" s="9"/>
    </row>
    <row r="981"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204"/>
      <c r="Z981" s="9"/>
      <c r="AA981" s="9"/>
      <c r="AB981" s="9"/>
      <c r="AC981" s="9"/>
    </row>
    <row r="982"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204"/>
      <c r="Z982" s="9"/>
      <c r="AA982" s="9"/>
      <c r="AB982" s="9"/>
      <c r="AC982" s="9"/>
    </row>
    <row r="983"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204"/>
      <c r="Z983" s="9"/>
      <c r="AA983" s="9"/>
      <c r="AB983" s="9"/>
      <c r="AC983" s="9"/>
    </row>
    <row r="984"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204"/>
      <c r="Z984" s="9"/>
      <c r="AA984" s="9"/>
      <c r="AB984" s="9"/>
      <c r="AC984" s="9"/>
    </row>
    <row r="985"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204"/>
      <c r="Z985" s="9"/>
      <c r="AA985" s="9"/>
      <c r="AB985" s="9"/>
      <c r="AC985" s="9"/>
    </row>
    <row r="986" ht="15.7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204"/>
      <c r="Z986" s="9"/>
      <c r="AA986" s="9"/>
      <c r="AB986" s="9"/>
      <c r="AC986" s="9"/>
    </row>
    <row r="987" ht="15.7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204"/>
      <c r="Z987" s="9"/>
      <c r="AA987" s="9"/>
      <c r="AB987" s="9"/>
      <c r="AC987" s="9"/>
    </row>
    <row r="988" ht="15.7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204"/>
      <c r="Z988" s="9"/>
      <c r="AA988" s="9"/>
      <c r="AB988" s="9"/>
      <c r="AC988" s="9"/>
    </row>
    <row r="989" ht="15.7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204"/>
      <c r="Z989" s="9"/>
      <c r="AA989" s="9"/>
      <c r="AB989" s="9"/>
      <c r="AC989" s="9"/>
    </row>
    <row r="990" ht="15.7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204"/>
      <c r="Z990" s="9"/>
      <c r="AA990" s="9"/>
      <c r="AB990" s="9"/>
      <c r="AC990" s="9"/>
    </row>
    <row r="991" ht="15.7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204"/>
      <c r="Z991" s="9"/>
      <c r="AA991" s="9"/>
      <c r="AB991" s="9"/>
      <c r="AC991" s="9"/>
    </row>
    <row r="992" ht="15.7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204"/>
      <c r="Z992" s="9"/>
      <c r="AA992" s="9"/>
      <c r="AB992" s="9"/>
      <c r="AC992" s="9"/>
    </row>
    <row r="993" ht="15.7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204"/>
      <c r="Z993" s="9"/>
      <c r="AA993" s="9"/>
      <c r="AB993" s="9"/>
      <c r="AC993" s="9"/>
    </row>
    <row r="994" ht="15.7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204"/>
      <c r="Z994" s="9"/>
      <c r="AA994" s="9"/>
      <c r="AB994" s="9"/>
      <c r="AC994" s="9"/>
    </row>
    <row r="995" ht="15.7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204"/>
      <c r="Z995" s="9"/>
      <c r="AA995" s="9"/>
      <c r="AB995" s="9"/>
      <c r="AC995" s="9"/>
    </row>
    <row r="996" ht="15.7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204"/>
      <c r="Z996" s="9"/>
      <c r="AA996" s="9"/>
      <c r="AB996" s="9"/>
      <c r="AC996" s="9"/>
    </row>
    <row r="997" ht="15.7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204"/>
      <c r="Z997" s="9"/>
      <c r="AA997" s="9"/>
      <c r="AB997" s="9"/>
      <c r="AC997" s="9"/>
    </row>
    <row r="998" ht="15.75"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204"/>
      <c r="Z998" s="9"/>
      <c r="AA998" s="9"/>
      <c r="AB998" s="9"/>
      <c r="AC998" s="9"/>
    </row>
    <row r="999" ht="15.75"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204"/>
      <c r="Z999" s="9"/>
      <c r="AA999" s="9"/>
      <c r="AB999" s="9"/>
      <c r="AC999" s="9"/>
    </row>
    <row r="1000" ht="15.75"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204"/>
      <c r="Z1000" s="9"/>
      <c r="AA1000" s="9"/>
      <c r="AB1000" s="9"/>
      <c r="AC1000" s="9"/>
    </row>
    <row r="1001" ht="15.75" customHeight="1">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204"/>
      <c r="Z1001" s="9"/>
      <c r="AA1001" s="9"/>
      <c r="AB1001" s="9"/>
      <c r="AC1001" s="9"/>
    </row>
    <row r="1002" ht="15.75" customHeight="1">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204"/>
      <c r="Z1002" s="9"/>
      <c r="AA1002" s="9"/>
      <c r="AB1002" s="9"/>
      <c r="AC1002" s="9"/>
    </row>
    <row r="1003" ht="15.75" customHeight="1">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204"/>
      <c r="Z1003" s="9"/>
      <c r="AA1003" s="9"/>
      <c r="AB1003" s="9"/>
      <c r="AC1003" s="9"/>
    </row>
    <row r="1004" ht="15.75" customHeight="1">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204"/>
      <c r="Z1004" s="9"/>
      <c r="AA1004" s="9"/>
      <c r="AB1004" s="9"/>
      <c r="AC1004" s="9"/>
    </row>
    <row r="1005" ht="15.75" customHeight="1">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204"/>
      <c r="Z1005" s="9"/>
      <c r="AA1005" s="9"/>
      <c r="AB1005" s="9"/>
      <c r="AC1005" s="9"/>
    </row>
    <row r="1006" ht="15.75" customHeight="1">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204"/>
      <c r="Z1006" s="9"/>
      <c r="AA1006" s="9"/>
      <c r="AB1006" s="9"/>
      <c r="AC1006" s="9"/>
    </row>
    <row r="1007" ht="15.75" customHeight="1">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204"/>
      <c r="Z1007" s="9"/>
      <c r="AA1007" s="9"/>
      <c r="AB1007" s="9"/>
      <c r="AC1007" s="9"/>
    </row>
    <row r="1008" ht="15.75" customHeight="1">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204"/>
      <c r="Z1008" s="9"/>
      <c r="AA1008" s="9"/>
      <c r="AB1008" s="9"/>
      <c r="AC1008" s="9"/>
    </row>
    <row r="1009" ht="15.75" customHeight="1">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204"/>
      <c r="Z1009" s="9"/>
      <c r="AA1009" s="9"/>
      <c r="AB1009" s="9"/>
      <c r="AC1009" s="9"/>
    </row>
    <row r="1010" ht="15.75" customHeight="1">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204"/>
      <c r="Z1010" s="9"/>
      <c r="AA1010" s="9"/>
      <c r="AB1010" s="9"/>
      <c r="AC1010" s="9"/>
    </row>
    <row r="1011" ht="15.75" customHeight="1">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204"/>
      <c r="Z1011" s="9"/>
      <c r="AA1011" s="9"/>
      <c r="AB1011" s="9"/>
      <c r="AC1011" s="9"/>
    </row>
    <row r="1012" ht="15.75" customHeight="1">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204"/>
      <c r="Z1012" s="9"/>
      <c r="AA1012" s="9"/>
      <c r="AB1012" s="9"/>
      <c r="AC1012" s="9"/>
    </row>
    <row r="1013" ht="15.75" customHeight="1">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204"/>
      <c r="Z1013" s="9"/>
      <c r="AA1013" s="9"/>
      <c r="AB1013" s="9"/>
      <c r="AC1013" s="9"/>
    </row>
    <row r="1014" ht="15.75" customHeight="1">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204"/>
      <c r="Z1014" s="9"/>
      <c r="AA1014" s="9"/>
      <c r="AB1014" s="9"/>
      <c r="AC1014" s="9"/>
    </row>
    <row r="1015" ht="15.75" customHeight="1">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204"/>
      <c r="Z1015" s="9"/>
      <c r="AA1015" s="9"/>
      <c r="AB1015" s="9"/>
      <c r="AC1015" s="9"/>
    </row>
    <row r="1016" ht="15.75" customHeight="1">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204"/>
      <c r="Z1016" s="9"/>
      <c r="AA1016" s="9"/>
      <c r="AB1016" s="9"/>
      <c r="AC1016" s="9"/>
    </row>
    <row r="1017" ht="15.75" customHeight="1">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204"/>
      <c r="Z1017" s="9"/>
      <c r="AA1017" s="9"/>
      <c r="AB1017" s="9"/>
      <c r="AC1017" s="9"/>
    </row>
    <row r="1018" ht="15.75" customHeight="1">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204"/>
      <c r="Z1018" s="9"/>
      <c r="AA1018" s="9"/>
      <c r="AB1018" s="9"/>
      <c r="AC1018" s="9"/>
    </row>
    <row r="1019" ht="15.75" customHeight="1">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204"/>
      <c r="Z1019" s="9"/>
      <c r="AA1019" s="9"/>
      <c r="AB1019" s="9"/>
      <c r="AC1019" s="9"/>
    </row>
    <row r="1020" ht="15.75" customHeight="1">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204"/>
      <c r="Z1020" s="9"/>
      <c r="AA1020" s="9"/>
      <c r="AB1020" s="9"/>
      <c r="AC1020" s="9"/>
    </row>
    <row r="1021" ht="15.75" customHeight="1">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204"/>
      <c r="Z1021" s="9"/>
      <c r="AA1021" s="9"/>
      <c r="AB1021" s="9"/>
      <c r="AC1021" s="9"/>
    </row>
    <row r="1022" ht="15.75" customHeight="1">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204"/>
      <c r="Z1022" s="9"/>
      <c r="AA1022" s="9"/>
      <c r="AB1022" s="9"/>
      <c r="AC1022" s="9"/>
    </row>
    <row r="1023" ht="15.75" customHeight="1">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204"/>
      <c r="Z1023" s="9"/>
      <c r="AA1023" s="9"/>
      <c r="AB1023" s="9"/>
      <c r="AC1023" s="9"/>
    </row>
    <row r="1024" ht="15.75" customHeight="1">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204"/>
      <c r="Z1024" s="9"/>
      <c r="AA1024" s="9"/>
      <c r="AB1024" s="9"/>
      <c r="AC1024" s="9"/>
    </row>
    <row r="1025" ht="15.75" customHeight="1">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204"/>
      <c r="Z1025" s="9"/>
      <c r="AA1025" s="9"/>
      <c r="AB1025" s="9"/>
      <c r="AC1025" s="9"/>
    </row>
    <row r="1026" ht="15.75" customHeight="1">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204"/>
      <c r="Z1026" s="9"/>
      <c r="AA1026" s="9"/>
      <c r="AB1026" s="9"/>
      <c r="AC1026" s="9"/>
    </row>
    <row r="1027" ht="15.75" customHeight="1">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204"/>
      <c r="Z1027" s="9"/>
      <c r="AA1027" s="9"/>
      <c r="AB1027" s="9"/>
      <c r="AC1027" s="9"/>
    </row>
    <row r="1028" ht="15.75" customHeight="1">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204"/>
      <c r="Z1028" s="9"/>
      <c r="AA1028" s="9"/>
      <c r="AB1028" s="9"/>
      <c r="AC1028" s="9"/>
    </row>
    <row r="1029" ht="15.75" customHeight="1">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204"/>
      <c r="Z1029" s="9"/>
      <c r="AA1029" s="9"/>
      <c r="AB1029" s="9"/>
      <c r="AC1029" s="9"/>
    </row>
    <row r="1030" ht="15.75" customHeight="1">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204"/>
      <c r="Z1030" s="9"/>
      <c r="AA1030" s="9"/>
      <c r="AB1030" s="9"/>
      <c r="AC1030" s="9"/>
    </row>
    <row r="1031" ht="15.75" customHeight="1">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204"/>
      <c r="Z1031" s="9"/>
      <c r="AA1031" s="9"/>
      <c r="AB1031" s="9"/>
      <c r="AC1031" s="9"/>
    </row>
    <row r="1032" ht="15.75" customHeight="1">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204"/>
      <c r="Z1032" s="9"/>
      <c r="AA1032" s="9"/>
      <c r="AB1032" s="9"/>
      <c r="AC1032" s="9"/>
    </row>
    <row r="1033" ht="15.75" customHeight="1">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204"/>
      <c r="Z1033" s="9"/>
      <c r="AA1033" s="9"/>
      <c r="AB1033" s="9"/>
      <c r="AC1033" s="9"/>
    </row>
    <row r="1034" ht="15.75" customHeight="1">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204"/>
      <c r="Z1034" s="9"/>
      <c r="AA1034" s="9"/>
      <c r="AB1034" s="9"/>
      <c r="AC1034" s="9"/>
    </row>
    <row r="1035" ht="15.75" customHeight="1">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204"/>
      <c r="Z1035" s="9"/>
      <c r="AA1035" s="9"/>
      <c r="AB1035" s="9"/>
      <c r="AC1035" s="9"/>
    </row>
    <row r="1036" ht="15.75" customHeight="1">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204"/>
      <c r="Z1036" s="9"/>
      <c r="AA1036" s="9"/>
      <c r="AB1036" s="9"/>
      <c r="AC1036" s="9"/>
    </row>
    <row r="1037" ht="15.75" customHeight="1">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204"/>
      <c r="Z1037" s="9"/>
      <c r="AA1037" s="9"/>
      <c r="AB1037" s="9"/>
      <c r="AC1037" s="9"/>
    </row>
    <row r="1038" ht="15.75" customHeight="1">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204"/>
      <c r="Z1038" s="9"/>
      <c r="AA1038" s="9"/>
      <c r="AB1038" s="9"/>
      <c r="AC1038" s="9"/>
    </row>
    <row r="1039" ht="15.75" customHeight="1">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204"/>
      <c r="Z1039" s="9"/>
      <c r="AA1039" s="9"/>
      <c r="AB1039" s="9"/>
      <c r="AC1039" s="9"/>
    </row>
    <row r="1040" ht="15.75" customHeight="1">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204"/>
      <c r="Z1040" s="9"/>
      <c r="AA1040" s="9"/>
      <c r="AB1040" s="9"/>
      <c r="AC1040" s="9"/>
    </row>
    <row r="1041" ht="15.75" customHeight="1">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204"/>
      <c r="Z1041" s="9"/>
      <c r="AA1041" s="9"/>
      <c r="AB1041" s="9"/>
      <c r="AC1041" s="9"/>
    </row>
    <row r="1042" ht="15.75" customHeight="1">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204"/>
      <c r="Z1042" s="9"/>
      <c r="AA1042" s="9"/>
      <c r="AB1042" s="9"/>
      <c r="AC1042" s="9"/>
    </row>
    <row r="1043" ht="15.75" customHeight="1">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204"/>
      <c r="Z1043" s="9"/>
      <c r="AA1043" s="9"/>
      <c r="AB1043" s="9"/>
      <c r="AC1043" s="9"/>
    </row>
    <row r="1044" ht="15.75" customHeight="1">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204"/>
      <c r="Z1044" s="9"/>
      <c r="AA1044" s="9"/>
      <c r="AB1044" s="9"/>
      <c r="AC1044" s="9"/>
    </row>
    <row r="1045" ht="15.75" customHeight="1">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204"/>
      <c r="Z1045" s="9"/>
      <c r="AA1045" s="9"/>
      <c r="AB1045" s="9"/>
      <c r="AC1045" s="9"/>
    </row>
    <row r="1046" ht="15.75" customHeight="1">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204"/>
      <c r="Z1046" s="9"/>
      <c r="AA1046" s="9"/>
      <c r="AB1046" s="9"/>
      <c r="AC1046" s="9"/>
    </row>
    <row r="1047" ht="15.75" customHeight="1">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204"/>
      <c r="Z1047" s="9"/>
      <c r="AA1047" s="9"/>
      <c r="AB1047" s="9"/>
      <c r="AC1047" s="9"/>
    </row>
    <row r="1048" ht="15.75" customHeight="1">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204"/>
      <c r="Z1048" s="9"/>
      <c r="AA1048" s="9"/>
      <c r="AB1048" s="9"/>
      <c r="AC1048" s="9"/>
    </row>
    <row r="1049" ht="15.75" customHeight="1">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204"/>
      <c r="Z1049" s="9"/>
      <c r="AA1049" s="9"/>
      <c r="AB1049" s="9"/>
      <c r="AC1049" s="9"/>
    </row>
    <row r="1050" ht="15.75" customHeight="1">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204"/>
      <c r="Z1050" s="9"/>
      <c r="AA1050" s="9"/>
      <c r="AB1050" s="9"/>
      <c r="AC1050" s="9"/>
    </row>
    <row r="1051" ht="15.75" customHeight="1">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204"/>
      <c r="Z1051" s="9"/>
      <c r="AA1051" s="9"/>
      <c r="AB1051" s="9"/>
      <c r="AC1051" s="9"/>
    </row>
  </sheetData>
  <mergeCells count="237">
    <mergeCell ref="L47:L53"/>
    <mergeCell ref="M47:M53"/>
    <mergeCell ref="N47:N53"/>
    <mergeCell ref="O47:O53"/>
    <mergeCell ref="P47:P53"/>
    <mergeCell ref="Q47:Q53"/>
    <mergeCell ref="R47:R53"/>
    <mergeCell ref="A47:A53"/>
    <mergeCell ref="B47:B53"/>
    <mergeCell ref="C47:C53"/>
    <mergeCell ref="D47:D53"/>
    <mergeCell ref="E47:E53"/>
    <mergeCell ref="F47:F53"/>
    <mergeCell ref="K47:K53"/>
    <mergeCell ref="S73:S78"/>
    <mergeCell ref="T73:T78"/>
    <mergeCell ref="L73:L78"/>
    <mergeCell ref="M73:M78"/>
    <mergeCell ref="N73:N78"/>
    <mergeCell ref="O73:O78"/>
    <mergeCell ref="P73:P78"/>
    <mergeCell ref="Q73:Q78"/>
    <mergeCell ref="R73:R78"/>
    <mergeCell ref="O28:O29"/>
    <mergeCell ref="P28:P29"/>
    <mergeCell ref="H28:H29"/>
    <mergeCell ref="I28:I29"/>
    <mergeCell ref="J28:J29"/>
    <mergeCell ref="K28:K29"/>
    <mergeCell ref="L28:L29"/>
    <mergeCell ref="M28:M29"/>
    <mergeCell ref="N28:N29"/>
    <mergeCell ref="S44:S45"/>
    <mergeCell ref="T44:T45"/>
    <mergeCell ref="U44:U45"/>
    <mergeCell ref="V44:V45"/>
    <mergeCell ref="L44:L45"/>
    <mergeCell ref="M44:M45"/>
    <mergeCell ref="N44:N45"/>
    <mergeCell ref="O44:O45"/>
    <mergeCell ref="P44:P45"/>
    <mergeCell ref="Q44:Q45"/>
    <mergeCell ref="R44:R45"/>
    <mergeCell ref="A44:A45"/>
    <mergeCell ref="B44:B45"/>
    <mergeCell ref="C44:C45"/>
    <mergeCell ref="D44:D45"/>
    <mergeCell ref="E44:E45"/>
    <mergeCell ref="F44:F45"/>
    <mergeCell ref="K44:K45"/>
    <mergeCell ref="S47:S53"/>
    <mergeCell ref="T50:T53"/>
    <mergeCell ref="U50:U53"/>
    <mergeCell ref="V50:V53"/>
    <mergeCell ref="U73:U78"/>
    <mergeCell ref="V73:V78"/>
    <mergeCell ref="L103:L105"/>
    <mergeCell ref="M103:M105"/>
    <mergeCell ref="N103:N105"/>
    <mergeCell ref="O103:O105"/>
    <mergeCell ref="P103:P105"/>
    <mergeCell ref="Q103:Q105"/>
    <mergeCell ref="R103:R105"/>
    <mergeCell ref="B110:I110"/>
    <mergeCell ref="B111:I111"/>
    <mergeCell ref="B112:I112"/>
    <mergeCell ref="B113:I113"/>
    <mergeCell ref="B114:I114"/>
    <mergeCell ref="E117:J117"/>
    <mergeCell ref="M117:S117"/>
    <mergeCell ref="N171:O171"/>
    <mergeCell ref="N172:O172"/>
    <mergeCell ref="N173:O173"/>
    <mergeCell ref="B174:J174"/>
    <mergeCell ref="N174:O174"/>
    <mergeCell ref="B162:H162"/>
    <mergeCell ref="B163:H163"/>
    <mergeCell ref="B164:H164"/>
    <mergeCell ref="B165:H165"/>
    <mergeCell ref="B166:H166"/>
    <mergeCell ref="A168:D168"/>
    <mergeCell ref="N170:O170"/>
    <mergeCell ref="A73:A78"/>
    <mergeCell ref="B73:B78"/>
    <mergeCell ref="C73:C78"/>
    <mergeCell ref="D73:D78"/>
    <mergeCell ref="E73:E78"/>
    <mergeCell ref="F73:F78"/>
    <mergeCell ref="K73:K78"/>
    <mergeCell ref="S79:S84"/>
    <mergeCell ref="T79:T84"/>
    <mergeCell ref="U79:U84"/>
    <mergeCell ref="V79:V84"/>
    <mergeCell ref="L79:L84"/>
    <mergeCell ref="M79:M84"/>
    <mergeCell ref="N79:N84"/>
    <mergeCell ref="O79:O84"/>
    <mergeCell ref="P79:P84"/>
    <mergeCell ref="Q79:Q84"/>
    <mergeCell ref="R79:R84"/>
    <mergeCell ref="A79:A84"/>
    <mergeCell ref="B79:B84"/>
    <mergeCell ref="C79:C84"/>
    <mergeCell ref="D79:D84"/>
    <mergeCell ref="E79:E84"/>
    <mergeCell ref="F79:F84"/>
    <mergeCell ref="K79:K84"/>
    <mergeCell ref="S103:S105"/>
    <mergeCell ref="T103:T105"/>
    <mergeCell ref="U103:U105"/>
    <mergeCell ref="V103:V105"/>
    <mergeCell ref="A103:A105"/>
    <mergeCell ref="B103:B105"/>
    <mergeCell ref="C103:C105"/>
    <mergeCell ref="D103:D105"/>
    <mergeCell ref="E103:E105"/>
    <mergeCell ref="F103:F105"/>
    <mergeCell ref="K103:K105"/>
    <mergeCell ref="B117:D117"/>
    <mergeCell ref="B119:B134"/>
    <mergeCell ref="M120:M121"/>
    <mergeCell ref="B135:B158"/>
    <mergeCell ref="B159:H159"/>
    <mergeCell ref="B160:H160"/>
    <mergeCell ref="B161:H161"/>
    <mergeCell ref="L14:L19"/>
    <mergeCell ref="M14:M19"/>
    <mergeCell ref="N14:N19"/>
    <mergeCell ref="O14:O19"/>
    <mergeCell ref="P14:P19"/>
    <mergeCell ref="Q14:Q19"/>
    <mergeCell ref="R14:R19"/>
    <mergeCell ref="A14:A19"/>
    <mergeCell ref="B14:B19"/>
    <mergeCell ref="C14:C19"/>
    <mergeCell ref="D14:D19"/>
    <mergeCell ref="E14:E19"/>
    <mergeCell ref="F14:F19"/>
    <mergeCell ref="K14:K19"/>
    <mergeCell ref="A28:A29"/>
    <mergeCell ref="B28:B29"/>
    <mergeCell ref="C28:C29"/>
    <mergeCell ref="D28:D29"/>
    <mergeCell ref="E28:E29"/>
    <mergeCell ref="F28:F29"/>
    <mergeCell ref="G28:G29"/>
    <mergeCell ref="A30:A31"/>
    <mergeCell ref="B30:B31"/>
    <mergeCell ref="C30:C31"/>
    <mergeCell ref="D30:D31"/>
    <mergeCell ref="E30:E31"/>
    <mergeCell ref="F30:F31"/>
    <mergeCell ref="K30:K31"/>
    <mergeCell ref="S30:S31"/>
    <mergeCell ref="V30:V31"/>
    <mergeCell ref="L30:L31"/>
    <mergeCell ref="M30:M31"/>
    <mergeCell ref="N30:N31"/>
    <mergeCell ref="O30:O31"/>
    <mergeCell ref="P30:P31"/>
    <mergeCell ref="Q30:Q31"/>
    <mergeCell ref="R30:R31"/>
    <mergeCell ref="G2:J2"/>
    <mergeCell ref="K2:P2"/>
    <mergeCell ref="Q2:S2"/>
    <mergeCell ref="T2:U2"/>
    <mergeCell ref="V2:V3"/>
    <mergeCell ref="O3:P3"/>
    <mergeCell ref="A1:G1"/>
    <mergeCell ref="A2:A3"/>
    <mergeCell ref="B2:B3"/>
    <mergeCell ref="C2:C3"/>
    <mergeCell ref="D2:D3"/>
    <mergeCell ref="E2:E3"/>
    <mergeCell ref="F2:F3"/>
    <mergeCell ref="S8:S9"/>
    <mergeCell ref="T8:T9"/>
    <mergeCell ref="U8:U9"/>
    <mergeCell ref="V8:V9"/>
    <mergeCell ref="L8:L9"/>
    <mergeCell ref="M8:M9"/>
    <mergeCell ref="N8:N9"/>
    <mergeCell ref="O8:O9"/>
    <mergeCell ref="P8:P9"/>
    <mergeCell ref="Q8:Q9"/>
    <mergeCell ref="R8:R9"/>
    <mergeCell ref="A8:A9"/>
    <mergeCell ref="B8:B9"/>
    <mergeCell ref="C8:C9"/>
    <mergeCell ref="D8:D9"/>
    <mergeCell ref="E8:E9"/>
    <mergeCell ref="F8:F9"/>
    <mergeCell ref="K8:K9"/>
    <mergeCell ref="S14:S19"/>
    <mergeCell ref="T14:T19"/>
    <mergeCell ref="U14:U19"/>
    <mergeCell ref="V14:V19"/>
    <mergeCell ref="Q28:Q29"/>
    <mergeCell ref="R28:R29"/>
    <mergeCell ref="S28:S29"/>
    <mergeCell ref="V28:V29"/>
    <mergeCell ref="S62:S63"/>
    <mergeCell ref="T62:T63"/>
    <mergeCell ref="L62:L63"/>
    <mergeCell ref="M62:M63"/>
    <mergeCell ref="N62:N63"/>
    <mergeCell ref="O62:O63"/>
    <mergeCell ref="P62:P63"/>
    <mergeCell ref="Q62:Q63"/>
    <mergeCell ref="R62:R63"/>
    <mergeCell ref="U62:U63"/>
    <mergeCell ref="V62:V63"/>
    <mergeCell ref="A62:A63"/>
    <mergeCell ref="B62:B63"/>
    <mergeCell ref="C62:C63"/>
    <mergeCell ref="D62:D63"/>
    <mergeCell ref="E62:E63"/>
    <mergeCell ref="F62:F63"/>
    <mergeCell ref="K62:K63"/>
    <mergeCell ref="S70:S72"/>
    <mergeCell ref="T70:T72"/>
    <mergeCell ref="L70:L72"/>
    <mergeCell ref="M70:M72"/>
    <mergeCell ref="N70:N72"/>
    <mergeCell ref="O70:O72"/>
    <mergeCell ref="P70:P72"/>
    <mergeCell ref="Q70:Q72"/>
    <mergeCell ref="R70:R72"/>
    <mergeCell ref="U70:U72"/>
    <mergeCell ref="V70:V72"/>
    <mergeCell ref="A70:A72"/>
    <mergeCell ref="B70:B72"/>
    <mergeCell ref="C70:C72"/>
    <mergeCell ref="D70:D72"/>
    <mergeCell ref="E70:E72"/>
    <mergeCell ref="F70:F72"/>
    <mergeCell ref="K70:K72"/>
  </mergeCells>
  <dataValidations>
    <dataValidation type="list" allowBlank="1" showErrorMessage="1" sqref="R4:R8 R10:R14 R20:R28 R30 R32:R44 R46:R47 R54:R62">
      <formula1>"Cty trả ship"</formula1>
    </dataValidation>
    <dataValidation type="list" allowBlank="1" showErrorMessage="1" sqref="P4:P8 P10:P14 P20:P28 P30 P32:P44 P46:P47 P54:P62 P64:P70 P73 P79 P85:P103 P106:P109">
      <formula1>"Chưa thu,Đã thu"</formula1>
    </dataValidation>
    <dataValidation type="list" allowBlank="1" showErrorMessage="1" sqref="R64:R70 R73 R79 R85:R103 R106:R109">
      <formula1>"Cty trả ship,ĐH hoàn-NV"</formula1>
    </dataValidation>
    <dataValidation type="list" allowBlank="1" showErrorMessage="1" sqref="O4:O8 O10:O14 O20:O28 O30 O32:O44 O46:O47 O54:O62 O64:O70 O73 O79 O85:O103 O106:O109">
      <formula1>"Chưa giao,Đã giao"</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